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ources" sheetId="1" r:id="rId4"/>
    <sheet state="visible" name="ETFOverlap" sheetId="2" r:id="rId5"/>
    <sheet state="visible" name="Stats" sheetId="3" r:id="rId6"/>
    <sheet state="visible" name="A200" sheetId="4" r:id="rId7"/>
    <sheet state="visible" name="ACDC" sheetId="5" r:id="rId8"/>
    <sheet state="visible" name="ASIA" sheetId="6" r:id="rId9"/>
    <sheet state="visible" name="BGBL" sheetId="7" r:id="rId10"/>
    <sheet state="visible" name="ETHI" sheetId="8" r:id="rId11"/>
    <sheet state="visible" name="FANG" sheetId="9" r:id="rId12"/>
    <sheet state="visible" name="HACK" sheetId="10" r:id="rId13"/>
    <sheet state="visible" name="IVV" sheetId="11" r:id="rId14"/>
    <sheet state="visible" name="NDQ" sheetId="12" r:id="rId15"/>
    <sheet state="visible" name="ROBO" sheetId="13" r:id="rId16"/>
    <sheet state="visible" name="TANN" sheetId="14" r:id="rId17"/>
    <sheet state="visible" name="VAF" sheetId="15" r:id="rId18"/>
    <sheet state="visible" name="VAS" sheetId="16" r:id="rId19"/>
    <sheet state="visible" name="VDHG" sheetId="17" r:id="rId20"/>
    <sheet state="visible" name="VDHG notes" sheetId="18" r:id="rId21"/>
    <sheet state="visible" name="VBND" sheetId="19" r:id="rId22"/>
    <sheet state="visible" name="VEMS" sheetId="20" r:id="rId23"/>
    <sheet state="visible" name="VESG" sheetId="21" r:id="rId24"/>
    <sheet state="visible" name="VEU" sheetId="22" r:id="rId25"/>
    <sheet state="visible" name="VGAD" sheetId="23" r:id="rId26"/>
    <sheet state="visible" name="VGE" sheetId="24" r:id="rId27"/>
    <sheet state="visible" name="VGS" sheetId="25" r:id="rId28"/>
    <sheet state="visible" name="VISM" sheetId="26" r:id="rId29"/>
    <sheet state="visible" name="VTS" sheetId="27" r:id="rId30"/>
  </sheets>
  <definedNames>
    <definedName hidden="1" localSheetId="1" name="_xlnm._FilterDatabase">ETFOverlap!$A$3:$L$1473</definedName>
  </definedNames>
  <calcPr/>
</workbook>
</file>

<file path=xl/sharedStrings.xml><?xml version="1.0" encoding="utf-8"?>
<sst xmlns="http://schemas.openxmlformats.org/spreadsheetml/2006/main" count="70507" uniqueCount="23246">
  <si>
    <t>ETF ticker</t>
  </si>
  <si>
    <t>Link broker page</t>
  </si>
  <si>
    <t>Link spreadsheet holdings</t>
  </si>
  <si>
    <t>Link last updated</t>
  </si>
  <si>
    <t>Status</t>
  </si>
  <si>
    <t>Loaded</t>
  </si>
  <si>
    <t>A200</t>
  </si>
  <si>
    <t>https://www.betashares.com.au/fund/australia-200-etf/</t>
  </si>
  <si>
    <t>https://www.betashares.com.au/files/csv/A200_Portfolio_Holdings.csv</t>
  </si>
  <si>
    <t>June</t>
  </si>
  <si>
    <t>OK</t>
  </si>
  <si>
    <t>Yes</t>
  </si>
  <si>
    <t>ACDC</t>
  </si>
  <si>
    <t>https://www.globalxetfs.com.au/funds/acdc/</t>
  </si>
  <si>
    <t>https://assets.globalxetfs.com.au/pcf/gxau_acdc_full_pcf.xlsx</t>
  </si>
  <si>
    <t>ASIA</t>
  </si>
  <si>
    <t>https://www.betashares.com.au/fund/asia-technology-tigers-etf/</t>
  </si>
  <si>
    <t>https://www.betashares.com.au/files/csv/ASIA_Portfolio_Holdings.csv</t>
  </si>
  <si>
    <t>BGBL</t>
  </si>
  <si>
    <t>https://www.betashares.com.au/fund/global-shares-etf/</t>
  </si>
  <si>
    <t>https://www.betashares.com.au/files/csv/BGBL_Portfolio_Holdings.csv</t>
  </si>
  <si>
    <t>September</t>
  </si>
  <si>
    <t>ETHI</t>
  </si>
  <si>
    <t>https://www.betashares.com.au/fund/global-sustainability-leaders-etf/</t>
  </si>
  <si>
    <t>https://www.betashares.com.au/files/csv/ETHI_Portfolio_Holdings.csv</t>
  </si>
  <si>
    <t>FANG</t>
  </si>
  <si>
    <t>https://www.globalxetfs.com.au/funds/fang/</t>
  </si>
  <si>
    <t>https://assets.globalxetfs.com.au/pcf/gxau_fang_full_pcf.xlsx?_gl=1*pgytns*_gcl_au*MTg0OTQ5ODI3NS4xNjg3MDUwNDY3*_ga*MTU0NTE1OTkxMC4xNjg3MDUwNDY4*_ga_MFLERJW71S*MTY5NDc1NjYxMi44LjAuMTY5NDc1NjYxMi42MC4wLjA.</t>
  </si>
  <si>
    <t>No</t>
  </si>
  <si>
    <t>HACK</t>
  </si>
  <si>
    <t>https://www.betashares.com.au/fund/global-cybersecurity-etf/</t>
  </si>
  <si>
    <t>https://www.betashares.com.au/files/csv/HACK_Portfolio_Holdings.csv</t>
  </si>
  <si>
    <t>IVV</t>
  </si>
  <si>
    <t>https://www.ishares.com/us/products/239726/ishares-core-sp-500-etf</t>
  </si>
  <si>
    <t>https://www.ishares.com/us/products/239726/ishares-core-sp-500-etf/1467271812596.ajax?fileType=csv&amp;fileName=IVV_holdings&amp;dataType=fund</t>
  </si>
  <si>
    <t>NDQ</t>
  </si>
  <si>
    <t>https://www.betashares.com.au/fund/nasdaq-100-etf/</t>
  </si>
  <si>
    <t>https://www.betashares.com.au/files/csv/NDQ_Portfolio_Holdings.csv</t>
  </si>
  <si>
    <t>ROBO</t>
  </si>
  <si>
    <t>https://www.globalxetfs.com.au/funds/robo/</t>
  </si>
  <si>
    <t>https://assets.globalxetfs.com.au/pcf/gxau_robo_full_pcf.xlsx</t>
  </si>
  <si>
    <t>TANN</t>
  </si>
  <si>
    <t>https://www.betashares.com.au/fund/solar-etf/</t>
  </si>
  <si>
    <t>https://www.betashares.com.au/files/csv/TANN_Portfolio_Holdings.csv</t>
  </si>
  <si>
    <t>VAF</t>
  </si>
  <si>
    <r>
      <rPr>
        <rFont val="Arial"/>
        <color rgb="FF040505"/>
        <sz val="10.0"/>
      </rPr>
      <t xml:space="preserve">Vanguard Australian Fixed Interest Index Fund
</t>
    </r>
    <r>
      <rPr>
        <rFont val="Arial"/>
        <color rgb="FF1155CC"/>
        <sz val="10.0"/>
        <u/>
      </rPr>
      <t xml:space="preserve">https://www.vanguard.com.au/personal/invest-with-us/fund?portId=8103&amp;tab=holdings
</t>
    </r>
  </si>
  <si>
    <t>---</t>
  </si>
  <si>
    <t>Partially</t>
  </si>
  <si>
    <t>VAS</t>
  </si>
  <si>
    <t xml:space="preserve">https://www.vanguard.com.au/adviser/invest/etf?portId=8205&amp;tab=portfolio-data
</t>
  </si>
  <si>
    <t>July</t>
  </si>
  <si>
    <t>VBND</t>
  </si>
  <si>
    <r>
      <rPr>
        <rFont val="Arial"/>
        <color rgb="FF040505"/>
        <sz val="10.0"/>
      </rPr>
      <t xml:space="preserve">Vanguard Global Aggregate Bond Index Fund Hedged
</t>
    </r>
    <r>
      <rPr>
        <rFont val="Arial"/>
        <color rgb="FF1155CC"/>
        <sz val="10.0"/>
        <u/>
      </rPr>
      <t xml:space="preserve">https://www.vanguard.com.au/personal/invest-with-us/fund?portId=8130&amp;tab=holdings
</t>
    </r>
  </si>
  <si>
    <t>VDHG</t>
  </si>
  <si>
    <t xml:space="preserve">https://www.vanguard.com.au/adviser/products/en/detail/etf/8221/balanced
</t>
  </si>
  <si>
    <t>VEMS</t>
  </si>
  <si>
    <r>
      <rPr>
        <rFont val="Arial"/>
        <color rgb="FF040505"/>
        <sz val="10.0"/>
      </rPr>
      <t xml:space="preserve">Vanguard Emerging Markets Shares Index Fund
</t>
    </r>
    <r>
      <rPr>
        <rFont val="Arial"/>
        <color rgb="FF1155CC"/>
        <sz val="10.0"/>
        <u/>
      </rPr>
      <t xml:space="preserve">https://www.vanguard.com.au/personal/invest-with-us/fund?portId=8109
</t>
    </r>
  </si>
  <si>
    <t>VESG</t>
  </si>
  <si>
    <r>
      <rPr>
        <rFont val="Arial"/>
        <sz val="10.0"/>
      </rPr>
      <t xml:space="preserve">Vanguard Ethically Conscious International Shares Index ETF (VESG)
</t>
    </r>
    <r>
      <rPr>
        <rFont val="Arial"/>
        <color rgb="FF1155CC"/>
        <sz val="10.0"/>
        <u/>
      </rPr>
      <t xml:space="preserve">https://www.vanguard.com.au/personal/invest-with-us/etf?portId=8225
</t>
    </r>
  </si>
  <si>
    <t>VEU</t>
  </si>
  <si>
    <r>
      <rPr>
        <rFont val="Arial"/>
        <sz val="10.0"/>
      </rPr>
      <t xml:space="preserve">Vanguard All-World ex-U.S. Shares Index ETF (VEU)
</t>
    </r>
    <r>
      <rPr>
        <rFont val="Arial"/>
        <color rgb="FF1155CC"/>
        <sz val="10.0"/>
        <u/>
      </rPr>
      <t>https://www.vanguard.com.au/personal/invest-with-us/etf?portId=0991</t>
    </r>
    <r>
      <rPr>
        <rFont val="Arial"/>
        <sz val="10.0"/>
      </rPr>
      <t xml:space="preserve">
</t>
    </r>
  </si>
  <si>
    <t>KO</t>
  </si>
  <si>
    <t>VGAD</t>
  </si>
  <si>
    <r>
      <rPr>
        <rFont val="Arial"/>
        <color rgb="FF040505"/>
        <sz val="10.0"/>
      </rPr>
      <t xml:space="preserve">Vanguard International Shares Index Fund Hedged
</t>
    </r>
    <r>
      <rPr>
        <rFont val="Arial"/>
        <color rgb="FF1155CC"/>
        <sz val="10.0"/>
        <u/>
      </rPr>
      <t>https://www.vanguard.com.au/personal/invest-with-us/etf?portId=8213&amp;tab=holdings</t>
    </r>
    <r>
      <rPr>
        <rFont val="Arial"/>
        <color rgb="FF040505"/>
        <sz val="10.0"/>
      </rPr>
      <t xml:space="preserve">
</t>
    </r>
  </si>
  <si>
    <t>VGE</t>
  </si>
  <si>
    <t>https://www.vanguard.com.au/adviser/invest/etf?portId=8204&amp;tab=portfolio-data</t>
  </si>
  <si>
    <t>VGS</t>
  </si>
  <si>
    <t>https://www.vanguard.com.au/personal/invest-with-us/etf?portId=8212&amp;tab=holdings</t>
  </si>
  <si>
    <t>VISM</t>
  </si>
  <si>
    <r>
      <rPr>
        <rFont val="Arial"/>
        <color rgb="FF040505"/>
        <sz val="10.0"/>
      </rPr>
      <t xml:space="preserve">Vanguard International Small Cos. Index Fund
</t>
    </r>
    <r>
      <rPr>
        <rFont val="Arial"/>
        <color rgb="FF1155CC"/>
        <sz val="10.0"/>
        <u/>
      </rPr>
      <t xml:space="preserve">https://www.vanguard.com.au/personal/invest-with-us/fund?portId=8118
</t>
    </r>
  </si>
  <si>
    <t>VTS</t>
  </si>
  <si>
    <r>
      <rPr>
        <rFont val="Arial"/>
        <sz val="10.0"/>
      </rPr>
      <t xml:space="preserve">Vanguard U.S. Total Market Shares Index ETF (VTS)
</t>
    </r>
    <r>
      <rPr>
        <rFont val="Arial"/>
        <color rgb="FF1155CC"/>
        <sz val="10.0"/>
        <u/>
      </rPr>
      <t>https://www.vanguard.com.au/personal/invest-with-us/etf?portId=0970</t>
    </r>
    <r>
      <rPr>
        <rFont val="Arial"/>
        <sz val="10.0"/>
      </rPr>
      <t xml:space="preserve">
</t>
    </r>
  </si>
  <si>
    <t>Invest:</t>
  </si>
  <si>
    <t>Split</t>
  </si>
  <si>
    <t>Found →</t>
  </si>
  <si>
    <t>← Found</t>
  </si>
  <si>
    <t>holdings</t>
  </si>
  <si>
    <t xml:space="preserve">← </t>
  </si>
  <si>
    <t>overlapping</t>
  </si>
  <si>
    <t xml:space="preserve"> →</t>
  </si>
  <si>
    <t>Ticker</t>
  </si>
  <si>
    <t>SEDOL</t>
  </si>
  <si>
    <t>Name</t>
  </si>
  <si>
    <t>Asset Class</t>
  </si>
  <si>
    <t>Sector</t>
  </si>
  <si>
    <t>Country</t>
  </si>
  <si>
    <t>Currency</t>
  </si>
  <si>
    <t>Weight (%)</t>
  </si>
  <si>
    <t>Shares/Units (#)</t>
  </si>
  <si>
    <t>Market Value (AUD)</t>
  </si>
  <si>
    <t>Notional Value (AUD)</t>
  </si>
  <si>
    <t>BHP AT</t>
  </si>
  <si>
    <t>BHP GROUP LTD</t>
  </si>
  <si>
    <t>Equities</t>
  </si>
  <si>
    <t>Materials</t>
  </si>
  <si>
    <t>Australia</t>
  </si>
  <si>
    <t>AUD</t>
  </si>
  <si>
    <t>CBA AT</t>
  </si>
  <si>
    <t>COMMONWEALTH BANK OF AUSTRALIA</t>
  </si>
  <si>
    <t>Financials</t>
  </si>
  <si>
    <t>CSL AT</t>
  </si>
  <si>
    <t>CSL LTD</t>
  </si>
  <si>
    <t>Healthcare</t>
  </si>
  <si>
    <t>NAB AT</t>
  </si>
  <si>
    <t>NATIONAL AUSTRALIA BANK LTD</t>
  </si>
  <si>
    <t>WBC AT</t>
  </si>
  <si>
    <t>WESTPAC BANKING CORP</t>
  </si>
  <si>
    <t>MQG AT</t>
  </si>
  <si>
    <t>B28YTC2</t>
  </si>
  <si>
    <t>MACQUARIE GROUP LTD</t>
  </si>
  <si>
    <t>ANZ AT</t>
  </si>
  <si>
    <t>ANZ GROUP HOLDINGS LTD</t>
  </si>
  <si>
    <t>WDS AT</t>
  </si>
  <si>
    <t>BMGT167</t>
  </si>
  <si>
    <t>WOODSIDE ENERGY GROUP LTD</t>
  </si>
  <si>
    <t>Energy</t>
  </si>
  <si>
    <t>WES AT</t>
  </si>
  <si>
    <t>WESFARMERS LTD</t>
  </si>
  <si>
    <t>Consumer Discretionary</t>
  </si>
  <si>
    <t>TLS AT</t>
  </si>
  <si>
    <t>TELSTRA GROUP LTD</t>
  </si>
  <si>
    <t>Communication Services</t>
  </si>
  <si>
    <t>WOW AT</t>
  </si>
  <si>
    <t>WOOLWORTHS GROUP LTD</t>
  </si>
  <si>
    <t>Consumer Staples</t>
  </si>
  <si>
    <t>TCL AT</t>
  </si>
  <si>
    <t>TRANSURBAN GROUP</t>
  </si>
  <si>
    <t>Industrials</t>
  </si>
  <si>
    <t>RIO AT</t>
  </si>
  <si>
    <t>RIO TINTO LTD</t>
  </si>
  <si>
    <t>GMG AT</t>
  </si>
  <si>
    <t>B03FYZ4</t>
  </si>
  <si>
    <t>GOODMAN GROUP</t>
  </si>
  <si>
    <t>Real Estate</t>
  </si>
  <si>
    <t>FMG AT</t>
  </si>
  <si>
    <t>FORTESCUE METALS GROUP LTD</t>
  </si>
  <si>
    <t>STO AT</t>
  </si>
  <si>
    <t>SANTOS LTD</t>
  </si>
  <si>
    <t>NCM AT</t>
  </si>
  <si>
    <t>NEWCREST MINING LTD</t>
  </si>
  <si>
    <t>COL AT</t>
  </si>
  <si>
    <t>BYWR0T5</t>
  </si>
  <si>
    <t>COLES GROUP LTD</t>
  </si>
  <si>
    <t>QBE AT</t>
  </si>
  <si>
    <t>QBE INSURANCE GROUP LTD</t>
  </si>
  <si>
    <t>ALL AT</t>
  </si>
  <si>
    <t>ARISTOCRAT LEISURE LTD</t>
  </si>
  <si>
    <t>BXB AT</t>
  </si>
  <si>
    <t>B1FJ0C0</t>
  </si>
  <si>
    <t>BRAMBLES LTD</t>
  </si>
  <si>
    <t>S32 AT</t>
  </si>
  <si>
    <t>BWSW5D9</t>
  </si>
  <si>
    <t>SOUTH32 LTD</t>
  </si>
  <si>
    <t>JHX AT</t>
  </si>
  <si>
    <t>B60QWJ2</t>
  </si>
  <si>
    <t>JAMES HARDIE INDUSTRIES PLC</t>
  </si>
  <si>
    <t>SUN AT</t>
  </si>
  <si>
    <t>SUNCORP GROUP LTD</t>
  </si>
  <si>
    <t>SHL AT</t>
  </si>
  <si>
    <t>SONIC HEALTHCARE LTD</t>
  </si>
  <si>
    <t>COH AT</t>
  </si>
  <si>
    <t>COCHLEAR LTD</t>
  </si>
  <si>
    <t>NST AT</t>
  </si>
  <si>
    <t>NORTHERN STAR RESOURCES LTD</t>
  </si>
  <si>
    <t>XRO AT</t>
  </si>
  <si>
    <t>B8P4LP4</t>
  </si>
  <si>
    <t>XERO LTD</t>
  </si>
  <si>
    <t>Information Technology</t>
  </si>
  <si>
    <t>ORG AT</t>
  </si>
  <si>
    <t>ORIGIN ENERGY LTD</t>
  </si>
  <si>
    <t>Utilities</t>
  </si>
  <si>
    <t>SCG AT</t>
  </si>
  <si>
    <t>BLZH0Z7</t>
  </si>
  <si>
    <t>SCENTRE GROUP</t>
  </si>
  <si>
    <t>IAG AT</t>
  </si>
  <si>
    <t>INSURANCE AUSTRALIA GROUP LTD</t>
  </si>
  <si>
    <t>PLS AT</t>
  </si>
  <si>
    <t>B2368L5</t>
  </si>
  <si>
    <t>PILBARA MINERALS LTD</t>
  </si>
  <si>
    <t>RMD AT</t>
  </si>
  <si>
    <t>RESMED INC</t>
  </si>
  <si>
    <t>WTC AT</t>
  </si>
  <si>
    <t>BZ8GX83</t>
  </si>
  <si>
    <t>WISETECH GLOBAL LTD</t>
  </si>
  <si>
    <t>CPU AT</t>
  </si>
  <si>
    <t>COMPUTERSHARE LTD</t>
  </si>
  <si>
    <t>MIN AT</t>
  </si>
  <si>
    <t>B17ZL56</t>
  </si>
  <si>
    <t>MINERAL RESOURCES LTD</t>
  </si>
  <si>
    <t>QAN AT</t>
  </si>
  <si>
    <t>QANTAS AIRWAYS LTD</t>
  </si>
  <si>
    <t>ASX AT</t>
  </si>
  <si>
    <t>ASX LTD</t>
  </si>
  <si>
    <t>APA AT</t>
  </si>
  <si>
    <t>APA GROUP</t>
  </si>
  <si>
    <t>TLC AT</t>
  </si>
  <si>
    <t>BNRQW72</t>
  </si>
  <si>
    <t>LOTTERY CORP LTD/THE</t>
  </si>
  <si>
    <t>RHC AT</t>
  </si>
  <si>
    <t>RAMSAY HEALTH CARE LTD</t>
  </si>
  <si>
    <t>IGO AT</t>
  </si>
  <si>
    <t>IGO LTD</t>
  </si>
  <si>
    <t>SGP AT</t>
  </si>
  <si>
    <t>STOCKLAND</t>
  </si>
  <si>
    <t>MPL AT</t>
  </si>
  <si>
    <t>BRTNNQ5</t>
  </si>
  <si>
    <t>MEDIBANK PVT LTD</t>
  </si>
  <si>
    <t>BSL AT</t>
  </si>
  <si>
    <t>BLUESCOPE STEEL LTD</t>
  </si>
  <si>
    <t>AKE AT</t>
  </si>
  <si>
    <t>BLSNC78</t>
  </si>
  <si>
    <t>ALLKEM LTD</t>
  </si>
  <si>
    <t>AMC AT</t>
  </si>
  <si>
    <t>AMCOR PLC</t>
  </si>
  <si>
    <t>MGR AT</t>
  </si>
  <si>
    <t>MIRVAC GROUP</t>
  </si>
  <si>
    <t>DXS AT</t>
  </si>
  <si>
    <t>B033YN6</t>
  </si>
  <si>
    <t>DEXUS</t>
  </si>
  <si>
    <t>TWE AT</t>
  </si>
  <si>
    <t>B61JC67</t>
  </si>
  <si>
    <t>TREASURY WINE ESTATES LTD</t>
  </si>
  <si>
    <t>CAR AT</t>
  </si>
  <si>
    <t>BW0BGZ3</t>
  </si>
  <si>
    <t>CARSALES.COM LTD</t>
  </si>
  <si>
    <t>EDV AT</t>
  </si>
  <si>
    <t>BNVS144</t>
  </si>
  <si>
    <t>ENDEAVOUR GROUP LTD/AUSTRALIA</t>
  </si>
  <si>
    <t>GPT AT</t>
  </si>
  <si>
    <t>GPT GROUP/THE</t>
  </si>
  <si>
    <t>SOL AT</t>
  </si>
  <si>
    <t>WASHINGTON H SOUL PATTINSON &amp;</t>
  </si>
  <si>
    <t>ALD AT</t>
  </si>
  <si>
    <t>BM91201</t>
  </si>
  <si>
    <t>AMPOL LTD</t>
  </si>
  <si>
    <t>ALX AT</t>
  </si>
  <si>
    <t>BZ03TZ1</t>
  </si>
  <si>
    <t>ATLAS ARTERIA LTD</t>
  </si>
  <si>
    <t>SEK AT</t>
  </si>
  <si>
    <t>B0767Y3</t>
  </si>
  <si>
    <t>SEEK LTD</t>
  </si>
  <si>
    <t>ORI AT</t>
  </si>
  <si>
    <t>ORICA LTD</t>
  </si>
  <si>
    <t>REA AT</t>
  </si>
  <si>
    <t>REA GROUP LTD</t>
  </si>
  <si>
    <t>LYC AT</t>
  </si>
  <si>
    <t>LYNAS RARE EARTHS LTD</t>
  </si>
  <si>
    <t>VCX AT</t>
  </si>
  <si>
    <t>BY7QXS7</t>
  </si>
  <si>
    <t>VICINITY LTD</t>
  </si>
  <si>
    <t>AZJ AT</t>
  </si>
  <si>
    <t>B87CVM3</t>
  </si>
  <si>
    <t>AURIZON HOLDINGS LTD</t>
  </si>
  <si>
    <t>NXT AT</t>
  </si>
  <si>
    <t>B5LMKP4</t>
  </si>
  <si>
    <t>NEXTDC LTD</t>
  </si>
  <si>
    <t>AGL AT</t>
  </si>
  <si>
    <t>BSS7GP5</t>
  </si>
  <si>
    <t>AGL ENERGY LTD</t>
  </si>
  <si>
    <t>EVN AT</t>
  </si>
  <si>
    <t>B3X0F91</t>
  </si>
  <si>
    <t>EVOLUTION MINING LTD</t>
  </si>
  <si>
    <t>WOR AT</t>
  </si>
  <si>
    <t>WORLEY LTD</t>
  </si>
  <si>
    <t>WHC AT</t>
  </si>
  <si>
    <t>B1XQXC4</t>
  </si>
  <si>
    <t>WHITEHAVEN COAL LTD</t>
  </si>
  <si>
    <t>CWY AT</t>
  </si>
  <si>
    <t>BYQ8KW7</t>
  </si>
  <si>
    <t>CLEANAWAY WASTE MANAGEMENT LTD</t>
  </si>
  <si>
    <t>REH AT</t>
  </si>
  <si>
    <t>REECE LTD</t>
  </si>
  <si>
    <t>SDF AT</t>
  </si>
  <si>
    <t>BCT5FD7</t>
  </si>
  <si>
    <t>STEADFAST GROUP LTD</t>
  </si>
  <si>
    <t>ALQ AT</t>
  </si>
  <si>
    <t>B86SZR5</t>
  </si>
  <si>
    <t>ALS LTD</t>
  </si>
  <si>
    <t>IPL AT</t>
  </si>
  <si>
    <t>INCITEC PIVOT LTD</t>
  </si>
  <si>
    <t>LTR AT</t>
  </si>
  <si>
    <t>B1J89V5</t>
  </si>
  <si>
    <t>LIONTOWN RESOURCES LTD</t>
  </si>
  <si>
    <t>IEL AT</t>
  </si>
  <si>
    <t>BDB6DD1</t>
  </si>
  <si>
    <t>IDP EDUCATION LTD</t>
  </si>
  <si>
    <t>ILU AT</t>
  </si>
  <si>
    <t>ILUKA RESOURCES LTD</t>
  </si>
  <si>
    <t>CHC AT</t>
  </si>
  <si>
    <t>B15F6S6</t>
  </si>
  <si>
    <t>CHARTER HALL GROUP</t>
  </si>
  <si>
    <t>LLC AT</t>
  </si>
  <si>
    <t>LENDLEASE CORP LTD</t>
  </si>
  <si>
    <t>BEN AT</t>
  </si>
  <si>
    <t>BENDIGO &amp; ADELAIDE BANK LTD</t>
  </si>
  <si>
    <t>QUB AT</t>
  </si>
  <si>
    <t>B1L4BC6</t>
  </si>
  <si>
    <t>QUBE HOLDINGS LTD</t>
  </si>
  <si>
    <t>JBH AT</t>
  </si>
  <si>
    <t>JB HI-FI LTD</t>
  </si>
  <si>
    <t>TNE AT</t>
  </si>
  <si>
    <t>TECHNOLOGY ONE LTD</t>
  </si>
  <si>
    <t>NHF AT</t>
  </si>
  <si>
    <t>B28ZM60</t>
  </si>
  <si>
    <t>NIB HOLDINGS LTD/AUSTRALIA</t>
  </si>
  <si>
    <t>SVW AT</t>
  </si>
  <si>
    <t>B432QW4</t>
  </si>
  <si>
    <t>SEVEN GROUP HOLDINGS LTD</t>
  </si>
  <si>
    <t>BOQ AT</t>
  </si>
  <si>
    <t>BANK OF QUEENSLAND LTD</t>
  </si>
  <si>
    <t>FPH AT</t>
  </si>
  <si>
    <t>FISHER &amp; PAYKEL HEALTHCARE COR</t>
  </si>
  <si>
    <t>AMP AT</t>
  </si>
  <si>
    <t>AMP LTD</t>
  </si>
  <si>
    <t>PME AT</t>
  </si>
  <si>
    <t>PRO MEDICUS LTD</t>
  </si>
  <si>
    <t>ANN AT</t>
  </si>
  <si>
    <t>ANSELL LTD</t>
  </si>
  <si>
    <t>ALU AT</t>
  </si>
  <si>
    <t>ALTIUM LTD</t>
  </si>
  <si>
    <t>FLT AT</t>
  </si>
  <si>
    <t>FLIGHT CENTRE TRAVEL GROUP LTD</t>
  </si>
  <si>
    <t>MTS AT</t>
  </si>
  <si>
    <t>B0744W4</t>
  </si>
  <si>
    <t>METCASH LTD</t>
  </si>
  <si>
    <t>AWC AT</t>
  </si>
  <si>
    <t>ALUMINA LTD</t>
  </si>
  <si>
    <t>NHC AT</t>
  </si>
  <si>
    <t>NEW HOPE CORP LTD</t>
  </si>
  <si>
    <t>SQ2 AT</t>
  </si>
  <si>
    <t>BMHJ8W1</t>
  </si>
  <si>
    <t>BLOCK INC</t>
  </si>
  <si>
    <t>PPT AT</t>
  </si>
  <si>
    <t>PERPETUAL LTD</t>
  </si>
  <si>
    <t>RWC AT</t>
  </si>
  <si>
    <t>BD1DM79</t>
  </si>
  <si>
    <t>RELIANCE WORLDWIDE CORP LTD</t>
  </si>
  <si>
    <t>CGF AT</t>
  </si>
  <si>
    <t>CHALLENGER LTD</t>
  </si>
  <si>
    <t>NEC AT</t>
  </si>
  <si>
    <t>BGQV183</t>
  </si>
  <si>
    <t>NINE ENTERTAINMENT CO HOLDINGS</t>
  </si>
  <si>
    <t>NSR AT</t>
  </si>
  <si>
    <t>BGP6479</t>
  </si>
  <si>
    <t>NATIONAL STORAGE REIT</t>
  </si>
  <si>
    <t>RGN AT</t>
  </si>
  <si>
    <t>BPBMY63</t>
  </si>
  <si>
    <t>REGION RE LTD</t>
  </si>
  <si>
    <t>TLX AT</t>
  </si>
  <si>
    <t>BF7M092</t>
  </si>
  <si>
    <t>TELIX PHARMACEUTICALS LTD</t>
  </si>
  <si>
    <t>SFR AT</t>
  </si>
  <si>
    <t>SANDFIRE RESOURCES LTD</t>
  </si>
  <si>
    <t>WEB AT</t>
  </si>
  <si>
    <t>WEBJET LTD</t>
  </si>
  <si>
    <t>AUB AT</t>
  </si>
  <si>
    <t>B0MBNC3</t>
  </si>
  <si>
    <t>AUB GROUP LTD</t>
  </si>
  <si>
    <t>CLW AT</t>
  </si>
  <si>
    <t>BDB46J2</t>
  </si>
  <si>
    <t>CHARTER HALL LONG WALE REIT</t>
  </si>
  <si>
    <t>ORA AT</t>
  </si>
  <si>
    <t>BH4TCW7</t>
  </si>
  <si>
    <t>ORORA LTD</t>
  </si>
  <si>
    <t>TAH AT</t>
  </si>
  <si>
    <t>TABCORP HOLDINGS LTD</t>
  </si>
  <si>
    <t>CTD AT</t>
  </si>
  <si>
    <t>B3R1D52</t>
  </si>
  <si>
    <t>CORPORATE TRAVEL MANAGEMENT LT</t>
  </si>
  <si>
    <t>VEA AT</t>
  </si>
  <si>
    <t>BYQM3N1</t>
  </si>
  <si>
    <t>VIVA ENERGY GROUP LTD</t>
  </si>
  <si>
    <t>SGM AT</t>
  </si>
  <si>
    <t>B0LCW75</t>
  </si>
  <si>
    <t>SIMS LTD</t>
  </si>
  <si>
    <t>CIA AT</t>
  </si>
  <si>
    <t>BLD1SB3</t>
  </si>
  <si>
    <t>CHAMPION IRON LTD</t>
  </si>
  <si>
    <t>PRU AT</t>
  </si>
  <si>
    <t>B02FBC1</t>
  </si>
  <si>
    <t>PERSEUS MINING LTD</t>
  </si>
  <si>
    <t>DOW AT</t>
  </si>
  <si>
    <t>DOWNER EDI LTD</t>
  </si>
  <si>
    <t>CHN AT</t>
  </si>
  <si>
    <t>B0ZGW28</t>
  </si>
  <si>
    <t>CHALICE MINING LTD</t>
  </si>
  <si>
    <t>CSR AT</t>
  </si>
  <si>
    <t>CSR LTD</t>
  </si>
  <si>
    <t>TPG AT</t>
  </si>
  <si>
    <t>BMB2257</t>
  </si>
  <si>
    <t>TPG TELECOM LTD</t>
  </si>
  <si>
    <t>A2M AT</t>
  </si>
  <si>
    <t>BWSRTS7</t>
  </si>
  <si>
    <t>A2 MILK CO LTD/THE</t>
  </si>
  <si>
    <t>BKW AT</t>
  </si>
  <si>
    <t>BRICKWORKS LTD</t>
  </si>
  <si>
    <t>DMP AT</t>
  </si>
  <si>
    <t>B07SFG7</t>
  </si>
  <si>
    <t>DOMINO'S PIZZA ENTERPRISES LTD</t>
  </si>
  <si>
    <t>VUK AT</t>
  </si>
  <si>
    <t>BJXCLP7</t>
  </si>
  <si>
    <t>VIRGIN MONEY UK PLC</t>
  </si>
  <si>
    <t>BPT AT</t>
  </si>
  <si>
    <t>BEACH ENERGY LTD</t>
  </si>
  <si>
    <t>ARB AT</t>
  </si>
  <si>
    <t>BWV03W5</t>
  </si>
  <si>
    <t>ARB CORP LTD</t>
  </si>
  <si>
    <t>PDN AT</t>
  </si>
  <si>
    <t>PALADIN ENERGY LTD</t>
  </si>
  <si>
    <t>PMV AT</t>
  </si>
  <si>
    <t>PREMIER INVESTMENTS LTD</t>
  </si>
  <si>
    <t>IRE AT</t>
  </si>
  <si>
    <t>IRESS LTD</t>
  </si>
  <si>
    <t>BAP AT</t>
  </si>
  <si>
    <t>BLD2CY7</t>
  </si>
  <si>
    <t>BAPCOR LTD</t>
  </si>
  <si>
    <t>HVN AT</t>
  </si>
  <si>
    <t>HARVEY NORMAN HOLDINGS LTD</t>
  </si>
  <si>
    <t>CQR AT</t>
  </si>
  <si>
    <t>CHARTER HALL RETAIL REIT</t>
  </si>
  <si>
    <t>AIA AT</t>
  </si>
  <si>
    <t>BLRZSS8</t>
  </si>
  <si>
    <t>AUCKLAND INTERNATIONAL AIRPORT</t>
  </si>
  <si>
    <t>APE AT</t>
  </si>
  <si>
    <t>EAGERS AUTOMOTIVE LTD</t>
  </si>
  <si>
    <t>DRR AT</t>
  </si>
  <si>
    <t>BJP5T05</t>
  </si>
  <si>
    <t>DETERRA ROYALTIES LTD</t>
  </si>
  <si>
    <t>WPR AT</t>
  </si>
  <si>
    <t>BLBQ285</t>
  </si>
  <si>
    <t>WAYPOINT REIT LTD</t>
  </si>
  <si>
    <t>HUB AT</t>
  </si>
  <si>
    <t>BD4T5X1</t>
  </si>
  <si>
    <t>HUB24 LTD</t>
  </si>
  <si>
    <t>SUL AT</t>
  </si>
  <si>
    <t>B01C7R0</t>
  </si>
  <si>
    <t>SUPER RETAIL GROUP LTD</t>
  </si>
  <si>
    <t>IPH AT</t>
  </si>
  <si>
    <t>BS7K5S1</t>
  </si>
  <si>
    <t>IPH LTD</t>
  </si>
  <si>
    <t>GOR AT</t>
  </si>
  <si>
    <t>B15F5K1</t>
  </si>
  <si>
    <t>GOLD ROAD RESOURCES LTD</t>
  </si>
  <si>
    <t>BWP AT</t>
  </si>
  <si>
    <t>BWP TRUST</t>
  </si>
  <si>
    <t>BRG AT</t>
  </si>
  <si>
    <t>BREVILLE GROUP LTD</t>
  </si>
  <si>
    <t>CXO AT</t>
  </si>
  <si>
    <t>B4XFS83</t>
  </si>
  <si>
    <t>CORE LITHIUM LTD</t>
  </si>
  <si>
    <t>CIP AT</t>
  </si>
  <si>
    <t>BD31FD8</t>
  </si>
  <si>
    <t>CENTURIA INDUSTRIAL REIT</t>
  </si>
  <si>
    <t>DEG AT</t>
  </si>
  <si>
    <t>DE GREY MINING LTD</t>
  </si>
  <si>
    <t>NIC AT</t>
  </si>
  <si>
    <t>BZ7NDP2</t>
  </si>
  <si>
    <t>NICKEL INDUSTRIES LTD</t>
  </si>
  <si>
    <t>NUF AT</t>
  </si>
  <si>
    <t>NUFARM LTD</t>
  </si>
  <si>
    <t>HDN AT</t>
  </si>
  <si>
    <t>BNC0NF4</t>
  </si>
  <si>
    <t>HOMECO DAILY NEEDS REIT</t>
  </si>
  <si>
    <t>IFL AT</t>
  </si>
  <si>
    <t>INSIGNIA FINANCIAL LTD</t>
  </si>
  <si>
    <t>VNT AT</t>
  </si>
  <si>
    <t>BNV08F0</t>
  </si>
  <si>
    <t>VENTIA SERVICES GROUP PTY LTD</t>
  </si>
  <si>
    <t>NWL AT</t>
  </si>
  <si>
    <t>BF52PL1</t>
  </si>
  <si>
    <t>NETWEALTH GROUP LTD</t>
  </si>
  <si>
    <t>PXA AT</t>
  </si>
  <si>
    <t>BMD0WJ3</t>
  </si>
  <si>
    <t>PEXA GROUP LTD</t>
  </si>
  <si>
    <t>CNU AT</t>
  </si>
  <si>
    <t>B54F6S5</t>
  </si>
  <si>
    <t>CHORUS LTD</t>
  </si>
  <si>
    <t>GNC AT</t>
  </si>
  <si>
    <t>GRAINCORP LTD</t>
  </si>
  <si>
    <t>IVC AT</t>
  </si>
  <si>
    <t>INVOCARE LTD</t>
  </si>
  <si>
    <t>RRL AT</t>
  </si>
  <si>
    <t>REGIS RESOURCES LTD</t>
  </si>
  <si>
    <t>HLS AT</t>
  </si>
  <si>
    <t>BFZYRL1</t>
  </si>
  <si>
    <t>HEALIUS LTD</t>
  </si>
  <si>
    <t>BKL AT</t>
  </si>
  <si>
    <t>BLACKMORES LTD</t>
  </si>
  <si>
    <t>EVT AT</t>
  </si>
  <si>
    <t>BDG0N49</t>
  </si>
  <si>
    <t>EVT LTD</t>
  </si>
  <si>
    <t>RMS AT</t>
  </si>
  <si>
    <t>RAMELIUS RESOURCES LTD</t>
  </si>
  <si>
    <t>INA AT</t>
  </si>
  <si>
    <t>B84GSC7</t>
  </si>
  <si>
    <t>INGENIA COMMUNITIES GROUP</t>
  </si>
  <si>
    <t>SGR AT</t>
  </si>
  <si>
    <t>BD5ZR98</t>
  </si>
  <si>
    <t>STAR ENTERTAINMENT GRP LTD/THE</t>
  </si>
  <si>
    <t>BGL AT</t>
  </si>
  <si>
    <t>BFZ31P0</t>
  </si>
  <si>
    <t>BELLEVUE GOLD LTD</t>
  </si>
  <si>
    <t>CRN AT</t>
  </si>
  <si>
    <t>BGV71W0</t>
  </si>
  <si>
    <t>CORONADO GLOBAL RESOURCES INC</t>
  </si>
  <si>
    <t>SYA AT</t>
  </si>
  <si>
    <t>BBX4LR9</t>
  </si>
  <si>
    <t>SAYONA MINING LTD</t>
  </si>
  <si>
    <t>ARF AT</t>
  </si>
  <si>
    <t>B99K263</t>
  </si>
  <si>
    <t>ARENA REIT</t>
  </si>
  <si>
    <t>PNI AT</t>
  </si>
  <si>
    <t>BD0F7H1</t>
  </si>
  <si>
    <t>PINNACLE INVESTMENT MANAGEMENT</t>
  </si>
  <si>
    <t>CCP AT</t>
  </si>
  <si>
    <t>CREDIT CORP GROUP LTD</t>
  </si>
  <si>
    <t>GUD AT</t>
  </si>
  <si>
    <t>GUD HOLDINGS LTD</t>
  </si>
  <si>
    <t>BLD AT</t>
  </si>
  <si>
    <t>BORAL LTD</t>
  </si>
  <si>
    <t>FBU AT</t>
  </si>
  <si>
    <t>FLETCHER BUILDING LTD</t>
  </si>
  <si>
    <t>CMM AT</t>
  </si>
  <si>
    <t>BDD98W2</t>
  </si>
  <si>
    <t>CAPRICORN METALS LTD</t>
  </si>
  <si>
    <t>SPK AT</t>
  </si>
  <si>
    <t>SPARK NEW ZEALAND LTD</t>
  </si>
  <si>
    <t>GQG AT</t>
  </si>
  <si>
    <t>BN469H4</t>
  </si>
  <si>
    <t>GQG PARTNERS INC</t>
  </si>
  <si>
    <t>MFG AT</t>
  </si>
  <si>
    <t>B015YX4</t>
  </si>
  <si>
    <t>MAGELLAN FINANCIAL GROUP LTD</t>
  </si>
  <si>
    <t>MP1 AT</t>
  </si>
  <si>
    <t>BZ5ZWZ3</t>
  </si>
  <si>
    <t>MEGAPORT LTD</t>
  </si>
  <si>
    <t>MND AT</t>
  </si>
  <si>
    <t>MONADELPHOUS GROUP LTD</t>
  </si>
  <si>
    <t>NAN AT</t>
  </si>
  <si>
    <t>B1WF979</t>
  </si>
  <si>
    <t>NANOSONICS LTD</t>
  </si>
  <si>
    <t>CGC AT</t>
  </si>
  <si>
    <t>BYSGKW9</t>
  </si>
  <si>
    <t>COSTA GROUP HOLDINGS LTD</t>
  </si>
  <si>
    <t>LOV AT</t>
  </si>
  <si>
    <t>BT9PVP0</t>
  </si>
  <si>
    <t>LOVISA HOLDINGS LTD</t>
  </si>
  <si>
    <t>ABP AT</t>
  </si>
  <si>
    <t>ABACUS PROPERTY GROUP</t>
  </si>
  <si>
    <t>CNI AT</t>
  </si>
  <si>
    <t>CENTURIA CAPITAL GROUP</t>
  </si>
  <si>
    <t>YAL AT</t>
  </si>
  <si>
    <t>B84LB45</t>
  </si>
  <si>
    <t>YANCOAL AUSTRALIA LTD</t>
  </si>
  <si>
    <t>KAR AT</t>
  </si>
  <si>
    <t>B00SV00</t>
  </si>
  <si>
    <t>KAROON ENERGY LTD</t>
  </si>
  <si>
    <t>LIC AT</t>
  </si>
  <si>
    <t>LIFESTYLE COMMUNITIES LTD</t>
  </si>
  <si>
    <t>LNK AT</t>
  </si>
  <si>
    <t>BYZBCY3</t>
  </si>
  <si>
    <t>LINK ADMINISTRATION HOLDINGS L</t>
  </si>
  <si>
    <t>JDO AT</t>
  </si>
  <si>
    <t>BMW7F41</t>
  </si>
  <si>
    <t>JUDO CAPITAL HOLDINGS LTD</t>
  </si>
  <si>
    <t>NWS AT</t>
  </si>
  <si>
    <t>BD7SZP7</t>
  </si>
  <si>
    <t>NEWS CORP</t>
  </si>
  <si>
    <t>JLG AT</t>
  </si>
  <si>
    <t>BYPHBX3</t>
  </si>
  <si>
    <t>JOHNS LYNG GROUP LTD</t>
  </si>
  <si>
    <t>CQE AT</t>
  </si>
  <si>
    <t>BHJVMY0</t>
  </si>
  <si>
    <t>CHARTER HALL SOCIAL INFRASTRUC</t>
  </si>
  <si>
    <t>HLI AT</t>
  </si>
  <si>
    <t>BP5HL07</t>
  </si>
  <si>
    <t>HELIA GROUP LTD</t>
  </si>
  <si>
    <t>SLR AT</t>
  </si>
  <si>
    <t>B28RMY4</t>
  </si>
  <si>
    <t>SILVER LAKE RESOURCES LTD</t>
  </si>
  <si>
    <t>IMD AT</t>
  </si>
  <si>
    <t>IMDEX LTD</t>
  </si>
  <si>
    <t>ELD AT</t>
  </si>
  <si>
    <t>ELDERS LTD</t>
  </si>
  <si>
    <t>PNV AT</t>
  </si>
  <si>
    <t>BSJBZM6</t>
  </si>
  <si>
    <t>POLYNOVO LTD</t>
  </si>
  <si>
    <t>ING AT</t>
  </si>
  <si>
    <t>BZCNHW2</t>
  </si>
  <si>
    <t>INGHAMS GROUP LTD</t>
  </si>
  <si>
    <t>DHG AT</t>
  </si>
  <si>
    <t>BF17Y13</t>
  </si>
  <si>
    <t>DOMAIN HOLDINGS AUSTRALIA LTD</t>
  </si>
  <si>
    <t>CKF AT</t>
  </si>
  <si>
    <t>B6QCFP1</t>
  </si>
  <si>
    <t>COLLINS FOODS LTD</t>
  </si>
  <si>
    <t>BGA AT</t>
  </si>
  <si>
    <t>B56CQJ5</t>
  </si>
  <si>
    <t>BEGA CHEESE LTD</t>
  </si>
  <si>
    <t>GOZ AT</t>
  </si>
  <si>
    <t>B1Y9BC8</t>
  </si>
  <si>
    <t>GROWTHPOINT PROPERTIES AUSTRAL</t>
  </si>
  <si>
    <t>WAF AT</t>
  </si>
  <si>
    <t>B4KBBN0</t>
  </si>
  <si>
    <t>WEST AFRICAN RESOURCES LTD</t>
  </si>
  <si>
    <t>PTM AT</t>
  </si>
  <si>
    <t>B1XK7G8</t>
  </si>
  <si>
    <t>PLATINUM ASSET MANAGEMENT LTD</t>
  </si>
  <si>
    <t>LKE AT</t>
  </si>
  <si>
    <t>LAKE RESOURCES NL</t>
  </si>
  <si>
    <t>NEU AT</t>
  </si>
  <si>
    <t>B04LVF0</t>
  </si>
  <si>
    <t>NEUREN PHARMACEUTICALS LTD</t>
  </si>
  <si>
    <t>XPU3 Index</t>
  </si>
  <si>
    <t>SPI 200 FUTURES SEP23</t>
  </si>
  <si>
    <t>Index Futures</t>
  </si>
  <si>
    <t>AUD - AUSTRALIA DOLLAR</t>
  </si>
  <si>
    <t>Cash</t>
  </si>
  <si>
    <t>Ticker Bloomberg</t>
  </si>
  <si>
    <t>Market Value (Currency)</t>
  </si>
  <si>
    <t>TSLA UW Equity</t>
  </si>
  <si>
    <t>TESLA INC</t>
  </si>
  <si>
    <t>United States</t>
  </si>
  <si>
    <t>USD</t>
  </si>
  <si>
    <t>AKE AT Equity</t>
  </si>
  <si>
    <t>ENS UN Equity</t>
  </si>
  <si>
    <t>ENERSYS</t>
  </si>
  <si>
    <t>6752 JT Equity</t>
  </si>
  <si>
    <t>PANASONIC HOLDIN</t>
  </si>
  <si>
    <t>Japan</t>
  </si>
  <si>
    <t>JPY</t>
  </si>
  <si>
    <t>LTHM UN Equity</t>
  </si>
  <si>
    <t>LIVENT CORP</t>
  </si>
  <si>
    <t>2308 TT Equity</t>
  </si>
  <si>
    <t>DELTA ELEC</t>
  </si>
  <si>
    <t>Taiwan</t>
  </si>
  <si>
    <t>TWD</t>
  </si>
  <si>
    <t>RNO FP Equity</t>
  </si>
  <si>
    <t>RENAULT SA</t>
  </si>
  <si>
    <t>France</t>
  </si>
  <si>
    <t>EUR</t>
  </si>
  <si>
    <t>PLS AT Equity</t>
  </si>
  <si>
    <t>PILBARA MINERALS</t>
  </si>
  <si>
    <t>1211 HK Equity</t>
  </si>
  <si>
    <t>BYD COMPANY</t>
  </si>
  <si>
    <t>China</t>
  </si>
  <si>
    <t>HKD</t>
  </si>
  <si>
    <t>MBG GY Equity</t>
  </si>
  <si>
    <t>MERCEDES-BENZ GR</t>
  </si>
  <si>
    <t>Germany</t>
  </si>
  <si>
    <t>7201 JT Equity</t>
  </si>
  <si>
    <t>NISSAN MOTOR CO</t>
  </si>
  <si>
    <t>ABBN SE Equity</t>
  </si>
  <si>
    <t>ABB LTD-REG</t>
  </si>
  <si>
    <t>Switzerland</t>
  </si>
  <si>
    <t>CHF</t>
  </si>
  <si>
    <t>006400 KP Equity</t>
  </si>
  <si>
    <t>SAMSUNG SDI CO</t>
  </si>
  <si>
    <t>South Korea</t>
  </si>
  <si>
    <t>KRW</t>
  </si>
  <si>
    <t>6762 JT Equity</t>
  </si>
  <si>
    <t>TDK CORP</t>
  </si>
  <si>
    <t>MIN AT Equity</t>
  </si>
  <si>
    <t>MINERAL RESOURCE</t>
  </si>
  <si>
    <t>BMW GY Equity</t>
  </si>
  <si>
    <t>BMW AG</t>
  </si>
  <si>
    <t>AMG NA Equity</t>
  </si>
  <si>
    <t>AMG CRITICAL MAT</t>
  </si>
  <si>
    <t>Netherlands</t>
  </si>
  <si>
    <t>373220 KP Equity</t>
  </si>
  <si>
    <t>LG ENERGY SOLUTI</t>
  </si>
  <si>
    <t>6502 JT Equity</t>
  </si>
  <si>
    <t>TOSHIBA CORP</t>
  </si>
  <si>
    <t>VOW3 GY Equity</t>
  </si>
  <si>
    <t>VOLKSWAGEN-PREF</t>
  </si>
  <si>
    <t>5802 JT Equity</t>
  </si>
  <si>
    <t>SUMITOMO ELEC IN</t>
  </si>
  <si>
    <t>SEDG UW Equity</t>
  </si>
  <si>
    <t>SOLAREDGE TECHNO</t>
  </si>
  <si>
    <t>Israel</t>
  </si>
  <si>
    <t>EOSE UR Equity</t>
  </si>
  <si>
    <t>EOS ENERGY ENTER</t>
  </si>
  <si>
    <t>267260 KP Equity</t>
  </si>
  <si>
    <t>HD HYUNDAI ELECT</t>
  </si>
  <si>
    <t>WRT1V FH Equity</t>
  </si>
  <si>
    <t>WARTSILA OYJ ABP</t>
  </si>
  <si>
    <t>Finland</t>
  </si>
  <si>
    <t>5333 JT Equity</t>
  </si>
  <si>
    <t>NGK INSULATORS</t>
  </si>
  <si>
    <t>CXO AT Equity</t>
  </si>
  <si>
    <t>BOL FP Equity</t>
  </si>
  <si>
    <t>BOLLORE SE</t>
  </si>
  <si>
    <t>IE UA Equity</t>
  </si>
  <si>
    <t>IVANHOE ELECTRIC</t>
  </si>
  <si>
    <t>Canada</t>
  </si>
  <si>
    <t>6674 JT Equity</t>
  </si>
  <si>
    <t>GS YUASA CORP</t>
  </si>
  <si>
    <t>004490 KP Equity</t>
  </si>
  <si>
    <t>SEBANG GLOBAL BA</t>
  </si>
  <si>
    <t>3931 HK Equity</t>
  </si>
  <si>
    <t>CALB GROUP CO LT</t>
  </si>
  <si>
    <t>TSM UN</t>
  </si>
  <si>
    <t>TAIWAN SEMICONDUCTOR MANUFACTU</t>
  </si>
  <si>
    <t>005930 KP</t>
  </si>
  <si>
    <t>SAMSUNG ELECTRONICS CO LTD</t>
  </si>
  <si>
    <t>700 HK</t>
  </si>
  <si>
    <t>BMMV2K8</t>
  </si>
  <si>
    <t>TENCENT HOLDINGS LTD</t>
  </si>
  <si>
    <t>BABA UN</t>
  </si>
  <si>
    <t>BP41ZD1</t>
  </si>
  <si>
    <t>ALIBABA GROUP HOLDING LTD</t>
  </si>
  <si>
    <t>PDD UW</t>
  </si>
  <si>
    <t>BYVW0F7</t>
  </si>
  <si>
    <t>PDD HOLDINGS INC</t>
  </si>
  <si>
    <t>INFY UN</t>
  </si>
  <si>
    <t>INFOSYS LTD</t>
  </si>
  <si>
    <t>India</t>
  </si>
  <si>
    <t>JD UW</t>
  </si>
  <si>
    <t>BMM27D9</t>
  </si>
  <si>
    <t>JD.COM INC</t>
  </si>
  <si>
    <t>NTES UW</t>
  </si>
  <si>
    <t>NETEASE INC</t>
  </si>
  <si>
    <t>2317 TT</t>
  </si>
  <si>
    <t>HON HAI PRECISION INDUSTRY CO</t>
  </si>
  <si>
    <t>000660 KP</t>
  </si>
  <si>
    <t>SK HYNIX INC</t>
  </si>
  <si>
    <t>BIDU UW</t>
  </si>
  <si>
    <t>B0FXT17</t>
  </si>
  <si>
    <t>BAIDU INC</t>
  </si>
  <si>
    <t>WIT UN</t>
  </si>
  <si>
    <t>WIPRO LTD</t>
  </si>
  <si>
    <t>2454 TT</t>
  </si>
  <si>
    <t>MEDIATEK INC</t>
  </si>
  <si>
    <t>2308 TT</t>
  </si>
  <si>
    <t>DELTA ELECTRONICS INC</t>
  </si>
  <si>
    <t>SE UN</t>
  </si>
  <si>
    <t>BYWD7L4</t>
  </si>
  <si>
    <t>SEA LTD</t>
  </si>
  <si>
    <t>Singapore</t>
  </si>
  <si>
    <t>035420 KP</t>
  </si>
  <si>
    <t>NAVER CORP</t>
  </si>
  <si>
    <t>BEKE UN</t>
  </si>
  <si>
    <t>BMBX7M2</t>
  </si>
  <si>
    <t>KE HOLDINGS INC</t>
  </si>
  <si>
    <t>1024 HK</t>
  </si>
  <si>
    <t>BLC90T0</t>
  </si>
  <si>
    <t>KUAISHOU TECHNOLOGY</t>
  </si>
  <si>
    <t>1810 HK</t>
  </si>
  <si>
    <t>BG0ZMJ9</t>
  </si>
  <si>
    <t>XIAOMI CORP</t>
  </si>
  <si>
    <t>2303 TT</t>
  </si>
  <si>
    <t>UNITED MICROELECTRONICS CORP</t>
  </si>
  <si>
    <t>ASX UN</t>
  </si>
  <si>
    <t>BFXQ991</t>
  </si>
  <si>
    <t>ASE TECHNOLOGY HOLDING CO LTD</t>
  </si>
  <si>
    <t>035720 KP</t>
  </si>
  <si>
    <t>KAKAO CORP</t>
  </si>
  <si>
    <t>8069 TT</t>
  </si>
  <si>
    <t>E INK HOLDINGS INC</t>
  </si>
  <si>
    <t>034730 KP</t>
  </si>
  <si>
    <t>B39Z8L3</t>
  </si>
  <si>
    <t>SK INC</t>
  </si>
  <si>
    <t>2301 TT</t>
  </si>
  <si>
    <t>LITE-ON TECHNOLOGY CORP</t>
  </si>
  <si>
    <t>VIPS UN</t>
  </si>
  <si>
    <t>B3N0H17</t>
  </si>
  <si>
    <t>VIPSHOP HOLDINGS LTD</t>
  </si>
  <si>
    <t>BZ UW</t>
  </si>
  <si>
    <t>BM91SH0</t>
  </si>
  <si>
    <t>KANZHUN LTD</t>
  </si>
  <si>
    <t>2345 TT</t>
  </si>
  <si>
    <t>ACCTON TECHNOLOGY CORP</t>
  </si>
  <si>
    <t>259960 KP</t>
  </si>
  <si>
    <t>BMBP900</t>
  </si>
  <si>
    <t>KRAFTON INC</t>
  </si>
  <si>
    <t>968 HK</t>
  </si>
  <si>
    <t>BGQYNN1</t>
  </si>
  <si>
    <t>XINYI SOLAR HOLDINGS LTD</t>
  </si>
  <si>
    <t>009150 KP</t>
  </si>
  <si>
    <t>SAMSUNG ELECTRO-MECHANICS CO L</t>
  </si>
  <si>
    <t>3034 TT</t>
  </si>
  <si>
    <t>NOVATEK MICROELECTRONICS CORP</t>
  </si>
  <si>
    <t>2379 TT</t>
  </si>
  <si>
    <t>REALTEK SEMICONDUCTOR CORP</t>
  </si>
  <si>
    <t>LU UN</t>
  </si>
  <si>
    <t>BNDK6G5</t>
  </si>
  <si>
    <t>LUFAX HOLDING LTD</t>
  </si>
  <si>
    <t>ATHM UN</t>
  </si>
  <si>
    <t>BH5QGR0</t>
  </si>
  <si>
    <t>AUTOHOME INC</t>
  </si>
  <si>
    <t>TME UN</t>
  </si>
  <si>
    <t>BFZYWR2</t>
  </si>
  <si>
    <t>TENCENT MUSIC ENTERTAINMENT GR</t>
  </si>
  <si>
    <t>009830 KP</t>
  </si>
  <si>
    <t>HANWHA SOLUTIONS CORP</t>
  </si>
  <si>
    <t>2327 TT</t>
  </si>
  <si>
    <t>YAGEO CORP</t>
  </si>
  <si>
    <t>6415 TT</t>
  </si>
  <si>
    <t>BH4DMW9</t>
  </si>
  <si>
    <t>SILERGY CORP</t>
  </si>
  <si>
    <t>BILI UW</t>
  </si>
  <si>
    <t>BFNLRN6</t>
  </si>
  <si>
    <t>BILIBILI INC</t>
  </si>
  <si>
    <t>2409 TT</t>
  </si>
  <si>
    <t>AUO CORP</t>
  </si>
  <si>
    <t>018260 KP</t>
  </si>
  <si>
    <t>BRS2KY0</t>
  </si>
  <si>
    <t>SAMSUNG SDS CO LTD</t>
  </si>
  <si>
    <t>268 HK</t>
  </si>
  <si>
    <t>KINGDEE INTERNATIONAL SOFTWARE</t>
  </si>
  <si>
    <t>2377 TT</t>
  </si>
  <si>
    <t>MICRO-STAR INTERNATIONAL CO LT</t>
  </si>
  <si>
    <t>066970 KQ</t>
  </si>
  <si>
    <t>L&amp;F CO LTD</t>
  </si>
  <si>
    <t>3888 HK</t>
  </si>
  <si>
    <t>B27WRM3</t>
  </si>
  <si>
    <t>KINGSOFT CORP LTD</t>
  </si>
  <si>
    <t>GDS UQ</t>
  </si>
  <si>
    <t>BD6FLL7</t>
  </si>
  <si>
    <t>GDS HOLDINGS LTD</t>
  </si>
  <si>
    <t>522 HK</t>
  </si>
  <si>
    <t>ASMPT LTD</t>
  </si>
  <si>
    <t>Hong Kong</t>
  </si>
  <si>
    <t>WB UW</t>
  </si>
  <si>
    <t>BLLJ4H7</t>
  </si>
  <si>
    <t>WEIBO CORP</t>
  </si>
  <si>
    <t>20 HK</t>
  </si>
  <si>
    <t>BPK3C96</t>
  </si>
  <si>
    <t>SENSETIME GROUP INC</t>
  </si>
  <si>
    <t>TWD - TAIWANESE DOLLAR</t>
  </si>
  <si>
    <t>USD - UNITED STATES DOLLAR</t>
  </si>
  <si>
    <t>KRW - KOREAN WON</t>
  </si>
  <si>
    <t>HKD - HONG KONG DOLLAR</t>
  </si>
  <si>
    <t>AAPL UW</t>
  </si>
  <si>
    <t>APPLE INC</t>
  </si>
  <si>
    <t>MSFT UW</t>
  </si>
  <si>
    <t>MICROSOFT CORP</t>
  </si>
  <si>
    <t>AMZN UW</t>
  </si>
  <si>
    <t>AMAZON.COM INC</t>
  </si>
  <si>
    <t>NVDA UW</t>
  </si>
  <si>
    <t>NVIDIA CORP</t>
  </si>
  <si>
    <t>GOOGL UW</t>
  </si>
  <si>
    <t>BYVY8G0</t>
  </si>
  <si>
    <t>ALPHABET INC</t>
  </si>
  <si>
    <t>TSLA UW</t>
  </si>
  <si>
    <t>B616C79</t>
  </si>
  <si>
    <t>GOOG UW</t>
  </si>
  <si>
    <t>BYY88Y7</t>
  </si>
  <si>
    <t>META UW</t>
  </si>
  <si>
    <t>B7TL820</t>
  </si>
  <si>
    <t>META PLATFORMS INC</t>
  </si>
  <si>
    <t>BRK/B UN</t>
  </si>
  <si>
    <t>BERKSHIRE HATHAWAY INC</t>
  </si>
  <si>
    <t>UNH UN</t>
  </si>
  <si>
    <t>UNITEDHEALTH GROUP INC</t>
  </si>
  <si>
    <t>XOM UN</t>
  </si>
  <si>
    <t>EXXON MOBIL CORP</t>
  </si>
  <si>
    <t>LLY UN</t>
  </si>
  <si>
    <t>ELI LILLY &amp; CO</t>
  </si>
  <si>
    <t>JNJ UN</t>
  </si>
  <si>
    <t>JOHNSON &amp; JOHNSON</t>
  </si>
  <si>
    <t>JPM UN</t>
  </si>
  <si>
    <t>JPMORGAN CHASE &amp; CO</t>
  </si>
  <si>
    <t>V UN</t>
  </si>
  <si>
    <t>B2PZN04</t>
  </si>
  <si>
    <t>VISA INC</t>
  </si>
  <si>
    <t>PG UN</t>
  </si>
  <si>
    <t>PROCTER &amp; GAMBLE CO/THE</t>
  </si>
  <si>
    <t>MA UN</t>
  </si>
  <si>
    <t>B121557</t>
  </si>
  <si>
    <t>MASTERCARD INC</t>
  </si>
  <si>
    <t>AVGO UW</t>
  </si>
  <si>
    <t>BDZ78H9</t>
  </si>
  <si>
    <t>BROADCOM INC</t>
  </si>
  <si>
    <t>NESN SE</t>
  </si>
  <si>
    <t>NESTLE SA</t>
  </si>
  <si>
    <t>HD UN</t>
  </si>
  <si>
    <t>HOME DEPOT INC/THE</t>
  </si>
  <si>
    <t>CVX UN</t>
  </si>
  <si>
    <t>CHEVRON CORP</t>
  </si>
  <si>
    <t>NOVOB DC</t>
  </si>
  <si>
    <t>BP6KMJ1</t>
  </si>
  <si>
    <t>NOVO NORDISK A/S</t>
  </si>
  <si>
    <t>Denmark</t>
  </si>
  <si>
    <t>DKK</t>
  </si>
  <si>
    <t>ABBV UN</t>
  </si>
  <si>
    <t>B92SR70</t>
  </si>
  <si>
    <t>ABBVIE INC</t>
  </si>
  <si>
    <t>MRK UN</t>
  </si>
  <si>
    <t>MERCK &amp; CO INC</t>
  </si>
  <si>
    <t>COST UW</t>
  </si>
  <si>
    <t>COSTCO WHOLESALE CORP</t>
  </si>
  <si>
    <t>PEP UW</t>
  </si>
  <si>
    <t>PEPSICO INC</t>
  </si>
  <si>
    <t>ASML NA</t>
  </si>
  <si>
    <t>B929F46</t>
  </si>
  <si>
    <t>ASML HOLDING NV</t>
  </si>
  <si>
    <t>ADBE UW</t>
  </si>
  <si>
    <t>ADOBE INC</t>
  </si>
  <si>
    <t>WMT UN</t>
  </si>
  <si>
    <t>WALMART INC</t>
  </si>
  <si>
    <t>CSCO UW</t>
  </si>
  <si>
    <t>CISCO SYSTEMS INC</t>
  </si>
  <si>
    <t>KO UN</t>
  </si>
  <si>
    <t>COCA-COLA CO/THE</t>
  </si>
  <si>
    <t>SHEL LN</t>
  </si>
  <si>
    <t>BP6MXD8</t>
  </si>
  <si>
    <t>SHELL PLC</t>
  </si>
  <si>
    <t>GBP</t>
  </si>
  <si>
    <t>7203 JT</t>
  </si>
  <si>
    <t>TOYOTA MOTOR CORP</t>
  </si>
  <si>
    <t>ACN UN</t>
  </si>
  <si>
    <t>B4BNMY3</t>
  </si>
  <si>
    <t>ACCENTURE PLC</t>
  </si>
  <si>
    <t>NOVN SE</t>
  </si>
  <si>
    <t>NOVARTIS AG</t>
  </si>
  <si>
    <t>AZN LN</t>
  </si>
  <si>
    <t>ASTRAZENECA PLC</t>
  </si>
  <si>
    <t>Britain</t>
  </si>
  <si>
    <t>MC FP</t>
  </si>
  <si>
    <t>LVMH MOET HENNESSY LOUIS VUITT</t>
  </si>
  <si>
    <t>MCD UN</t>
  </si>
  <si>
    <t>MCDONALD'S CORP</t>
  </si>
  <si>
    <t>CRM UN</t>
  </si>
  <si>
    <t>SALESFORCE INC</t>
  </si>
  <si>
    <t>BAC UN</t>
  </si>
  <si>
    <t>BANK OF AMERICA CORP</t>
  </si>
  <si>
    <t>CMCSA UW</t>
  </si>
  <si>
    <t>COMCAST CORP</t>
  </si>
  <si>
    <t>TMO UN</t>
  </si>
  <si>
    <t>THERMO FISHER SCIENTIFIC INC</t>
  </si>
  <si>
    <t>ROG SE</t>
  </si>
  <si>
    <t>ROCHE HOLDING AG</t>
  </si>
  <si>
    <t>PFE UN</t>
  </si>
  <si>
    <t>PFIZER INC</t>
  </si>
  <si>
    <t>LIN UN</t>
  </si>
  <si>
    <t>BNZHB81</t>
  </si>
  <si>
    <t>LINDE PLC</t>
  </si>
  <si>
    <t>ABT UN</t>
  </si>
  <si>
    <t>ABBOTT LABORATORIES</t>
  </si>
  <si>
    <t>DHR UN</t>
  </si>
  <si>
    <t>DANAHER CORP</t>
  </si>
  <si>
    <t>ORCL UN</t>
  </si>
  <si>
    <t>ORACLE CORP</t>
  </si>
  <si>
    <t>NFLX UW</t>
  </si>
  <si>
    <t>NETFLIX INC</t>
  </si>
  <si>
    <t>HSBA LN</t>
  </si>
  <si>
    <t>HSBC HOLDINGS PLC</t>
  </si>
  <si>
    <t>WFC UN</t>
  </si>
  <si>
    <t>WELLS FARGO &amp; CO</t>
  </si>
  <si>
    <t>TTE FP</t>
  </si>
  <si>
    <t>B15C557</t>
  </si>
  <si>
    <t>TOTALENERGIES SE</t>
  </si>
  <si>
    <t>DIS UN</t>
  </si>
  <si>
    <t>WALT DISNEY CO/THE</t>
  </si>
  <si>
    <t>AMD UW</t>
  </si>
  <si>
    <t>ADVANCED MICRO DEVICES INC</t>
  </si>
  <si>
    <t>PM UN</t>
  </si>
  <si>
    <t>B2PKRQ3</t>
  </si>
  <si>
    <t>PHILIP MORRIS INTERNATIONAL IN</t>
  </si>
  <si>
    <t>AMGN UW</t>
  </si>
  <si>
    <t>AMGEN INC</t>
  </si>
  <si>
    <t>VZ UN</t>
  </si>
  <si>
    <t>VERIZON COMMUNICATIONS INC</t>
  </si>
  <si>
    <t>COP UN</t>
  </si>
  <si>
    <t>CONOCOPHILLIPS</t>
  </si>
  <si>
    <t>INTC UW</t>
  </si>
  <si>
    <t>INTEL CORP</t>
  </si>
  <si>
    <t>INTU UW</t>
  </si>
  <si>
    <t>INTUIT INC</t>
  </si>
  <si>
    <t>TXN UW</t>
  </si>
  <si>
    <t>TEXAS INSTRUMENTS INC</t>
  </si>
  <si>
    <t>SAP GY</t>
  </si>
  <si>
    <t>SAP SE</t>
  </si>
  <si>
    <t>CAT UN</t>
  </si>
  <si>
    <t>CATERPILLAR INC</t>
  </si>
  <si>
    <t>UNP UN</t>
  </si>
  <si>
    <t>UNION PACIFIC CORP</t>
  </si>
  <si>
    <t>NEE UN</t>
  </si>
  <si>
    <t>NEXTERA ENERGY INC</t>
  </si>
  <si>
    <t>ULVR LN</t>
  </si>
  <si>
    <t>B10RZP7</t>
  </si>
  <si>
    <t>UNILEVER PLC</t>
  </si>
  <si>
    <t>IBM UN</t>
  </si>
  <si>
    <t>INTERNATIONAL BUSINESS MACHINE</t>
  </si>
  <si>
    <t>HON UW</t>
  </si>
  <si>
    <t>HONEYWELL INTERNATIONAL INC</t>
  </si>
  <si>
    <t>BMY UN</t>
  </si>
  <si>
    <t>BRISTOL-MYERS SQUIBB CO</t>
  </si>
  <si>
    <t>LOW UN</t>
  </si>
  <si>
    <t>LOWE'S COS INC</t>
  </si>
  <si>
    <t>SAN FP</t>
  </si>
  <si>
    <t>SANOFI</t>
  </si>
  <si>
    <t>SPGI UN</t>
  </si>
  <si>
    <t>BYV2325</t>
  </si>
  <si>
    <t>S&amp;P GLOBAL INC</t>
  </si>
  <si>
    <t>GE UN</t>
  </si>
  <si>
    <t>BL59CR9</t>
  </si>
  <si>
    <t>GENERAL ELECTRIC CO</t>
  </si>
  <si>
    <t>QCOM UW</t>
  </si>
  <si>
    <t>QUALCOMM INC</t>
  </si>
  <si>
    <t>RY CT</t>
  </si>
  <si>
    <t>ROYAL BANK OF CANADA</t>
  </si>
  <si>
    <t>CAD</t>
  </si>
  <si>
    <t>NOW UN</t>
  </si>
  <si>
    <t>B80NXX8</t>
  </si>
  <si>
    <t>SERVICENOW INC</t>
  </si>
  <si>
    <t>AMAT UW</t>
  </si>
  <si>
    <t>APPLIED MATERIALS INC</t>
  </si>
  <si>
    <t>T UN</t>
  </si>
  <si>
    <t>AT&amp;T INC</t>
  </si>
  <si>
    <t>ELV UN</t>
  </si>
  <si>
    <t>BSPHGL4</t>
  </si>
  <si>
    <t>ELEVANCE HEALTH INC</t>
  </si>
  <si>
    <t>RTX UN</t>
  </si>
  <si>
    <t>BM5M5Y3</t>
  </si>
  <si>
    <t>RAYTHEON TECHNOLOGIES CORP</t>
  </si>
  <si>
    <t>NKE UN</t>
  </si>
  <si>
    <t>NIKE INC</t>
  </si>
  <si>
    <t>BA UN</t>
  </si>
  <si>
    <t>BOEING CO/THE</t>
  </si>
  <si>
    <t>SIE GY</t>
  </si>
  <si>
    <t>SIEMENS AG</t>
  </si>
  <si>
    <t>6758 JT</t>
  </si>
  <si>
    <t>SONY GROUP CORP</t>
  </si>
  <si>
    <t>UPS UN</t>
  </si>
  <si>
    <t>UNITED PARCEL SERVICE INC</t>
  </si>
  <si>
    <t>BKNG UW</t>
  </si>
  <si>
    <t>BDRXDB4</t>
  </si>
  <si>
    <t>BOOKING HOLDINGS INC</t>
  </si>
  <si>
    <t>SBUX UW</t>
  </si>
  <si>
    <t>STARBUCKS CORP</t>
  </si>
  <si>
    <t>TJX UN</t>
  </si>
  <si>
    <t>TJX COS INC/THE</t>
  </si>
  <si>
    <t>TD CT</t>
  </si>
  <si>
    <t>TORONTO-DOMINION BANK/THE</t>
  </si>
  <si>
    <t>GS UN</t>
  </si>
  <si>
    <t>GOLDMAN SACHS GROUP INC/THE</t>
  </si>
  <si>
    <t>MS UN</t>
  </si>
  <si>
    <t>MORGAN STANLEY</t>
  </si>
  <si>
    <t>8306 JT</t>
  </si>
  <si>
    <t>MITSUBISHI UFJ FINANCIAL GROUP</t>
  </si>
  <si>
    <t>PLD UN</t>
  </si>
  <si>
    <t>B44WZD7</t>
  </si>
  <si>
    <t>PROLOGIS INC</t>
  </si>
  <si>
    <t>MDT UN</t>
  </si>
  <si>
    <t>BTN1Y11</t>
  </si>
  <si>
    <t>MEDTRONIC PLC</t>
  </si>
  <si>
    <t>DE UN</t>
  </si>
  <si>
    <t>DEERE &amp; CO</t>
  </si>
  <si>
    <t>1299 HK</t>
  </si>
  <si>
    <t>B4TX8S1</t>
  </si>
  <si>
    <t>AIA GROUP LTD</t>
  </si>
  <si>
    <t>LMT UN</t>
  </si>
  <si>
    <t>LOCKHEED MARTIN CORP</t>
  </si>
  <si>
    <t>CVS UN</t>
  </si>
  <si>
    <t>CVS HEALTH CORP</t>
  </si>
  <si>
    <t>BP/ LN</t>
  </si>
  <si>
    <t>BP PLC</t>
  </si>
  <si>
    <t>VRTX UW</t>
  </si>
  <si>
    <t>VERTEX PHARMACEUTICALS INC</t>
  </si>
  <si>
    <t>ADI UW</t>
  </si>
  <si>
    <t>ANALOG DEVICES INC</t>
  </si>
  <si>
    <t>BLK UN</t>
  </si>
  <si>
    <t>BLACKROCK INC</t>
  </si>
  <si>
    <t>ISRG UW</t>
  </si>
  <si>
    <t>INTUITIVE SURGICAL INC</t>
  </si>
  <si>
    <t>ADP UW</t>
  </si>
  <si>
    <t>AUTOMATIC DATA PROCESSING INC</t>
  </si>
  <si>
    <t>SU FP</t>
  </si>
  <si>
    <t>SCHNEIDER ELECTRIC SE</t>
  </si>
  <si>
    <t>ALV GY</t>
  </si>
  <si>
    <t>ALLIANZ SE</t>
  </si>
  <si>
    <t>MDLZ UW</t>
  </si>
  <si>
    <t>B8CKK03</t>
  </si>
  <si>
    <t>MONDELEZ INTERNATIONAL INC</t>
  </si>
  <si>
    <t>MMC UN</t>
  </si>
  <si>
    <t>MARSH &amp; MCLENNAN COS INC</t>
  </si>
  <si>
    <t>SYK UN</t>
  </si>
  <si>
    <t>STRYKER CORP</t>
  </si>
  <si>
    <t>OR FP</t>
  </si>
  <si>
    <t>L'OREAL SA</t>
  </si>
  <si>
    <t>GILD UW</t>
  </si>
  <si>
    <t>GILEAD SCIENCES INC</t>
  </si>
  <si>
    <t>DGE LN</t>
  </si>
  <si>
    <t>DIAGEO PLC</t>
  </si>
  <si>
    <t>REGN UW</t>
  </si>
  <si>
    <t>REGENERON PHARMACEUTICALS INC</t>
  </si>
  <si>
    <t>AXP UN</t>
  </si>
  <si>
    <t>AMERICAN EXPRESS CO</t>
  </si>
  <si>
    <t>AI FP</t>
  </si>
  <si>
    <t>B1YXBJ7</t>
  </si>
  <si>
    <t>AIR LIQUIDE SA</t>
  </si>
  <si>
    <t>BNP FP</t>
  </si>
  <si>
    <t>BNP PARIBAS SA</t>
  </si>
  <si>
    <t>UBER UN</t>
  </si>
  <si>
    <t>BK6N347</t>
  </si>
  <si>
    <t>UBER TECHNOLOGIES INC</t>
  </si>
  <si>
    <t>CB UN</t>
  </si>
  <si>
    <t>B3BQMF6</t>
  </si>
  <si>
    <t>CHUBB LTD</t>
  </si>
  <si>
    <t>BSX UN</t>
  </si>
  <si>
    <t>BOSTON SCIENTIFIC CORP</t>
  </si>
  <si>
    <t>SLB UN</t>
  </si>
  <si>
    <t>SCHLUMBERGER NV</t>
  </si>
  <si>
    <t>BDX UN</t>
  </si>
  <si>
    <t>BECTON DICKINSON &amp; CO</t>
  </si>
  <si>
    <t>CI UN</t>
  </si>
  <si>
    <t>BHJ0775</t>
  </si>
  <si>
    <t>CIGNA GROUP/THE</t>
  </si>
  <si>
    <t>ETN UN</t>
  </si>
  <si>
    <t>B8KQN82</t>
  </si>
  <si>
    <t>EATON CORP PLC</t>
  </si>
  <si>
    <t>PGR UN</t>
  </si>
  <si>
    <t>PROGRESSIVE CORP/THE</t>
  </si>
  <si>
    <t>AIR FP</t>
  </si>
  <si>
    <t>AIRBUS SE</t>
  </si>
  <si>
    <t>CP CT</t>
  </si>
  <si>
    <t>BMBQR09</t>
  </si>
  <si>
    <t>CANADIAN PACIFIC KANSAS CITY L</t>
  </si>
  <si>
    <t>LRCX UW</t>
  </si>
  <si>
    <t>LAM RESEARCH CORP</t>
  </si>
  <si>
    <t>ZTS UN</t>
  </si>
  <si>
    <t>B95WG16</t>
  </si>
  <si>
    <t>ZOETIS INC</t>
  </si>
  <si>
    <t>AMT UN</t>
  </si>
  <si>
    <t>B7FBFL2</t>
  </si>
  <si>
    <t>AMERICAN TOWER CORP</t>
  </si>
  <si>
    <t>SCHW UN</t>
  </si>
  <si>
    <t>CHARLES SCHWAB CORP/THE</t>
  </si>
  <si>
    <t>BX UN</t>
  </si>
  <si>
    <t>BKF2SL7</t>
  </si>
  <si>
    <t>BLACKSTONE INC</t>
  </si>
  <si>
    <t>FI UN</t>
  </si>
  <si>
    <t>FISERV INC</t>
  </si>
  <si>
    <t>EOG UN</t>
  </si>
  <si>
    <t>EOG RESOURCES INC</t>
  </si>
  <si>
    <t>C UN</t>
  </si>
  <si>
    <t>CITIGROUP INC</t>
  </si>
  <si>
    <t>8058 JT</t>
  </si>
  <si>
    <t>MITSUBISHI CORP</t>
  </si>
  <si>
    <t>TMUS UW</t>
  </si>
  <si>
    <t>B94Q9V0</t>
  </si>
  <si>
    <t>T-MOBILE US INC</t>
  </si>
  <si>
    <t>UBSG SE</t>
  </si>
  <si>
    <t>BRJL176</t>
  </si>
  <si>
    <t>UBS GROUP AG</t>
  </si>
  <si>
    <t>MO UN</t>
  </si>
  <si>
    <t>ALTRIA GROUP INC</t>
  </si>
  <si>
    <t>GSK LN</t>
  </si>
  <si>
    <t>BN7SWP6</t>
  </si>
  <si>
    <t>GSK PLC</t>
  </si>
  <si>
    <t>MU UW</t>
  </si>
  <si>
    <t>MICRON TECHNOLOGY INC</t>
  </si>
  <si>
    <t>ATVI UW</t>
  </si>
  <si>
    <t>ACTIVISION BLIZZARD INC</t>
  </si>
  <si>
    <t>SO UN</t>
  </si>
  <si>
    <t>SOUTHERN CO/THE</t>
  </si>
  <si>
    <t>CFR SE</t>
  </si>
  <si>
    <t>BCRWZ18</t>
  </si>
  <si>
    <t>CIE FINANCIERE RICHEMONT SA</t>
  </si>
  <si>
    <t>CME UW</t>
  </si>
  <si>
    <t>CME GROUP INC</t>
  </si>
  <si>
    <t>DUK UN</t>
  </si>
  <si>
    <t>B7VD3F2</t>
  </si>
  <si>
    <t>DUKE ENERGY CORP</t>
  </si>
  <si>
    <t>ITW UN</t>
  </si>
  <si>
    <t>ILLINOIS TOOL WORKS INC</t>
  </si>
  <si>
    <t>DTE GY</t>
  </si>
  <si>
    <t>DEUTSCHE TELEKOM AG</t>
  </si>
  <si>
    <t>6861 JT</t>
  </si>
  <si>
    <t>KEYENCE CORP</t>
  </si>
  <si>
    <t>ICE UN</t>
  </si>
  <si>
    <t>BFSSDS9</t>
  </si>
  <si>
    <t>INTERCONTINENTAL EXCHANGE INC</t>
  </si>
  <si>
    <t>ZURN SE</t>
  </si>
  <si>
    <t>ZURICH INSURANCE GROUP AG</t>
  </si>
  <si>
    <t>SNPS UW</t>
  </si>
  <si>
    <t>SYNOPSYS INC</t>
  </si>
  <si>
    <t>BATS LN</t>
  </si>
  <si>
    <t>BRITISH AMERICAN TOBACCO PLC</t>
  </si>
  <si>
    <t>PANW UW</t>
  </si>
  <si>
    <t>B87ZMX0</t>
  </si>
  <si>
    <t>PALO ALTO NETWORKS INC</t>
  </si>
  <si>
    <t>EQIX UW</t>
  </si>
  <si>
    <t>BVLZX12</t>
  </si>
  <si>
    <t>EQUINIX INC</t>
  </si>
  <si>
    <t>8035 JT</t>
  </si>
  <si>
    <t>TOKYO ELECTRON LTD</t>
  </si>
  <si>
    <t>AON UN</t>
  </si>
  <si>
    <t>BLP1HW5</t>
  </si>
  <si>
    <t>AON PLC</t>
  </si>
  <si>
    <t>RIO LN</t>
  </si>
  <si>
    <t>RIO TINTO PLC</t>
  </si>
  <si>
    <t>ENB CT</t>
  </si>
  <si>
    <t>ENBRIDGE INC</t>
  </si>
  <si>
    <t>6501 JT</t>
  </si>
  <si>
    <t>HITACHI LTD</t>
  </si>
  <si>
    <t>IBE SQ</t>
  </si>
  <si>
    <t>B288C92</t>
  </si>
  <si>
    <t>IBERDROLA SA</t>
  </si>
  <si>
    <t>Spain</t>
  </si>
  <si>
    <t>DG FP</t>
  </si>
  <si>
    <t>B1XH026</t>
  </si>
  <si>
    <t>VINCI SA</t>
  </si>
  <si>
    <t>PYPL UW</t>
  </si>
  <si>
    <t>BYW36M8</t>
  </si>
  <si>
    <t>PAYPAL HOLDINGS INC</t>
  </si>
  <si>
    <t>MPC UN</t>
  </si>
  <si>
    <t>B3K3L40</t>
  </si>
  <si>
    <t>MARATHON PETROLEUM CORP</t>
  </si>
  <si>
    <t>NOC UN</t>
  </si>
  <si>
    <t>NORTHROP GRUMMAN CORP</t>
  </si>
  <si>
    <t>SHOP CT</t>
  </si>
  <si>
    <t>BX865C7</t>
  </si>
  <si>
    <t>SHOPIFY INC</t>
  </si>
  <si>
    <t>CNQ CT</t>
  </si>
  <si>
    <t>CANADIAN NATURAL RESOURCES LTD</t>
  </si>
  <si>
    <t>REL LN</t>
  </si>
  <si>
    <t>B2B0DG9</t>
  </si>
  <si>
    <t>RELX PLC</t>
  </si>
  <si>
    <t>9432 JT</t>
  </si>
  <si>
    <t>NIPPON TELEGRAPH &amp; TELEPHONE C</t>
  </si>
  <si>
    <t>8316 JT</t>
  </si>
  <si>
    <t>SUMITOMO MITSUI FINANCIAL GROU</t>
  </si>
  <si>
    <t>WM UN</t>
  </si>
  <si>
    <t>WASTE MANAGEMENT INC</t>
  </si>
  <si>
    <t>CDNS UW</t>
  </si>
  <si>
    <t>CADENCE DESIGN SYSTEMS INC</t>
  </si>
  <si>
    <t>CNR CT</t>
  </si>
  <si>
    <t>CANADIAN NATIONAL RAILWAY CO</t>
  </si>
  <si>
    <t>CSX UW</t>
  </si>
  <si>
    <t>CSX CORP</t>
  </si>
  <si>
    <t>APD UN</t>
  </si>
  <si>
    <t>AIR PRODUCTS AND CHEMICALS INC</t>
  </si>
  <si>
    <t>FCX UN</t>
  </si>
  <si>
    <t>FREEPORT-MCMORAN INC</t>
  </si>
  <si>
    <t>PSX UN</t>
  </si>
  <si>
    <t>B78C4Y8</t>
  </si>
  <si>
    <t>PHILLIPS 66</t>
  </si>
  <si>
    <t>PXD UN</t>
  </si>
  <si>
    <t>PIONEER NATURAL RESOURCES CO</t>
  </si>
  <si>
    <t>BBVA SQ</t>
  </si>
  <si>
    <t>BANCO BILBAO VIZCAYA ARGENTARI</t>
  </si>
  <si>
    <t>KLAC UW</t>
  </si>
  <si>
    <t>KLA CORP</t>
  </si>
  <si>
    <t>HUM UN</t>
  </si>
  <si>
    <t>HUMANA INC</t>
  </si>
  <si>
    <t>TGT UN</t>
  </si>
  <si>
    <t>TARGET CORP</t>
  </si>
  <si>
    <t>RMS FP</t>
  </si>
  <si>
    <t>HERMES INTERNATIONAL</t>
  </si>
  <si>
    <t>7267 JT</t>
  </si>
  <si>
    <t>HONDA MOTOR CO LTD</t>
  </si>
  <si>
    <t>4063 JT</t>
  </si>
  <si>
    <t>SHIN-ETSU CHEMICAL CO LTD</t>
  </si>
  <si>
    <t>BMO CT</t>
  </si>
  <si>
    <t>BANK OF MONTREAL</t>
  </si>
  <si>
    <t>FDX UN</t>
  </si>
  <si>
    <t>FEDEX CORP</t>
  </si>
  <si>
    <t>SHW UN</t>
  </si>
  <si>
    <t>SHERWIN-WILLIAMS CO/THE</t>
  </si>
  <si>
    <t>PNC UN</t>
  </si>
  <si>
    <t>PNC FINANCIAL SERVICES GROUP I</t>
  </si>
  <si>
    <t>CL UN</t>
  </si>
  <si>
    <t>COLGATE-PALMOLIVE CO</t>
  </si>
  <si>
    <t>MCK UN</t>
  </si>
  <si>
    <t>MCKESSON CORP</t>
  </si>
  <si>
    <t>SAN SQ</t>
  </si>
  <si>
    <t>BANCO SANTANDER SA</t>
  </si>
  <si>
    <t>MELI UW</t>
  </si>
  <si>
    <t>B23X1H3</t>
  </si>
  <si>
    <t>MERCADOLIBRE INC</t>
  </si>
  <si>
    <t>Brazil</t>
  </si>
  <si>
    <t>8031 JT</t>
  </si>
  <si>
    <t>MITSUI &amp; CO LTD</t>
  </si>
  <si>
    <t>ABBN SE</t>
  </si>
  <si>
    <t>ABB LTD</t>
  </si>
  <si>
    <t>USB UN</t>
  </si>
  <si>
    <t>US BANCORP</t>
  </si>
  <si>
    <t>ORLY UW</t>
  </si>
  <si>
    <t>B65LWX6</t>
  </si>
  <si>
    <t>O'REILLY AUTOMOTIVE INC</t>
  </si>
  <si>
    <t>MBG GY</t>
  </si>
  <si>
    <t>MERCEDES-BENZ GROUP AG</t>
  </si>
  <si>
    <t>APH UN</t>
  </si>
  <si>
    <t>AMPHENOL CORP</t>
  </si>
  <si>
    <t>BNS CT</t>
  </si>
  <si>
    <t>BANK OF NOVA SCOTIA/THE</t>
  </si>
  <si>
    <t>SAF FP</t>
  </si>
  <si>
    <t>B058TZ6</t>
  </si>
  <si>
    <t>SAFRAN SA</t>
  </si>
  <si>
    <t>EMR UN</t>
  </si>
  <si>
    <t>EMERSON ELECTRIC CO</t>
  </si>
  <si>
    <t>CS FP</t>
  </si>
  <si>
    <t>AXA SA</t>
  </si>
  <si>
    <t>6367 JT</t>
  </si>
  <si>
    <t>DAIKIN INDUSTRIES LTD</t>
  </si>
  <si>
    <t>AJG UN</t>
  </si>
  <si>
    <t>ARTHUR J GALLAGHER &amp; CO</t>
  </si>
  <si>
    <t>MUV2 GY</t>
  </si>
  <si>
    <t>MUENCHENER RUECKVERSICHERUNGS-</t>
  </si>
  <si>
    <t>DHL GY</t>
  </si>
  <si>
    <t>DEUTSCHE POST AG</t>
  </si>
  <si>
    <t>ABNB UW</t>
  </si>
  <si>
    <t>BMGYYH4</t>
  </si>
  <si>
    <t>AIRBNB INC</t>
  </si>
  <si>
    <t>MMM UN</t>
  </si>
  <si>
    <t>3M CO</t>
  </si>
  <si>
    <t>IFX GY</t>
  </si>
  <si>
    <t>INFINEON TECHNOLOGIES AG</t>
  </si>
  <si>
    <t>PRX NA</t>
  </si>
  <si>
    <t>BJDS7L3</t>
  </si>
  <si>
    <t>PROSUS NV</t>
  </si>
  <si>
    <t>HCA UN</t>
  </si>
  <si>
    <t>B4MGBG6</t>
  </si>
  <si>
    <t>HCA HEALTHCARE INC</t>
  </si>
  <si>
    <t>ROP UW</t>
  </si>
  <si>
    <t>ROPER TECHNOLOGIES INC</t>
  </si>
  <si>
    <t>VLO UN</t>
  </si>
  <si>
    <t>VALERO ENERGY CORP</t>
  </si>
  <si>
    <t>GLEN LN</t>
  </si>
  <si>
    <t>B4T3BW6</t>
  </si>
  <si>
    <t>GLENCORE PLC</t>
  </si>
  <si>
    <t>EL FP</t>
  </si>
  <si>
    <t>ESSILORLUXOTTICA SA</t>
  </si>
  <si>
    <t>CMG UN</t>
  </si>
  <si>
    <t>B0X7DZ3</t>
  </si>
  <si>
    <t>CHIPOTLE MEXICAN GRILL INC</t>
  </si>
  <si>
    <t>MCO UN</t>
  </si>
  <si>
    <t>MOODY'S CORP</t>
  </si>
  <si>
    <t>HLT UN</t>
  </si>
  <si>
    <t>BYVMW06</t>
  </si>
  <si>
    <t>HILTON WORLDWIDE HOLDINGS INC</t>
  </si>
  <si>
    <t>MAR UW</t>
  </si>
  <si>
    <t>MARRIOTT INTERNATIONAL INC/MD</t>
  </si>
  <si>
    <t>RKT LN</t>
  </si>
  <si>
    <t>B24CGK7</t>
  </si>
  <si>
    <t>RECKITT BENCKISER GROUP PLC</t>
  </si>
  <si>
    <t>NXPI UW</t>
  </si>
  <si>
    <t>B505PN7</t>
  </si>
  <si>
    <t>NXP SEMICONDUCTORS NV</t>
  </si>
  <si>
    <t>4568 JT</t>
  </si>
  <si>
    <t>B0J7D91</t>
  </si>
  <si>
    <t>DAIICHI SANKYO CO LTD</t>
  </si>
  <si>
    <t>BAYN GY</t>
  </si>
  <si>
    <t>BAYER AG</t>
  </si>
  <si>
    <t>BN CT</t>
  </si>
  <si>
    <t>BPCPYT4</t>
  </si>
  <si>
    <t>BROOKFIELD CORP</t>
  </si>
  <si>
    <t>ENEL IM</t>
  </si>
  <si>
    <t>ENEL SPA</t>
  </si>
  <si>
    <t>Italy</t>
  </si>
  <si>
    <t>GD UN</t>
  </si>
  <si>
    <t>GENERAL DYNAMICS CORP</t>
  </si>
  <si>
    <t>PH UN</t>
  </si>
  <si>
    <t>PARKER-HANNIFIN CORP</t>
  </si>
  <si>
    <t>4502 JT</t>
  </si>
  <si>
    <t>TAKEDA PHARMACEUTICAL CO LTD</t>
  </si>
  <si>
    <t>INGA NA</t>
  </si>
  <si>
    <t>BZ57390</t>
  </si>
  <si>
    <t>ING GROEP NV</t>
  </si>
  <si>
    <t>F UN</t>
  </si>
  <si>
    <t>FORD MOTOR CO</t>
  </si>
  <si>
    <t>CM CT</t>
  </si>
  <si>
    <t>CANADIAN IMPERIAL BANK OF COMM</t>
  </si>
  <si>
    <t>9433 JT</t>
  </si>
  <si>
    <t>KDDI CORP</t>
  </si>
  <si>
    <t>VICI UN</t>
  </si>
  <si>
    <t>BYWH073</t>
  </si>
  <si>
    <t>VICI PROPERTIES INC</t>
  </si>
  <si>
    <t>ABI BB</t>
  </si>
  <si>
    <t>BYYHL23</t>
  </si>
  <si>
    <t>ANHEUSER-BUSCH INBEV SA/NV</t>
  </si>
  <si>
    <t>Belgium</t>
  </si>
  <si>
    <t>WDAY UW</t>
  </si>
  <si>
    <t>B8K6ZD1</t>
  </si>
  <si>
    <t>WORKDAY INC</t>
  </si>
  <si>
    <t>7974 JT</t>
  </si>
  <si>
    <t>NINTENDO CO LTD</t>
  </si>
  <si>
    <t>6098 JT</t>
  </si>
  <si>
    <t>BQRRZ00</t>
  </si>
  <si>
    <t>RECRUIT HOLDINGS CO LTD</t>
  </si>
  <si>
    <t>8001 JT</t>
  </si>
  <si>
    <t>ITOCHU CORP</t>
  </si>
  <si>
    <t>ITX SQ</t>
  </si>
  <si>
    <t>BP9DL90</t>
  </si>
  <si>
    <t>INDUSTRIA DE DISENO TEXTIL SA</t>
  </si>
  <si>
    <t>NG/ LN</t>
  </si>
  <si>
    <t>BDR05C0</t>
  </si>
  <si>
    <t>NATIONAL GRID PLC</t>
  </si>
  <si>
    <t>8766 JT</t>
  </si>
  <si>
    <t>TOKIO MARINE HOLDINGS INC</t>
  </si>
  <si>
    <t>MSI UN</t>
  </si>
  <si>
    <t>B5BKPQ4</t>
  </si>
  <si>
    <t>MOTOROLA SOLUTIONS INC</t>
  </si>
  <si>
    <t>GM UN</t>
  </si>
  <si>
    <t>B665KZ5</t>
  </si>
  <si>
    <t>GENERAL MOTORS CO</t>
  </si>
  <si>
    <t>MRVL UW</t>
  </si>
  <si>
    <t>BNKJSM5</t>
  </si>
  <si>
    <t>MARVELL TECHNOLOGY INC</t>
  </si>
  <si>
    <t>AZO UN</t>
  </si>
  <si>
    <t>AUTOZONE INC</t>
  </si>
  <si>
    <t>TT UN</t>
  </si>
  <si>
    <t>BK9ZQ96</t>
  </si>
  <si>
    <t>TRANE TECHNOLOGIES PLC</t>
  </si>
  <si>
    <t>LHX UN</t>
  </si>
  <si>
    <t>BK9DTN5</t>
  </si>
  <si>
    <t>L3HARRIS TECHNOLOGIES INC</t>
  </si>
  <si>
    <t>NSC UN</t>
  </si>
  <si>
    <t>NORFOLK SOUTHERN CORP</t>
  </si>
  <si>
    <t>SIKA SE</t>
  </si>
  <si>
    <t>BF2DSG3</t>
  </si>
  <si>
    <t>SIKA AG</t>
  </si>
  <si>
    <t>UCG IM</t>
  </si>
  <si>
    <t>BYMXPS7</t>
  </si>
  <si>
    <t>UNICREDIT SPA</t>
  </si>
  <si>
    <t>CHTR UW</t>
  </si>
  <si>
    <t>BZ6VT82</t>
  </si>
  <si>
    <t>CHARTER COMMUNICATIONS INC</t>
  </si>
  <si>
    <t>SU CT</t>
  </si>
  <si>
    <t>B3NB1P2</t>
  </si>
  <si>
    <t>SUNCOR ENERGY INC</t>
  </si>
  <si>
    <t>SRE UN</t>
  </si>
  <si>
    <t>SEMPRA ENERGY</t>
  </si>
  <si>
    <t>8411 JT</t>
  </si>
  <si>
    <t>MIZUHO FINANCIAL GROUP INC</t>
  </si>
  <si>
    <t>CARR UN</t>
  </si>
  <si>
    <t>BK4N0D7</t>
  </si>
  <si>
    <t>CARRIER GLOBAL CORP</t>
  </si>
  <si>
    <t>AIG UN</t>
  </si>
  <si>
    <t>AMERICAN INTERNATIONAL GROUP I</t>
  </si>
  <si>
    <t>AFL UN</t>
  </si>
  <si>
    <t>AFLAC INC</t>
  </si>
  <si>
    <t>DBS SP</t>
  </si>
  <si>
    <t>DBS GROUP HOLDINGS LTD</t>
  </si>
  <si>
    <t>SGD</t>
  </si>
  <si>
    <t>388 HK</t>
  </si>
  <si>
    <t>HONG KONG EXCHANGES &amp; CLEARING</t>
  </si>
  <si>
    <t>LONN SE</t>
  </si>
  <si>
    <t>LONZA GROUP AG</t>
  </si>
  <si>
    <t>ADSK UW</t>
  </si>
  <si>
    <t>AUTODESK INC</t>
  </si>
  <si>
    <t>NUE UN</t>
  </si>
  <si>
    <t>NUCOR CORP</t>
  </si>
  <si>
    <t>HAL UN</t>
  </si>
  <si>
    <t>HALLIBURTON CO</t>
  </si>
  <si>
    <t>CTAS UW</t>
  </si>
  <si>
    <t>CINTAS CORP</t>
  </si>
  <si>
    <t>CPG LN</t>
  </si>
  <si>
    <t>BD6K457</t>
  </si>
  <si>
    <t>COMPASS GROUP PLC</t>
  </si>
  <si>
    <t>TDG UN</t>
  </si>
  <si>
    <t>B11FJK3</t>
  </si>
  <si>
    <t>TRANSDIGM GROUP INC</t>
  </si>
  <si>
    <t>PCAR UW</t>
  </si>
  <si>
    <t>PACCAR INC</t>
  </si>
  <si>
    <t>ANET UN</t>
  </si>
  <si>
    <t>BN33VM5</t>
  </si>
  <si>
    <t>ARISTA NETWORKS INC</t>
  </si>
  <si>
    <t>STLAM IM</t>
  </si>
  <si>
    <t>BMD8KX7</t>
  </si>
  <si>
    <t>STELLANTIS NV</t>
  </si>
  <si>
    <t>ECL UN</t>
  </si>
  <si>
    <t>ECOLAB INC</t>
  </si>
  <si>
    <t>ADM UN</t>
  </si>
  <si>
    <t>ARCHER-DANIELS-MIDLAND CO</t>
  </si>
  <si>
    <t>OXY UN</t>
  </si>
  <si>
    <t>OCCIDENTAL PETROLEUM CORP</t>
  </si>
  <si>
    <t>EW UN</t>
  </si>
  <si>
    <t>EDWARDS LIFESCIENCES CORP</t>
  </si>
  <si>
    <t>AMP UN</t>
  </si>
  <si>
    <t>B0J7D57</t>
  </si>
  <si>
    <t>AMERIPRISE FINANCIAL INC</t>
  </si>
  <si>
    <t>WELL UN</t>
  </si>
  <si>
    <t>BYVYHH4</t>
  </si>
  <si>
    <t>WELLTOWER INC</t>
  </si>
  <si>
    <t>LULU UW</t>
  </si>
  <si>
    <t>B23FN39</t>
  </si>
  <si>
    <t>LULULEMON ATHLETICA INC</t>
  </si>
  <si>
    <t>BK UN</t>
  </si>
  <si>
    <t>B1Z77F6</t>
  </si>
  <si>
    <t>BANK OF NEW YORK MELLON CORP/T</t>
  </si>
  <si>
    <t>SNOW UN</t>
  </si>
  <si>
    <t>BN134B7</t>
  </si>
  <si>
    <t>SNOWFLAKE INC</t>
  </si>
  <si>
    <t>PSA UN</t>
  </si>
  <si>
    <t>PUBLIC STORAGE</t>
  </si>
  <si>
    <t>MET UN</t>
  </si>
  <si>
    <t>METLIFE INC</t>
  </si>
  <si>
    <t>CSU CT</t>
  </si>
  <si>
    <t>B15C4L6</t>
  </si>
  <si>
    <t>CONSTELLATION SOFTWARE INC/CAN</t>
  </si>
  <si>
    <t>HES UN</t>
  </si>
  <si>
    <t>HESS CORP</t>
  </si>
  <si>
    <t>KMB UN</t>
  </si>
  <si>
    <t>KIMBERLY-CLARK CORP</t>
  </si>
  <si>
    <t>MCHP UW</t>
  </si>
  <si>
    <t>MICROCHIP TECHNOLOGY INC</t>
  </si>
  <si>
    <t>ISP IM</t>
  </si>
  <si>
    <t>INTESA SANPAOLO SPA</t>
  </si>
  <si>
    <t>9984 JT</t>
  </si>
  <si>
    <t>SOFTBANK GROUP CORP</t>
  </si>
  <si>
    <t>AEP UW</t>
  </si>
  <si>
    <t>AMERICAN ELECTRIC POWER CO INC</t>
  </si>
  <si>
    <t>BAS GY</t>
  </si>
  <si>
    <t>BASF SE</t>
  </si>
  <si>
    <t>CCI UN</t>
  </si>
  <si>
    <t>BTGQCX1</t>
  </si>
  <si>
    <t>CROWN CASTLE INC</t>
  </si>
  <si>
    <t>FTNT UW</t>
  </si>
  <si>
    <t>B5B2106</t>
  </si>
  <si>
    <t>FORTINET INC</t>
  </si>
  <si>
    <t>KKR UN</t>
  </si>
  <si>
    <t>BG1FRR1</t>
  </si>
  <si>
    <t>KKR &amp; CO INC</t>
  </si>
  <si>
    <t>STZ UN</t>
  </si>
  <si>
    <t>CONSTELLATION BRANDS INC</t>
  </si>
  <si>
    <t>MSCI UN</t>
  </si>
  <si>
    <t>B2972D2</t>
  </si>
  <si>
    <t>MSCI INC</t>
  </si>
  <si>
    <t>WMB UN</t>
  </si>
  <si>
    <t>WILLIAMS COS INC/THE</t>
  </si>
  <si>
    <t>D UN</t>
  </si>
  <si>
    <t>DOMINION ENERGY INC</t>
  </si>
  <si>
    <t>PCG UN</t>
  </si>
  <si>
    <t>PG&amp;E CORP</t>
  </si>
  <si>
    <t>XEL UW</t>
  </si>
  <si>
    <t>XCEL ENERGY INC</t>
  </si>
  <si>
    <t>ATD CT</t>
  </si>
  <si>
    <t>BL56KN2</t>
  </si>
  <si>
    <t>ALIMENTATION COUCHE-TARD INC</t>
  </si>
  <si>
    <t>EXC UW</t>
  </si>
  <si>
    <t>EXELON CORP</t>
  </si>
  <si>
    <t>ON UW</t>
  </si>
  <si>
    <t>ON SEMICONDUCTOR CORP</t>
  </si>
  <si>
    <t>ROST UW</t>
  </si>
  <si>
    <t>ROSS STORES INC</t>
  </si>
  <si>
    <t>9983 JT</t>
  </si>
  <si>
    <t>FAST RETAILING CO LTD</t>
  </si>
  <si>
    <t>ODFL UW</t>
  </si>
  <si>
    <t>OLD DOMINION FREIGHT LINE INC</t>
  </si>
  <si>
    <t>6902 JT</t>
  </si>
  <si>
    <t>DENSO CORP</t>
  </si>
  <si>
    <t>BA/ LN</t>
  </si>
  <si>
    <t>BAE SYSTEMS PLC</t>
  </si>
  <si>
    <t>ALC SE</t>
  </si>
  <si>
    <t>BJT1GR5</t>
  </si>
  <si>
    <t>ALCON INC</t>
  </si>
  <si>
    <t>TFC UN</t>
  </si>
  <si>
    <t>BKP7287</t>
  </si>
  <si>
    <t>TRUIST FINANCIAL CORP</t>
  </si>
  <si>
    <t>TRV UN</t>
  </si>
  <si>
    <t>TRAVELERS COS INC/THE</t>
  </si>
  <si>
    <t>LNG UA</t>
  </si>
  <si>
    <t>CHENIERE ENERGY INC</t>
  </si>
  <si>
    <t>CNC UN</t>
  </si>
  <si>
    <t>CENTENE CORP</t>
  </si>
  <si>
    <t>JCI UN</t>
  </si>
  <si>
    <t>BY7QL61</t>
  </si>
  <si>
    <t>JOHNSON CONTROLS INTERNATIONAL</t>
  </si>
  <si>
    <t>RACE IM</t>
  </si>
  <si>
    <t>BD6G507</t>
  </si>
  <si>
    <t>FERRARI NV</t>
  </si>
  <si>
    <t>TEL UN</t>
  </si>
  <si>
    <t>B62B7C3</t>
  </si>
  <si>
    <t>TE CONNECTIVITY LTD</t>
  </si>
  <si>
    <t>GIS UN</t>
  </si>
  <si>
    <t>GENERAL MILLS INC</t>
  </si>
  <si>
    <t>CPRT UW</t>
  </si>
  <si>
    <t>COPART INC</t>
  </si>
  <si>
    <t>IDXX UW</t>
  </si>
  <si>
    <t>IDEXX LABORATORIES INC</t>
  </si>
  <si>
    <t>COF UN</t>
  </si>
  <si>
    <t>CAPITAL ONE FINANCIAL CORP</t>
  </si>
  <si>
    <t>APO UN</t>
  </si>
  <si>
    <t>BN44JF6</t>
  </si>
  <si>
    <t>APOLLO GLOBAL MANAGEMENT INC</t>
  </si>
  <si>
    <t>CMI UN</t>
  </si>
  <si>
    <t>CUMMINS INC</t>
  </si>
  <si>
    <t>4661 JT</t>
  </si>
  <si>
    <t>ORIENTAL LAND CO LTD/JAPAN</t>
  </si>
  <si>
    <t>BIIB UW</t>
  </si>
  <si>
    <t>BIOGEN INC</t>
  </si>
  <si>
    <t>PAYX UW</t>
  </si>
  <si>
    <t>PAYCHEX INC</t>
  </si>
  <si>
    <t>IR UN</t>
  </si>
  <si>
    <t>BL5GZ82</t>
  </si>
  <si>
    <t>INGERSOLL RAND INC</t>
  </si>
  <si>
    <t>DLR UN</t>
  </si>
  <si>
    <t>B03GQS4</t>
  </si>
  <si>
    <t>DIGITAL REALTY TRUST INC</t>
  </si>
  <si>
    <t>LSEG LN</t>
  </si>
  <si>
    <t>B0SWJX3</t>
  </si>
  <si>
    <t>LONDON STOCK EXCHANGE GROUP PL</t>
  </si>
  <si>
    <t>CRWD UW</t>
  </si>
  <si>
    <t>BJJP138</t>
  </si>
  <si>
    <t>CROWDSTRIKE HOLDINGS INC</t>
  </si>
  <si>
    <t>TRP CT</t>
  </si>
  <si>
    <t>BJMY6G0</t>
  </si>
  <si>
    <t>TC ENERGY CORP</t>
  </si>
  <si>
    <t>7741 JT</t>
  </si>
  <si>
    <t>HOYA CORP</t>
  </si>
  <si>
    <t>DAL UN</t>
  </si>
  <si>
    <t>B1W9D46</t>
  </si>
  <si>
    <t>DELTA AIR LINES INC</t>
  </si>
  <si>
    <t>CEG UW</t>
  </si>
  <si>
    <t>BMH4FS1</t>
  </si>
  <si>
    <t>CONSTELLATION ENERGY CORP</t>
  </si>
  <si>
    <t>SYY UN</t>
  </si>
  <si>
    <t>SYSCO CORP</t>
  </si>
  <si>
    <t>BKR UW</t>
  </si>
  <si>
    <t>BDHLTQ5</t>
  </si>
  <si>
    <t>BAKER HUGHES CO</t>
  </si>
  <si>
    <t>IQV UN</t>
  </si>
  <si>
    <t>BDR73G1</t>
  </si>
  <si>
    <t>IQVIA HOLDINGS INC</t>
  </si>
  <si>
    <t>SPG UN</t>
  </si>
  <si>
    <t>SIMON PROPERTY GROUP INC</t>
  </si>
  <si>
    <t>WCN CT</t>
  </si>
  <si>
    <t>BYQFRK5</t>
  </si>
  <si>
    <t>WASTE CONNECTIONS INC</t>
  </si>
  <si>
    <t>CTVA UN</t>
  </si>
  <si>
    <t>BK73B42</t>
  </si>
  <si>
    <t>CORTEVA INC</t>
  </si>
  <si>
    <t>VMW UN</t>
  </si>
  <si>
    <t>B23SN61</t>
  </si>
  <si>
    <t>VMWARE INC</t>
  </si>
  <si>
    <t>DOW UN</t>
  </si>
  <si>
    <t>BHXCF84</t>
  </si>
  <si>
    <t>DOW INC</t>
  </si>
  <si>
    <t>O UN</t>
  </si>
  <si>
    <t>REALTY INCOME CORP</t>
  </si>
  <si>
    <t>PRU UN</t>
  </si>
  <si>
    <t>PRUDENTIAL FINANCIAL INC</t>
  </si>
  <si>
    <t>TTD UQ</t>
  </si>
  <si>
    <t>BD8FDD1</t>
  </si>
  <si>
    <t>TRADE DESK INC/THE</t>
  </si>
  <si>
    <t>CTSH UW</t>
  </si>
  <si>
    <t>COGNIZANT TECHNOLOGY SOLUTIONS</t>
  </si>
  <si>
    <t>BN FP</t>
  </si>
  <si>
    <t>B1Y9TB3</t>
  </si>
  <si>
    <t>DANONE SA</t>
  </si>
  <si>
    <t>VRSK UW</t>
  </si>
  <si>
    <t>B4P9W92</t>
  </si>
  <si>
    <t>VERISK ANALYTICS INC</t>
  </si>
  <si>
    <t>ES UN</t>
  </si>
  <si>
    <t>BVVN4Q8</t>
  </si>
  <si>
    <t>EVERSOURCE ENERGY</t>
  </si>
  <si>
    <t>YUM UN</t>
  </si>
  <si>
    <t>YUM! BRANDS INC</t>
  </si>
  <si>
    <t>KER FP</t>
  </si>
  <si>
    <t>KERING SA</t>
  </si>
  <si>
    <t>LLOY LN</t>
  </si>
  <si>
    <t>LLOYDS BANKING GROUP PLC</t>
  </si>
  <si>
    <t>HIG UN</t>
  </si>
  <si>
    <t>HARTFORD FINANCIAL SERVICES GR</t>
  </si>
  <si>
    <t>AME UN</t>
  </si>
  <si>
    <t>AMETEK INC</t>
  </si>
  <si>
    <t>WEC UN</t>
  </si>
  <si>
    <t>BYY8XK8</t>
  </si>
  <si>
    <t>WEC ENERGY GROUP INC</t>
  </si>
  <si>
    <t>SKG ID</t>
  </si>
  <si>
    <t>B1RR828</t>
  </si>
  <si>
    <t>SMURFIT KAPPA GROUP PLC</t>
  </si>
  <si>
    <t>Ireland</t>
  </si>
  <si>
    <t>FIS UN</t>
  </si>
  <si>
    <t>FIDELITY NATIONAL INFORMATION</t>
  </si>
  <si>
    <t>ENI IM</t>
  </si>
  <si>
    <t>ENI SPA</t>
  </si>
  <si>
    <t>EQNR NO</t>
  </si>
  <si>
    <t>EQUINOR ASA</t>
  </si>
  <si>
    <t>Norway</t>
  </si>
  <si>
    <t>NOK</t>
  </si>
  <si>
    <t>MFC CT</t>
  </si>
  <si>
    <t>MANULIFE FINANCIAL CORP</t>
  </si>
  <si>
    <t>NDA FH</t>
  </si>
  <si>
    <t>BFM0SV9</t>
  </si>
  <si>
    <t>NORDEA BANK ABP</t>
  </si>
  <si>
    <t>RI FP</t>
  </si>
  <si>
    <t>PERNOD RICARD SA</t>
  </si>
  <si>
    <t>DXCM UW</t>
  </si>
  <si>
    <t>B0796X4</t>
  </si>
  <si>
    <t>DEXCOM INC</t>
  </si>
  <si>
    <t>PFG UW</t>
  </si>
  <si>
    <t>PRINCIPAL FINANCIAL GROUP INC</t>
  </si>
  <si>
    <t>6981 JT</t>
  </si>
  <si>
    <t>MURATA MANUFACTURING CO LTD</t>
  </si>
  <si>
    <t>IMB LN</t>
  </si>
  <si>
    <t>IMPERIAL BRANDS PLC</t>
  </si>
  <si>
    <t>BCE CT</t>
  </si>
  <si>
    <t>B188TH2</t>
  </si>
  <si>
    <t>BCE INC</t>
  </si>
  <si>
    <t>DTE UN</t>
  </si>
  <si>
    <t>DTE ENERGY CO</t>
  </si>
  <si>
    <t>DHI UN</t>
  </si>
  <si>
    <t>DR HORTON INC</t>
  </si>
  <si>
    <t>OTIS UN</t>
  </si>
  <si>
    <t>BK531S8</t>
  </si>
  <si>
    <t>OTIS WORLDWIDE CORP</t>
  </si>
  <si>
    <t>RMD UN</t>
  </si>
  <si>
    <t>MRNA UW</t>
  </si>
  <si>
    <t>BGSXTS3</t>
  </si>
  <si>
    <t>MODERNA INC</t>
  </si>
  <si>
    <t>DSV DC</t>
  </si>
  <si>
    <t>B1WT5G2</t>
  </si>
  <si>
    <t>DSV A/S</t>
  </si>
  <si>
    <t>KR UN</t>
  </si>
  <si>
    <t>KROGER CO/THE</t>
  </si>
  <si>
    <t>CSGP UW</t>
  </si>
  <si>
    <t>COSTAR GROUP INC</t>
  </si>
  <si>
    <t>EA UW</t>
  </si>
  <si>
    <t>ELECTRONIC ARTS INC</t>
  </si>
  <si>
    <t>NEM UN</t>
  </si>
  <si>
    <t>NEWMONT CORP</t>
  </si>
  <si>
    <t>ROK UN</t>
  </si>
  <si>
    <t>ROCKWELL AUTOMATION INC</t>
  </si>
  <si>
    <t>A UN</t>
  </si>
  <si>
    <t>AGILENT TECHNOLOGIES INC</t>
  </si>
  <si>
    <t>VMC UN</t>
  </si>
  <si>
    <t>VULCAN MATERIALS CO</t>
  </si>
  <si>
    <t>EL UN</t>
  </si>
  <si>
    <t>ESTEE LAUDER COS INC/THE</t>
  </si>
  <si>
    <t>AAL LN</t>
  </si>
  <si>
    <t>B1XZS82</t>
  </si>
  <si>
    <t>ANGLO AMERICAN PLC</t>
  </si>
  <si>
    <t>South Africa</t>
  </si>
  <si>
    <t>KMI UN</t>
  </si>
  <si>
    <t>B3NQ4P8</t>
  </si>
  <si>
    <t>KINDER MORGAN INC</t>
  </si>
  <si>
    <t>9434 JT</t>
  </si>
  <si>
    <t>BF5M0K5</t>
  </si>
  <si>
    <t>SOFTBANK CORP</t>
  </si>
  <si>
    <t>3382 JT</t>
  </si>
  <si>
    <t>B0FS5D6</t>
  </si>
  <si>
    <t>SEVEN &amp; I HOLDINGS CO LTD</t>
  </si>
  <si>
    <t>INVEB SS</t>
  </si>
  <si>
    <t>BMV7PQ4</t>
  </si>
  <si>
    <t>INVESTOR AB</t>
  </si>
  <si>
    <t>Sweden</t>
  </si>
  <si>
    <t>SEK</t>
  </si>
  <si>
    <t>PPL CT</t>
  </si>
  <si>
    <t>B4PT2P8</t>
  </si>
  <si>
    <t>PEMBINA PIPELINE CORP</t>
  </si>
  <si>
    <t>DB1 GY</t>
  </si>
  <si>
    <t>DEUTSCHE BOERSE AG</t>
  </si>
  <si>
    <t>ED UN</t>
  </si>
  <si>
    <t>CONSOLIDATED EDISON INC</t>
  </si>
  <si>
    <t>GPN UN</t>
  </si>
  <si>
    <t>GLOBAL PAYMENTS INC</t>
  </si>
  <si>
    <t>WAB UN</t>
  </si>
  <si>
    <t>WESTINGHOUSE AIR BRAKE TECHNOL</t>
  </si>
  <si>
    <t>PRU LN</t>
  </si>
  <si>
    <t>PRUDENTIAL PLC</t>
  </si>
  <si>
    <t>ATCOA SS</t>
  </si>
  <si>
    <t>BLDBN41</t>
  </si>
  <si>
    <t>ATLAS COPCO AB</t>
  </si>
  <si>
    <t>SREN SE</t>
  </si>
  <si>
    <t>B545MG5</t>
  </si>
  <si>
    <t>SWISS RE AG</t>
  </si>
  <si>
    <t>BMW GY</t>
  </si>
  <si>
    <t>BAYERISCHE MOTOREN WERKE AG</t>
  </si>
  <si>
    <t>EXPN LN</t>
  </si>
  <si>
    <t>B19NLV4</t>
  </si>
  <si>
    <t>EXPERIAN PLC</t>
  </si>
  <si>
    <t>HOLN SE</t>
  </si>
  <si>
    <t>HOLCIM AG</t>
  </si>
  <si>
    <t>FAST UW</t>
  </si>
  <si>
    <t>FASTENAL CO</t>
  </si>
  <si>
    <t>FLTR ID</t>
  </si>
  <si>
    <t>BWT6H89</t>
  </si>
  <si>
    <t>FLUTTER ENTERTAINMENT PLC</t>
  </si>
  <si>
    <t>GIVN SE</t>
  </si>
  <si>
    <t>GIVAUDAN SA</t>
  </si>
  <si>
    <t>DFS UN</t>
  </si>
  <si>
    <t>B1YLC43</t>
  </si>
  <si>
    <t>DISCOVER FINANCIAL SERVICES</t>
  </si>
  <si>
    <t>NTR CT</t>
  </si>
  <si>
    <t>BDRJLN0</t>
  </si>
  <si>
    <t>NUTRIEN LTD</t>
  </si>
  <si>
    <t>URI UN</t>
  </si>
  <si>
    <t>UNITED RENTALS INC</t>
  </si>
  <si>
    <t>BR UN</t>
  </si>
  <si>
    <t>B1VP7R6</t>
  </si>
  <si>
    <t>BROADRIDGE FINANCIAL SOLUTIONS</t>
  </si>
  <si>
    <t>HSY UN</t>
  </si>
  <si>
    <t>HERSHEY CO/THE</t>
  </si>
  <si>
    <t>DD UN</t>
  </si>
  <si>
    <t>BK0VN47</t>
  </si>
  <si>
    <t>DUPONT DE NEMOURS INC</t>
  </si>
  <si>
    <t>RSG UN</t>
  </si>
  <si>
    <t>REPUBLIC SERVICES INC</t>
  </si>
  <si>
    <t>FFH CT</t>
  </si>
  <si>
    <t>FAIRFAX FINANCIAL HOLDINGS LTD</t>
  </si>
  <si>
    <t>AD NA</t>
  </si>
  <si>
    <t>BD0Q398</t>
  </si>
  <si>
    <t>KONINKLIJKE AHOLD DELHAIZE NV</t>
  </si>
  <si>
    <t>ALL UN</t>
  </si>
  <si>
    <t>ALLSTATE CORP/THE</t>
  </si>
  <si>
    <t>MLM UN</t>
  </si>
  <si>
    <t>MARTIN MARIETTA MATERIALS INC</t>
  </si>
  <si>
    <t>WKL NA</t>
  </si>
  <si>
    <t>WOLTERS KLUWER NV</t>
  </si>
  <si>
    <t>PEG UN</t>
  </si>
  <si>
    <t>PUBLIC SERVICE ENTERPRISE GROU</t>
  </si>
  <si>
    <t>VOLVB SS</t>
  </si>
  <si>
    <t>B1QH830</t>
  </si>
  <si>
    <t>VOLVO AB</t>
  </si>
  <si>
    <t>KDP UW</t>
  </si>
  <si>
    <t>BD3W133</t>
  </si>
  <si>
    <t>KEURIG DR PEPPER INC</t>
  </si>
  <si>
    <t>K UN</t>
  </si>
  <si>
    <t>KELLOGG CO</t>
  </si>
  <si>
    <t>COR UN</t>
  </si>
  <si>
    <t>AMERISOURCEBERGEN CORP</t>
  </si>
  <si>
    <t>T CT</t>
  </si>
  <si>
    <t>TELUS CORP</t>
  </si>
  <si>
    <t>IT UN</t>
  </si>
  <si>
    <t>GARTNER INC</t>
  </si>
  <si>
    <t>VEEV UN</t>
  </si>
  <si>
    <t>BFH3N85</t>
  </si>
  <si>
    <t>VEEVA SYSTEMS INC</t>
  </si>
  <si>
    <t>PPG UN</t>
  </si>
  <si>
    <t>PPG INDUSTRIES INC</t>
  </si>
  <si>
    <t>BARC LN</t>
  </si>
  <si>
    <t>BARCLAYS PLC</t>
  </si>
  <si>
    <t>OCBC SP</t>
  </si>
  <si>
    <t>B0F9V20</t>
  </si>
  <si>
    <t>OVERSEA-CHINESE BANKING CORP L</t>
  </si>
  <si>
    <t>DVN UN</t>
  </si>
  <si>
    <t>DEVON ENERGY CORP</t>
  </si>
  <si>
    <t>AMS SQ</t>
  </si>
  <si>
    <t>B3MSM28</t>
  </si>
  <si>
    <t>AMADEUS IT GROUP SA</t>
  </si>
  <si>
    <t>TEAM UW</t>
  </si>
  <si>
    <t>BQ1PC76</t>
  </si>
  <si>
    <t>ATLASSIAN CORP</t>
  </si>
  <si>
    <t>RWE GY</t>
  </si>
  <si>
    <t>RWE AG</t>
  </si>
  <si>
    <t>OKE UN</t>
  </si>
  <si>
    <t>ONEOK INC</t>
  </si>
  <si>
    <t>RTO LN</t>
  </si>
  <si>
    <t>B082RF1</t>
  </si>
  <si>
    <t>RENTOKIL INITIAL PLC</t>
  </si>
  <si>
    <t>LEN UN</t>
  </si>
  <si>
    <t>LENNAR CORP</t>
  </si>
  <si>
    <t>ARGX UW</t>
  </si>
  <si>
    <t>BDVLM39</t>
  </si>
  <si>
    <t>ARGENX SE</t>
  </si>
  <si>
    <t>SGEN UW</t>
  </si>
  <si>
    <t>BLPK4D2</t>
  </si>
  <si>
    <t>SEAGEN INC</t>
  </si>
  <si>
    <t>NTRS UW</t>
  </si>
  <si>
    <t>NORTHERN TRUST CORP</t>
  </si>
  <si>
    <t>APTV UN</t>
  </si>
  <si>
    <t>B783TY6</t>
  </si>
  <si>
    <t>APTIV PLC</t>
  </si>
  <si>
    <t>ACGL UW</t>
  </si>
  <si>
    <t>ARCH CAPITAL GROUP LTD</t>
  </si>
  <si>
    <t>STMPA FP</t>
  </si>
  <si>
    <t>STMICROELECTRONICS NV</t>
  </si>
  <si>
    <t>CAP FP</t>
  </si>
  <si>
    <t>CAPGEMINI SE</t>
  </si>
  <si>
    <t>SGO FP</t>
  </si>
  <si>
    <t>CIE DE SAINT-GOBAIN</t>
  </si>
  <si>
    <t>8002 JT</t>
  </si>
  <si>
    <t>MARUBENI CORP</t>
  </si>
  <si>
    <t>ABX CT</t>
  </si>
  <si>
    <t>BARRICK GOLD CORP</t>
  </si>
  <si>
    <t>GWW UN</t>
  </si>
  <si>
    <t>WW GRAINGER INC</t>
  </si>
  <si>
    <t>MNST UW</t>
  </si>
  <si>
    <t>BZ07BW4</t>
  </si>
  <si>
    <t>MONSTER BEVERAGE CORP</t>
  </si>
  <si>
    <t>UOB SP</t>
  </si>
  <si>
    <t>UNITED OVERSEAS BANK LTD</t>
  </si>
  <si>
    <t>AHT LN</t>
  </si>
  <si>
    <t>ASHTEAD GROUP PLC</t>
  </si>
  <si>
    <t>ADS GY</t>
  </si>
  <si>
    <t>ADIDAS AG</t>
  </si>
  <si>
    <t>QSR CT</t>
  </si>
  <si>
    <t>BTF8CF0</t>
  </si>
  <si>
    <t>RESTAURANT BRANDS INTERNATIONA</t>
  </si>
  <si>
    <t>WST UN</t>
  </si>
  <si>
    <t>WEST PHARMACEUTICAL SERVICES I</t>
  </si>
  <si>
    <t>ENGI FP</t>
  </si>
  <si>
    <t>B0C2CQ3</t>
  </si>
  <si>
    <t>ENGIE SA</t>
  </si>
  <si>
    <t>EOAN GY</t>
  </si>
  <si>
    <t>E.ON SE</t>
  </si>
  <si>
    <t>IFF UN</t>
  </si>
  <si>
    <t>INTERNATIONAL FLAVORS &amp; FRAGRA</t>
  </si>
  <si>
    <t>4543 JT</t>
  </si>
  <si>
    <t>TERUMO CORP</t>
  </si>
  <si>
    <t>CDW UW</t>
  </si>
  <si>
    <t>BBM5MD6</t>
  </si>
  <si>
    <t>CDW CORP/DE</t>
  </si>
  <si>
    <t>KHC UW</t>
  </si>
  <si>
    <t>BYRY499</t>
  </si>
  <si>
    <t>KRAFT HEINZ CO/THE</t>
  </si>
  <si>
    <t>SLF CT</t>
  </si>
  <si>
    <t>SUN LIFE FINANCIAL INC</t>
  </si>
  <si>
    <t>6301 JT</t>
  </si>
  <si>
    <t>KOMATSU LTD</t>
  </si>
  <si>
    <t>PWR UN</t>
  </si>
  <si>
    <t>QUANTA SERVICES INC</t>
  </si>
  <si>
    <t>CVE CT</t>
  </si>
  <si>
    <t>B57FG04</t>
  </si>
  <si>
    <t>CENOVUS ENERGY INC</t>
  </si>
  <si>
    <t>FNV CT</t>
  </si>
  <si>
    <t>B29NF31</t>
  </si>
  <si>
    <t>FRANCO-NEVADA CORP</t>
  </si>
  <si>
    <t>ANSS UW</t>
  </si>
  <si>
    <t>ANSYS INC</t>
  </si>
  <si>
    <t>6752 JT</t>
  </si>
  <si>
    <t>PANASONIC HOLDINGS CORP</t>
  </si>
  <si>
    <t>HZNP UW</t>
  </si>
  <si>
    <t>BQPVQZ6</t>
  </si>
  <si>
    <t>HORIZON THERAPEUTICS PLC</t>
  </si>
  <si>
    <t>HBAN UW</t>
  </si>
  <si>
    <t>HUNTINGTON BANCSHARES INC/OH</t>
  </si>
  <si>
    <t>EIX UN</t>
  </si>
  <si>
    <t>EDISON INTERNATIONAL</t>
  </si>
  <si>
    <t>PLTR UN</t>
  </si>
  <si>
    <t>BN78DQ4</t>
  </si>
  <si>
    <t>PALANTIR TECHNOLOGIES INC</t>
  </si>
  <si>
    <t>WBD UW</t>
  </si>
  <si>
    <t>BM8JYX3</t>
  </si>
  <si>
    <t>WARNER BROS DISCOVERY INC</t>
  </si>
  <si>
    <t>HEIA NA</t>
  </si>
  <si>
    <t>HEINEKEN NV</t>
  </si>
  <si>
    <t>FTV UN</t>
  </si>
  <si>
    <t>BYT3MK1</t>
  </si>
  <si>
    <t>FORTIVE CORP</t>
  </si>
  <si>
    <t>MRU CT</t>
  </si>
  <si>
    <t>METRO INC/CN</t>
  </si>
  <si>
    <t>HPQ UN</t>
  </si>
  <si>
    <t>BYX4D52</t>
  </si>
  <si>
    <t>HP INC</t>
  </si>
  <si>
    <t>6273 JT</t>
  </si>
  <si>
    <t>SMC CORP</t>
  </si>
  <si>
    <t>4503 JT</t>
  </si>
  <si>
    <t>ASTELLAS PHARMA INC</t>
  </si>
  <si>
    <t>AWK UN</t>
  </si>
  <si>
    <t>B2R3PV1</t>
  </si>
  <si>
    <t>AMERICAN WATER WORKS CO INC</t>
  </si>
  <si>
    <t>DDOG UW</t>
  </si>
  <si>
    <t>BKT9Y49</t>
  </si>
  <si>
    <t>DATADOG INC</t>
  </si>
  <si>
    <t>FANG UW</t>
  </si>
  <si>
    <t>B7Y8YR3</t>
  </si>
  <si>
    <t>DIAMONDBACK ENERGY INC</t>
  </si>
  <si>
    <t>6954 JT</t>
  </si>
  <si>
    <t>FANUC CORP</t>
  </si>
  <si>
    <t>IFC CT</t>
  </si>
  <si>
    <t>B04YJV1</t>
  </si>
  <si>
    <t>INTACT FINANCIAL CORP</t>
  </si>
  <si>
    <t>SQ UN</t>
  </si>
  <si>
    <t>BYNZGK1</t>
  </si>
  <si>
    <t>AVB UN</t>
  </si>
  <si>
    <t>AVALONBAY COMMUNITIES INC</t>
  </si>
  <si>
    <t>8053 JT</t>
  </si>
  <si>
    <t>SUMITOMO CORP</t>
  </si>
  <si>
    <t>DOV UN</t>
  </si>
  <si>
    <t>DOVER CORP</t>
  </si>
  <si>
    <t>INDUA SS</t>
  </si>
  <si>
    <t>B1VSK10</t>
  </si>
  <si>
    <t>INDUSTRIVARDEN AB</t>
  </si>
  <si>
    <t>VOD LN</t>
  </si>
  <si>
    <t>BH4HKS3</t>
  </si>
  <si>
    <t>VODAFONE GROUP PLC</t>
  </si>
  <si>
    <t>TSCO LN</t>
  </si>
  <si>
    <t>BLGZ986</t>
  </si>
  <si>
    <t>TESCO PLC</t>
  </si>
  <si>
    <t>2914 JT</t>
  </si>
  <si>
    <t>JAPAN TOBACCO INC</t>
  </si>
  <si>
    <t>6503 JT</t>
  </si>
  <si>
    <t>MITSUBISHI ELECTRIC CORP</t>
  </si>
  <si>
    <t>PGHN SE</t>
  </si>
  <si>
    <t>B119QG0</t>
  </si>
  <si>
    <t>PARTNERS GROUP HOLDING AG</t>
  </si>
  <si>
    <t>DSY FP</t>
  </si>
  <si>
    <t>BM8H5Y5</t>
  </si>
  <si>
    <t>DASSAULT SYSTEMES SE</t>
  </si>
  <si>
    <t>AEM CT</t>
  </si>
  <si>
    <t>AGNICO EAGLE MINES LTD</t>
  </si>
  <si>
    <t>LNT UW</t>
  </si>
  <si>
    <t>ALLIANT ENERGY CORP</t>
  </si>
  <si>
    <t>CBRE UN</t>
  </si>
  <si>
    <t>B6WVMH3</t>
  </si>
  <si>
    <t>CBRE GROUP INC</t>
  </si>
  <si>
    <t>ZBH UN</t>
  </si>
  <si>
    <t>ZIMMER BIOMET HOLDINGS INC</t>
  </si>
  <si>
    <t>7751 JT</t>
  </si>
  <si>
    <t>CANON INC</t>
  </si>
  <si>
    <t>DG UN</t>
  </si>
  <si>
    <t>B5B1S13</t>
  </si>
  <si>
    <t>DOLLAR GENERAL CORP</t>
  </si>
  <si>
    <t>YUMC UN</t>
  </si>
  <si>
    <t>BYW4289</t>
  </si>
  <si>
    <t>YUM CHINA HOLDINGS INC</t>
  </si>
  <si>
    <t>MTD UN</t>
  </si>
  <si>
    <t>METTLER-TOLEDO INTERNATIONAL I</t>
  </si>
  <si>
    <t>EBAY UW</t>
  </si>
  <si>
    <t>EBAY INC</t>
  </si>
  <si>
    <t>GMAB DC</t>
  </si>
  <si>
    <t>GENMAB A/S</t>
  </si>
  <si>
    <t>LYB UN</t>
  </si>
  <si>
    <t>B3SPXZ3</t>
  </si>
  <si>
    <t>LYONDELLBASELL INDUSTRIES NV</t>
  </si>
  <si>
    <t>TROW UW</t>
  </si>
  <si>
    <t>T ROWE PRICE GROUP INC</t>
  </si>
  <si>
    <t>KEYS UN</t>
  </si>
  <si>
    <t>BQZJ0Q9</t>
  </si>
  <si>
    <t>KEYSIGHT TECHNOLOGIES INC</t>
  </si>
  <si>
    <t>GLW UN</t>
  </si>
  <si>
    <t>CORNING INC</t>
  </si>
  <si>
    <t>TTWO UW</t>
  </si>
  <si>
    <t>TAKE-TWO INTERACTIVE SOFTWARE</t>
  </si>
  <si>
    <t>6702 JT</t>
  </si>
  <si>
    <t>FUJITSU LTD</t>
  </si>
  <si>
    <t>HUBS UN</t>
  </si>
  <si>
    <t>BR4T3B3</t>
  </si>
  <si>
    <t>HUBSPOT INC</t>
  </si>
  <si>
    <t>EFX UN</t>
  </si>
  <si>
    <t>EQUIFAX INC</t>
  </si>
  <si>
    <t>9022 JT</t>
  </si>
  <si>
    <t>CENTRAL JAPAN RAILWAY CO</t>
  </si>
  <si>
    <t>MDB UQ</t>
  </si>
  <si>
    <t>BF2FJ99</t>
  </si>
  <si>
    <t>MONGODB INC</t>
  </si>
  <si>
    <t>III LN</t>
  </si>
  <si>
    <t>B1YW440</t>
  </si>
  <si>
    <t>3I GROUP PLC</t>
  </si>
  <si>
    <t>STT UN</t>
  </si>
  <si>
    <t>STATE STREET CORP</t>
  </si>
  <si>
    <t>AEE UN</t>
  </si>
  <si>
    <t>AMEREN CORP</t>
  </si>
  <si>
    <t>LR FP</t>
  </si>
  <si>
    <t>B11ZRK9</t>
  </si>
  <si>
    <t>LEGRAND SA</t>
  </si>
  <si>
    <t>GEHC UW</t>
  </si>
  <si>
    <t>BL6JPG8</t>
  </si>
  <si>
    <t>GE HEALTHCARE TECHNOLOGIES INC</t>
  </si>
  <si>
    <t>RR/ LN</t>
  </si>
  <si>
    <t>B63H849</t>
  </si>
  <si>
    <t>ROLLS-ROYCE HOLDINGS PLC</t>
  </si>
  <si>
    <t>8591 JT</t>
  </si>
  <si>
    <t>ORIX CORP</t>
  </si>
  <si>
    <t>WY UN</t>
  </si>
  <si>
    <t>WEYERHAEUSER CO</t>
  </si>
  <si>
    <t>HNR1 GY</t>
  </si>
  <si>
    <t>HANNOVER RUECK SE</t>
  </si>
  <si>
    <t>EQR UN</t>
  </si>
  <si>
    <t>EQUITY RESIDENTIAL</t>
  </si>
  <si>
    <t>TSCO UW</t>
  </si>
  <si>
    <t>TRACTOR SUPPLY CO</t>
  </si>
  <si>
    <t>6594 JT</t>
  </si>
  <si>
    <t>NIDEC CORP</t>
  </si>
  <si>
    <t>SPLK UW</t>
  </si>
  <si>
    <t>B424494</t>
  </si>
  <si>
    <t>SPLUNK INC</t>
  </si>
  <si>
    <t>5108 JT</t>
  </si>
  <si>
    <t>BRIDGESTONE CORP</t>
  </si>
  <si>
    <t>DSFIR NA</t>
  </si>
  <si>
    <t>BPCPSD6</t>
  </si>
  <si>
    <t>DSM-FIRMENICH AG</t>
  </si>
  <si>
    <t>VWS DC</t>
  </si>
  <si>
    <t>BN4MYF5</t>
  </si>
  <si>
    <t>VESTAS WIND SYSTEMS A/S</t>
  </si>
  <si>
    <t>FICO UN</t>
  </si>
  <si>
    <t>FAIR ISAAC CORP</t>
  </si>
  <si>
    <t>WTW UW</t>
  </si>
  <si>
    <t>BDB6Q21</t>
  </si>
  <si>
    <t>WILLIS TOWERS WATSON PLC</t>
  </si>
  <si>
    <t>CHD UN</t>
  </si>
  <si>
    <t>CHURCH &amp; DWIGHT CO INC</t>
  </si>
  <si>
    <t>DLTR UW</t>
  </si>
  <si>
    <t>DOLLAR TREE INC</t>
  </si>
  <si>
    <t>SBAC UW</t>
  </si>
  <si>
    <t>BZ6TS23</t>
  </si>
  <si>
    <t>SBA COMMUNICATIONS CORP</t>
  </si>
  <si>
    <t>ALGN UW</t>
  </si>
  <si>
    <t>ALIGN TECHNOLOGY INC</t>
  </si>
  <si>
    <t>FITB UW</t>
  </si>
  <si>
    <t>FIFTH THIRD BANCORP</t>
  </si>
  <si>
    <t>7202 JT</t>
  </si>
  <si>
    <t>ISUZU MOTORS LTD</t>
  </si>
  <si>
    <t>CAH UN</t>
  </si>
  <si>
    <t>CARDINAL HEALTH INC</t>
  </si>
  <si>
    <t>SSE LN</t>
  </si>
  <si>
    <t>SSE PLC</t>
  </si>
  <si>
    <t>MRK GY</t>
  </si>
  <si>
    <t>MERCK KGAA</t>
  </si>
  <si>
    <t>TECK/B CT</t>
  </si>
  <si>
    <t>TECK RESOURCES LTD</t>
  </si>
  <si>
    <t>9045 JT</t>
  </si>
  <si>
    <t>KEIHAN HOLDINGS CO LTD</t>
  </si>
  <si>
    <t>TRMB UW</t>
  </si>
  <si>
    <t>TRIMBLE INC</t>
  </si>
  <si>
    <t>5401 JT</t>
  </si>
  <si>
    <t>NIPPON STEEL CORP</t>
  </si>
  <si>
    <t>STE UN</t>
  </si>
  <si>
    <t>BFY8C75</t>
  </si>
  <si>
    <t>STERIS PLC</t>
  </si>
  <si>
    <t>SPOT UN</t>
  </si>
  <si>
    <t>BFZ1K46</t>
  </si>
  <si>
    <t>SPOTIFY TECHNOLOGY SA</t>
  </si>
  <si>
    <t>HPE UN</t>
  </si>
  <si>
    <t>BYVYWS0</t>
  </si>
  <si>
    <t>HEWLETT PACKARD ENTERPRISE CO</t>
  </si>
  <si>
    <t>XYL UN</t>
  </si>
  <si>
    <t>B3P2CN8</t>
  </si>
  <si>
    <t>XYLEM INC/NY</t>
  </si>
  <si>
    <t>ML FP</t>
  </si>
  <si>
    <t>BPBPJ01</t>
  </si>
  <si>
    <t>CIE GENERALE DES ETABLISSEMENT</t>
  </si>
  <si>
    <t>RCI/B CT</t>
  </si>
  <si>
    <t>ROGERS COMMUNICATIONS INC</t>
  </si>
  <si>
    <t>TEF SQ</t>
  </si>
  <si>
    <t>TELEFONICA SA</t>
  </si>
  <si>
    <t>NA CT</t>
  </si>
  <si>
    <t>NATIONAL BANK OF CANADA</t>
  </si>
  <si>
    <t>ALNY UW</t>
  </si>
  <si>
    <t>B00FWN1</t>
  </si>
  <si>
    <t>ALNYLAM PHARMACEUTICALS INC</t>
  </si>
  <si>
    <t>STAN LN</t>
  </si>
  <si>
    <t>STANDARD CHARTERED PLC</t>
  </si>
  <si>
    <t>9020 JT</t>
  </si>
  <si>
    <t>EAST JAPAN RAILWAY CO</t>
  </si>
  <si>
    <t>CLNX SQ</t>
  </si>
  <si>
    <t>BX90C05</t>
  </si>
  <si>
    <t>CELLNEX TELECOM SA</t>
  </si>
  <si>
    <t>RCL UN</t>
  </si>
  <si>
    <t>ROYAL CARIBBEAN CRUISES LTD</t>
  </si>
  <si>
    <t>ILMN UW</t>
  </si>
  <si>
    <t>ILLUMINA INC</t>
  </si>
  <si>
    <t>ASSAB SS</t>
  </si>
  <si>
    <t>BYPC1T4</t>
  </si>
  <si>
    <t>ASSA ABLOY AB</t>
  </si>
  <si>
    <t>REP SQ</t>
  </si>
  <si>
    <t>REPSOL SA</t>
  </si>
  <si>
    <t>8801 JT</t>
  </si>
  <si>
    <t>MITSUI FUDOSAN CO LTD</t>
  </si>
  <si>
    <t>4901 JT</t>
  </si>
  <si>
    <t>FUJIFILM HOLDINGS CORP</t>
  </si>
  <si>
    <t>ORA FP</t>
  </si>
  <si>
    <t>ORANGE SA</t>
  </si>
  <si>
    <t>DBK GY</t>
  </si>
  <si>
    <t>DEUTSCHE BANK AG</t>
  </si>
  <si>
    <t>MTB UN</t>
  </si>
  <si>
    <t>M&amp;T BANK CORP</t>
  </si>
  <si>
    <t>EMN UN</t>
  </si>
  <si>
    <t>EASTMAN CHEMICAL CO</t>
  </si>
  <si>
    <t>ICLR UW</t>
  </si>
  <si>
    <t>B94G471</t>
  </si>
  <si>
    <t>ICON PLC</t>
  </si>
  <si>
    <t>G IM</t>
  </si>
  <si>
    <t>ASSICURAZIONI GENERALI SPA</t>
  </si>
  <si>
    <t>VOW3 GY</t>
  </si>
  <si>
    <t>VOLKSWAGEN AG</t>
  </si>
  <si>
    <t>MONC IM</t>
  </si>
  <si>
    <t>BGLP232</t>
  </si>
  <si>
    <t>MONCLER SPA</t>
  </si>
  <si>
    <t>NOKIA FH</t>
  </si>
  <si>
    <t>NOKIA OYJ</t>
  </si>
  <si>
    <t>ULTA UW</t>
  </si>
  <si>
    <t>B28TS42</t>
  </si>
  <si>
    <t>ULTA BEAUTY INC</t>
  </si>
  <si>
    <t>CNP UN</t>
  </si>
  <si>
    <t>CENTERPOINT ENERGY INC</t>
  </si>
  <si>
    <t>ADYEN NA</t>
  </si>
  <si>
    <t>BZ1HM42</t>
  </si>
  <si>
    <t>ADYEN NV</t>
  </si>
  <si>
    <t>ETR UN</t>
  </si>
  <si>
    <t>ENTERGY CORP</t>
  </si>
  <si>
    <t>GIB/A CT</t>
  </si>
  <si>
    <t>BJ2L575</t>
  </si>
  <si>
    <t>CGI INC</t>
  </si>
  <si>
    <t>HLN LN</t>
  </si>
  <si>
    <t>BMX86B7</t>
  </si>
  <si>
    <t>HALEON PLC</t>
  </si>
  <si>
    <t>GPC UN</t>
  </si>
  <si>
    <t>GENUINE PARTS CO</t>
  </si>
  <si>
    <t>ALB UN</t>
  </si>
  <si>
    <t>ALBEMARLE CORP</t>
  </si>
  <si>
    <t>2802 JT</t>
  </si>
  <si>
    <t>AJINOMOTO CO INC</t>
  </si>
  <si>
    <t>DNB NO</t>
  </si>
  <si>
    <t>BNG7113</t>
  </si>
  <si>
    <t>DNB BANK ASA</t>
  </si>
  <si>
    <t>DASH UN</t>
  </si>
  <si>
    <t>BN13P03</t>
  </si>
  <si>
    <t>DOORDASH INC</t>
  </si>
  <si>
    <t>GL UN</t>
  </si>
  <si>
    <t>BK6YKG1</t>
  </si>
  <si>
    <t>GLOBE LIFE INC</t>
  </si>
  <si>
    <t>8750 JT</t>
  </si>
  <si>
    <t>B601QS4</t>
  </si>
  <si>
    <t>DAI-ICHI LIFE HOLDINGS INC</t>
  </si>
  <si>
    <t>WPM CT</t>
  </si>
  <si>
    <t>BF13KN5</t>
  </si>
  <si>
    <t>WHEATON PRECIOUS METALS CORP</t>
  </si>
  <si>
    <t>SAND SS</t>
  </si>
  <si>
    <t>B1VQ252</t>
  </si>
  <si>
    <t>SANDVIK AB</t>
  </si>
  <si>
    <t>6857 JT</t>
  </si>
  <si>
    <t>ADVANTEST CORP</t>
  </si>
  <si>
    <t>FLT UN</t>
  </si>
  <si>
    <t>B4R28B3</t>
  </si>
  <si>
    <t>FLEETCOR TECHNOLOGIES INC</t>
  </si>
  <si>
    <t>VNA GY</t>
  </si>
  <si>
    <t>BBJPFY1</t>
  </si>
  <si>
    <t>VONOVIA SE</t>
  </si>
  <si>
    <t>FE UN</t>
  </si>
  <si>
    <t>FIRSTENERGY CORP</t>
  </si>
  <si>
    <t>SAMPO FH</t>
  </si>
  <si>
    <t>SAMPO OYJ</t>
  </si>
  <si>
    <t>DOL CT</t>
  </si>
  <si>
    <t>B4TP9G2</t>
  </si>
  <si>
    <t>DOLLARAMA INC</t>
  </si>
  <si>
    <t>UMG NA</t>
  </si>
  <si>
    <t>BNZGVV1</t>
  </si>
  <si>
    <t>UNIVERSAL MUSIC GROUP NV</t>
  </si>
  <si>
    <t>RJF UN</t>
  </si>
  <si>
    <t>RAYMOND JAMES FINANCIAL INC</t>
  </si>
  <si>
    <t>CTRA UN</t>
  </si>
  <si>
    <t>COTERRA ENERGY INC</t>
  </si>
  <si>
    <t>6326 JT</t>
  </si>
  <si>
    <t>KUBOTA CORP</t>
  </si>
  <si>
    <t>BAX UN</t>
  </si>
  <si>
    <t>BAXTER INTERNATIONAL INC</t>
  </si>
  <si>
    <t>CPNG UN</t>
  </si>
  <si>
    <t>BNYHDF3</t>
  </si>
  <si>
    <t>COUPANG INC</t>
  </si>
  <si>
    <t>PHIA NA</t>
  </si>
  <si>
    <t>KONINKLIJKE PHILIPS NV</t>
  </si>
  <si>
    <t>ATCOB SS</t>
  </si>
  <si>
    <t>BLDBN52</t>
  </si>
  <si>
    <t>MKL UN</t>
  </si>
  <si>
    <t>MARKEL CORP</t>
  </si>
  <si>
    <t>INVH UN</t>
  </si>
  <si>
    <t>BD81GW9</t>
  </si>
  <si>
    <t>INVITATION HOMES INC</t>
  </si>
  <si>
    <t>EBS AV</t>
  </si>
  <si>
    <t>ERSTE GROUP BANK AG</t>
  </si>
  <si>
    <t>Austria</t>
  </si>
  <si>
    <t>MKC UN</t>
  </si>
  <si>
    <t>MCCORMICK &amp; CO INC/MD</t>
  </si>
  <si>
    <t>GLE FP</t>
  </si>
  <si>
    <t>SOCIETE GENERALE SA</t>
  </si>
  <si>
    <t>7011 JT</t>
  </si>
  <si>
    <t>MITSUBISHI HEAVY INDUSTRIES LT</t>
  </si>
  <si>
    <t>8802 JT</t>
  </si>
  <si>
    <t>MITSUBISHI ESTATE CO LTD</t>
  </si>
  <si>
    <t>BF/B UN</t>
  </si>
  <si>
    <t>BROWN-FORMAN CORP</t>
  </si>
  <si>
    <t>2502 JT</t>
  </si>
  <si>
    <t>ASAHI GROUP HOLDINGS LTD</t>
  </si>
  <si>
    <t>FTS CT</t>
  </si>
  <si>
    <t>FORTIS INC/CANADA</t>
  </si>
  <si>
    <t>6723 JT</t>
  </si>
  <si>
    <t>RENESAS ELECTRONICS CORP</t>
  </si>
  <si>
    <t>TRN IM</t>
  </si>
  <si>
    <t>B01BN57</t>
  </si>
  <si>
    <t>TERNA - RETE ELETTRICA NAZIONA</t>
  </si>
  <si>
    <t>DRI UN</t>
  </si>
  <si>
    <t>DARDEN RESTAURANTS INC</t>
  </si>
  <si>
    <t>NVR UN</t>
  </si>
  <si>
    <t>NVR INC</t>
  </si>
  <si>
    <t>4684 JT</t>
  </si>
  <si>
    <t>OBIC CO LTD</t>
  </si>
  <si>
    <t>6504 JT</t>
  </si>
  <si>
    <t>FUJI ELECTRIC CO LTD</t>
  </si>
  <si>
    <t>4519 JT</t>
  </si>
  <si>
    <t>CHUGAI PHARMACEUTICAL CO LTD</t>
  </si>
  <si>
    <t>SEBA SS</t>
  </si>
  <si>
    <t>SKANDINAVISKA ENSKILDA BANKEN</t>
  </si>
  <si>
    <t>4091 JT</t>
  </si>
  <si>
    <t>NIPPON SANSO HOLDINGS CORP</t>
  </si>
  <si>
    <t>ASM NA</t>
  </si>
  <si>
    <t>ASM INTERNATIONAL NV</t>
  </si>
  <si>
    <t>WSP CT</t>
  </si>
  <si>
    <t>BHR3R21</t>
  </si>
  <si>
    <t>WSP GLOBAL INC</t>
  </si>
  <si>
    <t>CLX UN</t>
  </si>
  <si>
    <t>CLOROX CO/THE</t>
  </si>
  <si>
    <t>ZM UW</t>
  </si>
  <si>
    <t>BGSP7M9</t>
  </si>
  <si>
    <t>ZOOM VIDEO COMMUNICATIONS INC</t>
  </si>
  <si>
    <t>EVO SS</t>
  </si>
  <si>
    <t>BJXSCH4</t>
  </si>
  <si>
    <t>EVOLUTION AB</t>
  </si>
  <si>
    <t>SWEDA SS</t>
  </si>
  <si>
    <t>SWEDBANK AB</t>
  </si>
  <si>
    <t>PPL UN</t>
  </si>
  <si>
    <t>PPL CORP</t>
  </si>
  <si>
    <t>HEN GY</t>
  </si>
  <si>
    <t>HENKEL AG &amp; CO KGAA</t>
  </si>
  <si>
    <t>6178 JT</t>
  </si>
  <si>
    <t>BYT8143</t>
  </si>
  <si>
    <t>JAPAN POST HOLDINGS CO LTD</t>
  </si>
  <si>
    <t>HEXAB SS</t>
  </si>
  <si>
    <t>BNZFHC1</t>
  </si>
  <si>
    <t>HEXAGON AB</t>
  </si>
  <si>
    <t>TRI CT</t>
  </si>
  <si>
    <t>BPLLTY3</t>
  </si>
  <si>
    <t>THOMSON REUTERS CORP</t>
  </si>
  <si>
    <t>IRM UN</t>
  </si>
  <si>
    <t>BVFTF03</t>
  </si>
  <si>
    <t>IRON MOUNTAIN INC</t>
  </si>
  <si>
    <t>VTR UN</t>
  </si>
  <si>
    <t>VENTAS INC</t>
  </si>
  <si>
    <t>VRSN UW</t>
  </si>
  <si>
    <t>VERISIGN INC</t>
  </si>
  <si>
    <t>CLI SP</t>
  </si>
  <si>
    <t>BNHXFJ6</t>
  </si>
  <si>
    <t>CAPITALAND INVESTMENT LTD/SING</t>
  </si>
  <si>
    <t>TRYG DC</t>
  </si>
  <si>
    <t>BXDZ972</t>
  </si>
  <si>
    <t>TRYG A/S</t>
  </si>
  <si>
    <t>7733 JT</t>
  </si>
  <si>
    <t>OLYMPUS CORP</t>
  </si>
  <si>
    <t>LH UN</t>
  </si>
  <si>
    <t>LABORATORY CORP OF AMERICA HOL</t>
  </si>
  <si>
    <t>GEBN SE</t>
  </si>
  <si>
    <t>B1WGG93</t>
  </si>
  <si>
    <t>GEBERIT AG</t>
  </si>
  <si>
    <t>EG UN</t>
  </si>
  <si>
    <t>EVEREST RE GROUP LTD</t>
  </si>
  <si>
    <t>KBC BB</t>
  </si>
  <si>
    <t>KBC GROUP NV</t>
  </si>
  <si>
    <t>ITRK LN</t>
  </si>
  <si>
    <t>INTERTEK GROUP PLC</t>
  </si>
  <si>
    <t>1925 JT</t>
  </si>
  <si>
    <t>DAIWA HOUSE INDUSTRY CO LTD</t>
  </si>
  <si>
    <t>6383 JT</t>
  </si>
  <si>
    <t>DAIFUKU CO LTD</t>
  </si>
  <si>
    <t>UPM FH</t>
  </si>
  <si>
    <t>UPM-KYMMENE OYJ</t>
  </si>
  <si>
    <t>EXPD UW</t>
  </si>
  <si>
    <t>EXPEDITORS INTERNATIONAL OF WA</t>
  </si>
  <si>
    <t>UAL UW</t>
  </si>
  <si>
    <t>B4QG225</t>
  </si>
  <si>
    <t>UNITED AIRLINES HOLDINGS INC</t>
  </si>
  <si>
    <t>LUV UN</t>
  </si>
  <si>
    <t>SOUTHWEST AIRLINES CO</t>
  </si>
  <si>
    <t>ORK NO</t>
  </si>
  <si>
    <t>B1VQF42</t>
  </si>
  <si>
    <t>ORKLA ASA</t>
  </si>
  <si>
    <t>ENPH UQ</t>
  </si>
  <si>
    <t>B65SQW4</t>
  </si>
  <si>
    <t>ENPHASE ENERGY INC</t>
  </si>
  <si>
    <t>NET UN</t>
  </si>
  <si>
    <t>BJXC5M2</t>
  </si>
  <si>
    <t>CLOUDFLARE INC</t>
  </si>
  <si>
    <t>HOLX UW</t>
  </si>
  <si>
    <t>HOLOGIC INC</t>
  </si>
  <si>
    <t>NESTE FH</t>
  </si>
  <si>
    <t>B06YV46</t>
  </si>
  <si>
    <t>NESTE OYJ</t>
  </si>
  <si>
    <t>NDAQ UW</t>
  </si>
  <si>
    <t>NASDAQ INC</t>
  </si>
  <si>
    <t>DELL UN</t>
  </si>
  <si>
    <t>BHKD3S6</t>
  </si>
  <si>
    <t>DELL TECHNOLOGIES INC</t>
  </si>
  <si>
    <t>6971 JT</t>
  </si>
  <si>
    <t>KYOCERA CORP</t>
  </si>
  <si>
    <t>EXR UN</t>
  </si>
  <si>
    <t>B02HWR9</t>
  </si>
  <si>
    <t>EXTRA SPACE STORAGE INC</t>
  </si>
  <si>
    <t>7269 JT</t>
  </si>
  <si>
    <t>SUZUKI MOTOR CORP</t>
  </si>
  <si>
    <t>9735 JT</t>
  </si>
  <si>
    <t>SECOM CO LTD</t>
  </si>
  <si>
    <t>CINF UW</t>
  </si>
  <si>
    <t>CINCINNATI FINANCIAL CORP</t>
  </si>
  <si>
    <t>8267 JT</t>
  </si>
  <si>
    <t>AEON CO LTD</t>
  </si>
  <si>
    <t>CCO CT</t>
  </si>
  <si>
    <t>CAMECO CORP</t>
  </si>
  <si>
    <t>COO UN</t>
  </si>
  <si>
    <t>COOPER COS INC/THE</t>
  </si>
  <si>
    <t>CMS UN</t>
  </si>
  <si>
    <t>CMS ENERGY CORP</t>
  </si>
  <si>
    <t>4452 JT</t>
  </si>
  <si>
    <t>KAO CORP</t>
  </si>
  <si>
    <t>4523 JT</t>
  </si>
  <si>
    <t>EISAI CO LTD</t>
  </si>
  <si>
    <t>4578 JT</t>
  </si>
  <si>
    <t>B5LTM93</t>
  </si>
  <si>
    <t>OTSUKA HOLDINGS CO LTD</t>
  </si>
  <si>
    <t>8725 JT</t>
  </si>
  <si>
    <t>B2Q4CS1</t>
  </si>
  <si>
    <t>MS&amp;AD INSURANCE GROUP HOLDINGS</t>
  </si>
  <si>
    <t>BMRN UW</t>
  </si>
  <si>
    <t>BIOMARIN PHARMACEUTICAL INC</t>
  </si>
  <si>
    <t>8951 JT</t>
  </si>
  <si>
    <t>NIPPON BUILDING FUND INC</t>
  </si>
  <si>
    <t>RF UN</t>
  </si>
  <si>
    <t>B01R311</t>
  </si>
  <si>
    <t>REGIONS FINANCIAL CORP</t>
  </si>
  <si>
    <t>KSP ID</t>
  </si>
  <si>
    <t>KINGSPAN GROUP PLC</t>
  </si>
  <si>
    <t>WAT UN</t>
  </si>
  <si>
    <t>WATERS CORP</t>
  </si>
  <si>
    <t>AKAM UW</t>
  </si>
  <si>
    <t>AKAMAI TECHNOLOGIES INC</t>
  </si>
  <si>
    <t>GRMN UN</t>
  </si>
  <si>
    <t>B3Z5T14</t>
  </si>
  <si>
    <t>GARMIN LTD</t>
  </si>
  <si>
    <t>SWKS UW</t>
  </si>
  <si>
    <t>SKYWORKS SOLUTIONS INC</t>
  </si>
  <si>
    <t>4021 JT</t>
  </si>
  <si>
    <t>NISSAN CHEMICAL CORP</t>
  </si>
  <si>
    <t>BKG LN</t>
  </si>
  <si>
    <t>BLJNXL8</t>
  </si>
  <si>
    <t>BERKELEY GROUP HOLDINGS PLC</t>
  </si>
  <si>
    <t>16 HK</t>
  </si>
  <si>
    <t>SUN HUNG KAI PROPERTIES LTD</t>
  </si>
  <si>
    <t>CBOE UF</t>
  </si>
  <si>
    <t>B5834C5</t>
  </si>
  <si>
    <t>CBOE GLOBAL MARKETS INC</t>
  </si>
  <si>
    <t>RED SQ</t>
  </si>
  <si>
    <t>BD6FXN3</t>
  </si>
  <si>
    <t>RED ELECTRICA CORP SA</t>
  </si>
  <si>
    <t>DANSKE DC</t>
  </si>
  <si>
    <t>DANSKE BANK A/S</t>
  </si>
  <si>
    <t>WBA UW</t>
  </si>
  <si>
    <t>BTN1Y44</t>
  </si>
  <si>
    <t>WALGREENS BOOTS ALLIANCE INC</t>
  </si>
  <si>
    <t>NTAP UW</t>
  </si>
  <si>
    <t>NETAPP INC</t>
  </si>
  <si>
    <t>FMC UN</t>
  </si>
  <si>
    <t>FMC CORP</t>
  </si>
  <si>
    <t>LUMI IT</t>
  </si>
  <si>
    <t>BANK LEUMI LE-ISRAEL BM</t>
  </si>
  <si>
    <t>ILS</t>
  </si>
  <si>
    <t>TXT UN</t>
  </si>
  <si>
    <t>TEXTRON INC</t>
  </si>
  <si>
    <t>BEI GY</t>
  </si>
  <si>
    <t>BEIERSDORF AG</t>
  </si>
  <si>
    <t>ATO UN</t>
  </si>
  <si>
    <t>ATMOS ENERGY CORP</t>
  </si>
  <si>
    <t>MAA UN</t>
  </si>
  <si>
    <t>MID-AMERICA APARTMENT COMMUNIT</t>
  </si>
  <si>
    <t>LGEN LN</t>
  </si>
  <si>
    <t>LEGAL &amp; GENERAL GROUP PLC</t>
  </si>
  <si>
    <t>ERICB SS</t>
  </si>
  <si>
    <t>TELEFONAKTIEBOLAGET LM ERICSSO</t>
  </si>
  <si>
    <t>BALL UN</t>
  </si>
  <si>
    <t>BALL CORP</t>
  </si>
  <si>
    <t>6146 JT</t>
  </si>
  <si>
    <t>DISCO CORP</t>
  </si>
  <si>
    <t>TOU CT</t>
  </si>
  <si>
    <t>B3QJ0H8</t>
  </si>
  <si>
    <t>TOURMALINE OIL CORP</t>
  </si>
  <si>
    <t>JBHT UW</t>
  </si>
  <si>
    <t>JB HUNT TRANSPORT SERVICES INC</t>
  </si>
  <si>
    <t>DTG GY</t>
  </si>
  <si>
    <t>BP6VLQ4</t>
  </si>
  <si>
    <t>DAIMLER TRUCK HOLDING AG</t>
  </si>
  <si>
    <t>KNIN SE</t>
  </si>
  <si>
    <t>B142S60</t>
  </si>
  <si>
    <t>KUEHNE + NAGEL INTERNATIONAL A</t>
  </si>
  <si>
    <t>STMN SE</t>
  </si>
  <si>
    <t>BQ7ZV06</t>
  </si>
  <si>
    <t>STRAUMANN HOLDING AG</t>
  </si>
  <si>
    <t>PHM UN</t>
  </si>
  <si>
    <t>PULTEGROUP INC</t>
  </si>
  <si>
    <t>OMC UN</t>
  </si>
  <si>
    <t>OMNICOM GROUP INC</t>
  </si>
  <si>
    <t>EPAM UN</t>
  </si>
  <si>
    <t>B44Z3T8</t>
  </si>
  <si>
    <t>EPAM SYSTEMS INC</t>
  </si>
  <si>
    <t>8630 JT</t>
  </si>
  <si>
    <t>B62G7K6</t>
  </si>
  <si>
    <t>SOMPO HOLDINGS INC</t>
  </si>
  <si>
    <t>TSN UN</t>
  </si>
  <si>
    <t>TYSON FOODS INC</t>
  </si>
  <si>
    <t>LVS UN</t>
  </si>
  <si>
    <t>B02T2J7</t>
  </si>
  <si>
    <t>LAS VEGAS SANDS CORP</t>
  </si>
  <si>
    <t>SCMN SE</t>
  </si>
  <si>
    <t>SWISSCOM AG</t>
  </si>
  <si>
    <t>TER UW</t>
  </si>
  <si>
    <t>TERADYNE INC</t>
  </si>
  <si>
    <t>4536 JT</t>
  </si>
  <si>
    <t>SANTEN PHARMACEUTICAL CO LTD</t>
  </si>
  <si>
    <t>CCL UN</t>
  </si>
  <si>
    <t>CARNIVAL CORP</t>
  </si>
  <si>
    <t>8113 JT</t>
  </si>
  <si>
    <t>UNICHARM CORP</t>
  </si>
  <si>
    <t>MG CT</t>
  </si>
  <si>
    <t>MAGNA INTERNATIONAL INC</t>
  </si>
  <si>
    <t>TRU UN</t>
  </si>
  <si>
    <t>BYMWL86</t>
  </si>
  <si>
    <t>TRANSUNION</t>
  </si>
  <si>
    <t>RIVN UW</t>
  </si>
  <si>
    <t>BL98841</t>
  </si>
  <si>
    <t>RIVIAN AUTOMOTIVE INC</t>
  </si>
  <si>
    <t>8015 JT</t>
  </si>
  <si>
    <t>TOYOTA TSUSHO CORP</t>
  </si>
  <si>
    <t>4911 JT</t>
  </si>
  <si>
    <t>SHISEIDO CO LTD</t>
  </si>
  <si>
    <t>2587 JT</t>
  </si>
  <si>
    <t>BBD7Q84</t>
  </si>
  <si>
    <t>SUNTORY BEVERAGE &amp; FOOD LTD</t>
  </si>
  <si>
    <t>EXPE UW</t>
  </si>
  <si>
    <t>B748CK2</t>
  </si>
  <si>
    <t>EXPEDIA GROUP INC</t>
  </si>
  <si>
    <t>PINS UN</t>
  </si>
  <si>
    <t>BJ2Z0H2</t>
  </si>
  <si>
    <t>PINTEREST INC</t>
  </si>
  <si>
    <t>9101 JT</t>
  </si>
  <si>
    <t>NIPPON YUSEN KK</t>
  </si>
  <si>
    <t>WDC UW</t>
  </si>
  <si>
    <t>WESTERN DIGITAL CORP</t>
  </si>
  <si>
    <t>1605 JT</t>
  </si>
  <si>
    <t>B10RB15</t>
  </si>
  <si>
    <t>INPEX CORP</t>
  </si>
  <si>
    <t>CABK SQ</t>
  </si>
  <si>
    <t>B283W97</t>
  </si>
  <si>
    <t>CAIXABANK SA</t>
  </si>
  <si>
    <t>6762 JT</t>
  </si>
  <si>
    <t>KNEBV FH</t>
  </si>
  <si>
    <t>B09M9D2</t>
  </si>
  <si>
    <t>KONE OYJ</t>
  </si>
  <si>
    <t>6201 JT</t>
  </si>
  <si>
    <t>TOYOTA INDUSTRIES CORP</t>
  </si>
  <si>
    <t>PAYC UN</t>
  </si>
  <si>
    <t>BL95MY0</t>
  </si>
  <si>
    <t>PAYCOM SOFTWARE INC</t>
  </si>
  <si>
    <t>6701 JT</t>
  </si>
  <si>
    <t>NEC CORP</t>
  </si>
  <si>
    <t>BBY UN</t>
  </si>
  <si>
    <t>BEST BUY CO INC</t>
  </si>
  <si>
    <t>ESS UN</t>
  </si>
  <si>
    <t>ESSEX PROPERTY TRUST INC</t>
  </si>
  <si>
    <t>669 HK</t>
  </si>
  <si>
    <t>B0190C7</t>
  </si>
  <si>
    <t>TECHTRONIC INDUSTRIES CO LTD</t>
  </si>
  <si>
    <t>AVTR UN</t>
  </si>
  <si>
    <t>BJLT387</t>
  </si>
  <si>
    <t>AVANTOR INC</t>
  </si>
  <si>
    <t>CCL/B CT</t>
  </si>
  <si>
    <t>CCL INDUSTRIES INC</t>
  </si>
  <si>
    <t>STJ LN</t>
  </si>
  <si>
    <t>ST JAMES'S PLACE PLC</t>
  </si>
  <si>
    <t>CPR IM</t>
  </si>
  <si>
    <t>BMQ5W17</t>
  </si>
  <si>
    <t>DAVIDE CAMPARI-MILANO NV</t>
  </si>
  <si>
    <t>SGRO LN</t>
  </si>
  <si>
    <t>B5ZN1N8</t>
  </si>
  <si>
    <t>SEGRO PLC</t>
  </si>
  <si>
    <t>8308 JT</t>
  </si>
  <si>
    <t>RESONA HOLDINGS INC</t>
  </si>
  <si>
    <t>CHKP UW</t>
  </si>
  <si>
    <t>CHECK POINT SOFTWARE TECHNOLOG</t>
  </si>
  <si>
    <t>CAG UN</t>
  </si>
  <si>
    <t>CONAGRA BRANDS INC</t>
  </si>
  <si>
    <t>HO FP</t>
  </si>
  <si>
    <t>THALES SA</t>
  </si>
  <si>
    <t>INVEA SS</t>
  </si>
  <si>
    <t>BMV7PN1</t>
  </si>
  <si>
    <t>POW CT</t>
  </si>
  <si>
    <t>POWER CORP OF CANADA</t>
  </si>
  <si>
    <t>FM CT</t>
  </si>
  <si>
    <t>FIRST QUANTUM MINERALS LTD</t>
  </si>
  <si>
    <t>Zimbabwe</t>
  </si>
  <si>
    <t>8309 JT</t>
  </si>
  <si>
    <t>SUMITOMO MITSUI TRUST HOLDINGS</t>
  </si>
  <si>
    <t>ZS UW</t>
  </si>
  <si>
    <t>BZ00V34</t>
  </si>
  <si>
    <t>ZSCALER INC</t>
  </si>
  <si>
    <t>COLOB DC</t>
  </si>
  <si>
    <t>B8FMRX8</t>
  </si>
  <si>
    <t>COLOPLAST A/S</t>
  </si>
  <si>
    <t>ACA FP</t>
  </si>
  <si>
    <t>CREDIT AGRICOLE SA</t>
  </si>
  <si>
    <t>SGSN SE</t>
  </si>
  <si>
    <t>BMBQHZ4</t>
  </si>
  <si>
    <t>SGS SA</t>
  </si>
  <si>
    <t>FER SQ</t>
  </si>
  <si>
    <t>BRS7CF0</t>
  </si>
  <si>
    <t>FERROVIAL SE</t>
  </si>
  <si>
    <t>FRE GY</t>
  </si>
  <si>
    <t>FRESENIUS SE &amp; CO KGAA</t>
  </si>
  <si>
    <t>DGX UN</t>
  </si>
  <si>
    <t>QUEST DIAGNOSTICS INC</t>
  </si>
  <si>
    <t>POLI IT</t>
  </si>
  <si>
    <t>BANK HAPOALIM BM</t>
  </si>
  <si>
    <t>1 HK</t>
  </si>
  <si>
    <t>BW9P816</t>
  </si>
  <si>
    <t>CK HUTCHISON HOLDINGS LTD</t>
  </si>
  <si>
    <t>2 HK</t>
  </si>
  <si>
    <t>CLP HOLDINGS LTD</t>
  </si>
  <si>
    <t>CE UN</t>
  </si>
  <si>
    <t>B05MZT4</t>
  </si>
  <si>
    <t>CELANESE CORP</t>
  </si>
  <si>
    <t>KYGA ID</t>
  </si>
  <si>
    <t>KERRY GROUP PLC</t>
  </si>
  <si>
    <t>INF LN</t>
  </si>
  <si>
    <t>BMJ6DW5</t>
  </si>
  <si>
    <t>INFORMA PLC</t>
  </si>
  <si>
    <t>SNA UN</t>
  </si>
  <si>
    <t>SNAP-ON INC</t>
  </si>
  <si>
    <t>LDOS UN</t>
  </si>
  <si>
    <t>BDV82B8</t>
  </si>
  <si>
    <t>LEIDOS HOLDINGS INC</t>
  </si>
  <si>
    <t>CCEP UW</t>
  </si>
  <si>
    <t>BYQQ3P5</t>
  </si>
  <si>
    <t>COCA-COLA EUROPACIFIC PARTNERS</t>
  </si>
  <si>
    <t>SRG IM</t>
  </si>
  <si>
    <t>SNAM SPA</t>
  </si>
  <si>
    <t>SHBA SS</t>
  </si>
  <si>
    <t>BXDZ9Q1</t>
  </si>
  <si>
    <t>SVENSKA HANDELSBANKEN AB</t>
  </si>
  <si>
    <t>DPZ UN</t>
  </si>
  <si>
    <t>B01SD70</t>
  </si>
  <si>
    <t>DOMINO'S PIZZA INC</t>
  </si>
  <si>
    <t>9602 JT</t>
  </si>
  <si>
    <t>TOHO CO LTD/TOKYO</t>
  </si>
  <si>
    <t>SYF UN</t>
  </si>
  <si>
    <t>BP96PS6</t>
  </si>
  <si>
    <t>SYNCHRONY FINANCIAL</t>
  </si>
  <si>
    <t>SWK UN</t>
  </si>
  <si>
    <t>B3Q2FJ4</t>
  </si>
  <si>
    <t>STANLEY BLACK &amp; DECKER INC</t>
  </si>
  <si>
    <t>4151 JT</t>
  </si>
  <si>
    <t>KYOWA KIRIN CO LTD</t>
  </si>
  <si>
    <t>4507 JT</t>
  </si>
  <si>
    <t>SHIONOGI &amp; CO LTD</t>
  </si>
  <si>
    <t>SHL GY</t>
  </si>
  <si>
    <t>BD594Y4</t>
  </si>
  <si>
    <t>SIEMENS HEALTHINEERS AG</t>
  </si>
  <si>
    <t>LBRDK UW</t>
  </si>
  <si>
    <t>BRTLC06</t>
  </si>
  <si>
    <t>LIBERTY BROADBAND CORP</t>
  </si>
  <si>
    <t>CFG UN</t>
  </si>
  <si>
    <t>BQRX1X3</t>
  </si>
  <si>
    <t>CITIZENS FINANCIAL GROUP INC</t>
  </si>
  <si>
    <t>AMCR UN</t>
  </si>
  <si>
    <t>BJ1F307</t>
  </si>
  <si>
    <t>L CT</t>
  </si>
  <si>
    <t>LOBLAW COS LTD</t>
  </si>
  <si>
    <t>ARE UN</t>
  </si>
  <si>
    <t>ALEXANDRIA REAL ESTATE EQUITIE</t>
  </si>
  <si>
    <t>INDT SS</t>
  </si>
  <si>
    <t>B0LDBX7</t>
  </si>
  <si>
    <t>INDUTRADE AB</t>
  </si>
  <si>
    <t>ST SP</t>
  </si>
  <si>
    <t>B02PY11</t>
  </si>
  <si>
    <t>SINGAPORE TELECOMMUNICATIONS L</t>
  </si>
  <si>
    <t>NWG LN</t>
  </si>
  <si>
    <t>BM8PJY7</t>
  </si>
  <si>
    <t>NATWEST GROUP PLC</t>
  </si>
  <si>
    <t>823 HK</t>
  </si>
  <si>
    <t>B0PB4M7</t>
  </si>
  <si>
    <t>LINK REIT</t>
  </si>
  <si>
    <t>WRB UN</t>
  </si>
  <si>
    <t>W R BERKLEY CORP</t>
  </si>
  <si>
    <t>27 HK</t>
  </si>
  <si>
    <t>GALAXY ENTERTAINMENT GROUP LTD</t>
  </si>
  <si>
    <t>Macao</t>
  </si>
  <si>
    <t>WPC UN</t>
  </si>
  <si>
    <t>B826YT8</t>
  </si>
  <si>
    <t>WP CAREY INC</t>
  </si>
  <si>
    <t>SY1 GY</t>
  </si>
  <si>
    <t>B1JB4K8</t>
  </si>
  <si>
    <t>SYMRISE AG</t>
  </si>
  <si>
    <t>7270 JT</t>
  </si>
  <si>
    <t>SUBARU CORP</t>
  </si>
  <si>
    <t>8953 JT</t>
  </si>
  <si>
    <t>JAPAN METROPOLITAN FUND INVEST</t>
  </si>
  <si>
    <t>8604 JT</t>
  </si>
  <si>
    <t>NOMURA HOLDINGS INC</t>
  </si>
  <si>
    <t>LKQ UW</t>
  </si>
  <si>
    <t>LKQ CORP</t>
  </si>
  <si>
    <t>STX UW</t>
  </si>
  <si>
    <t>BKVD2N4</t>
  </si>
  <si>
    <t>SEAGATE TECHNOLOGY HOLDINGS PL</t>
  </si>
  <si>
    <t>ESSITYB SS</t>
  </si>
  <si>
    <t>BF1K7P7</t>
  </si>
  <si>
    <t>ESSITY AB</t>
  </si>
  <si>
    <t>KMX UN</t>
  </si>
  <si>
    <t>CARMAX INC</t>
  </si>
  <si>
    <t>OKTA UW</t>
  </si>
  <si>
    <t>BDFZSP1</t>
  </si>
  <si>
    <t>OKTA INC</t>
  </si>
  <si>
    <t>7832 JT</t>
  </si>
  <si>
    <t>B0JDQD4</t>
  </si>
  <si>
    <t>BANDAI NAMCO HOLDINGS INC</t>
  </si>
  <si>
    <t>AV/ LN</t>
  </si>
  <si>
    <t>BPQY8M8</t>
  </si>
  <si>
    <t>AVIVA PLC</t>
  </si>
  <si>
    <t>PKG UN</t>
  </si>
  <si>
    <t>PACKAGING CORP OF AMERICA</t>
  </si>
  <si>
    <t>SJM UN</t>
  </si>
  <si>
    <t>J M SMUCKER CO/THE</t>
  </si>
  <si>
    <t>EVRG UW</t>
  </si>
  <si>
    <t>BFMXGR0</t>
  </si>
  <si>
    <t>EVERGY INC</t>
  </si>
  <si>
    <t>BAM CT</t>
  </si>
  <si>
    <t>BPCPYH2</t>
  </si>
  <si>
    <t>BROOKFIELD ASSET MANAGEMENT LT</t>
  </si>
  <si>
    <t>EDP PL</t>
  </si>
  <si>
    <t>EDP - ENERGIAS DE PORTUGAL SA</t>
  </si>
  <si>
    <t>Portugal</t>
  </si>
  <si>
    <t>RO SE</t>
  </si>
  <si>
    <t>AKZA NA</t>
  </si>
  <si>
    <t>BJ2KSG2</t>
  </si>
  <si>
    <t>AKZO NOBEL NV</t>
  </si>
  <si>
    <t>CNHI IM</t>
  </si>
  <si>
    <t>BDSV2V0</t>
  </si>
  <si>
    <t>CNH INDUSTRIAL NV</t>
  </si>
  <si>
    <t>6502 JT</t>
  </si>
  <si>
    <t>SGE LN</t>
  </si>
  <si>
    <t>B8C3BL0</t>
  </si>
  <si>
    <t>SAGE GROUP PLC/THE</t>
  </si>
  <si>
    <t>MAS UN</t>
  </si>
  <si>
    <t>MASCO CORP</t>
  </si>
  <si>
    <t>TEVA IT</t>
  </si>
  <si>
    <t>TEVA PHARMACEUTICAL INDUSTRIES</t>
  </si>
  <si>
    <t>UDR UN</t>
  </si>
  <si>
    <t>UDR INC</t>
  </si>
  <si>
    <t>CARLB DC</t>
  </si>
  <si>
    <t>CARLSBERG AS</t>
  </si>
  <si>
    <t>1928 JT</t>
  </si>
  <si>
    <t>SEKISUI HOUSE LTD</t>
  </si>
  <si>
    <t>SPK NZ</t>
  </si>
  <si>
    <t>New Zealand</t>
  </si>
  <si>
    <t>NZD</t>
  </si>
  <si>
    <t>EPIA SS</t>
  </si>
  <si>
    <t>BMD58R8</t>
  </si>
  <si>
    <t>EPIROC AB</t>
  </si>
  <si>
    <t>GEN UW</t>
  </si>
  <si>
    <t>BJN4XN5</t>
  </si>
  <si>
    <t>GEN DIGITAL INC</t>
  </si>
  <si>
    <t>SSNC UW</t>
  </si>
  <si>
    <t>B58YSC6</t>
  </si>
  <si>
    <t>SS&amp;C TECHNOLOGIES HOLDINGS INC</t>
  </si>
  <si>
    <t>2319 HK</t>
  </si>
  <si>
    <t>B01B1L9</t>
  </si>
  <si>
    <t>CHINA MENGNIU DAIRY CO LTD</t>
  </si>
  <si>
    <t>MOS UN</t>
  </si>
  <si>
    <t>B3NPHP6</t>
  </si>
  <si>
    <t>MOSAIC CO/THE</t>
  </si>
  <si>
    <t>ZBRA UW</t>
  </si>
  <si>
    <t>ZEBRA TECHNOLOGIES CORP</t>
  </si>
  <si>
    <t>IHG LN</t>
  </si>
  <si>
    <t>BHJYC05</t>
  </si>
  <si>
    <t>INTERCONTINENTAL HOTELS GROUP</t>
  </si>
  <si>
    <t>MTCH UW</t>
  </si>
  <si>
    <t>BK80XH9</t>
  </si>
  <si>
    <t>MATCH GROUP INC</t>
  </si>
  <si>
    <t>RBA CT</t>
  </si>
  <si>
    <t>BMWGTH9</t>
  </si>
  <si>
    <t>RB GLOBAL INC</t>
  </si>
  <si>
    <t>MT NA</t>
  </si>
  <si>
    <t>BYPBS67</t>
  </si>
  <si>
    <t>ARCELORMITTAL SA</t>
  </si>
  <si>
    <t>Luxembourg</t>
  </si>
  <si>
    <t>6920 JT</t>
  </si>
  <si>
    <t>LASERTEC CORP</t>
  </si>
  <si>
    <t>BNZL LN</t>
  </si>
  <si>
    <t>B0744B3</t>
  </si>
  <si>
    <t>BUNZL PLC</t>
  </si>
  <si>
    <t>8830 JT</t>
  </si>
  <si>
    <t>SUMITOMO REALTY &amp; DEVELOPMENT</t>
  </si>
  <si>
    <t>2503 JT</t>
  </si>
  <si>
    <t>KIRIN HOLDINGS CO LTD</t>
  </si>
  <si>
    <t>COIN UW</t>
  </si>
  <si>
    <t>BMC9P69</t>
  </si>
  <si>
    <t>COINBASE GLOBAL INC</t>
  </si>
  <si>
    <t>NICE IT</t>
  </si>
  <si>
    <t>NICE LTD</t>
  </si>
  <si>
    <t>SIA SP</t>
  </si>
  <si>
    <t>SINGAPORE AIRLINES LTD</t>
  </si>
  <si>
    <t>STERV FH</t>
  </si>
  <si>
    <t>STORA ENSO OYJ</t>
  </si>
  <si>
    <t>5020 JT</t>
  </si>
  <si>
    <t>B627LW9</t>
  </si>
  <si>
    <t>ENEOS HOLDINGS INC</t>
  </si>
  <si>
    <t>LYV UN</t>
  </si>
  <si>
    <t>B0T7YX2</t>
  </si>
  <si>
    <t>LIVE NATION ENTERTAINMENT INC</t>
  </si>
  <si>
    <t>HAL NA</t>
  </si>
  <si>
    <t>HAL TRUST</t>
  </si>
  <si>
    <t>MNDI LN</t>
  </si>
  <si>
    <t>B1CRLC4</t>
  </si>
  <si>
    <t>MONDI PLC</t>
  </si>
  <si>
    <t>VTRS UW</t>
  </si>
  <si>
    <t>BMWS3X9</t>
  </si>
  <si>
    <t>VIATRIS INC</t>
  </si>
  <si>
    <t>IP UN</t>
  </si>
  <si>
    <t>INTERNATIONAL PAPER CO</t>
  </si>
  <si>
    <t>CA FP</t>
  </si>
  <si>
    <t>CARREFOUR SA</t>
  </si>
  <si>
    <t>9104 JT</t>
  </si>
  <si>
    <t>MITSUI OSK LINES LTD</t>
  </si>
  <si>
    <t>HRL UN</t>
  </si>
  <si>
    <t>HORMEL FOODS CORP</t>
  </si>
  <si>
    <t>HST UW</t>
  </si>
  <si>
    <t>HOST HOTELS &amp; RESORTS INC</t>
  </si>
  <si>
    <t>NI UN</t>
  </si>
  <si>
    <t>NISOURCE INC</t>
  </si>
  <si>
    <t>TAP UN</t>
  </si>
  <si>
    <t>B067BM3</t>
  </si>
  <si>
    <t>MOLSON COORS BEVERAGE CO</t>
  </si>
  <si>
    <t>ORSTED DC</t>
  </si>
  <si>
    <t>BYT16L4</t>
  </si>
  <si>
    <t>ORSTED AS</t>
  </si>
  <si>
    <t>L UN</t>
  </si>
  <si>
    <t>LOEWS CORP</t>
  </si>
  <si>
    <t>9503 JT</t>
  </si>
  <si>
    <t>KANSAI ELECTRIC POWER CO INC/T</t>
  </si>
  <si>
    <t>SN/ LN</t>
  </si>
  <si>
    <t>SMITH &amp; NEPHEW PLC</t>
  </si>
  <si>
    <t>AENA SQ</t>
  </si>
  <si>
    <t>BVRZ8L1</t>
  </si>
  <si>
    <t>AENA SME SA</t>
  </si>
  <si>
    <t>AER UN</t>
  </si>
  <si>
    <t>B1HHKD3</t>
  </si>
  <si>
    <t>AERCAP HOLDINGS NV</t>
  </si>
  <si>
    <t>INCY UW</t>
  </si>
  <si>
    <t>INCYTE CORP</t>
  </si>
  <si>
    <t>P911 GY</t>
  </si>
  <si>
    <t>BJN59B8</t>
  </si>
  <si>
    <t>DR ING HC F PORSCHE AG</t>
  </si>
  <si>
    <t>FNF UN</t>
  </si>
  <si>
    <t>BNBRDD4</t>
  </si>
  <si>
    <t>FIDELITY NATIONAL FINANCIAL IN</t>
  </si>
  <si>
    <t>7201 JT</t>
  </si>
  <si>
    <t>NISSAN MOTOR CO LTD</t>
  </si>
  <si>
    <t>NXT LN</t>
  </si>
  <si>
    <t>NEXT PLC</t>
  </si>
  <si>
    <t>PEAK UN</t>
  </si>
  <si>
    <t>BJBLRK3</t>
  </si>
  <si>
    <t>HEALTHPEAK PROPERTIES INC</t>
  </si>
  <si>
    <t>1113 HK</t>
  </si>
  <si>
    <t>BYZQ077</t>
  </si>
  <si>
    <t>CK ASSET HOLDINGS LTD</t>
  </si>
  <si>
    <t>1093 HK</t>
  </si>
  <si>
    <t>CSPC PHARMACEUTICAL GROUP LTD</t>
  </si>
  <si>
    <t>3462 JT</t>
  </si>
  <si>
    <t>BYSJJF4</t>
  </si>
  <si>
    <t>NOMURA REAL ESTATE MASTER FUND</t>
  </si>
  <si>
    <t>JDEP NA</t>
  </si>
  <si>
    <t>BMC4ZZ3</t>
  </si>
  <si>
    <t>JDE PEET'S NV</t>
  </si>
  <si>
    <t>MGM UN</t>
  </si>
  <si>
    <t>MGM RESORTS INTERNATIONAL</t>
  </si>
  <si>
    <t>KEY UN</t>
  </si>
  <si>
    <t>KEYCORP</t>
  </si>
  <si>
    <t>4307 JT</t>
  </si>
  <si>
    <t>NOMURA RESEARCH INSTITUTE LTD</t>
  </si>
  <si>
    <t>7309 JT</t>
  </si>
  <si>
    <t>SHIMANO INC</t>
  </si>
  <si>
    <t>PRY IM</t>
  </si>
  <si>
    <t>B1W4V69</t>
  </si>
  <si>
    <t>PRYSMIAN SPA</t>
  </si>
  <si>
    <t>6988 JT</t>
  </si>
  <si>
    <t>NITTO DENKO CORP</t>
  </si>
  <si>
    <t>TWLO UN</t>
  </si>
  <si>
    <t>BD6P5Q0</t>
  </si>
  <si>
    <t>TWILIO INC</t>
  </si>
  <si>
    <t>UCB BB</t>
  </si>
  <si>
    <t>UCB SA</t>
  </si>
  <si>
    <t>6 HK</t>
  </si>
  <si>
    <t>POWER ASSETS HOLDINGS LTD</t>
  </si>
  <si>
    <t>7951 JT</t>
  </si>
  <si>
    <t>YAMAHA CORP</t>
  </si>
  <si>
    <t>DSCT IT</t>
  </si>
  <si>
    <t>ISRAEL DISCOUNT BANK LTD</t>
  </si>
  <si>
    <t>HEN3 GY</t>
  </si>
  <si>
    <t>UHR SE</t>
  </si>
  <si>
    <t>SWATCH GROUP AG/THE</t>
  </si>
  <si>
    <t>9021 JT</t>
  </si>
  <si>
    <t>WEST JAPAN RAILWAY CO</t>
  </si>
  <si>
    <t>AKRBP NO</t>
  </si>
  <si>
    <t>B1L95G3</t>
  </si>
  <si>
    <t>AKER BP ASA</t>
  </si>
  <si>
    <t>IMO CT</t>
  </si>
  <si>
    <t>IMPERIAL OIL LTD</t>
  </si>
  <si>
    <t>5802 JT</t>
  </si>
  <si>
    <t>SUMITOMO ELECTRIC INDUSTRIES L</t>
  </si>
  <si>
    <t>WPP LN</t>
  </si>
  <si>
    <t>B8KF9B4</t>
  </si>
  <si>
    <t>WPP PLC</t>
  </si>
  <si>
    <t>6506 JT</t>
  </si>
  <si>
    <t>YASKAWA ELECTRIC CORP</t>
  </si>
  <si>
    <t>9502 JT</t>
  </si>
  <si>
    <t>CHUBU ELECTRIC POWER CO INC</t>
  </si>
  <si>
    <t>22UA GY</t>
  </si>
  <si>
    <t>BKTPD39</t>
  </si>
  <si>
    <t>BIONTECH SE</t>
  </si>
  <si>
    <t>BIRG ID</t>
  </si>
  <si>
    <t>BD1RP61</t>
  </si>
  <si>
    <t>BANK OF IRELAND GROUP PLC</t>
  </si>
  <si>
    <t>CZR UW</t>
  </si>
  <si>
    <t>BMWWGB0</t>
  </si>
  <si>
    <t>CAESARS ENTERTAINMENT INC</t>
  </si>
  <si>
    <t>9508 JT</t>
  </si>
  <si>
    <t>KYUSHU ELECTRIC POWER CO INC</t>
  </si>
  <si>
    <t>9531 JT</t>
  </si>
  <si>
    <t>TOKYO GAS CO LTD</t>
  </si>
  <si>
    <t>CHRW UW</t>
  </si>
  <si>
    <t>CH ROBINSON WORLDWIDE INC</t>
  </si>
  <si>
    <t>TFII CT</t>
  </si>
  <si>
    <t>BDRXBF4</t>
  </si>
  <si>
    <t>TFI INTERNATIONAL INC</t>
  </si>
  <si>
    <t>DOX UW</t>
  </si>
  <si>
    <t>AMDOCS LTD</t>
  </si>
  <si>
    <t>RPRX UW</t>
  </si>
  <si>
    <t>BMVP7Y0</t>
  </si>
  <si>
    <t>ROYALTY PHARMA PLC</t>
  </si>
  <si>
    <t>TFX UN</t>
  </si>
  <si>
    <t>TELEFLEX INC</t>
  </si>
  <si>
    <t>EMA CT</t>
  </si>
  <si>
    <t>EMERA INC</t>
  </si>
  <si>
    <t>ALFA SS</t>
  </si>
  <si>
    <t>ALFA LAVAL AB</t>
  </si>
  <si>
    <t>9843 JT</t>
  </si>
  <si>
    <t>NITORI HOLDINGS CO LTD</t>
  </si>
  <si>
    <t>OTEX CT</t>
  </si>
  <si>
    <t>OPEN TEXT CORP</t>
  </si>
  <si>
    <t>MOWI NO</t>
  </si>
  <si>
    <t>B02L486</t>
  </si>
  <si>
    <t>MOWI ASA</t>
  </si>
  <si>
    <t>NN NA</t>
  </si>
  <si>
    <t>BNG8PQ9</t>
  </si>
  <si>
    <t>NN GROUP NV</t>
  </si>
  <si>
    <t>BURL UN</t>
  </si>
  <si>
    <t>BF311Y5</t>
  </si>
  <si>
    <t>BURLINGTON STORES INC</t>
  </si>
  <si>
    <t>11 HK</t>
  </si>
  <si>
    <t>HANG SENG BANK LTD</t>
  </si>
  <si>
    <t>4188 JT</t>
  </si>
  <si>
    <t>B0JQTJ0</t>
  </si>
  <si>
    <t>MITSUBISHI CHEMICAL GROUP CORP</t>
  </si>
  <si>
    <t>GJF NO</t>
  </si>
  <si>
    <t>B4PH0C5</t>
  </si>
  <si>
    <t>GJENSIDIGE FORSIKRING ASA</t>
  </si>
  <si>
    <t>ROL UN</t>
  </si>
  <si>
    <t>ROLLINS INC</t>
  </si>
  <si>
    <t>3407 JT</t>
  </si>
  <si>
    <t>ASAHI KASEI CORP</t>
  </si>
  <si>
    <t>JM SP</t>
  </si>
  <si>
    <t>JARDINE MATHESON HOLDINGS LTD</t>
  </si>
  <si>
    <t>HMB SS</t>
  </si>
  <si>
    <t>H &amp; M HENNES &amp; MAURITZ AB</t>
  </si>
  <si>
    <t>BT/A LN</t>
  </si>
  <si>
    <t>BT GROUP PLC</t>
  </si>
  <si>
    <t>HSIC UW</t>
  </si>
  <si>
    <t>HENRY SCHEIN INC</t>
  </si>
  <si>
    <t>MTN UN</t>
  </si>
  <si>
    <t>VAIL RESORTS INC</t>
  </si>
  <si>
    <t>MTX GY</t>
  </si>
  <si>
    <t>B09DHL9</t>
  </si>
  <si>
    <t>MTU AERO ENGINES AG</t>
  </si>
  <si>
    <t>ARX CT</t>
  </si>
  <si>
    <t>B6463M8</t>
  </si>
  <si>
    <t>ARC RESOURCES LTD</t>
  </si>
  <si>
    <t>PKN PW</t>
  </si>
  <si>
    <t>POLSKI KONCERN NAFTOWY ORLEN S</t>
  </si>
  <si>
    <t>Poland</t>
  </si>
  <si>
    <t>PLN</t>
  </si>
  <si>
    <t>66 HK</t>
  </si>
  <si>
    <t>MTR CORP LTD</t>
  </si>
  <si>
    <t>BRBY LN</t>
  </si>
  <si>
    <t>BURBERRY GROUP PLC</t>
  </si>
  <si>
    <t>MZTF IT</t>
  </si>
  <si>
    <t>MIZRAHI TEFAHOT BANK LTD</t>
  </si>
  <si>
    <t>9048 JT</t>
  </si>
  <si>
    <t>NAGOYA RAILROAD CO LTD</t>
  </si>
  <si>
    <t>NIBEB SS</t>
  </si>
  <si>
    <t>BN7BZM3</t>
  </si>
  <si>
    <t>NIBE INDUSTRIER AB</t>
  </si>
  <si>
    <t>8795 JT</t>
  </si>
  <si>
    <t>T&amp;D HOLDINGS INC</t>
  </si>
  <si>
    <t>PNDORA DC</t>
  </si>
  <si>
    <t>B44XTX8</t>
  </si>
  <si>
    <t>PANDORA A/S</t>
  </si>
  <si>
    <t>FME GY</t>
  </si>
  <si>
    <t>FRESENIUS MEDICAL CARE AG &amp; CO</t>
  </si>
  <si>
    <t>CICT SP</t>
  </si>
  <si>
    <t>CAPITALAND INTEGRATED COMMERCI</t>
  </si>
  <si>
    <t>RBLX UN</t>
  </si>
  <si>
    <t>BMWBC20</t>
  </si>
  <si>
    <t>ROBLOX CORP</t>
  </si>
  <si>
    <t>STB NO</t>
  </si>
  <si>
    <t>STOREBRAND ASA</t>
  </si>
  <si>
    <t>NHY NO</t>
  </si>
  <si>
    <t>B11HK39</t>
  </si>
  <si>
    <t>NORSK HYDRO ASA</t>
  </si>
  <si>
    <t>CLAR SP</t>
  </si>
  <si>
    <t>CAPITALAND ASCENDAS REIT</t>
  </si>
  <si>
    <t>EQT SS</t>
  </si>
  <si>
    <t>BJ7W9K4</t>
  </si>
  <si>
    <t>EQT AB</t>
  </si>
  <si>
    <t>8697 JT</t>
  </si>
  <si>
    <t>JAPAN EXCHANGE GROUP INC</t>
  </si>
  <si>
    <t>9202 JT</t>
  </si>
  <si>
    <t>ANA HOLDINGS INC</t>
  </si>
  <si>
    <t>EXO NA</t>
  </si>
  <si>
    <t>BMJ1825</t>
  </si>
  <si>
    <t>EXOR NV</t>
  </si>
  <si>
    <t>9042 JT</t>
  </si>
  <si>
    <t>HANKYU HANSHIN HOLDINGS INC</t>
  </si>
  <si>
    <t>HEI GY</t>
  </si>
  <si>
    <t>HEIDELBERGCEMENT AG</t>
  </si>
  <si>
    <t>TEL NO</t>
  </si>
  <si>
    <t>TELENOR ASA</t>
  </si>
  <si>
    <t>9613 JT</t>
  </si>
  <si>
    <t>NTT DATA CORP</t>
  </si>
  <si>
    <t>HLMA LN</t>
  </si>
  <si>
    <t>HALMA PLC</t>
  </si>
  <si>
    <t>ELISA FH</t>
  </si>
  <si>
    <t>ELISA OYJ</t>
  </si>
  <si>
    <t>4528 JT</t>
  </si>
  <si>
    <t>ONO PHARMACEUTICAL CO LTD</t>
  </si>
  <si>
    <t>DOCU UW</t>
  </si>
  <si>
    <t>BFYT7B7</t>
  </si>
  <si>
    <t>DOCUSIGN INC</t>
  </si>
  <si>
    <t>CTLT UN</t>
  </si>
  <si>
    <t>BP96PQ4</t>
  </si>
  <si>
    <t>CATALENT INC</t>
  </si>
  <si>
    <t>3402 JT</t>
  </si>
  <si>
    <t>TORAY INDUSTRIES INC</t>
  </si>
  <si>
    <t>7272 JT</t>
  </si>
  <si>
    <t>YAMAHA MOTOR CO LTD</t>
  </si>
  <si>
    <t>175 HK</t>
  </si>
  <si>
    <t>GEELY AUTOMOBILE HOLDINGS LTD</t>
  </si>
  <si>
    <t>5411 JT</t>
  </si>
  <si>
    <t>JFE HOLDINGS INC</t>
  </si>
  <si>
    <t>ENT LN</t>
  </si>
  <si>
    <t>B5VQMV6</t>
  </si>
  <si>
    <t>ENTAIN PLC</t>
  </si>
  <si>
    <t>6645 JT</t>
  </si>
  <si>
    <t>OMRON CORP</t>
  </si>
  <si>
    <t>IBKR UW</t>
  </si>
  <si>
    <t>B1WT4X2</t>
  </si>
  <si>
    <t>INTERACTIVE BROKERS GROUP INC</t>
  </si>
  <si>
    <t>CRDA LN</t>
  </si>
  <si>
    <t>BJFFLV0</t>
  </si>
  <si>
    <t>CRODA INTERNATIONAL PLC</t>
  </si>
  <si>
    <t>SNAP UN</t>
  </si>
  <si>
    <t>BD8DJ71</t>
  </si>
  <si>
    <t>SNAP INC</t>
  </si>
  <si>
    <t>5101 JT</t>
  </si>
  <si>
    <t>YOKOHAMA RUBBER CO LTD/THE</t>
  </si>
  <si>
    <t>KPN NA</t>
  </si>
  <si>
    <t>KONINKLIJKE KPN NV</t>
  </si>
  <si>
    <t>SW FP</t>
  </si>
  <si>
    <t>SODEXO SA</t>
  </si>
  <si>
    <t>NZYMB DC</t>
  </si>
  <si>
    <t>B798FW0</t>
  </si>
  <si>
    <t>NOVOZYMES A/S</t>
  </si>
  <si>
    <t>2801 JT</t>
  </si>
  <si>
    <t>KIKKOMAN CORP</t>
  </si>
  <si>
    <t>2282 JT</t>
  </si>
  <si>
    <t>NH FOODS LTD</t>
  </si>
  <si>
    <t>SPX LN</t>
  </si>
  <si>
    <t>BWFGQN1</t>
  </si>
  <si>
    <t>SPIRAX-SARCO ENGINEERING PLC</t>
  </si>
  <si>
    <t>ABF LN</t>
  </si>
  <si>
    <t>ASSOCIATED BRITISH FOODS PLC</t>
  </si>
  <si>
    <t>BEZQ IT</t>
  </si>
  <si>
    <t>BEZEQ THE ISRAELI TELECOMMUNIC</t>
  </si>
  <si>
    <t>HAS UW</t>
  </si>
  <si>
    <t>HASBRO INC</t>
  </si>
  <si>
    <t>9107 JT</t>
  </si>
  <si>
    <t>KAWASAKI KISEN KAISHA LTD</t>
  </si>
  <si>
    <t>HEIO NA</t>
  </si>
  <si>
    <t>B0CCH46</t>
  </si>
  <si>
    <t>HEINEKEN HOLDING NV</t>
  </si>
  <si>
    <t>SRT3 GY</t>
  </si>
  <si>
    <t>SARTORIUS AG</t>
  </si>
  <si>
    <t>WTB LN</t>
  </si>
  <si>
    <t>B1KJJ40</t>
  </si>
  <si>
    <t>WHITBREAD PLC</t>
  </si>
  <si>
    <t>PKO PW</t>
  </si>
  <si>
    <t>B03NGS5</t>
  </si>
  <si>
    <t>POWSZECHNA KASA OSZCZEDNOSCI B</t>
  </si>
  <si>
    <t>8601 JT</t>
  </si>
  <si>
    <t>DAIWA SECURITIES GROUP INC</t>
  </si>
  <si>
    <t>3659 JT</t>
  </si>
  <si>
    <t>B63QM77</t>
  </si>
  <si>
    <t>NEXON CO LTD</t>
  </si>
  <si>
    <t>PAH3 GY</t>
  </si>
  <si>
    <t>PORSCHE AUTOMOBIL HOLDING SE</t>
  </si>
  <si>
    <t>6869 JT</t>
  </si>
  <si>
    <t>SYSMEX CORP</t>
  </si>
  <si>
    <t>9201 JT</t>
  </si>
  <si>
    <t>B8BRV46</t>
  </si>
  <si>
    <t>JAPAN AIRLINES CO LTD</t>
  </si>
  <si>
    <t>CPB UN</t>
  </si>
  <si>
    <t>CAMPBELL SOUP CO</t>
  </si>
  <si>
    <t>3289 JT</t>
  </si>
  <si>
    <t>BDC6LT2</t>
  </si>
  <si>
    <t>TOKYU FUDOSAN HOLDINGS CORP</t>
  </si>
  <si>
    <t>7532 JT</t>
  </si>
  <si>
    <t>PAN PACIFIC INTERNATIONAL HOLD</t>
  </si>
  <si>
    <t>TEP FP</t>
  </si>
  <si>
    <t>TELEPERFORMANCE</t>
  </si>
  <si>
    <t>1928 HK</t>
  </si>
  <si>
    <t>B5B23W2</t>
  </si>
  <si>
    <t>SANDS CHINA LTD</t>
  </si>
  <si>
    <t>LBTYK UW</t>
  </si>
  <si>
    <t>B8W67B1</t>
  </si>
  <si>
    <t>LIBERTY GLOBAL PLC</t>
  </si>
  <si>
    <t>ETSY UW</t>
  </si>
  <si>
    <t>BWTN5N1</t>
  </si>
  <si>
    <t>ETSY INC</t>
  </si>
  <si>
    <t>1812 JT</t>
  </si>
  <si>
    <t>KAJIMA CORP</t>
  </si>
  <si>
    <t>OMV AV</t>
  </si>
  <si>
    <t>OMV AG</t>
  </si>
  <si>
    <t>FPH NZ</t>
  </si>
  <si>
    <t>2413 JT</t>
  </si>
  <si>
    <t>B02K2M3</t>
  </si>
  <si>
    <t>M3 INC</t>
  </si>
  <si>
    <t>AOS UN</t>
  </si>
  <si>
    <t>A O SMITH CORP</t>
  </si>
  <si>
    <t>U UN</t>
  </si>
  <si>
    <t>BLFDXH8</t>
  </si>
  <si>
    <t>UNITY SOFTWARE INC</t>
  </si>
  <si>
    <t>SCAB SS</t>
  </si>
  <si>
    <t>B1VVGZ5</t>
  </si>
  <si>
    <t>SVENSKA CELLULOSA AB SCA</t>
  </si>
  <si>
    <t>UU/ LN</t>
  </si>
  <si>
    <t>B39J2M4</t>
  </si>
  <si>
    <t>UNITED UTILITIES GROUP PLC</t>
  </si>
  <si>
    <t>METSO FH</t>
  </si>
  <si>
    <t>B1FN8X9</t>
  </si>
  <si>
    <t>METSO OYJ</t>
  </si>
  <si>
    <t>CON GY</t>
  </si>
  <si>
    <t>CONTINENTAL AG</t>
  </si>
  <si>
    <t>5713 JT</t>
  </si>
  <si>
    <t>SUMITOMO METAL MINING CO LTD</t>
  </si>
  <si>
    <t>SOLB BB</t>
  </si>
  <si>
    <t>SOLVAY SA</t>
  </si>
  <si>
    <t>MB IM</t>
  </si>
  <si>
    <t>MEDIOBANCA BANCA DI CREDITO FI</t>
  </si>
  <si>
    <t>CAE CT</t>
  </si>
  <si>
    <t>CAE INC</t>
  </si>
  <si>
    <t>9532 JT</t>
  </si>
  <si>
    <t>OSAKA GAS CO LTD</t>
  </si>
  <si>
    <t>FBK IM</t>
  </si>
  <si>
    <t>BNGN9Z1</t>
  </si>
  <si>
    <t>FINECOBANK BANCA FINECO SPA</t>
  </si>
  <si>
    <t>4689 JT</t>
  </si>
  <si>
    <t>Z HOLDINGS CORP</t>
  </si>
  <si>
    <t>WN CT</t>
  </si>
  <si>
    <t>GEORGE WESTON LTD</t>
  </si>
  <si>
    <t>5201 JT</t>
  </si>
  <si>
    <t>AGC INC</t>
  </si>
  <si>
    <t>H CT</t>
  </si>
  <si>
    <t>BYYXJY9</t>
  </si>
  <si>
    <t>HYDRO ONE LTD</t>
  </si>
  <si>
    <t>MRO LN</t>
  </si>
  <si>
    <t>BNGDN82</t>
  </si>
  <si>
    <t>MELROSE INDUSTRIES PLC</t>
  </si>
  <si>
    <t>ERF FP</t>
  </si>
  <si>
    <t>BNDPYV1</t>
  </si>
  <si>
    <t>EUROFINS SCIENTIFIC SE</t>
  </si>
  <si>
    <t>PSON LN</t>
  </si>
  <si>
    <t>PEARSON PLC</t>
  </si>
  <si>
    <t>CYBR UW</t>
  </si>
  <si>
    <t>BQT3XY6</t>
  </si>
  <si>
    <t>CYBERARK SOFTWARE LTD</t>
  </si>
  <si>
    <t>TEN IM</t>
  </si>
  <si>
    <t>TENARIS SA</t>
  </si>
  <si>
    <t>GBLB BB</t>
  </si>
  <si>
    <t>GROUPE BRUXELLES LAMBERT NV</t>
  </si>
  <si>
    <t>7261 JT</t>
  </si>
  <si>
    <t>MAZDA MOTOR CORP</t>
  </si>
  <si>
    <t>BOL SS</t>
  </si>
  <si>
    <t>BPYTZ57</t>
  </si>
  <si>
    <t>BOLIDEN AB</t>
  </si>
  <si>
    <t>TIT IM</t>
  </si>
  <si>
    <t>TELECOM ITALIA SPA/MILANO</t>
  </si>
  <si>
    <t>2002 JT</t>
  </si>
  <si>
    <t>NISSHIN SEIFUN GROUP INC</t>
  </si>
  <si>
    <t>4732 JT</t>
  </si>
  <si>
    <t>USS CO LTD</t>
  </si>
  <si>
    <t>GRAB UW</t>
  </si>
  <si>
    <t>BP6NH40</t>
  </si>
  <si>
    <t>GRAB HOLDINGS LTD</t>
  </si>
  <si>
    <t>EN FP</t>
  </si>
  <si>
    <t>BOUYGUES SA</t>
  </si>
  <si>
    <t>ALLY UN</t>
  </si>
  <si>
    <t>B72XK05</t>
  </si>
  <si>
    <t>ALLY FINANCIAL INC</t>
  </si>
  <si>
    <t>WIL SP</t>
  </si>
  <si>
    <t>B17KC69</t>
  </si>
  <si>
    <t>WILMAR INTERNATIONAL LTD</t>
  </si>
  <si>
    <t>SVT LN</t>
  </si>
  <si>
    <t>B1FH8J7</t>
  </si>
  <si>
    <t>SEVERN TRENT PLC</t>
  </si>
  <si>
    <t>1997 HK</t>
  </si>
  <si>
    <t>BF0GWS4</t>
  </si>
  <si>
    <t>WHARF REAL ESTATE INVESTMENT C</t>
  </si>
  <si>
    <t>7012 JT</t>
  </si>
  <si>
    <t>KAWASAKI HEAVY INDUSTRIES LTD</t>
  </si>
  <si>
    <t>7701 JT</t>
  </si>
  <si>
    <t>SHIMADZU CORP</t>
  </si>
  <si>
    <t>ACS SQ</t>
  </si>
  <si>
    <t>B01FLQ6</t>
  </si>
  <si>
    <t>ACS ACTIVIDADES DE CONSTRUCCIO</t>
  </si>
  <si>
    <t>WLN FP</t>
  </si>
  <si>
    <t>BNFWR44</t>
  </si>
  <si>
    <t>WORLDLINE SA/FRANCE</t>
  </si>
  <si>
    <t>9501 JT</t>
  </si>
  <si>
    <t>TOKYO ELECTRIC POWER CO HOLDIN</t>
  </si>
  <si>
    <t>CAST SS</t>
  </si>
  <si>
    <t>B0XP0T0</t>
  </si>
  <si>
    <t>CASTELLUM AB</t>
  </si>
  <si>
    <t>6479 JT</t>
  </si>
  <si>
    <t>MINEBEA MITSUMI INC</t>
  </si>
  <si>
    <t>1802 JT</t>
  </si>
  <si>
    <t>OBAYASHI CORP</t>
  </si>
  <si>
    <t>VMS SP</t>
  </si>
  <si>
    <t>VENTURE CORP LTD</t>
  </si>
  <si>
    <t>9005 JT</t>
  </si>
  <si>
    <t>TOKYU CORP</t>
  </si>
  <si>
    <t>KEP SP</t>
  </si>
  <si>
    <t>B1VQ5C0</t>
  </si>
  <si>
    <t>KEPPEL CORP LTD</t>
  </si>
  <si>
    <t>PARA UW</t>
  </si>
  <si>
    <t>BKTNTR9</t>
  </si>
  <si>
    <t>PARAMOUNT GLOBAL</t>
  </si>
  <si>
    <t>GALP PL</t>
  </si>
  <si>
    <t>B1FW751</t>
  </si>
  <si>
    <t>GALP ENERGIA SGPS SA</t>
  </si>
  <si>
    <t>6963 JT</t>
  </si>
  <si>
    <t>ROHM CO LTD</t>
  </si>
  <si>
    <t>BEN UN</t>
  </si>
  <si>
    <t>FRANKLIN RESOURCES INC</t>
  </si>
  <si>
    <t>4912 JT</t>
  </si>
  <si>
    <t>LION CORP</t>
  </si>
  <si>
    <t>YAR NO</t>
  </si>
  <si>
    <t>YARA INTERNATIONAL ASA</t>
  </si>
  <si>
    <t>FOXA UW</t>
  </si>
  <si>
    <t>BJJMGL2</t>
  </si>
  <si>
    <t>FOX CORP</t>
  </si>
  <si>
    <t>1878 JT</t>
  </si>
  <si>
    <t>DAITO TRUST CONSTRUCTION CO LT</t>
  </si>
  <si>
    <t>MAERSKA DC</t>
  </si>
  <si>
    <t>AP MOLLER - MAERSK A/S</t>
  </si>
  <si>
    <t>GRF SQ</t>
  </si>
  <si>
    <t>BYY3DX6</t>
  </si>
  <si>
    <t>GRIFOLS SA</t>
  </si>
  <si>
    <t>2267 JT</t>
  </si>
  <si>
    <t>YAKULT HONSHA CO LTD</t>
  </si>
  <si>
    <t>DHER GY</t>
  </si>
  <si>
    <t>BZCNB42</t>
  </si>
  <si>
    <t>DELIVERY HERO SE</t>
  </si>
  <si>
    <t>7911 JT</t>
  </si>
  <si>
    <t>TOPPAN INC</t>
  </si>
  <si>
    <t>AUTO LN</t>
  </si>
  <si>
    <t>BVYVFW2</t>
  </si>
  <si>
    <t>AUTO TRADER GROUP PLC</t>
  </si>
  <si>
    <t>7912 JT</t>
  </si>
  <si>
    <t>DAI NIPPON PRINTING CO LTD</t>
  </si>
  <si>
    <t>ENR GY</t>
  </si>
  <si>
    <t>BMTVQK9</t>
  </si>
  <si>
    <t>SIEMENS ENERGY AG</t>
  </si>
  <si>
    <t>BME LN</t>
  </si>
  <si>
    <t>BMTRW10</t>
  </si>
  <si>
    <t>B&amp;M EUROPEAN VALUE RETAIL SA</t>
  </si>
  <si>
    <t>4612 JT</t>
  </si>
  <si>
    <t>NIPPON PAINT HOLDINGS CO LTD</t>
  </si>
  <si>
    <t>9506 JT</t>
  </si>
  <si>
    <t>TOHOKU ELECTRIC POWER CO INC</t>
  </si>
  <si>
    <t>3291 JT</t>
  </si>
  <si>
    <t>BFDTBS3</t>
  </si>
  <si>
    <t>IIDA GROUP HOLDINGS CO LTD</t>
  </si>
  <si>
    <t>3 HK</t>
  </si>
  <si>
    <t>HONG KONG &amp; CHINA GAS CO LTD</t>
  </si>
  <si>
    <t>19 HK</t>
  </si>
  <si>
    <t>SWIRE PACIFIC LTD</t>
  </si>
  <si>
    <t>JMT PL</t>
  </si>
  <si>
    <t>B1Y1SQ7</t>
  </si>
  <si>
    <t>JERONIMO MARTINS SGPS SA</t>
  </si>
  <si>
    <t>WHR UN</t>
  </si>
  <si>
    <t>WHIRLPOOL CORP</t>
  </si>
  <si>
    <t>IAG LN</t>
  </si>
  <si>
    <t>B5M6XQ7</t>
  </si>
  <si>
    <t>INTERNATIONAL CONSOLIDATED AIR</t>
  </si>
  <si>
    <t>GWO CT</t>
  </si>
  <si>
    <t>GREAT-WEST LIFECO INC</t>
  </si>
  <si>
    <t>4324 JT</t>
  </si>
  <si>
    <t>DENTSU GROUP INC</t>
  </si>
  <si>
    <t>3088 JT</t>
  </si>
  <si>
    <t>B249GC0</t>
  </si>
  <si>
    <t>MATSUKIYOCOCOKARA &amp; CO</t>
  </si>
  <si>
    <t>FSV CT</t>
  </si>
  <si>
    <t>BJMKSJ5</t>
  </si>
  <si>
    <t>FIRSTSERVICE CORP</t>
  </si>
  <si>
    <t>SGX SP</t>
  </si>
  <si>
    <t>SINGAPORE EXCHANGE LTD</t>
  </si>
  <si>
    <t>PZU PW</t>
  </si>
  <si>
    <t>B63DG21</t>
  </si>
  <si>
    <t>POWSZECHNY ZAKLAD UBEZPIECZEN</t>
  </si>
  <si>
    <t>SBRY LN</t>
  </si>
  <si>
    <t>B019KW7</t>
  </si>
  <si>
    <t>J SAINSBURY PLC</t>
  </si>
  <si>
    <t>2269 JT</t>
  </si>
  <si>
    <t>B60DQV3</t>
  </si>
  <si>
    <t>MEIJI HOLDINGS CO LTD</t>
  </si>
  <si>
    <t>6586 JT</t>
  </si>
  <si>
    <t>MAKITA CORP</t>
  </si>
  <si>
    <t>WIE AV</t>
  </si>
  <si>
    <t>WIENERBERGER AG</t>
  </si>
  <si>
    <t>7459 JT</t>
  </si>
  <si>
    <t>MEDIPAL HOLDINGS CORP</t>
  </si>
  <si>
    <t>1801 JT</t>
  </si>
  <si>
    <t>TAISEI CORP</t>
  </si>
  <si>
    <t>STM SP</t>
  </si>
  <si>
    <t>SEATRIUM LTD</t>
  </si>
  <si>
    <t>4755 JT</t>
  </si>
  <si>
    <t>RAKUTEN GROUP INC</t>
  </si>
  <si>
    <t>9143 JT</t>
  </si>
  <si>
    <t>BFFY885</t>
  </si>
  <si>
    <t>SG HOLDINGS CO LTD</t>
  </si>
  <si>
    <t>7453 JT</t>
  </si>
  <si>
    <t>RYOHIN KEIKAKU CO LTD</t>
  </si>
  <si>
    <t>2784 JT</t>
  </si>
  <si>
    <t>ALFRESA HOLDINGS CORP</t>
  </si>
  <si>
    <t>4062 JT</t>
  </si>
  <si>
    <t>IBIDEN CO LTD</t>
  </si>
  <si>
    <t>7259 JT</t>
  </si>
  <si>
    <t>AISIN CORP</t>
  </si>
  <si>
    <t>SCHN SE</t>
  </si>
  <si>
    <t>B11WWH2</t>
  </si>
  <si>
    <t>SCHINDLER HOLDING AG</t>
  </si>
  <si>
    <t>8593 JT</t>
  </si>
  <si>
    <t>MITSUBISHI HC CAPITAL INC</t>
  </si>
  <si>
    <t>7936 JT</t>
  </si>
  <si>
    <t>ASICS CORP</t>
  </si>
  <si>
    <t>CHR DC</t>
  </si>
  <si>
    <t>B573M11</t>
  </si>
  <si>
    <t>CHR HANSEN HOLDING A/S</t>
  </si>
  <si>
    <t>SKFB SS</t>
  </si>
  <si>
    <t>B1Q3J35</t>
  </si>
  <si>
    <t>SKF AB</t>
  </si>
  <si>
    <t>IAG CT</t>
  </si>
  <si>
    <t>BJ2ZH37</t>
  </si>
  <si>
    <t>IA FINANCIAL CORP INC</t>
  </si>
  <si>
    <t>SKAB SS</t>
  </si>
  <si>
    <t>SKANSKA AB</t>
  </si>
  <si>
    <t>HUSQB SS</t>
  </si>
  <si>
    <t>B12PJ24</t>
  </si>
  <si>
    <t>HUSQVARNA AB</t>
  </si>
  <si>
    <t>ESLT IT</t>
  </si>
  <si>
    <t>ELBIT SYSTEMS LTD</t>
  </si>
  <si>
    <t>AIA NZ</t>
  </si>
  <si>
    <t>BKX3XG2</t>
  </si>
  <si>
    <t>SCCO UN</t>
  </si>
  <si>
    <t>SOUTHERN COPPER CORP</t>
  </si>
  <si>
    <t>Mexico</t>
  </si>
  <si>
    <t>ONEX CT</t>
  </si>
  <si>
    <t>ONEX CORP</t>
  </si>
  <si>
    <t>DIM FP</t>
  </si>
  <si>
    <t>BYZ2QP5</t>
  </si>
  <si>
    <t>SARTORIUS STEDIM BIOTECH</t>
  </si>
  <si>
    <t>SOF BB</t>
  </si>
  <si>
    <t>SOFINA SA</t>
  </si>
  <si>
    <t>EDPR PL</t>
  </si>
  <si>
    <t>B39GNW2</t>
  </si>
  <si>
    <t>EDP RENOVAVEIS SA</t>
  </si>
  <si>
    <t>AGS BB</t>
  </si>
  <si>
    <t>B86S2N0</t>
  </si>
  <si>
    <t>AGEAS SA/NV</t>
  </si>
  <si>
    <t>PUM GY</t>
  </si>
  <si>
    <t>PUMA SE</t>
  </si>
  <si>
    <t>WEIR LN</t>
  </si>
  <si>
    <t>WEIR GROUP PLC/THE</t>
  </si>
  <si>
    <t>K CT</t>
  </si>
  <si>
    <t>B03Z841</t>
  </si>
  <si>
    <t>KINROSS GOLD CORP</t>
  </si>
  <si>
    <t>SCHP SE</t>
  </si>
  <si>
    <t>B11TCY0</t>
  </si>
  <si>
    <t>EPIB SS</t>
  </si>
  <si>
    <t>BMD58W3</t>
  </si>
  <si>
    <t>ELE SQ</t>
  </si>
  <si>
    <t>ENDESA SA</t>
  </si>
  <si>
    <t>9697 JT</t>
  </si>
  <si>
    <t>CAPCOM CO LTD</t>
  </si>
  <si>
    <t>MEL NZ</t>
  </si>
  <si>
    <t>BWFD052</t>
  </si>
  <si>
    <t>MERIDIAN ENERGY LTD</t>
  </si>
  <si>
    <t>6965 JT</t>
  </si>
  <si>
    <t>HAMAMATSU PHOTONICS KK</t>
  </si>
  <si>
    <t>5019 JT</t>
  </si>
  <si>
    <t>B1FF8P7</t>
  </si>
  <si>
    <t>IDEMITSU KOSAN CO LTD</t>
  </si>
  <si>
    <t>FUTU UQ</t>
  </si>
  <si>
    <t>BGK4T39</t>
  </si>
  <si>
    <t>FUTU HOLDINGS LTD</t>
  </si>
  <si>
    <t>ICL IT</t>
  </si>
  <si>
    <t>ICL GROUP LTD</t>
  </si>
  <si>
    <t>CAR-U CT</t>
  </si>
  <si>
    <t>CANADIAN APARTMENT PROPERTIES</t>
  </si>
  <si>
    <t>PAAS CT</t>
  </si>
  <si>
    <t>PAN AMERICAN SILVER CORP</t>
  </si>
  <si>
    <t>ZAL GY</t>
  </si>
  <si>
    <t>BQV0SV7</t>
  </si>
  <si>
    <t>ZALANDO SE</t>
  </si>
  <si>
    <t>9009 JT</t>
  </si>
  <si>
    <t>KEISEI ELECTRIC RAILWAY CO LTD</t>
  </si>
  <si>
    <t>8252 JT</t>
  </si>
  <si>
    <t>MARUI GROUP CO LTD</t>
  </si>
  <si>
    <t>CTC/A CT</t>
  </si>
  <si>
    <t>CANADIAN TIRE CORP LTD</t>
  </si>
  <si>
    <t>GFL CT</t>
  </si>
  <si>
    <t>BKDT649</t>
  </si>
  <si>
    <t>GFL ENVIRONMENTAL INC</t>
  </si>
  <si>
    <t>9041 JT</t>
  </si>
  <si>
    <t>KINTETSU GROUP HOLDINGS CO LTD</t>
  </si>
  <si>
    <t>LDO IM</t>
  </si>
  <si>
    <t>B0DJNG0</t>
  </si>
  <si>
    <t>LEONARDO SPA</t>
  </si>
  <si>
    <t>WRT1V FH</t>
  </si>
  <si>
    <t>4204 JT</t>
  </si>
  <si>
    <t>SEKISUI CHEMICAL CO LTD</t>
  </si>
  <si>
    <t>TIGO SS</t>
  </si>
  <si>
    <t>B00L2M8</t>
  </si>
  <si>
    <t>MILLICOM INTERNATIONAL CELLULA</t>
  </si>
  <si>
    <t>Guatemala</t>
  </si>
  <si>
    <t>2768 JT</t>
  </si>
  <si>
    <t>SOJITZ CORP</t>
  </si>
  <si>
    <t>KGF LN</t>
  </si>
  <si>
    <t>KINGFISHER PLC</t>
  </si>
  <si>
    <t>9001 JT</t>
  </si>
  <si>
    <t>TOBU RAILWAY CO LTD</t>
  </si>
  <si>
    <t>RMV LN</t>
  </si>
  <si>
    <t>BGDT3G2</t>
  </si>
  <si>
    <t>RIGHTMOVE PLC</t>
  </si>
  <si>
    <t>KESKOB FH</t>
  </si>
  <si>
    <t>KESKO OYJ</t>
  </si>
  <si>
    <t>ANTO LN</t>
  </si>
  <si>
    <t>ANTOFAGASTA PLC</t>
  </si>
  <si>
    <t>Chile</t>
  </si>
  <si>
    <t>BMW3 GY</t>
  </si>
  <si>
    <t>NVMI IT</t>
  </si>
  <si>
    <t>NOVA LTD</t>
  </si>
  <si>
    <t>MAERSKB DC</t>
  </si>
  <si>
    <t>4967 JT</t>
  </si>
  <si>
    <t>KOBAYASHI PHARMACEUTICAL CO LT</t>
  </si>
  <si>
    <t>3003 JT</t>
  </si>
  <si>
    <t>HULIC CO LTD</t>
  </si>
  <si>
    <t>4185 JT</t>
  </si>
  <si>
    <t>JSR CORP</t>
  </si>
  <si>
    <t>8473 JT</t>
  </si>
  <si>
    <t>SBI HOLDINGS INC</t>
  </si>
  <si>
    <t>THULE SS</t>
  </si>
  <si>
    <t>BSQXJ01</t>
  </si>
  <si>
    <t>THULE GROUP AB</t>
  </si>
  <si>
    <t>ADM LN</t>
  </si>
  <si>
    <t>B02J639</t>
  </si>
  <si>
    <t>ADMIRAL GROUP PLC</t>
  </si>
  <si>
    <t>4527 JT</t>
  </si>
  <si>
    <t>ROHTO PHARMACEUTICAL CO LTD</t>
  </si>
  <si>
    <t>TRELB SS</t>
  </si>
  <si>
    <t>TRELLEBORG AB</t>
  </si>
  <si>
    <t>FORTUM FH</t>
  </si>
  <si>
    <t>FORTUM OYJ</t>
  </si>
  <si>
    <t>WIX UW</t>
  </si>
  <si>
    <t>BFZCHN7</t>
  </si>
  <si>
    <t>WIX.COM LTD</t>
  </si>
  <si>
    <t>3626 JT</t>
  </si>
  <si>
    <t>B2Q4CR0</t>
  </si>
  <si>
    <t>TIS INC</t>
  </si>
  <si>
    <t>ALA CT</t>
  </si>
  <si>
    <t>B43WJC5</t>
  </si>
  <si>
    <t>ALTAGAS LTD</t>
  </si>
  <si>
    <t>FOX UW</t>
  </si>
  <si>
    <t>BJJMGY5</t>
  </si>
  <si>
    <t>8331 JT</t>
  </si>
  <si>
    <t>CHIBA BANK LTD/THE</t>
  </si>
  <si>
    <t>MNG LN</t>
  </si>
  <si>
    <t>BKFB1C6</t>
  </si>
  <si>
    <t>M&amp;G PLC</t>
  </si>
  <si>
    <t>BDEV LN</t>
  </si>
  <si>
    <t>BARRATT DEVELOPMENTS PLC</t>
  </si>
  <si>
    <t>1821 HK</t>
  </si>
  <si>
    <t>BHNCRK0</t>
  </si>
  <si>
    <t>ESR GROUP LTD</t>
  </si>
  <si>
    <t>SAP CT</t>
  </si>
  <si>
    <t>SAPUTO INC</t>
  </si>
  <si>
    <t>9007 JT</t>
  </si>
  <si>
    <t>ODAKYU ELECTRIC RAILWAY CO LTD</t>
  </si>
  <si>
    <t>SAGAB SS</t>
  </si>
  <si>
    <t>B9M3PK4</t>
  </si>
  <si>
    <t>SAGAX AB</t>
  </si>
  <si>
    <t>4704 JT</t>
  </si>
  <si>
    <t>TREND MICRO INC/JAPAN</t>
  </si>
  <si>
    <t>7186 JT</t>
  </si>
  <si>
    <t>BD97JW7</t>
  </si>
  <si>
    <t>CONCORDIA FINANCIAL GROUP LTD</t>
  </si>
  <si>
    <t>SMIN LN</t>
  </si>
  <si>
    <t>B1WY233</t>
  </si>
  <si>
    <t>SMITHS GROUP PLC</t>
  </si>
  <si>
    <t>TELIA SS</t>
  </si>
  <si>
    <t>TELIA CO AB</t>
  </si>
  <si>
    <t>PEO PW</t>
  </si>
  <si>
    <t>BANK POLSKA KASA OPIEKI SA</t>
  </si>
  <si>
    <t>KEY CT</t>
  </si>
  <si>
    <t>B3SGMV5</t>
  </si>
  <si>
    <t>KEYERA CORP</t>
  </si>
  <si>
    <t>7752 JT</t>
  </si>
  <si>
    <t>RICOH CO LTD</t>
  </si>
  <si>
    <t>STE SP</t>
  </si>
  <si>
    <t>SINGAPORE TECHNOLOGIES ENGINEE</t>
  </si>
  <si>
    <t>4183 JT</t>
  </si>
  <si>
    <t>MITSUI CHEMICALS INC</t>
  </si>
  <si>
    <t>TW/ LN</t>
  </si>
  <si>
    <t>TAYLOR WIMPEY PLC</t>
  </si>
  <si>
    <t>SCI SP</t>
  </si>
  <si>
    <t>B08X163</t>
  </si>
  <si>
    <t>SEMBCORP INDUSTRIES LTD</t>
  </si>
  <si>
    <t>9064 JT</t>
  </si>
  <si>
    <t>YAMATO HOLDINGS CO LTD</t>
  </si>
  <si>
    <t>AQN CT</t>
  </si>
  <si>
    <t>B51BMR7</t>
  </si>
  <si>
    <t>ALGONQUIN POWER &amp; UTILITIES CO</t>
  </si>
  <si>
    <t>9766 JT</t>
  </si>
  <si>
    <t>KONAMI GROUP CORP</t>
  </si>
  <si>
    <t>LAND LN</t>
  </si>
  <si>
    <t>BYW0PQ6</t>
  </si>
  <si>
    <t>LAND SECURITIES GROUP PLC</t>
  </si>
  <si>
    <t>9962 JT</t>
  </si>
  <si>
    <t>MISUMI GROUP INC</t>
  </si>
  <si>
    <t>NPI CT</t>
  </si>
  <si>
    <t>B68XHC3</t>
  </si>
  <si>
    <t>NORTHLAND POWER INC</t>
  </si>
  <si>
    <t>2897 JT</t>
  </si>
  <si>
    <t>NISSIN FOODS HOLDINGS CO LTD</t>
  </si>
  <si>
    <t>IVN CT</t>
  </si>
  <si>
    <t>BD73C40</t>
  </si>
  <si>
    <t>IVANHOE MINES LTD</t>
  </si>
  <si>
    <t>5334 JT</t>
  </si>
  <si>
    <t>NITERRA CO LTD</t>
  </si>
  <si>
    <t>OCDO LN</t>
  </si>
  <si>
    <t>B3MBS74</t>
  </si>
  <si>
    <t>OCADO GROUP PLC</t>
  </si>
  <si>
    <t>VOW GY</t>
  </si>
  <si>
    <t>UMI BB</t>
  </si>
  <si>
    <t>BF44466</t>
  </si>
  <si>
    <t>UMICORE SA</t>
  </si>
  <si>
    <t>IFT NZ</t>
  </si>
  <si>
    <t>INFRATIL LTD</t>
  </si>
  <si>
    <t>DCC LN</t>
  </si>
  <si>
    <t>DCC PLC</t>
  </si>
  <si>
    <t>6361 JT</t>
  </si>
  <si>
    <t>EBARA CORP</t>
  </si>
  <si>
    <t>VOLVA SS</t>
  </si>
  <si>
    <t>B1QH7Y4</t>
  </si>
  <si>
    <t>DNP PW</t>
  </si>
  <si>
    <t>BD0YVN2</t>
  </si>
  <si>
    <t>DINO POLSKA SA</t>
  </si>
  <si>
    <t>LUN CT</t>
  </si>
  <si>
    <t>LUNDIN MINING CORP</t>
  </si>
  <si>
    <t>WISE LN</t>
  </si>
  <si>
    <t>BL9YR75</t>
  </si>
  <si>
    <t>WISE PLC</t>
  </si>
  <si>
    <t>SOBI SS</t>
  </si>
  <si>
    <t>B1CC9H0</t>
  </si>
  <si>
    <t>SWEDISH ORPHAN BIOVITRUM AB</t>
  </si>
  <si>
    <t>GIL CT</t>
  </si>
  <si>
    <t>GILDAN ACTIVEWEAR INC</t>
  </si>
  <si>
    <t>ICP LN</t>
  </si>
  <si>
    <t>BYT1DJ1</t>
  </si>
  <si>
    <t>INTERMEDIATE CAPITAL GROUP PLC</t>
  </si>
  <si>
    <t>REC IM</t>
  </si>
  <si>
    <t>B07DRZ5</t>
  </si>
  <si>
    <t>RECORDATI INDUSTRIA CHIMICA E</t>
  </si>
  <si>
    <t>5831 JT</t>
  </si>
  <si>
    <t>BP38QJ6</t>
  </si>
  <si>
    <t>SHIZUOKA FINANCIAL GROUP INC</t>
  </si>
  <si>
    <t>PHNX LN</t>
  </si>
  <si>
    <t>BGXQNP2</t>
  </si>
  <si>
    <t>PHOENIX GROUP HOLDINGS PLC</t>
  </si>
  <si>
    <t>PST IM</t>
  </si>
  <si>
    <t>BYYN701</t>
  </si>
  <si>
    <t>POSTE ITALIANE SPA</t>
  </si>
  <si>
    <t>GFS UW</t>
  </si>
  <si>
    <t>BMW7F63</t>
  </si>
  <si>
    <t>GLOBALFOUNDRIES INC</t>
  </si>
  <si>
    <t>AC CT</t>
  </si>
  <si>
    <t>BSDHYK1</t>
  </si>
  <si>
    <t>AIR CANADA</t>
  </si>
  <si>
    <t>CTEC LN</t>
  </si>
  <si>
    <t>BD3VFW7</t>
  </si>
  <si>
    <t>CONVATEC GROUP PLC</t>
  </si>
  <si>
    <t>6532 JT</t>
  </si>
  <si>
    <t>BYP20B9</t>
  </si>
  <si>
    <t>BAYCURRENT CONSULTING INC</t>
  </si>
  <si>
    <t>6841 JT</t>
  </si>
  <si>
    <t>YOKOGAWA ELECTRIC CORP</t>
  </si>
  <si>
    <t>7735 JT</t>
  </si>
  <si>
    <t>SCREEN HOLDINGS CO LTD</t>
  </si>
  <si>
    <t>BOL FP</t>
  </si>
  <si>
    <t>6724 JT</t>
  </si>
  <si>
    <t>SEIKO EPSON CORP</t>
  </si>
  <si>
    <t>WDP BB</t>
  </si>
  <si>
    <t>BK8VQD9</t>
  </si>
  <si>
    <t>WAREHOUSES DE PAUW CVA</t>
  </si>
  <si>
    <t>8354 JT</t>
  </si>
  <si>
    <t>B1TK1Y8</t>
  </si>
  <si>
    <t>FUKUOKA FINANCIAL GROUP INC</t>
  </si>
  <si>
    <t>SIRI UW</t>
  </si>
  <si>
    <t>BGLDK10</t>
  </si>
  <si>
    <t>SIRIUS XM HOLDINGS INC</t>
  </si>
  <si>
    <t>4768 JT</t>
  </si>
  <si>
    <t>OTSUKA CORP</t>
  </si>
  <si>
    <t>6448 JT</t>
  </si>
  <si>
    <t>BROTHER INDUSTRIES LTD</t>
  </si>
  <si>
    <t>SMDS LN</t>
  </si>
  <si>
    <t>DS SMITH PLC</t>
  </si>
  <si>
    <t>3436 JT</t>
  </si>
  <si>
    <t>B0M0C89</t>
  </si>
  <si>
    <t>SUMCO CORP</t>
  </si>
  <si>
    <t>BTO CT</t>
  </si>
  <si>
    <t>B29VFC4</t>
  </si>
  <si>
    <t>B2GOLD CORP</t>
  </si>
  <si>
    <t>9147 JT</t>
  </si>
  <si>
    <t>BKSHP63</t>
  </si>
  <si>
    <t>NIPPON EXPRESS HOLDINGS INC</t>
  </si>
  <si>
    <t>ALE PW</t>
  </si>
  <si>
    <t>BMBQDF6</t>
  </si>
  <si>
    <t>ALLEGRO.EU SA</t>
  </si>
  <si>
    <t>KBX GY</t>
  </si>
  <si>
    <t>BD2P9X9</t>
  </si>
  <si>
    <t>KNORR-BREMSE AG</t>
  </si>
  <si>
    <t>6370 JT</t>
  </si>
  <si>
    <t>KURITA WATER INDUSTRIES LTD</t>
  </si>
  <si>
    <t>5332 JT</t>
  </si>
  <si>
    <t>TOTO LTD</t>
  </si>
  <si>
    <t>REI-U CT</t>
  </si>
  <si>
    <t>RIOCAN REAL ESTATE INVESTMENT</t>
  </si>
  <si>
    <t>PSN LN</t>
  </si>
  <si>
    <t>PERSIMMON PLC</t>
  </si>
  <si>
    <t>6845 JT</t>
  </si>
  <si>
    <t>AZBIL CORP</t>
  </si>
  <si>
    <t>ORNBV FH</t>
  </si>
  <si>
    <t>B17NY40</t>
  </si>
  <si>
    <t>ORION OYJ</t>
  </si>
  <si>
    <t>BEIJB SS</t>
  </si>
  <si>
    <t>BP2NJ48</t>
  </si>
  <si>
    <t>BEIJER REF AB</t>
  </si>
  <si>
    <t>3283 JT</t>
  </si>
  <si>
    <t>B98BC67</t>
  </si>
  <si>
    <t>NIPPON PROLOGIS REIT INC</t>
  </si>
  <si>
    <t>BIM FP</t>
  </si>
  <si>
    <t>BF0LBX7</t>
  </si>
  <si>
    <t>BIOMERIEUX</t>
  </si>
  <si>
    <t>3281 JT</t>
  </si>
  <si>
    <t>B8RBZV7</t>
  </si>
  <si>
    <t>GLP J-REIT</t>
  </si>
  <si>
    <t>7747 JT</t>
  </si>
  <si>
    <t>B019MQ5</t>
  </si>
  <si>
    <t>ASAHI INTECC CO LTD</t>
  </si>
  <si>
    <t>LIFCOB SS</t>
  </si>
  <si>
    <t>BL6K7K9</t>
  </si>
  <si>
    <t>LIFCO AB</t>
  </si>
  <si>
    <t>LCID UW</t>
  </si>
  <si>
    <t>BP0TR77</t>
  </si>
  <si>
    <t>LUCID GROUP INC</t>
  </si>
  <si>
    <t>8984 JT</t>
  </si>
  <si>
    <t>B0Z6WY0</t>
  </si>
  <si>
    <t>DAIWA HOUSE REIT INVESTMENT CO</t>
  </si>
  <si>
    <t>7276 JT</t>
  </si>
  <si>
    <t>KOITO MANUFACTURING CO LTD</t>
  </si>
  <si>
    <t>HIK LN</t>
  </si>
  <si>
    <t>B0LCW08</t>
  </si>
  <si>
    <t>HIKMA PHARMACEUTICALS PLC</t>
  </si>
  <si>
    <t>Jordan</t>
  </si>
  <si>
    <t>SDR LN</t>
  </si>
  <si>
    <t>BP9LHF2</t>
  </si>
  <si>
    <t>SCHRODERS PLC</t>
  </si>
  <si>
    <t>WFG CT</t>
  </si>
  <si>
    <t>WEST FRASER TIMBER CO LTD</t>
  </si>
  <si>
    <t>ABDN LN</t>
  </si>
  <si>
    <t>BF8Q6K6</t>
  </si>
  <si>
    <t>ABRDN PLC</t>
  </si>
  <si>
    <t>EMP/A CT</t>
  </si>
  <si>
    <t>EMPIRE CO LTD</t>
  </si>
  <si>
    <t>WMG UW</t>
  </si>
  <si>
    <t>BLGJ610</t>
  </si>
  <si>
    <t>WARNER MUSIC GROUP CORP</t>
  </si>
  <si>
    <t>KOG NO</t>
  </si>
  <si>
    <t>KONGSBERG GRUPPEN ASA</t>
  </si>
  <si>
    <t>KVUE UN</t>
  </si>
  <si>
    <t>BQ84ZQ6</t>
  </si>
  <si>
    <t>KENVUE INC</t>
  </si>
  <si>
    <t>3099 JT</t>
  </si>
  <si>
    <t>B2Q4CL4</t>
  </si>
  <si>
    <t>ISETAN MITSUKOSHI HOLDINGS LTD</t>
  </si>
  <si>
    <t>3861 JT</t>
  </si>
  <si>
    <t>OJI HOLDINGS CORP</t>
  </si>
  <si>
    <t>BG AV</t>
  </si>
  <si>
    <t>BZ1GZ06</t>
  </si>
  <si>
    <t>BAWAG GROUP AG</t>
  </si>
  <si>
    <t>1803 JT</t>
  </si>
  <si>
    <t>SHIMIZU CORP</t>
  </si>
  <si>
    <t>8960 JT</t>
  </si>
  <si>
    <t>UNITED URBAN INVESTMENT CORP</t>
  </si>
  <si>
    <t>MLT SP</t>
  </si>
  <si>
    <t>B0D6P43</t>
  </si>
  <si>
    <t>MAPLETREE LOGISTICS TRUST</t>
  </si>
  <si>
    <t>6465 JT</t>
  </si>
  <si>
    <t>B3FF8W8</t>
  </si>
  <si>
    <t>HOSHIZAKI CORP</t>
  </si>
  <si>
    <t>12 HK</t>
  </si>
  <si>
    <t>HENDERSON LAND DEVELOPMENT CO</t>
  </si>
  <si>
    <t>9008 JT</t>
  </si>
  <si>
    <t>KEIO CORP</t>
  </si>
  <si>
    <t>5333 JT</t>
  </si>
  <si>
    <t>NGK INSULATORS LTD</t>
  </si>
  <si>
    <t>CEN NZ</t>
  </si>
  <si>
    <t>CONTACT ENERGY LTD</t>
  </si>
  <si>
    <t>83 HK</t>
  </si>
  <si>
    <t>SINO LAND CO LTD</t>
  </si>
  <si>
    <t>4042 JT</t>
  </si>
  <si>
    <t>TOSOH CORP</t>
  </si>
  <si>
    <t>TEL2B SS</t>
  </si>
  <si>
    <t>B97C733</t>
  </si>
  <si>
    <t>TELE2 AB</t>
  </si>
  <si>
    <t>ANDR AV</t>
  </si>
  <si>
    <t>B1WVF68</t>
  </si>
  <si>
    <t>ANDRITZ AG</t>
  </si>
  <si>
    <t>4005 JT</t>
  </si>
  <si>
    <t>SUMITOMO CHEMICAL CO LTD</t>
  </si>
  <si>
    <t>MINT SP</t>
  </si>
  <si>
    <t>B4LR5Q8</t>
  </si>
  <si>
    <t>MAPLETREE INDUSTRIAL TRUST</t>
  </si>
  <si>
    <t>JD/ LN</t>
  </si>
  <si>
    <t>BM8Q5M0</t>
  </si>
  <si>
    <t>JD SPORTS FASHION PLC</t>
  </si>
  <si>
    <t>GENS SP</t>
  </si>
  <si>
    <t>BDRTVP2</t>
  </si>
  <si>
    <t>GENTING SINGAPORE LTD</t>
  </si>
  <si>
    <t>INW IM</t>
  </si>
  <si>
    <t>BZ0P4R4</t>
  </si>
  <si>
    <t>INFRASTRUTTURE WIRELESS ITALIA</t>
  </si>
  <si>
    <t>EVK GY</t>
  </si>
  <si>
    <t>B5ZQ9D3</t>
  </si>
  <si>
    <t>EVONIK INDUSTRIES AG</t>
  </si>
  <si>
    <t>6806 JT</t>
  </si>
  <si>
    <t>HIROSE ELECTRIC CO LTD</t>
  </si>
  <si>
    <t>KGH PW</t>
  </si>
  <si>
    <t>KGHM POLSKA MIEDZ SA</t>
  </si>
  <si>
    <t>2875 JT</t>
  </si>
  <si>
    <t>TOYO SUISAN KAISHA LTD</t>
  </si>
  <si>
    <t>SECUB SS</t>
  </si>
  <si>
    <t>SECURITAS AB</t>
  </si>
  <si>
    <t>SSABB SS</t>
  </si>
  <si>
    <t>B17H3F6</t>
  </si>
  <si>
    <t>SSAB AB</t>
  </si>
  <si>
    <t>7731 JT</t>
  </si>
  <si>
    <t>NIKON CORP</t>
  </si>
  <si>
    <t>ADDTB SS</t>
  </si>
  <si>
    <t>BLN8T44</t>
  </si>
  <si>
    <t>ADDTECH AB</t>
  </si>
  <si>
    <t>HKL SP</t>
  </si>
  <si>
    <t>HONGKONG LAND HOLDINGS LTD</t>
  </si>
  <si>
    <t>VOE AV</t>
  </si>
  <si>
    <t>VOESTALPINE AG</t>
  </si>
  <si>
    <t>AMP IM</t>
  </si>
  <si>
    <t>B14NJ71</t>
  </si>
  <si>
    <t>AMPLIFON SPA</t>
  </si>
  <si>
    <t>AAK SS</t>
  </si>
  <si>
    <t>BF2FPV3</t>
  </si>
  <si>
    <t>AAK AB</t>
  </si>
  <si>
    <t>QBR/B CT</t>
  </si>
  <si>
    <t>QUEBECOR INC</t>
  </si>
  <si>
    <t>17 HK</t>
  </si>
  <si>
    <t>BM94GQ4</t>
  </si>
  <si>
    <t>NEW WORLD DEVELOPMENT CO LTD</t>
  </si>
  <si>
    <t>288 HK</t>
  </si>
  <si>
    <t>BLLHKZ1</t>
  </si>
  <si>
    <t>WH GROUP LTD</t>
  </si>
  <si>
    <t>IP IM</t>
  </si>
  <si>
    <t>INTERPUMP GROUP SPA</t>
  </si>
  <si>
    <t>5938 JT</t>
  </si>
  <si>
    <t>LIXIL CORP</t>
  </si>
  <si>
    <t>SAABB SS</t>
  </si>
  <si>
    <t>SAAB AB</t>
  </si>
  <si>
    <t>GETIB SS</t>
  </si>
  <si>
    <t>GETINGE AB</t>
  </si>
  <si>
    <t>DEMANT DC</t>
  </si>
  <si>
    <t>BZ01RF1</t>
  </si>
  <si>
    <t>DEMANT A/S</t>
  </si>
  <si>
    <t>6976 JT</t>
  </si>
  <si>
    <t>TAIYO YUDEN CO LTD</t>
  </si>
  <si>
    <t>JMAT LN</t>
  </si>
  <si>
    <t>BZ4BQC7</t>
  </si>
  <si>
    <t>JOHNSON MATTHEY PLC</t>
  </si>
  <si>
    <t>6823 HK</t>
  </si>
  <si>
    <t>B4TXDZ3</t>
  </si>
  <si>
    <t>HKT TRUST &amp; HKT LTD</t>
  </si>
  <si>
    <t>HL/ LN</t>
  </si>
  <si>
    <t>B1VZ0M2</t>
  </si>
  <si>
    <t>HARGREAVES LANSDOWN PLC</t>
  </si>
  <si>
    <t>2702 JT</t>
  </si>
  <si>
    <t>MCDONALD'S HOLDINGS CO JAPAN L</t>
  </si>
  <si>
    <t>1876 HK</t>
  </si>
  <si>
    <t>BKDXJH5</t>
  </si>
  <si>
    <t>BUDWEISER BREWING CO APAC LTD</t>
  </si>
  <si>
    <t>HUH1V FH</t>
  </si>
  <si>
    <t>HUHTAMAKI OYJ</t>
  </si>
  <si>
    <t>NEXI IM</t>
  </si>
  <si>
    <t>BJ1F880</t>
  </si>
  <si>
    <t>NEXI SPA</t>
  </si>
  <si>
    <t>HOLMB SS</t>
  </si>
  <si>
    <t>BDQQ1Q5</t>
  </si>
  <si>
    <t>HOLMEN AB</t>
  </si>
  <si>
    <t>ADP FP</t>
  </si>
  <si>
    <t>B164FY1</t>
  </si>
  <si>
    <t>AEROPORTS DE PARIS</t>
  </si>
  <si>
    <t>BLND LN</t>
  </si>
  <si>
    <t>BRITISH LAND CO PLC/THE</t>
  </si>
  <si>
    <t>DIE BB</t>
  </si>
  <si>
    <t>D'IETEREN GROUP</t>
  </si>
  <si>
    <t>1177 HK</t>
  </si>
  <si>
    <t>B00XSF9</t>
  </si>
  <si>
    <t>SINO BIOPHARMACEUTICAL LTD</t>
  </si>
  <si>
    <t>3038 JT</t>
  </si>
  <si>
    <t>B14RJB7</t>
  </si>
  <si>
    <t>KOBE BUSSAN CO LTD</t>
  </si>
  <si>
    <t>CU CT</t>
  </si>
  <si>
    <t>CANADIAN UTILITIES LTD</t>
  </si>
  <si>
    <t>2181 JT</t>
  </si>
  <si>
    <t>B3CY709</t>
  </si>
  <si>
    <t>PERSOL HOLDINGS CO LTD</t>
  </si>
  <si>
    <t>TOM NO</t>
  </si>
  <si>
    <t>BPLXRG7</t>
  </si>
  <si>
    <t>TOMRA SYSTEMS ASA</t>
  </si>
  <si>
    <t>EBO NZ</t>
  </si>
  <si>
    <t>EBOS GROUP LTD</t>
  </si>
  <si>
    <t>TSEM IT</t>
  </si>
  <si>
    <t>TOWER SEMICONDUCTOR LTD</t>
  </si>
  <si>
    <t>ACKB BB</t>
  </si>
  <si>
    <t>ACKERMANS &amp; VAN HAAREN NV</t>
  </si>
  <si>
    <t>MFT NZ</t>
  </si>
  <si>
    <t>MAINFREIGHT LTD</t>
  </si>
  <si>
    <t>ELI BB</t>
  </si>
  <si>
    <t>B09M9F4</t>
  </si>
  <si>
    <t>ELIA GROUP SA/NV</t>
  </si>
  <si>
    <t>7013 JT</t>
  </si>
  <si>
    <t>IHI CORP</t>
  </si>
  <si>
    <t>9684 JT</t>
  </si>
  <si>
    <t>SQUARE ENIX HOLDINGS CO LTD</t>
  </si>
  <si>
    <t>KINVB SS</t>
  </si>
  <si>
    <t>BNKF607</t>
  </si>
  <si>
    <t>KINNEVIK AB</t>
  </si>
  <si>
    <t>1913 HK</t>
  </si>
  <si>
    <t>B4PFFW4</t>
  </si>
  <si>
    <t>PRADA SPA</t>
  </si>
  <si>
    <t>241 HK</t>
  </si>
  <si>
    <t>BRXVS60</t>
  </si>
  <si>
    <t>ALIBABA HEALTH INFORMATION TEC</t>
  </si>
  <si>
    <t>1038 HK</t>
  </si>
  <si>
    <t>BYVS6J1</t>
  </si>
  <si>
    <t>CK INFRASTRUCTURE HOLDINGS LTD</t>
  </si>
  <si>
    <t>AFX GY</t>
  </si>
  <si>
    <t>CARL ZEISS MEDITEC AG</t>
  </si>
  <si>
    <t>4751 JT</t>
  </si>
  <si>
    <t>CYBERAGENT INC</t>
  </si>
  <si>
    <t>NTGY SQ</t>
  </si>
  <si>
    <t>NATURGY ENERGY GROUP SA</t>
  </si>
  <si>
    <t>4922 JT</t>
  </si>
  <si>
    <t>KOSE CORP</t>
  </si>
  <si>
    <t>8954 JT</t>
  </si>
  <si>
    <t>ORIX JREIT INC</t>
  </si>
  <si>
    <t>3064 JT</t>
  </si>
  <si>
    <t>B1GHR88</t>
  </si>
  <si>
    <t>MONOTARO CO LTD</t>
  </si>
  <si>
    <t>3769 JT</t>
  </si>
  <si>
    <t>B06CMQ9</t>
  </si>
  <si>
    <t>GMO PAYMENT GATEWAY INC</t>
  </si>
  <si>
    <t>384 HK</t>
  </si>
  <si>
    <t>CHINA GAS HOLDINGS LTD</t>
  </si>
  <si>
    <t>1929 HK</t>
  </si>
  <si>
    <t>B4R39F7</t>
  </si>
  <si>
    <t>CHOW TAI FOOK JEWELLERY GROUP</t>
  </si>
  <si>
    <t>FTRE UW</t>
  </si>
  <si>
    <t>BRXYZ57</t>
  </si>
  <si>
    <t>FORTREA HOLDINGS INC</t>
  </si>
  <si>
    <t>EMBRACB SS</t>
  </si>
  <si>
    <t>BMDTR73</t>
  </si>
  <si>
    <t>EMBRACER GROUP AB</t>
  </si>
  <si>
    <t>ZWPZ3 Index</t>
  </si>
  <si>
    <t>MSCI WORLD INDEX  DEC23</t>
  </si>
  <si>
    <t>GBP - BRITISH POUND</t>
  </si>
  <si>
    <t>CAD - CANADA DOLLAR</t>
  </si>
  <si>
    <t>CHF - SWISS FRANC</t>
  </si>
  <si>
    <t>EUR - EURO</t>
  </si>
  <si>
    <t>SGD - SINGAPORE DOLLAR</t>
  </si>
  <si>
    <t>DKK - DANISH KRONE</t>
  </si>
  <si>
    <t>SEK - SWEDISH KRONA</t>
  </si>
  <si>
    <t>JPY - JAPANESE YEN</t>
  </si>
  <si>
    <t>ILS - ISRAEL ISRAELI SHEKEL</t>
  </si>
  <si>
    <t>NOK - NORWEGIAN KRONE</t>
  </si>
  <si>
    <t>PLN - POLISH ZLOTY</t>
  </si>
  <si>
    <t>NZD - NEW ZEALAND DOLLAR</t>
  </si>
  <si>
    <t>NDA SS</t>
  </si>
  <si>
    <t>BYZF9J9</t>
  </si>
  <si>
    <t>SLHN SE</t>
  </si>
  <si>
    <t>SWISS LIFE HOLDING AG</t>
  </si>
  <si>
    <t>FSLR UW</t>
  </si>
  <si>
    <t>B1HMF22</t>
  </si>
  <si>
    <t>FIRST SOLAR INC</t>
  </si>
  <si>
    <t>PUB FP</t>
  </si>
  <si>
    <t>PUBLICIS GROUPE SA</t>
  </si>
  <si>
    <t>SUI UN</t>
  </si>
  <si>
    <t>SUN COMMUNITIES INC</t>
  </si>
  <si>
    <t>POOL UW</t>
  </si>
  <si>
    <t>POOL CORP</t>
  </si>
  <si>
    <t>ELS UN</t>
  </si>
  <si>
    <t>EQUITY LIFESTYLE PROPERTIES IN</t>
  </si>
  <si>
    <t>KIM UN</t>
  </si>
  <si>
    <t>KIMCO REALTY CORP</t>
  </si>
  <si>
    <t>IPG UN</t>
  </si>
  <si>
    <t>INTERPUBLIC GROUP OF COS INC/T</t>
  </si>
  <si>
    <t>ARGX BB</t>
  </si>
  <si>
    <t>BNHKYX4</t>
  </si>
  <si>
    <t>LOGN SE</t>
  </si>
  <si>
    <t>B18ZRK2</t>
  </si>
  <si>
    <t>LOGITECH INTERNATIONAL SA</t>
  </si>
  <si>
    <t>ALLE UN</t>
  </si>
  <si>
    <t>BFRT3W7</t>
  </si>
  <si>
    <t>ALLEGION PLC</t>
  </si>
  <si>
    <t>MOH UN</t>
  </si>
  <si>
    <t>MOLINA HEALTHCARE INC</t>
  </si>
  <si>
    <t>RVTY UN</t>
  </si>
  <si>
    <t>REVVITY INC</t>
  </si>
  <si>
    <t>SOON SE</t>
  </si>
  <si>
    <t>SONOVA HOLDING AG</t>
  </si>
  <si>
    <t>PODD UW</t>
  </si>
  <si>
    <t>B1XGNW4</t>
  </si>
  <si>
    <t>INSULET CORP</t>
  </si>
  <si>
    <t>BIO UN</t>
  </si>
  <si>
    <t>BIO-RAD LABORATORIES INC</t>
  </si>
  <si>
    <t>SHLS UQ</t>
  </si>
  <si>
    <t>BMDJ085</t>
  </si>
  <si>
    <t>SHOALS TECHNOLOGIES GROUP INC</t>
  </si>
  <si>
    <t>NO DATA</t>
  </si>
  <si>
    <t>SAIC UN</t>
  </si>
  <si>
    <t>BDTZZG7</t>
  </si>
  <si>
    <t>SCIENCE APPLICATIONS INTERNATI</t>
  </si>
  <si>
    <t>BAH UN</t>
  </si>
  <si>
    <t>B5367T7</t>
  </si>
  <si>
    <t>BOOZ ALLEN HAMILTON HOLDING CO</t>
  </si>
  <si>
    <t>QLYS UW</t>
  </si>
  <si>
    <t>B7XJTN8</t>
  </si>
  <si>
    <t>QUALYS INC</t>
  </si>
  <si>
    <t>FFIV UW</t>
  </si>
  <si>
    <t>F5 INC</t>
  </si>
  <si>
    <t>TENB UW</t>
  </si>
  <si>
    <t>BF7J7N6</t>
  </si>
  <si>
    <t>TENABLE HOLDINGS INC</t>
  </si>
  <si>
    <t>JNPR UN</t>
  </si>
  <si>
    <t>JUNIPER NETWORKS INC</t>
  </si>
  <si>
    <t>S UN</t>
  </si>
  <si>
    <t>BP7L1B8</t>
  </si>
  <si>
    <t>SENTINELONE INC</t>
  </si>
  <si>
    <t>VRNS UW</t>
  </si>
  <si>
    <t>BJZ2ZR5</t>
  </si>
  <si>
    <t>VARONIS SYSTEMS INC</t>
  </si>
  <si>
    <t>RPD UQ</t>
  </si>
  <si>
    <t>BZ22CY6</t>
  </si>
  <si>
    <t>RAPID7 INC</t>
  </si>
  <si>
    <t>DARK LN</t>
  </si>
  <si>
    <t>BNYK8G8</t>
  </si>
  <si>
    <t>DARKTRACE PLC</t>
  </si>
  <si>
    <t>NTCT UW</t>
  </si>
  <si>
    <t>NETSCOUT SYSTEMS INC</t>
  </si>
  <si>
    <t>ATEN UN</t>
  </si>
  <si>
    <t>BKQVBN6</t>
  </si>
  <si>
    <t>A10 NETWORKS INC</t>
  </si>
  <si>
    <t>RDWR UW</t>
  </si>
  <si>
    <t>RADWARE LTD</t>
  </si>
  <si>
    <t>NCC LN</t>
  </si>
  <si>
    <t>B01QGK8</t>
  </si>
  <si>
    <t>NCC GROUP PLC</t>
  </si>
  <si>
    <t>053800 KQ</t>
  </si>
  <si>
    <t>AHNLAB INC</t>
  </si>
  <si>
    <t>OSPN UR</t>
  </si>
  <si>
    <t>BFNSSD4</t>
  </si>
  <si>
    <t>ONESPAN INC</t>
  </si>
  <si>
    <t>AAPL</t>
  </si>
  <si>
    <t>Equity</t>
  </si>
  <si>
    <t>MSFT</t>
  </si>
  <si>
    <t>AMZN</t>
  </si>
  <si>
    <t>AMAZON COM INC</t>
  </si>
  <si>
    <t>NVDA</t>
  </si>
  <si>
    <t>GOOGL</t>
  </si>
  <si>
    <t>ALPHABET INC CLASS A</t>
  </si>
  <si>
    <t>Communication</t>
  </si>
  <si>
    <t>TSLA</t>
  </si>
  <si>
    <t>META</t>
  </si>
  <si>
    <t>META PLATFORMS INC CLASS A</t>
  </si>
  <si>
    <t>GOOG</t>
  </si>
  <si>
    <t>ALPHABET INC CLASS C</t>
  </si>
  <si>
    <t>BRKB</t>
  </si>
  <si>
    <t>BERKSHIRE HATHAWAY INC CLASS B</t>
  </si>
  <si>
    <t>XOM</t>
  </si>
  <si>
    <t>UNH</t>
  </si>
  <si>
    <t>Health Care</t>
  </si>
  <si>
    <t>LLY</t>
  </si>
  <si>
    <t>ELI LILLY</t>
  </si>
  <si>
    <t>JPM</t>
  </si>
  <si>
    <t>JNJ</t>
  </si>
  <si>
    <t>V</t>
  </si>
  <si>
    <t>VISA INC CLASS A</t>
  </si>
  <si>
    <t>PG</t>
  </si>
  <si>
    <t>PROCTER &amp; GAMBLE</t>
  </si>
  <si>
    <t>AVGO</t>
  </si>
  <si>
    <t>MA</t>
  </si>
  <si>
    <t>MASTERCARD INC CLASS A</t>
  </si>
  <si>
    <t>HD</t>
  </si>
  <si>
    <t>HOME DEPOT INC</t>
  </si>
  <si>
    <t>CVX</t>
  </si>
  <si>
    <t>ABBV</t>
  </si>
  <si>
    <t>MRK</t>
  </si>
  <si>
    <t>COST</t>
  </si>
  <si>
    <t>PEP</t>
  </si>
  <si>
    <t>WMT</t>
  </si>
  <si>
    <t>ADBE</t>
  </si>
  <si>
    <t>CSCO</t>
  </si>
  <si>
    <t>COCA-COLA</t>
  </si>
  <si>
    <t>CRM</t>
  </si>
  <si>
    <t>TMO</t>
  </si>
  <si>
    <t>MCD</t>
  </si>
  <si>
    <t>MCDONALDS CORP</t>
  </si>
  <si>
    <t>BAC</t>
  </si>
  <si>
    <t>ACN</t>
  </si>
  <si>
    <t>ACCENTURE PLC CLASS A</t>
  </si>
  <si>
    <t>CMCSA</t>
  </si>
  <si>
    <t>COMCAST CORP CLASS A</t>
  </si>
  <si>
    <t>LIN</t>
  </si>
  <si>
    <t>PFE</t>
  </si>
  <si>
    <t>ABT</t>
  </si>
  <si>
    <t>ORCL</t>
  </si>
  <si>
    <t>NFLX</t>
  </si>
  <si>
    <t>AMD</t>
  </si>
  <si>
    <t>DHR</t>
  </si>
  <si>
    <t>WFC</t>
  </si>
  <si>
    <t>WELLS FARGO</t>
  </si>
  <si>
    <t>INTC</t>
  </si>
  <si>
    <t>INTEL CORPORATION CORP</t>
  </si>
  <si>
    <t>COP</t>
  </si>
  <si>
    <t>DIS</t>
  </si>
  <si>
    <t>WALT DISNEY</t>
  </si>
  <si>
    <t>AMGN</t>
  </si>
  <si>
    <t>TXN</t>
  </si>
  <si>
    <t>TEXAS INSTRUMENT INC</t>
  </si>
  <si>
    <t>PM</t>
  </si>
  <si>
    <t>PHILIP MORRIS INTERNATIONAL INC</t>
  </si>
  <si>
    <t>INTU</t>
  </si>
  <si>
    <t>CAT</t>
  </si>
  <si>
    <t>VZ</t>
  </si>
  <si>
    <t>IBM</t>
  </si>
  <si>
    <t>INTERNATIONAL BUSINESS MACHINES CO</t>
  </si>
  <si>
    <t>UNP</t>
  </si>
  <si>
    <t>HON</t>
  </si>
  <si>
    <t>QCOM</t>
  </si>
  <si>
    <t>GE</t>
  </si>
  <si>
    <t>GENERAL ELECTRIC</t>
  </si>
  <si>
    <t>LOW</t>
  </si>
  <si>
    <t>LOWES COMPANIES INC</t>
  </si>
  <si>
    <t>BMY</t>
  </si>
  <si>
    <t>BRISTOL MYERS SQUIBB</t>
  </si>
  <si>
    <t>SPGI</t>
  </si>
  <si>
    <t>AMAT</t>
  </si>
  <si>
    <t>APPLIED MATERIAL INC</t>
  </si>
  <si>
    <t>NEE</t>
  </si>
  <si>
    <t>NOW</t>
  </si>
  <si>
    <t>UPS</t>
  </si>
  <si>
    <t>UNITED PARCEL SERVICE INC CLASS B</t>
  </si>
  <si>
    <t>BKNG</t>
  </si>
  <si>
    <t>NKE</t>
  </si>
  <si>
    <t>NIKE INC CLASS B</t>
  </si>
  <si>
    <t>BA</t>
  </si>
  <si>
    <t>BOEING</t>
  </si>
  <si>
    <t>T</t>
  </si>
  <si>
    <t>GS</t>
  </si>
  <si>
    <t>GOLDMAN SACHS GROUP INC</t>
  </si>
  <si>
    <t>ELV</t>
  </si>
  <si>
    <t>DE</t>
  </si>
  <si>
    <t>DEERE</t>
  </si>
  <si>
    <t>MS</t>
  </si>
  <si>
    <t>RTX</t>
  </si>
  <si>
    <t>RTX CORP</t>
  </si>
  <si>
    <t>MDT</t>
  </si>
  <si>
    <t>SBUX</t>
  </si>
  <si>
    <t>ISRG</t>
  </si>
  <si>
    <t>PLD</t>
  </si>
  <si>
    <t>PROLOGIS REIT INC</t>
  </si>
  <si>
    <t>TJX</t>
  </si>
  <si>
    <t>TJX INC</t>
  </si>
  <si>
    <t>ADP</t>
  </si>
  <si>
    <t>MMC</t>
  </si>
  <si>
    <t>MARSH &amp; MCLENNAN INC</t>
  </si>
  <si>
    <t>MDLZ</t>
  </si>
  <si>
    <t>MONDELEZ INTERNATIONAL INC CLASS A</t>
  </si>
  <si>
    <t>GILD</t>
  </si>
  <si>
    <t>SYK</t>
  </si>
  <si>
    <t>LMT</t>
  </si>
  <si>
    <t>VRTX</t>
  </si>
  <si>
    <t>BLK</t>
  </si>
  <si>
    <t>CVS</t>
  </si>
  <si>
    <t>REGN</t>
  </si>
  <si>
    <t>ADI</t>
  </si>
  <si>
    <t>AXP</t>
  </si>
  <si>
    <t>AMERICAN EXPRESS</t>
  </si>
  <si>
    <t>CB</t>
  </si>
  <si>
    <t>SLB</t>
  </si>
  <si>
    <t>ETN</t>
  </si>
  <si>
    <t>EATON PLC</t>
  </si>
  <si>
    <t>CI</t>
  </si>
  <si>
    <t>CIGNA</t>
  </si>
  <si>
    <t>LRCX</t>
  </si>
  <si>
    <t>PGR</t>
  </si>
  <si>
    <t>PROGRESSIVE CORP</t>
  </si>
  <si>
    <t>SCHW</t>
  </si>
  <si>
    <t>CHARLES SCHWAB CORP</t>
  </si>
  <si>
    <t>ZTS</t>
  </si>
  <si>
    <t>ZOETIS INC CLASS A</t>
  </si>
  <si>
    <t>C</t>
  </si>
  <si>
    <t>BSX</t>
  </si>
  <si>
    <t>BX</t>
  </si>
  <si>
    <t>BDX</t>
  </si>
  <si>
    <t>BECTON DICKINSON</t>
  </si>
  <si>
    <t>AMT</t>
  </si>
  <si>
    <t>AMERICAN TOWER REIT CORP</t>
  </si>
  <si>
    <t>EOG</t>
  </si>
  <si>
    <t>MO</t>
  </si>
  <si>
    <t>CME</t>
  </si>
  <si>
    <t>CME GROUP INC CLASS A</t>
  </si>
  <si>
    <t>TMUS</t>
  </si>
  <si>
    <t>T MOBILE US INC</t>
  </si>
  <si>
    <t>PANW</t>
  </si>
  <si>
    <t>MU</t>
  </si>
  <si>
    <t>SO</t>
  </si>
  <si>
    <t>SOUTHERN</t>
  </si>
  <si>
    <t>SNPS</t>
  </si>
  <si>
    <t>FI</t>
  </si>
  <si>
    <t>DUK</t>
  </si>
  <si>
    <t>EQIX</t>
  </si>
  <si>
    <t>EQUINIX REIT INC</t>
  </si>
  <si>
    <t>ATVI</t>
  </si>
  <si>
    <t>AON</t>
  </si>
  <si>
    <t>AON PLC CLASS A</t>
  </si>
  <si>
    <t>PYPL</t>
  </si>
  <si>
    <t>ITW</t>
  </si>
  <si>
    <t>ILLINOIS TOOL INC</t>
  </si>
  <si>
    <t>APD</t>
  </si>
  <si>
    <t>CDNS</t>
  </si>
  <si>
    <t>ICE</t>
  </si>
  <si>
    <t>KLAC</t>
  </si>
  <si>
    <t>NOC</t>
  </si>
  <si>
    <t>MPC</t>
  </si>
  <si>
    <t>FDX</t>
  </si>
  <si>
    <t>HUM</t>
  </si>
  <si>
    <t>CSX</t>
  </si>
  <si>
    <t>SHW</t>
  </si>
  <si>
    <t>SHERWIN WILLIAMS</t>
  </si>
  <si>
    <t>MCK</t>
  </si>
  <si>
    <t>CL</t>
  </si>
  <si>
    <t>COLGATE-PALMOLIVE</t>
  </si>
  <si>
    <t>ABNB</t>
  </si>
  <si>
    <t>AIRBNB INC CLASS A</t>
  </si>
  <si>
    <t>WM</t>
  </si>
  <si>
    <t>EMR</t>
  </si>
  <si>
    <t>EMERSON ELECTRIC</t>
  </si>
  <si>
    <t>ORLY</t>
  </si>
  <si>
    <t>OREILLY AUTOMOTIVE INC</t>
  </si>
  <si>
    <t>PSX</t>
  </si>
  <si>
    <t>PHILLIPS</t>
  </si>
  <si>
    <t>PXD</t>
  </si>
  <si>
    <t>PIONEER NATURAL RESOURCE</t>
  </si>
  <si>
    <t>FCX</t>
  </si>
  <si>
    <t>FREEPORT MCMORAN INC</t>
  </si>
  <si>
    <t>ROP</t>
  </si>
  <si>
    <t>VLO</t>
  </si>
  <si>
    <t>NXPI</t>
  </si>
  <si>
    <t>MMM</t>
  </si>
  <si>
    <t>3M</t>
  </si>
  <si>
    <t>XTSLA</t>
  </si>
  <si>
    <t>BLK CSH FND TREASURY SL AGENCY</t>
  </si>
  <si>
    <t>Money Market</t>
  </si>
  <si>
    <t>Cash and/or Derivatives</t>
  </si>
  <si>
    <t>CMG</t>
  </si>
  <si>
    <t>TGT</t>
  </si>
  <si>
    <t>USB</t>
  </si>
  <si>
    <t>HCA</t>
  </si>
  <si>
    <t>GD</t>
  </si>
  <si>
    <t>PH</t>
  </si>
  <si>
    <t>MCO</t>
  </si>
  <si>
    <t>MOODYS CORP</t>
  </si>
  <si>
    <t>APH</t>
  </si>
  <si>
    <t>AMPHENOL CORP CLASS A</t>
  </si>
  <si>
    <t>MAR</t>
  </si>
  <si>
    <t>MARRIOTT INTERNATIONAL INC CLASS A</t>
  </si>
  <si>
    <t>AJG</t>
  </si>
  <si>
    <t>ARTHUR J GALLAGHER</t>
  </si>
  <si>
    <t>F</t>
  </si>
  <si>
    <t>PNC</t>
  </si>
  <si>
    <t>PNC FINANCIAL SERVICES GROUP INC</t>
  </si>
  <si>
    <t>CARR</t>
  </si>
  <si>
    <t>TDG</t>
  </si>
  <si>
    <t>TT</t>
  </si>
  <si>
    <t>AZO</t>
  </si>
  <si>
    <t>ANET</t>
  </si>
  <si>
    <t>MSI</t>
  </si>
  <si>
    <t>GM</t>
  </si>
  <si>
    <t>GENERAL MOTORS</t>
  </si>
  <si>
    <t>CHTR</t>
  </si>
  <si>
    <t>CHARTER COMMUNICATIONS INC CLASS A</t>
  </si>
  <si>
    <t>NSC</t>
  </si>
  <si>
    <t>PCAR</t>
  </si>
  <si>
    <t>ADSK</t>
  </si>
  <si>
    <t>OXY</t>
  </si>
  <si>
    <t>AIG</t>
  </si>
  <si>
    <t>AMERICAN INTERNATIONAL GROUP INC</t>
  </si>
  <si>
    <t>HES</t>
  </si>
  <si>
    <t>ECL</t>
  </si>
  <si>
    <t>MCHP</t>
  </si>
  <si>
    <t>SRE</t>
  </si>
  <si>
    <t>SEMPRA</t>
  </si>
  <si>
    <t>EW</t>
  </si>
  <si>
    <t>AFL</t>
  </si>
  <si>
    <t>WMB</t>
  </si>
  <si>
    <t>WILLIAMS INC</t>
  </si>
  <si>
    <t>CTAS</t>
  </si>
  <si>
    <t>PSA</t>
  </si>
  <si>
    <t>PUBLIC STORAGE REIT</t>
  </si>
  <si>
    <t>WELL</t>
  </si>
  <si>
    <t>MSCI</t>
  </si>
  <si>
    <t>KMB</t>
  </si>
  <si>
    <t>KIMBERLY CLARK CORP</t>
  </si>
  <si>
    <t>ADM</t>
  </si>
  <si>
    <t>ARCHER DANIELS MIDLAND</t>
  </si>
  <si>
    <t>ON</t>
  </si>
  <si>
    <t>STZ</t>
  </si>
  <si>
    <t>CONSTELLATION BRANDS INC CLASS A</t>
  </si>
  <si>
    <t>HLT</t>
  </si>
  <si>
    <t>CCI</t>
  </si>
  <si>
    <t>MET</t>
  </si>
  <si>
    <t>MNST</t>
  </si>
  <si>
    <t>NUE</t>
  </si>
  <si>
    <t>TEL</t>
  </si>
  <si>
    <t>AEP</t>
  </si>
  <si>
    <t>AMERICAN ELECTRIC POWER INC</t>
  </si>
  <si>
    <t>TRV</t>
  </si>
  <si>
    <t>TRAVELERS COMPANIES INC</t>
  </si>
  <si>
    <t>FTNT</t>
  </si>
  <si>
    <t>ROST</t>
  </si>
  <si>
    <t>OKE</t>
  </si>
  <si>
    <t>CPRT</t>
  </si>
  <si>
    <t>EXC</t>
  </si>
  <si>
    <t>TFC</t>
  </si>
  <si>
    <t>PAYX</t>
  </si>
  <si>
    <t>HAL</t>
  </si>
  <si>
    <t>HALLIBURTON</t>
  </si>
  <si>
    <t>GIS</t>
  </si>
  <si>
    <t>CNC</t>
  </si>
  <si>
    <t>BIIB</t>
  </si>
  <si>
    <t>DXCM</t>
  </si>
  <si>
    <t>COF</t>
  </si>
  <si>
    <t>BKR</t>
  </si>
  <si>
    <t>BAKER HUGHES CLASS A</t>
  </si>
  <si>
    <t>D</t>
  </si>
  <si>
    <t>ODFL</t>
  </si>
  <si>
    <t>IDXX</t>
  </si>
  <si>
    <t>IQV</t>
  </si>
  <si>
    <t>JCI</t>
  </si>
  <si>
    <t>JOHNSON CONTROLS INTERNATIONAL PLC</t>
  </si>
  <si>
    <t>CTVA</t>
  </si>
  <si>
    <t>DLR</t>
  </si>
  <si>
    <t>DIGITAL REALTY TRUST REIT INC</t>
  </si>
  <si>
    <t>DOW</t>
  </si>
  <si>
    <t>SPG</t>
  </si>
  <si>
    <t>SIMON PROPERTY GROUP REIT INC</t>
  </si>
  <si>
    <t>O</t>
  </si>
  <si>
    <t>REALTY INCOME REIT CORP</t>
  </si>
  <si>
    <t>CEG</t>
  </si>
  <si>
    <t>VRSK</t>
  </si>
  <si>
    <t>YUM</t>
  </si>
  <si>
    <t>YUM BRANDS INC</t>
  </si>
  <si>
    <t>KVUE</t>
  </si>
  <si>
    <t>PRU</t>
  </si>
  <si>
    <t>AME</t>
  </si>
  <si>
    <t>CTSH</t>
  </si>
  <si>
    <t>COGNIZANT TECHNOLOGY SOLUTIONS COR</t>
  </si>
  <si>
    <t>DD</t>
  </si>
  <si>
    <t>PCG</t>
  </si>
  <si>
    <t>AMP</t>
  </si>
  <si>
    <t>AMERIPRISE FINANCE INC</t>
  </si>
  <si>
    <t>SYY</t>
  </si>
  <si>
    <t>BK</t>
  </si>
  <si>
    <t>BANK OF NEW YORK MELLON CORP</t>
  </si>
  <si>
    <t>MRNA</t>
  </si>
  <si>
    <t>DHI</t>
  </si>
  <si>
    <t>D R HORTON INC</t>
  </si>
  <si>
    <t>OTIS</t>
  </si>
  <si>
    <t>A</t>
  </si>
  <si>
    <t>FIS</t>
  </si>
  <si>
    <t>FIDELITY NATIONAL INFORMATION SERV</t>
  </si>
  <si>
    <t>EL</t>
  </si>
  <si>
    <t>ESTEE LAUDER INC CLASS A</t>
  </si>
  <si>
    <t>ROK</t>
  </si>
  <si>
    <t>CMI</t>
  </si>
  <si>
    <t>LHX</t>
  </si>
  <si>
    <t>KMI</t>
  </si>
  <si>
    <t>FAST</t>
  </si>
  <si>
    <t>FASTENAL</t>
  </si>
  <si>
    <t>KDP</t>
  </si>
  <si>
    <t>XEL</t>
  </si>
  <si>
    <t>CSGP</t>
  </si>
  <si>
    <t>DVN</t>
  </si>
  <si>
    <t>GWW</t>
  </si>
  <si>
    <t>PPG</t>
  </si>
  <si>
    <t>URI</t>
  </si>
  <si>
    <t>COR</t>
  </si>
  <si>
    <t>CENCORA INC</t>
  </si>
  <si>
    <t>ACGL</t>
  </si>
  <si>
    <t>HSY</t>
  </si>
  <si>
    <t>HERSHEY FOODS</t>
  </si>
  <si>
    <t>GPN</t>
  </si>
  <si>
    <t>VICI</t>
  </si>
  <si>
    <t>VICI PPTYS INC</t>
  </si>
  <si>
    <t>RSG</t>
  </si>
  <si>
    <t>KR</t>
  </si>
  <si>
    <t>KROGER</t>
  </si>
  <si>
    <t>USD CASH</t>
  </si>
  <si>
    <t>ED</t>
  </si>
  <si>
    <t>NEM</t>
  </si>
  <si>
    <t>NEWMONT</t>
  </si>
  <si>
    <t>ALL</t>
  </si>
  <si>
    <t>ALLSTATE CORP</t>
  </si>
  <si>
    <t>EA</t>
  </si>
  <si>
    <t>LEN</t>
  </si>
  <si>
    <t>LENNAR A CORP</t>
  </si>
  <si>
    <t>PEG</t>
  </si>
  <si>
    <t>PUBLIC SERVICE ENTERPRISE GROUP IN</t>
  </si>
  <si>
    <t>APTV</t>
  </si>
  <si>
    <t>WST</t>
  </si>
  <si>
    <t>WEST PHARMACEUTICAL SERVICES INC</t>
  </si>
  <si>
    <t>PWR</t>
  </si>
  <si>
    <t>IT</t>
  </si>
  <si>
    <t>GEHC</t>
  </si>
  <si>
    <t>VMC</t>
  </si>
  <si>
    <t>VULCAN MATERIALS</t>
  </si>
  <si>
    <t>CDW</t>
  </si>
  <si>
    <t>CDW CORP</t>
  </si>
  <si>
    <t>KHC</t>
  </si>
  <si>
    <t>KRAFT HEINZ</t>
  </si>
  <si>
    <t>FTV</t>
  </si>
  <si>
    <t>IR</t>
  </si>
  <si>
    <t>ANSS</t>
  </si>
  <si>
    <t>MLM</t>
  </si>
  <si>
    <t>EXR</t>
  </si>
  <si>
    <t>EXTRA SPACE STORAGE REIT INC</t>
  </si>
  <si>
    <t>WEC</t>
  </si>
  <si>
    <t>MTD</t>
  </si>
  <si>
    <t>METTLER TOLEDO INC</t>
  </si>
  <si>
    <t>EIX</t>
  </si>
  <si>
    <t>AVB</t>
  </si>
  <si>
    <t>AVALONBAY COMMUNITIES REIT INC</t>
  </si>
  <si>
    <t>LYB</t>
  </si>
  <si>
    <t>LYONDELLBASELL INDUSTRIES NV CLASS</t>
  </si>
  <si>
    <t>AWK</t>
  </si>
  <si>
    <t>AMERICAN WATER WORKS INC</t>
  </si>
  <si>
    <t>DAL</t>
  </si>
  <si>
    <t>WBD</t>
  </si>
  <si>
    <t>WARNER BROS. DISCOVERY INC SERIES</t>
  </si>
  <si>
    <t>KEYS</t>
  </si>
  <si>
    <t>ZBH</t>
  </si>
  <si>
    <t>TROW</t>
  </si>
  <si>
    <t>GLW</t>
  </si>
  <si>
    <t>EBAY</t>
  </si>
  <si>
    <t>DG</t>
  </si>
  <si>
    <t>HPE</t>
  </si>
  <si>
    <t>HEWLETT PACKARD ENTERPRISE</t>
  </si>
  <si>
    <t>CBRE</t>
  </si>
  <si>
    <t>CBRE GROUP INC CLASS A</t>
  </si>
  <si>
    <t>CHD</t>
  </si>
  <si>
    <t>CHURCH AND DWIGHT INC</t>
  </si>
  <si>
    <t>EFX</t>
  </si>
  <si>
    <t>DLTR</t>
  </si>
  <si>
    <t>CAH</t>
  </si>
  <si>
    <t>WY</t>
  </si>
  <si>
    <t>WEYERHAEUSER REIT</t>
  </si>
  <si>
    <t>RCL</t>
  </si>
  <si>
    <t>ROYAL CARIBBEAN GROUP LTD</t>
  </si>
  <si>
    <t>HPQ</t>
  </si>
  <si>
    <t>TTWO</t>
  </si>
  <si>
    <t>TAKE TWO INTERACTIVE SOFTWARE INC</t>
  </si>
  <si>
    <t>TSCO</t>
  </si>
  <si>
    <t>TRACTOR SUPPLY</t>
  </si>
  <si>
    <t>HIG</t>
  </si>
  <si>
    <t>HARTFORD FINANCIAL SERVICES GROUP</t>
  </si>
  <si>
    <t>FICO</t>
  </si>
  <si>
    <t>RMD</t>
  </si>
  <si>
    <t>XYL</t>
  </si>
  <si>
    <t>XYLEM INC</t>
  </si>
  <si>
    <t>STE</t>
  </si>
  <si>
    <t>STERIS</t>
  </si>
  <si>
    <t>ALGN</t>
  </si>
  <si>
    <t>WTW</t>
  </si>
  <si>
    <t>MPWR</t>
  </si>
  <si>
    <t>MONOLITHIC POWER SYSTEMS INC</t>
  </si>
  <si>
    <t>DFS</t>
  </si>
  <si>
    <t>STT</t>
  </si>
  <si>
    <t>SBAC</t>
  </si>
  <si>
    <t>SBA COMMUNICATIONS REIT CORP CLASS</t>
  </si>
  <si>
    <t>BR</t>
  </si>
  <si>
    <t>BROADRIDGE FINANCIAL SOLUTIONS INC</t>
  </si>
  <si>
    <t>MTB</t>
  </si>
  <si>
    <t>ILMN</t>
  </si>
  <si>
    <t>CTRA</t>
  </si>
  <si>
    <t>DTE</t>
  </si>
  <si>
    <t>DTE ENERGY</t>
  </si>
  <si>
    <t>EQR</t>
  </si>
  <si>
    <t>EQUITY RESIDENTIAL REIT</t>
  </si>
  <si>
    <t>ALB</t>
  </si>
  <si>
    <t>GPC</t>
  </si>
  <si>
    <t>GENUINE PARTS</t>
  </si>
  <si>
    <t>ES</t>
  </si>
  <si>
    <t>ULTA</t>
  </si>
  <si>
    <t>NVR</t>
  </si>
  <si>
    <t>DOV</t>
  </si>
  <si>
    <t>AEE</t>
  </si>
  <si>
    <t>TRGP</t>
  </si>
  <si>
    <t>TARGA RESOURCES CORP</t>
  </si>
  <si>
    <t>ETR</t>
  </si>
  <si>
    <t>MOH</t>
  </si>
  <si>
    <t>TDY</t>
  </si>
  <si>
    <t>TELEDYNE TECHNOLOGIES INC</t>
  </si>
  <si>
    <t>WAB</t>
  </si>
  <si>
    <t>WESTINGHOUSE AIR BRAKE TECHNOLOGIE</t>
  </si>
  <si>
    <t>FLT</t>
  </si>
  <si>
    <t>BAX</t>
  </si>
  <si>
    <t>RJF</t>
  </si>
  <si>
    <t>RAYMOND JAMES INC</t>
  </si>
  <si>
    <t>MKC</t>
  </si>
  <si>
    <t>MCCORMICK &amp; CO NON-VOTING INC</t>
  </si>
  <si>
    <t>INVH</t>
  </si>
  <si>
    <t>HWM</t>
  </si>
  <si>
    <t>HOWMET AEROSPACE INC</t>
  </si>
  <si>
    <t>VRSN</t>
  </si>
  <si>
    <t>LH</t>
  </si>
  <si>
    <t>LABORATORY CORPORATION OF AMERICA</t>
  </si>
  <si>
    <t>FE</t>
  </si>
  <si>
    <t>IRM</t>
  </si>
  <si>
    <t>IFF</t>
  </si>
  <si>
    <t>INTERNATIONAL FLAVORS &amp; FRAGRANCES</t>
  </si>
  <si>
    <t>DRI</t>
  </si>
  <si>
    <t>FSLR</t>
  </si>
  <si>
    <t>PPL</t>
  </si>
  <si>
    <t>HOLX</t>
  </si>
  <si>
    <t>J</t>
  </si>
  <si>
    <t>JACOBS SOLUTIONS INC</t>
  </si>
  <si>
    <t>FITB</t>
  </si>
  <si>
    <t>VTR</t>
  </si>
  <si>
    <t>VENTAS REIT INC</t>
  </si>
  <si>
    <t>EXPD</t>
  </si>
  <si>
    <t>EXPEDITORS INTERNATIONAL OF WASHIN</t>
  </si>
  <si>
    <t>FDS</t>
  </si>
  <si>
    <t>FACTSET RESEARCH SYSTEMS INC</t>
  </si>
  <si>
    <t>CNP</t>
  </si>
  <si>
    <t>PTC</t>
  </si>
  <si>
    <t>PTC INC</t>
  </si>
  <si>
    <t>BRO</t>
  </si>
  <si>
    <t>BROWN &amp; BROWN INC</t>
  </si>
  <si>
    <t>BG</t>
  </si>
  <si>
    <t>BUNGE LTD</t>
  </si>
  <si>
    <t>MRO</t>
  </si>
  <si>
    <t>MARATHON OIL CORP</t>
  </si>
  <si>
    <t>CF</t>
  </si>
  <si>
    <t>CF INDUSTRIES HOLDINGS INC</t>
  </si>
  <si>
    <t>NDAQ</t>
  </si>
  <si>
    <t>EG</t>
  </si>
  <si>
    <t>EVEREST GROUP LTD</t>
  </si>
  <si>
    <t>CBOE</t>
  </si>
  <si>
    <t>STLD</t>
  </si>
  <si>
    <t>STEEL DYNAMICS INC</t>
  </si>
  <si>
    <t>PHM</t>
  </si>
  <si>
    <t>TYL</t>
  </si>
  <si>
    <t>TYLER TECHNOLOGIES INC</t>
  </si>
  <si>
    <t>ENPH</t>
  </si>
  <si>
    <t>AKAM</t>
  </si>
  <si>
    <t>WAT</t>
  </si>
  <si>
    <t>CINF</t>
  </si>
  <si>
    <t>LUV</t>
  </si>
  <si>
    <t>SOUTHWEST AIRLINES</t>
  </si>
  <si>
    <t>PFG</t>
  </si>
  <si>
    <t>GRMN</t>
  </si>
  <si>
    <t>NTAP</t>
  </si>
  <si>
    <t>RF</t>
  </si>
  <si>
    <t>CLX</t>
  </si>
  <si>
    <t>CLOROX</t>
  </si>
  <si>
    <t>COO</t>
  </si>
  <si>
    <t>COOPER INC</t>
  </si>
  <si>
    <t>IEX</t>
  </si>
  <si>
    <t>IDEX CORP</t>
  </si>
  <si>
    <t>ATO</t>
  </si>
  <si>
    <t>SWKS</t>
  </si>
  <si>
    <t>K</t>
  </si>
  <si>
    <t>KELLOGG</t>
  </si>
  <si>
    <t>TXT</t>
  </si>
  <si>
    <t>ARE</t>
  </si>
  <si>
    <t>ALEXANDRIA REAL ESTATE EQUITIES RE</t>
  </si>
  <si>
    <t>CMS</t>
  </si>
  <si>
    <t>TER</t>
  </si>
  <si>
    <t>JBHT</t>
  </si>
  <si>
    <t>BALL</t>
  </si>
  <si>
    <t>EPAM</t>
  </si>
  <si>
    <t>MAA</t>
  </si>
  <si>
    <t>MID AMERICA APARTMENT COMMUNITIES</t>
  </si>
  <si>
    <t>WBA</t>
  </si>
  <si>
    <t>WALGREEN BOOTS ALLIANCE INC</t>
  </si>
  <si>
    <t>LVS</t>
  </si>
  <si>
    <t>AVY</t>
  </si>
  <si>
    <t>AVERY DENNISON CORP</t>
  </si>
  <si>
    <t>HBAN</t>
  </si>
  <si>
    <t>HUNTINGTON BANCSHARES INC</t>
  </si>
  <si>
    <t>WDC</t>
  </si>
  <si>
    <t>OMC</t>
  </si>
  <si>
    <t>EQT</t>
  </si>
  <si>
    <t>EQT CORP</t>
  </si>
  <si>
    <t>CCL</t>
  </si>
  <si>
    <t>NTRS</t>
  </si>
  <si>
    <t>TSN</t>
  </si>
  <si>
    <t>TYSON FOODS INC CLASS A</t>
  </si>
  <si>
    <t>EXPE</t>
  </si>
  <si>
    <t>UAL</t>
  </si>
  <si>
    <t>DGX</t>
  </si>
  <si>
    <t>PKG</t>
  </si>
  <si>
    <t>POOL</t>
  </si>
  <si>
    <t>AXON</t>
  </si>
  <si>
    <t>AXON ENTERPRISE INC</t>
  </si>
  <si>
    <t>RVTY</t>
  </si>
  <si>
    <t>SNA</t>
  </si>
  <si>
    <t>SNAP ON INC</t>
  </si>
  <si>
    <t>ESS</t>
  </si>
  <si>
    <t>ESSEX PROPERTY TRUST REIT INC</t>
  </si>
  <si>
    <t>AMCR</t>
  </si>
  <si>
    <t>LW</t>
  </si>
  <si>
    <t>LAMB WESTON HOLDINGS INC</t>
  </si>
  <si>
    <t>DPZ</t>
  </si>
  <si>
    <t>DOMINOS PIZZA INC</t>
  </si>
  <si>
    <t>BBY</t>
  </si>
  <si>
    <t>LKQ</t>
  </si>
  <si>
    <t>WRB</t>
  </si>
  <si>
    <t>WR BERKLEY CORP</t>
  </si>
  <si>
    <t>CAG</t>
  </si>
  <si>
    <t>TRMB</t>
  </si>
  <si>
    <t>APA</t>
  </si>
  <si>
    <t>APA CORP</t>
  </si>
  <si>
    <t>SYF</t>
  </si>
  <si>
    <t>SWK</t>
  </si>
  <si>
    <t>SJM</t>
  </si>
  <si>
    <t>JM SMUCKER</t>
  </si>
  <si>
    <t>PAYC</t>
  </si>
  <si>
    <t>STX</t>
  </si>
  <si>
    <t>SEAGATE TECHNOLOGY HOLDINGS PLC</t>
  </si>
  <si>
    <t>LDOS</t>
  </si>
  <si>
    <t>CE</t>
  </si>
  <si>
    <t>CFG</t>
  </si>
  <si>
    <t>IP</t>
  </si>
  <si>
    <t>INTERNATIONAL PAPER</t>
  </si>
  <si>
    <t>MAS</t>
  </si>
  <si>
    <t>ZBRA</t>
  </si>
  <si>
    <t>ZEBRA TECHNOLOGIES CORP CLASS A</t>
  </si>
  <si>
    <t>LNT</t>
  </si>
  <si>
    <t>NDSN</t>
  </si>
  <si>
    <t>NORDSON CORP</t>
  </si>
  <si>
    <t>MOS</t>
  </si>
  <si>
    <t>MOSAIC</t>
  </si>
  <si>
    <t>LYV</t>
  </si>
  <si>
    <t>L</t>
  </si>
  <si>
    <t>VTRS</t>
  </si>
  <si>
    <t>HST</t>
  </si>
  <si>
    <t>HOST HOTELS &amp; RESORTS REIT INC</t>
  </si>
  <si>
    <t>TAP</t>
  </si>
  <si>
    <t>MOLSON COORS BREWING CLASS B</t>
  </si>
  <si>
    <t>EVRG</t>
  </si>
  <si>
    <t>PODD</t>
  </si>
  <si>
    <t>IPG</t>
  </si>
  <si>
    <t>INTERPUBLIC GROUP OF COMPANIES INC</t>
  </si>
  <si>
    <t>JKHY</t>
  </si>
  <si>
    <t>JACK HENRY AND ASSOCIATES INC</t>
  </si>
  <si>
    <t>HRL</t>
  </si>
  <si>
    <t>MTCH</t>
  </si>
  <si>
    <t>KIM</t>
  </si>
  <si>
    <t>KIMCO REALTY REIT CORP</t>
  </si>
  <si>
    <t>KMX</t>
  </si>
  <si>
    <t>INCY</t>
  </si>
  <si>
    <t>UDR</t>
  </si>
  <si>
    <t>UDR REIT INC</t>
  </si>
  <si>
    <t>PNR</t>
  </si>
  <si>
    <t>PENTAIR</t>
  </si>
  <si>
    <t>TECH</t>
  </si>
  <si>
    <t>BIO TECHNE CORP</t>
  </si>
  <si>
    <t>ROL</t>
  </si>
  <si>
    <t>CDAY</t>
  </si>
  <si>
    <t>CERIDIAN HCM HOLDING INC</t>
  </si>
  <si>
    <t>BFB</t>
  </si>
  <si>
    <t>BROWN FORMAN CORP CLASS B</t>
  </si>
  <si>
    <t>MGM</t>
  </si>
  <si>
    <t>NI</t>
  </si>
  <si>
    <t>CHRW</t>
  </si>
  <si>
    <t>CPT</t>
  </si>
  <si>
    <t>CAMDEN PROPERTY TRUST REIT</t>
  </si>
  <si>
    <t>CZR</t>
  </si>
  <si>
    <t>GEN</t>
  </si>
  <si>
    <t>CRL</t>
  </si>
  <si>
    <t>CHARLES RIVER LABORATORIES INTERNA</t>
  </si>
  <si>
    <t>AES</t>
  </si>
  <si>
    <t>AES CORP</t>
  </si>
  <si>
    <t>REG</t>
  </si>
  <si>
    <t>REGENCY CENTERS REIT CORP</t>
  </si>
  <si>
    <t>PEAK</t>
  </si>
  <si>
    <t>KEY</t>
  </si>
  <si>
    <t>HSIC</t>
  </si>
  <si>
    <t>GL</t>
  </si>
  <si>
    <t>FFIV</t>
  </si>
  <si>
    <t>BWA</t>
  </si>
  <si>
    <t>BORGWARNER INC</t>
  </si>
  <si>
    <t>QRVO</t>
  </si>
  <si>
    <t>QORVO INC</t>
  </si>
  <si>
    <t>TFX</t>
  </si>
  <si>
    <t>WRK</t>
  </si>
  <si>
    <t>WESTROCK</t>
  </si>
  <si>
    <t>ALLE</t>
  </si>
  <si>
    <t>EMN</t>
  </si>
  <si>
    <t>EASTMAN CHEMICAL</t>
  </si>
  <si>
    <t>JNPR</t>
  </si>
  <si>
    <t>WYNN</t>
  </si>
  <si>
    <t>WYNN RESORTS LTD</t>
  </si>
  <si>
    <t>NRG</t>
  </si>
  <si>
    <t>NRG ENERGY INC</t>
  </si>
  <si>
    <t>HAS</t>
  </si>
  <si>
    <t>BXP</t>
  </si>
  <si>
    <t>BOSTON PROPERTIES REIT INC</t>
  </si>
  <si>
    <t>AAL</t>
  </si>
  <si>
    <t>AMERICAN AIRLINES GROUP INC</t>
  </si>
  <si>
    <t>PNW</t>
  </si>
  <si>
    <t>PINNACLE WEST CORP</t>
  </si>
  <si>
    <t>AOS</t>
  </si>
  <si>
    <t>CTLT</t>
  </si>
  <si>
    <t>FMC</t>
  </si>
  <si>
    <t>HII</t>
  </si>
  <si>
    <t>HUNTINGTON INGALLS INDUSTRIES INC</t>
  </si>
  <si>
    <t>CPB</t>
  </si>
  <si>
    <t>CAMPBELL SOUP</t>
  </si>
  <si>
    <t>FOXA</t>
  </si>
  <si>
    <t>FOX CORP CLASS A</t>
  </si>
  <si>
    <t>MKTX</t>
  </si>
  <si>
    <t>MARKETAXESS HOLDINGS INC</t>
  </si>
  <si>
    <t>UHS</t>
  </si>
  <si>
    <t>UNIVERSAL HEALTH SERVICES INC CLAS</t>
  </si>
  <si>
    <t>ETSY</t>
  </si>
  <si>
    <t>RHI</t>
  </si>
  <si>
    <t>ROBERT HALF</t>
  </si>
  <si>
    <t>AIZ</t>
  </si>
  <si>
    <t>ASSURANT INC</t>
  </si>
  <si>
    <t>NWSA</t>
  </si>
  <si>
    <t>NEWS CORP CLASS A</t>
  </si>
  <si>
    <t>BBWI</t>
  </si>
  <si>
    <t>BATH AND BODY WORKS INC</t>
  </si>
  <si>
    <t>BIO</t>
  </si>
  <si>
    <t>BIO RAD LABORATORIES INC CLASS A</t>
  </si>
  <si>
    <t>SEDG</t>
  </si>
  <si>
    <t>SOLAREDGE TECHNOLOGIES INC</t>
  </si>
  <si>
    <t>WHR</t>
  </si>
  <si>
    <t>XRAY</t>
  </si>
  <si>
    <t>DENTSPLY SIRONA INC</t>
  </si>
  <si>
    <t>NCLH</t>
  </si>
  <si>
    <t>NORWEGIAN CRUISE LINE HOLDINGS LTD</t>
  </si>
  <si>
    <t>BEN</t>
  </si>
  <si>
    <t>GNRC</t>
  </si>
  <si>
    <t>GENERAC HOLDINGS INC</t>
  </si>
  <si>
    <t>FRT</t>
  </si>
  <si>
    <t>FEDERAL REALTY INVESTMENT TRUST RE</t>
  </si>
  <si>
    <t>TPR</t>
  </si>
  <si>
    <t>TAPESTRY INC</t>
  </si>
  <si>
    <t>IVZ</t>
  </si>
  <si>
    <t>INVESCO LTD</t>
  </si>
  <si>
    <t>PARA</t>
  </si>
  <si>
    <t>PARAMOUNT GLOBAL CLASS B</t>
  </si>
  <si>
    <t>VFC</t>
  </si>
  <si>
    <t>VF CORP</t>
  </si>
  <si>
    <t>CMA</t>
  </si>
  <si>
    <t>COMERICA INC</t>
  </si>
  <si>
    <t>DVA</t>
  </si>
  <si>
    <t>DAVITA INC</t>
  </si>
  <si>
    <t>ZION</t>
  </si>
  <si>
    <t>ZIONS BANCORPORATION</t>
  </si>
  <si>
    <t>SEE</t>
  </si>
  <si>
    <t>SEALED AIR CORP</t>
  </si>
  <si>
    <t>ALK</t>
  </si>
  <si>
    <t>ALASKA AIR GROUP INC</t>
  </si>
  <si>
    <t>RL</t>
  </si>
  <si>
    <t>RALPH LAUREN CORP CLASS A</t>
  </si>
  <si>
    <t>MHK</t>
  </si>
  <si>
    <t>MOHAWK INDUSTRIES INC</t>
  </si>
  <si>
    <t>OGN</t>
  </si>
  <si>
    <t>ORGANON</t>
  </si>
  <si>
    <t>DXC</t>
  </si>
  <si>
    <t>DXC TECHNOLOGY</t>
  </si>
  <si>
    <t>UBFUT</t>
  </si>
  <si>
    <t>CASH COLLATERAL USD UBFUT</t>
  </si>
  <si>
    <t>Cash Collateral and Margins</t>
  </si>
  <si>
    <t>FOX</t>
  </si>
  <si>
    <t>FOX CORP CLASS B</t>
  </si>
  <si>
    <t>NWS</t>
  </si>
  <si>
    <t>NEWS CORP CLASS B</t>
  </si>
  <si>
    <t>ESZ3</t>
  </si>
  <si>
    <t>S&amp;P500 EMINI DEC 23</t>
  </si>
  <si>
    <t>Futures</t>
  </si>
  <si>
    <t>-</t>
  </si>
  <si>
    <t>ASML UW</t>
  </si>
  <si>
    <t>B908F01</t>
  </si>
  <si>
    <t>AZN UW</t>
  </si>
  <si>
    <t>NQU3 Index</t>
  </si>
  <si>
    <t>NASDAQ 100 E-MINI SEP23</t>
  </si>
  <si>
    <t>OCDO LN Equity</t>
  </si>
  <si>
    <t>IPGP UW Equity</t>
  </si>
  <si>
    <t>IPG PHOTONICS</t>
  </si>
  <si>
    <t>ISRG UW Equity</t>
  </si>
  <si>
    <t>INTUITIVE SURGIC</t>
  </si>
  <si>
    <t>AZTA UW Equity</t>
  </si>
  <si>
    <t>AZENTA INC</t>
  </si>
  <si>
    <t>ZBRA UW Equity</t>
  </si>
  <si>
    <t>ZEBRA TECH CORP</t>
  </si>
  <si>
    <t>ROK UN Equity</t>
  </si>
  <si>
    <t>ROCKWELL AUTOMAT</t>
  </si>
  <si>
    <t>KARN SE Equity</t>
  </si>
  <si>
    <t>B00ZC75</t>
  </si>
  <si>
    <t>KARDEX HOLDI-REG</t>
  </si>
  <si>
    <t>TER UW Equity</t>
  </si>
  <si>
    <t>CGNX UW Equity</t>
  </si>
  <si>
    <t>COGNEX CORP</t>
  </si>
  <si>
    <t>NOVT UW Equity</t>
  </si>
  <si>
    <t>BD8S5H8</t>
  </si>
  <si>
    <t>NOVANTA INC</t>
  </si>
  <si>
    <t>SYM UQ Equity</t>
  </si>
  <si>
    <t>BPG82M8</t>
  </si>
  <si>
    <t>SYMBOTIC INC</t>
  </si>
  <si>
    <t>NOW UN Equity</t>
  </si>
  <si>
    <t>6954 JT Equity</t>
  </si>
  <si>
    <t>6134 JT Equity</t>
  </si>
  <si>
    <t>FUJI CORP</t>
  </si>
  <si>
    <t>SSYS UW Equity</t>
  </si>
  <si>
    <t>B7WD7D7</t>
  </si>
  <si>
    <t>STRATASYS LTD</t>
  </si>
  <si>
    <t>NDSN UW Equity</t>
  </si>
  <si>
    <t>6324 JT Equity</t>
  </si>
  <si>
    <t>HARMONIC DRIVE</t>
  </si>
  <si>
    <t>6383 JT Equity</t>
  </si>
  <si>
    <t>ATS CT Equity</t>
  </si>
  <si>
    <t>BP8JT73</t>
  </si>
  <si>
    <t>ATS CORP</t>
  </si>
  <si>
    <t>NVDA UW Equity</t>
  </si>
  <si>
    <t>6861 JT Equity</t>
  </si>
  <si>
    <t>1590 TT Equity</t>
  </si>
  <si>
    <t>B52J816</t>
  </si>
  <si>
    <t>AIRTAC INTERNATI</t>
  </si>
  <si>
    <t>HEXAB SS Equity</t>
  </si>
  <si>
    <t>HEXAGON AB-B</t>
  </si>
  <si>
    <t>6506 JT Equity</t>
  </si>
  <si>
    <t>YASKAWA ELECTRIC</t>
  </si>
  <si>
    <t>LAZR UW Equity</t>
  </si>
  <si>
    <t>BNG96D6</t>
  </si>
  <si>
    <t>LUMINAR TECHNOLO</t>
  </si>
  <si>
    <t>KRN GY Equity</t>
  </si>
  <si>
    <t>KRONES AG</t>
  </si>
  <si>
    <t>6201 JT Equity</t>
  </si>
  <si>
    <t>TOYOTA INDUSTRIE</t>
  </si>
  <si>
    <t>TECN SE Equity</t>
  </si>
  <si>
    <t>TECAN GROUP AG-R</t>
  </si>
  <si>
    <t>MANH UW Equity</t>
  </si>
  <si>
    <t>MANHATTAN ASSOC</t>
  </si>
  <si>
    <t>G1A GY Equity</t>
  </si>
  <si>
    <t>GEA GROUP AG</t>
  </si>
  <si>
    <t>AUTO NO Equity</t>
  </si>
  <si>
    <t>BN49G27</t>
  </si>
  <si>
    <t>AUTOSTORE HOLDIN</t>
  </si>
  <si>
    <t>ILMN UW Equity</t>
  </si>
  <si>
    <t>OMCL UW Equity</t>
  </si>
  <si>
    <t>OMNICELL INC</t>
  </si>
  <si>
    <t>6273 JT Equity</t>
  </si>
  <si>
    <t>IRTC UW Equity</t>
  </si>
  <si>
    <t>BYT4ST5</t>
  </si>
  <si>
    <t>IRHYTHM TECHNOLO</t>
  </si>
  <si>
    <t>IOT UN Equity</t>
  </si>
  <si>
    <t>BPK3058</t>
  </si>
  <si>
    <t>SAMSARA INC-CL A</t>
  </si>
  <si>
    <t>2049 TT Equity</t>
  </si>
  <si>
    <t>B1YMYT5</t>
  </si>
  <si>
    <t>HIWIN TECH</t>
  </si>
  <si>
    <t>PTC UW Equity</t>
  </si>
  <si>
    <t>B95N910</t>
  </si>
  <si>
    <t>AMBA UW Equity</t>
  </si>
  <si>
    <t>B7KH3G6</t>
  </si>
  <si>
    <t>AMBARELLA INC</t>
  </si>
  <si>
    <t>JEN GY Equity</t>
  </si>
  <si>
    <t>BGJVB13</t>
  </si>
  <si>
    <t>JENOPTIK AG</t>
  </si>
  <si>
    <t>DE UN Equity</t>
  </si>
  <si>
    <t>DDD UN Equity</t>
  </si>
  <si>
    <t>3D SYSTEMS CORP</t>
  </si>
  <si>
    <t>NATI UW Equity</t>
  </si>
  <si>
    <t>NATL INSTRUMENTS</t>
  </si>
  <si>
    <t>6841 JT Equity</t>
  </si>
  <si>
    <t>YOKOGAWA ELEC</t>
  </si>
  <si>
    <t>CDNS UW Equity</t>
  </si>
  <si>
    <t>CADENCE DESIGN</t>
  </si>
  <si>
    <t>RSW LN Equity</t>
  </si>
  <si>
    <t>RENISHAW PLC</t>
  </si>
  <si>
    <t>6645 JT Equity</t>
  </si>
  <si>
    <t>2395 TT Equity</t>
  </si>
  <si>
    <t>ADVANTECH</t>
  </si>
  <si>
    <t>TRMB UW Equity</t>
  </si>
  <si>
    <t>MCHP UW Equity</t>
  </si>
  <si>
    <t>MICROCHIP TECH</t>
  </si>
  <si>
    <t>DSY FP Equity</t>
  </si>
  <si>
    <t>DASSAULT SYSTEME</t>
  </si>
  <si>
    <t>QGEN UN Equity</t>
  </si>
  <si>
    <t>BYXS688</t>
  </si>
  <si>
    <t>QIAGEN NV</t>
  </si>
  <si>
    <t>DUE GY Equity</t>
  </si>
  <si>
    <t>DUERR AG</t>
  </si>
  <si>
    <t>APTV UN Equity</t>
  </si>
  <si>
    <t>ADSK UW Equity</t>
  </si>
  <si>
    <t>6268 JT Equity</t>
  </si>
  <si>
    <t>NABTESCO CORP</t>
  </si>
  <si>
    <t>6481 JT Equity</t>
  </si>
  <si>
    <t>THK CO LTD</t>
  </si>
  <si>
    <t>CGCBV FH Equity</t>
  </si>
  <si>
    <t>B09M9L0</t>
  </si>
  <si>
    <t>CARGOTEC OYJ-B</t>
  </si>
  <si>
    <t>GMED UN Equity</t>
  </si>
  <si>
    <t>B7D65M0</t>
  </si>
  <si>
    <t>GLOBUS MEDICAL I</t>
  </si>
  <si>
    <t>JBT UN Equity</t>
  </si>
  <si>
    <t>B3BRJZ8</t>
  </si>
  <si>
    <t>JOHN BEAN TECH</t>
  </si>
  <si>
    <t>QCOM UW Equity</t>
  </si>
  <si>
    <t>GXO UN Equity</t>
  </si>
  <si>
    <t>BNNTGF1</t>
  </si>
  <si>
    <t>GXO LOGISTIC</t>
  </si>
  <si>
    <t>EKTAB SS Equity</t>
  </si>
  <si>
    <t>B0M42T2</t>
  </si>
  <si>
    <t>ELEKTA AB-B</t>
  </si>
  <si>
    <t>SU FP Equity</t>
  </si>
  <si>
    <t>SCHNEIDER ELECTR</t>
  </si>
  <si>
    <t>3443 TT Equity</t>
  </si>
  <si>
    <t>B056381</t>
  </si>
  <si>
    <t>GLOBAL UNICHIP</t>
  </si>
  <si>
    <t>098460 KQ Equity</t>
  </si>
  <si>
    <t>B39Q399</t>
  </si>
  <si>
    <t>KOH YOUNG TECHNO</t>
  </si>
  <si>
    <t>KGX GY Equity</t>
  </si>
  <si>
    <t>BB22L96</t>
  </si>
  <si>
    <t>KION GROUP AG</t>
  </si>
  <si>
    <t>SIE GY Equity</t>
  </si>
  <si>
    <t>SIEMENS AG-REG</t>
  </si>
  <si>
    <t>6622 JT Equity</t>
  </si>
  <si>
    <t>DAIHEN CORP</t>
  </si>
  <si>
    <t>6503 JT Equity</t>
  </si>
  <si>
    <t>MITSUB ELEC CORP</t>
  </si>
  <si>
    <t>6104 JT Equity</t>
  </si>
  <si>
    <t>SHIBAURA MACHINE</t>
  </si>
  <si>
    <t>6914 JT Equity</t>
  </si>
  <si>
    <t>OPTEX GROUP CO L</t>
  </si>
  <si>
    <t>FARO UW Equity</t>
  </si>
  <si>
    <t>FARO TECH</t>
  </si>
  <si>
    <t>002230 C2 Equity</t>
  </si>
  <si>
    <t>BD5CNN5</t>
  </si>
  <si>
    <t>IFLYTEK CO LTD-A</t>
  </si>
  <si>
    <t>CNH</t>
  </si>
  <si>
    <t>002008 C2 Equity</t>
  </si>
  <si>
    <t>BD5CKS9</t>
  </si>
  <si>
    <t>HAN'S LASER -A</t>
  </si>
  <si>
    <t>002747 C2 Equity</t>
  </si>
  <si>
    <t>BFCCQJ9</t>
  </si>
  <si>
    <t>ESTUN AUTOMA-A</t>
  </si>
  <si>
    <t>SEDG UW</t>
  </si>
  <si>
    <t>BWC52Q6</t>
  </si>
  <si>
    <t>RUN UW</t>
  </si>
  <si>
    <t>BYXB1Y8</t>
  </si>
  <si>
    <t>SUNRUN INC</t>
  </si>
  <si>
    <t>ARRY UQ</t>
  </si>
  <si>
    <t>BLBLMD5</t>
  </si>
  <si>
    <t>ARRAY TECHNOLOGIES INC</t>
  </si>
  <si>
    <t>HASI UN</t>
  </si>
  <si>
    <t>B9HHD96</t>
  </si>
  <si>
    <t>HANNON ARMSTRONG SUSTAINABLE I</t>
  </si>
  <si>
    <t>MBTN SE</t>
  </si>
  <si>
    <t>B5NC0D0</t>
  </si>
  <si>
    <t>MEYER BURGER TECHNOLOGY AG</t>
  </si>
  <si>
    <t>NOVA UN</t>
  </si>
  <si>
    <t>BJ9N563</t>
  </si>
  <si>
    <t>SUNNOVA ENERGY INTERNATIONAL I</t>
  </si>
  <si>
    <t>CSIQ UW</t>
  </si>
  <si>
    <t>B1GKCH1</t>
  </si>
  <si>
    <t>CANADIAN SOLAR INC</t>
  </si>
  <si>
    <t>ECV GY</t>
  </si>
  <si>
    <t>ENCAVIS AG</t>
  </si>
  <si>
    <t>6865 HK</t>
  </si>
  <si>
    <t>BYQ9774</t>
  </si>
  <si>
    <t>FLAT GLASS GROUP CO LTD</t>
  </si>
  <si>
    <t>5483 TT</t>
  </si>
  <si>
    <t>SINO-AMERICAN SILICON PRODUCTS</t>
  </si>
  <si>
    <t>S92 GY</t>
  </si>
  <si>
    <t>B3B20H2</t>
  </si>
  <si>
    <t>SMA SOLAR TECHNOLOGY AG</t>
  </si>
  <si>
    <t>SLR SQ</t>
  </si>
  <si>
    <t>B1YVKJ4</t>
  </si>
  <si>
    <t>SOLARIA ENERGIA Y MEDIO AMBIEN</t>
  </si>
  <si>
    <t>CWEN UN</t>
  </si>
  <si>
    <t>BGJRH57</t>
  </si>
  <si>
    <t>CLEARWAY ENERGY INC</t>
  </si>
  <si>
    <t>WCH GY</t>
  </si>
  <si>
    <t>B11Y568</t>
  </si>
  <si>
    <t>WACKER CHEMIE AG</t>
  </si>
  <si>
    <t>NEOEN FP</t>
  </si>
  <si>
    <t>BGV7F95</t>
  </si>
  <si>
    <t>NEOEN SA</t>
  </si>
  <si>
    <t>ENLT IT</t>
  </si>
  <si>
    <t>ENLIGHT RENEWABLE ENERGY LTD</t>
  </si>
  <si>
    <t>SPWR UW</t>
  </si>
  <si>
    <t>B59DK93</t>
  </si>
  <si>
    <t>SUNPOWER CORP</t>
  </si>
  <si>
    <t>3576 TT</t>
  </si>
  <si>
    <t>B284BT3</t>
  </si>
  <si>
    <t>UNITED RENEWABLE ENERGY CO LTD</t>
  </si>
  <si>
    <t>1799 HK</t>
  </si>
  <si>
    <t>BD9Q2R0</t>
  </si>
  <si>
    <t>XINTE ENERGY CO LTD</t>
  </si>
  <si>
    <t>RNW UW</t>
  </si>
  <si>
    <t>BNQMPN8</t>
  </si>
  <si>
    <t>RENEW ENERGY GLOBAL PLC</t>
  </si>
  <si>
    <t>MAXN UW</t>
  </si>
  <si>
    <t>BMH1V17</t>
  </si>
  <si>
    <t>MAXEON SOLAR TECHNOLOGIES LTD</t>
  </si>
  <si>
    <t>3868 HK</t>
  </si>
  <si>
    <t>BGSN864</t>
  </si>
  <si>
    <t>XINYI ENERGY HOLDINGS LTD</t>
  </si>
  <si>
    <t>6443 TT</t>
  </si>
  <si>
    <t>BK0S597</t>
  </si>
  <si>
    <t>TSEC CORP</t>
  </si>
  <si>
    <t>9519 JT</t>
  </si>
  <si>
    <t>BD71KT5</t>
  </si>
  <si>
    <t>RENOVA INC</t>
  </si>
  <si>
    <t>6244 TT</t>
  </si>
  <si>
    <t>MOTECH INDUSTRIES INC</t>
  </si>
  <si>
    <t>AMPS UN</t>
  </si>
  <si>
    <t>BPNXP05</t>
  </si>
  <si>
    <t>ALTUS POWER INC</t>
  </si>
  <si>
    <t>1407 JT</t>
  </si>
  <si>
    <t>B0YQ5X1</t>
  </si>
  <si>
    <t>WEST HOLDINGS CORP</t>
  </si>
  <si>
    <t>SCATC NO</t>
  </si>
  <si>
    <t>BQSSWW3</t>
  </si>
  <si>
    <t>SCATEC ASA</t>
  </si>
  <si>
    <t>SOL UN</t>
  </si>
  <si>
    <t>BYM5JB4</t>
  </si>
  <si>
    <t>EMEREN GROUP LTD</t>
  </si>
  <si>
    <t>8028 TT</t>
  </si>
  <si>
    <t>B050VP6</t>
  </si>
  <si>
    <t>PHOENIX SILICON INTERNATIONAL</t>
  </si>
  <si>
    <t>% of net assets</t>
  </si>
  <si>
    <t>AUSTRALIA (COMMONWEALTH OF)</t>
  </si>
  <si>
    <t>AUSTRALIA (ACGB APR 2025)</t>
  </si>
  <si>
    <t>Australia Government Bond</t>
  </si>
  <si>
    <t>AUSTRALIA GOVERNMENT BOND</t>
  </si>
  <si>
    <t>TREASURY Corp. OF VICTORIA</t>
  </si>
  <si>
    <t>TREASURY CORPORATION OF VICTORIA</t>
  </si>
  <si>
    <t>NEW SOUTH WALES TREASURY CORPORATI</t>
  </si>
  <si>
    <t>New South Wales Treasury Corp.</t>
  </si>
  <si>
    <t>QUEENSLAND TREASURY Corp.</t>
  </si>
  <si>
    <t>NEW SOUTH WALES TREASURY Corp.</t>
  </si>
  <si>
    <t>NEW SOUTH WALES (STATE OF)</t>
  </si>
  <si>
    <t>WESTERN AUSTRALIAN TREASURY Corp.</t>
  </si>
  <si>
    <t>WESTERN AUSTRALIAN TREASURY CORPOR</t>
  </si>
  <si>
    <t>KFW</t>
  </si>
  <si>
    <t>SOUTH AUSTRALIAN GOVERNMENT FINANC</t>
  </si>
  <si>
    <t>NSW TCORP SUTAINABILITY BOND</t>
  </si>
  <si>
    <t>INTERNATIONAL BANK FOR RECONSTRUCT</t>
  </si>
  <si>
    <t>QUEENSLAND TREASURY Corp. GREEN</t>
  </si>
  <si>
    <t>NEW SOUTH WALES TREASURY (GREEN)</t>
  </si>
  <si>
    <t>EUROPEAN INVESTMENT BANK</t>
  </si>
  <si>
    <t>KOMMUNALBANKEN AS</t>
  </si>
  <si>
    <t>INTERNATIONAL FINANCE Corp.</t>
  </si>
  <si>
    <t>BNG BANK NV</t>
  </si>
  <si>
    <t>GREEN NEW SOUTH WALES TREASURY COR</t>
  </si>
  <si>
    <t>TASMANIAN PUBLIC FINANCE CORPORATI</t>
  </si>
  <si>
    <t>LANDWIRTSCHAFTLICHE RENTENBANK</t>
  </si>
  <si>
    <t>AUSTRALIAN CAPITAL TERRITORY (GOVE</t>
  </si>
  <si>
    <t>VERIZON COMMUNICATIONS Inc.</t>
  </si>
  <si>
    <t>EUROPEAN INVESTMENT BANK GREEN</t>
  </si>
  <si>
    <t>TASMANIAN PUBLIC FINANCE Corp.</t>
  </si>
  <si>
    <t>ASIAN DEVELOPMENT BANK</t>
  </si>
  <si>
    <t>NBN CO Ltd.</t>
  </si>
  <si>
    <t>INTER-AMERICAN DEVELOPMENT BANK</t>
  </si>
  <si>
    <t>NORDIC INVESTMENT BANK</t>
  </si>
  <si>
    <t>CPPIB CAPITAL Inc.</t>
  </si>
  <si>
    <t>AUSGRID FINANCE PTY Ltd.</t>
  </si>
  <si>
    <t>AFRICAN DEVELOPMENT BANK</t>
  </si>
  <si>
    <t>NEDERLANDSE WATERSCHAPSBANK NV</t>
  </si>
  <si>
    <t>WESTPAC BANKING Corp.</t>
  </si>
  <si>
    <t>ANZ BANKING GROUP Ltd./MELBOURNE</t>
  </si>
  <si>
    <t>Landwirtschaftliche Rentenbank</t>
  </si>
  <si>
    <t>BANK NEDERLANDSE GEMEENTEN NV</t>
  </si>
  <si>
    <t>NATIONAL AUSTRALIA BANK Ltd.</t>
  </si>
  <si>
    <t>NORTHERN TERRITORY TREASURY Corp.</t>
  </si>
  <si>
    <t>International Bank for Reconstruction &amp; Development</t>
  </si>
  <si>
    <t>SUNCORP METWAY Ltd.</t>
  </si>
  <si>
    <t>EXPORT DEVELOPMENT CANADA</t>
  </si>
  <si>
    <t>Kreditanstalt fuer Wiederaufbau</t>
  </si>
  <si>
    <t>ASIAN DEVELOPMENT BANK GREEN</t>
  </si>
  <si>
    <t>MACQUARIE BANK Ltd.</t>
  </si>
  <si>
    <t>BRITISH COLUMBIA (PROVINCE OF)</t>
  </si>
  <si>
    <t>UNITED OVERSEAS BANK Ltd.</t>
  </si>
  <si>
    <t>Westpac Banking Corp.</t>
  </si>
  <si>
    <t>MANITOBA PROVINCE OF</t>
  </si>
  <si>
    <t>ING BANK (AUSTRALIA) Ltd.</t>
  </si>
  <si>
    <t>QANTAS AIRWAYS Ltd.</t>
  </si>
  <si>
    <t>WOOLWORTHS GROUP Ltd.</t>
  </si>
  <si>
    <t>AUSTRALIA AND NEW ZEALAND BANKING</t>
  </si>
  <si>
    <t>WSO FINANCE PTY Ltd.</t>
  </si>
  <si>
    <t>CORPORACION ANDINA DE FOMENTO</t>
  </si>
  <si>
    <t>EMIRATES BANK INTERNATIONAL PJSC</t>
  </si>
  <si>
    <t>Asian Development Bank</t>
  </si>
  <si>
    <t>EUROFIMA</t>
  </si>
  <si>
    <t>Province of Quebec Canada</t>
  </si>
  <si>
    <t>INTERNATIONAL BANK FOR RECON GREEN</t>
  </si>
  <si>
    <t>TOYOTA FINANCE AUSTRALIA Ltd.</t>
  </si>
  <si>
    <t>TORONTO-DOMINION BANK</t>
  </si>
  <si>
    <t>AT&amp;T Inc.</t>
  </si>
  <si>
    <t>COCA-COLA CO</t>
  </si>
  <si>
    <t>ONTARIO (PROVINCE OF)</t>
  </si>
  <si>
    <t>NRW BANK</t>
  </si>
  <si>
    <t>EXPORT FINANCE AND INSURANCE Corp.</t>
  </si>
  <si>
    <t>VOLKSWAGEN FINANCIAL SERVICES AG</t>
  </si>
  <si>
    <t>HYUNDAI CAPITAL SERVICES Inc.</t>
  </si>
  <si>
    <t>AUSNET SERVICES HOLDINGS PTY Ltd.</t>
  </si>
  <si>
    <t>KOMMUNEKREDIT</t>
  </si>
  <si>
    <t>TELSTRA CORPORATION Ltd.</t>
  </si>
  <si>
    <t>HONGKONG AND SHANGHAI BANKING Corp.</t>
  </si>
  <si>
    <t>NATWEST MARKETS PLC</t>
  </si>
  <si>
    <t>ASIAN INFRASTRUCTURE INVESTMENT BA</t>
  </si>
  <si>
    <t>DEUTSCHE BAHN FINANCE GMBH</t>
  </si>
  <si>
    <t>CANADIAN IMPERIAL BANK OF COMMERCE</t>
  </si>
  <si>
    <t>BRISBANE AIRPORT CORPORATION PTY L</t>
  </si>
  <si>
    <t>NATIONWIDE BUILDING SOCIETY</t>
  </si>
  <si>
    <t>NSW ELECTRICITY NETWORKS FINANCE P</t>
  </si>
  <si>
    <t>PACCAR FINANCIAL PTY Ltd.</t>
  </si>
  <si>
    <t>VOLKSWAGEN FINANCIAL SERVICES AUST</t>
  </si>
  <si>
    <t>INCITEC PIVOT Ltd.</t>
  </si>
  <si>
    <t>AGI FINANCE PTY Ltd.</t>
  </si>
  <si>
    <t>VICTORIA POWER NETWORKS FINANCE PT</t>
  </si>
  <si>
    <t>WESFARMERS Ltd.</t>
  </si>
  <si>
    <t>AURIZON FINANCE PTY Ltd.</t>
  </si>
  <si>
    <t>COUNCIL OF EUROPE DEVELOPMENT BANK</t>
  </si>
  <si>
    <t>PACIFIC NATIONAL FINANCE PTY Ltd.</t>
  </si>
  <si>
    <t>ROYAL BANK OF CANADA (SYDNEY BRANC</t>
  </si>
  <si>
    <t>SWEDISH EXPORT CREDIT Corp.</t>
  </si>
  <si>
    <t>APPLE Inc.</t>
  </si>
  <si>
    <t>WESTCONNEX FINANCE COMPANY PTY Ltd.</t>
  </si>
  <si>
    <t>OESTERREICHISCHE KONTROLLBANK AG</t>
  </si>
  <si>
    <t>APT PIPELINES Ltd.</t>
  </si>
  <si>
    <t>GOODMAN AUSTRALIA INDUSTRIAL FUND</t>
  </si>
  <si>
    <t>AUSTRALIAN GAS NETWORKS (VIC 3) PT</t>
  </si>
  <si>
    <t>NATIONAL HOUSING FINANCE AND INVES</t>
  </si>
  <si>
    <t>LONSDALE FINANCE PTY Ltd.</t>
  </si>
  <si>
    <t>MUNICIPALITY FINANCE PLC</t>
  </si>
  <si>
    <t>MIZUHO BANK Ltd. (SYDNEY BRANCH)</t>
  </si>
  <si>
    <t>AIR NEW ZEALAND Ltd.</t>
  </si>
  <si>
    <t>UBS AG (AUSTRALIA BRANCH)</t>
  </si>
  <si>
    <t>DBS BANK Ltd.</t>
  </si>
  <si>
    <t>KOMMUNALBANKEN AS GREEN</t>
  </si>
  <si>
    <t>AUCKLAND COUNCIL</t>
  </si>
  <si>
    <t>COLES GROUP TREASURY PTY Ltd.</t>
  </si>
  <si>
    <t>AURIZON NETWORK PTY Ltd.</t>
  </si>
  <si>
    <t>LEND LEASE FINANCE Ltd.</t>
  </si>
  <si>
    <t>LANDESKREDITBANK BADEN WUERTTEMBER</t>
  </si>
  <si>
    <t>NEXTERA ENERGY CAPITAL HOLDINGS IN</t>
  </si>
  <si>
    <t>ATHENE GLOBAL FUNDING</t>
  </si>
  <si>
    <t>KIWIBANK Ltd.</t>
  </si>
  <si>
    <t>UNIVERSITY OF MELBOURNE</t>
  </si>
  <si>
    <t>NETWORK FINANCE COMPANY PTY Ltd.</t>
  </si>
  <si>
    <t>AIRSERVICES AUSTRALIA</t>
  </si>
  <si>
    <t>DBNGP FINANCE CO PTY Ltd.</t>
  </si>
  <si>
    <t>BANK OF QUEENSLAND Ltd.</t>
  </si>
  <si>
    <t>SUNCORP GROUP Ltd.</t>
  </si>
  <si>
    <t>CPIF FINANCE PTY Ltd.</t>
  </si>
  <si>
    <t>EMIRATES NBD BANK PJSC</t>
  </si>
  <si>
    <t>ROYAL BANK OF CANADA SYDNEY BRANC</t>
  </si>
  <si>
    <t>BPCE SA</t>
  </si>
  <si>
    <t>TELSTRA GROUP Ltd.</t>
  </si>
  <si>
    <t>DEXUS FINANCE PTY Ltd.</t>
  </si>
  <si>
    <t>ALBERTA (PROVINCE OF)</t>
  </si>
  <si>
    <t>OPTUS FINANCE PTY Ltd.</t>
  </si>
  <si>
    <t>MIRVAC GROUP FINANCE Ltd.</t>
  </si>
  <si>
    <t>AUSTRALIAN POSTAL Corp.</t>
  </si>
  <si>
    <t>JOHN DEERE FINANCIAL Ltd.</t>
  </si>
  <si>
    <t>EXPORT-IMPORT BANK OF KOREA</t>
  </si>
  <si>
    <t>KOREA DEVELOPMENT BANK</t>
  </si>
  <si>
    <t>QIC FINANCE (SHOPPING CENTRE FUND)</t>
  </si>
  <si>
    <t>UNIVERSITY OF TASMANIA</t>
  </si>
  <si>
    <t>MACQUARIE UNIVERSITY</t>
  </si>
  <si>
    <t>COLES GROUP INTERNATIONAL PTY Ltd.</t>
  </si>
  <si>
    <t>LANDESKREDITBANK BADEN-WURTTEMBERG</t>
  </si>
  <si>
    <t>INTER-AMERICAN INVESTMENT Corp.</t>
  </si>
  <si>
    <t>MCDONALDS Corp.</t>
  </si>
  <si>
    <t>NETHERLANDS DEVELOPMENT FINANCE CO</t>
  </si>
  <si>
    <t>UNITED ENERGY DISTRIBUTION PTY Ltd.</t>
  </si>
  <si>
    <t>GTA FINANCE CO PTY Ltd.</t>
  </si>
  <si>
    <t>QUEBEC (PROVINCE OF)</t>
  </si>
  <si>
    <t>KOREA EXPRESSWAY Corp.</t>
  </si>
  <si>
    <t>SVENSK EXPORTKREDIT AB (SWEDISH EX</t>
  </si>
  <si>
    <t>AUSTRALIA PACIFIC AIRPORTS MELBOUR</t>
  </si>
  <si>
    <t>VICINITY CENTRES RE Ltd.</t>
  </si>
  <si>
    <t>BENDIGO AND ADELAIDE BANK Ltd.</t>
  </si>
  <si>
    <t>RABOBANK NEDERLAND (AUSTRALIA BRAN</t>
  </si>
  <si>
    <t>AROUNDTOWN SA</t>
  </si>
  <si>
    <t>METROPOLITAN LIFE GLOBAL FUNDING I</t>
  </si>
  <si>
    <t>ETSA UTILITIES FINANCE PTY Ltd.</t>
  </si>
  <si>
    <t>AUSTRALIAN NATIONAL UNIVERSITY</t>
  </si>
  <si>
    <t>ADCB FINANCE CAYMAN Ltd.</t>
  </si>
  <si>
    <t>GPT WHOLESALE OFFICE FUND NO1</t>
  </si>
  <si>
    <t>QPH FINANCE CO PTY Ltd.</t>
  </si>
  <si>
    <t>CHARTER HALL LWR PTY Ltd.</t>
  </si>
  <si>
    <t>VICINITY CENTRES TRUST</t>
  </si>
  <si>
    <t>AUSTRALIAN CATHOLIC UNIVERSITY Ltd.</t>
  </si>
  <si>
    <t>STOCKLAND TRUST MANAGEMENT Ltd.</t>
  </si>
  <si>
    <t>TRANSURBAN QUEENSLAND FINANCE PTY</t>
  </si>
  <si>
    <t>MANITOBA (PROVINCE OF)</t>
  </si>
  <si>
    <t>CONNECTEAST FINANCE PTY Ltd.</t>
  </si>
  <si>
    <t>TRANSPOWER NEW ZEALAND Ltd.</t>
  </si>
  <si>
    <t>FONTERRA CO-OPERATIVE GROUP Ltd.</t>
  </si>
  <si>
    <t>QIC FIN TOWN CENTRE FUND</t>
  </si>
  <si>
    <t>AMPOL Ltd.</t>
  </si>
  <si>
    <t>GENERAL MOTORS AUSTRALIA Ltd.</t>
  </si>
  <si>
    <t>UBS AG (SYDNEY BRANCH)</t>
  </si>
  <si>
    <t>MONASH UNIVERSITY</t>
  </si>
  <si>
    <t>EDITH COWAN UNIVERSITY</t>
  </si>
  <si>
    <t>EMIRATES NBD PJSC</t>
  </si>
  <si>
    <t>WORLEY FINANCIAL SERVICES PTY Ltd.</t>
  </si>
  <si>
    <t>ELECTRANET PTY Ltd.</t>
  </si>
  <si>
    <t>SHOPPING CENTRES AUSTRALASIA PROPE</t>
  </si>
  <si>
    <t>GPT WHOLESALE SHOPPING CENTRE FUND</t>
  </si>
  <si>
    <t>ENERGY PARTNERSHIP (GAS) PTY LIMIT</t>
  </si>
  <si>
    <t>SGSP (AUSTRALIA) ASSETS PTY Ltd.</t>
  </si>
  <si>
    <t>DWPF FINANCE PTY Ltd.</t>
  </si>
  <si>
    <t>UNIVERSITY OF TECHNOLOGY SYDNEY</t>
  </si>
  <si>
    <t>GPT RE Ltd.</t>
  </si>
  <si>
    <t>QNB FINANCE Ltd.</t>
  </si>
  <si>
    <t>ORIGIN ENERGY FINANCE Ltd.</t>
  </si>
  <si>
    <t>CHC FINANCE PTY Ltd.</t>
  </si>
  <si>
    <t>ASIA GREEN DEVELOPMENT BANK</t>
  </si>
  <si>
    <t>COMPUTERSHARE CLEARING PTY Ltd.</t>
  </si>
  <si>
    <t>UNIVERSITY OF SYDNEY</t>
  </si>
  <si>
    <t>Cooperatieve Rabobank UA/Australia</t>
  </si>
  <si>
    <t>LLOYDS BANK PLC</t>
  </si>
  <si>
    <t>NEDERLANDSE FINANCIERINGS-MAATSCHA</t>
  </si>
  <si>
    <t>APPF COMMERCIAL FINANCE PTY Ltd.</t>
  </si>
  <si>
    <t>GENERAL PROPERTY TRUST</t>
  </si>
  <si>
    <t>WOORI BANK (SEOUL BRANCH)</t>
  </si>
  <si>
    <t>SUMITOMO MITSUI BANKING Corp. (SYDN</t>
  </si>
  <si>
    <t>ASCIANO FINANCE Ltd.</t>
  </si>
  <si>
    <t>UNIVERSITY OF WOLLONGONG</t>
  </si>
  <si>
    <t>LLITST FINANCE PTY Ltd.</t>
  </si>
  <si>
    <t>WESTERN SYDNEY UNIVERSITY</t>
  </si>
  <si>
    <t>LOCAL GOVERNMENT FUNDING VEHICLE (</t>
  </si>
  <si>
    <t>AUCKLAND INTERNATIONAL AIRPORT Ltd.</t>
  </si>
  <si>
    <t>BANK OF NOVA SCOTIA (AUSTRALIA BRA</t>
  </si>
  <si>
    <t>LA TROBE UNIVERSITY</t>
  </si>
  <si>
    <t>ICPF FINANCE PTY Ltd.</t>
  </si>
  <si>
    <t>Council Of Europe Development Bank</t>
  </si>
  <si>
    <t>SHINHAN BANK</t>
  </si>
  <si>
    <t>EUROPEAN INVESTMENT BANK CLIMATE</t>
  </si>
  <si>
    <t>Australian Rail Track Corp. Ltd.</t>
  </si>
  <si>
    <t>INDUSTRIAL BANK OF KOREA</t>
  </si>
  <si>
    <t>CHARTER HALL EXCH FIN</t>
  </si>
  <si>
    <t>KOMMUNINVEST I SVERIGE AB</t>
  </si>
  <si>
    <t>DEXUS WHOLESALE PROPERTY Ltd.</t>
  </si>
  <si>
    <t>VER FINCO PTY Ltd.</t>
  </si>
  <si>
    <t>OVERSEA-CHINESE BANKING CORPORATIO</t>
  </si>
  <si>
    <t>KOREA HOUSING FINANCE Corp.</t>
  </si>
  <si>
    <t>AUSTRALIA &amp; NEW ZEALAND BANKING GR</t>
  </si>
  <si>
    <t>ICPF FINANCE PTY Ltd. GREEN</t>
  </si>
  <si>
    <t>MACQUARIE GROUP Ltd.</t>
  </si>
  <si>
    <t>SPARK FINANCE Ltd.</t>
  </si>
  <si>
    <t>BARCLAYS BANK PLC (AUSTRALIA BRANC</t>
  </si>
  <si>
    <t>VICTORIA POWER NETWORKS PTY Ltd.</t>
  </si>
  <si>
    <t>BHP</t>
  </si>
  <si>
    <t>BHP Group Ltd.</t>
  </si>
  <si>
    <t>General Mining</t>
  </si>
  <si>
    <t>AU</t>
  </si>
  <si>
    <t>CBA</t>
  </si>
  <si>
    <t>Commonwealth Bank of Australia</t>
  </si>
  <si>
    <t>Banks</t>
  </si>
  <si>
    <t>CSL</t>
  </si>
  <si>
    <t>CSL Ltd.</t>
  </si>
  <si>
    <t>Pharmaceuticals</t>
  </si>
  <si>
    <t>NAB</t>
  </si>
  <si>
    <t>National Australia Bank Ltd.</t>
  </si>
  <si>
    <t>WBC</t>
  </si>
  <si>
    <t>ANZ</t>
  </si>
  <si>
    <t>ANZ Group Holdings Ltd.</t>
  </si>
  <si>
    <t>WDS</t>
  </si>
  <si>
    <t>Woodside Energy Group Ltd.</t>
  </si>
  <si>
    <t>Oil: Crude Producers</t>
  </si>
  <si>
    <t>MQG</t>
  </si>
  <si>
    <t>Macquarie Group Ltd.</t>
  </si>
  <si>
    <t>Investment Services</t>
  </si>
  <si>
    <t>WES</t>
  </si>
  <si>
    <t>Wesfarmers Ltd.</t>
  </si>
  <si>
    <t>Diversified Retailers</t>
  </si>
  <si>
    <t>TLS</t>
  </si>
  <si>
    <t>Telstra Group Ltd.</t>
  </si>
  <si>
    <t>Telecommunications Services</t>
  </si>
  <si>
    <t>WOW</t>
  </si>
  <si>
    <t>Woolworths Group Ltd.</t>
  </si>
  <si>
    <t>Food Retailers and Wholesalers</t>
  </si>
  <si>
    <t>TCL</t>
  </si>
  <si>
    <t>Transurban Group</t>
  </si>
  <si>
    <t>Transportation Services</t>
  </si>
  <si>
    <t>RIO</t>
  </si>
  <si>
    <t>Rio Tinto Ltd.</t>
  </si>
  <si>
    <t>FMG</t>
  </si>
  <si>
    <t>Fortescue Metals Group Ltd.</t>
  </si>
  <si>
    <t>Iron and Steel</t>
  </si>
  <si>
    <t>GMG</t>
  </si>
  <si>
    <t>Goodman Group</t>
  </si>
  <si>
    <t>Diversified REITs</t>
  </si>
  <si>
    <t>STO</t>
  </si>
  <si>
    <t>Santos Ltd.</t>
  </si>
  <si>
    <t>Aristocrat Leisure Ltd.</t>
  </si>
  <si>
    <t>Casinos and Gambling</t>
  </si>
  <si>
    <t>COL</t>
  </si>
  <si>
    <t>Coles Group Ltd.</t>
  </si>
  <si>
    <t>NCM</t>
  </si>
  <si>
    <t>Newcrest Mining Ltd.</t>
  </si>
  <si>
    <t>Gold Mining</t>
  </si>
  <si>
    <t>QBE</t>
  </si>
  <si>
    <t>QBE Insurance Group Ltd.</t>
  </si>
  <si>
    <t>Property and Casualty Insurance</t>
  </si>
  <si>
    <t>BXB</t>
  </si>
  <si>
    <t>Brambles Ltd.</t>
  </si>
  <si>
    <t>Containers and Packaging</t>
  </si>
  <si>
    <t>JHX</t>
  </si>
  <si>
    <t>James Hardie Industries plc</t>
  </si>
  <si>
    <t>Building Materials: Other</t>
  </si>
  <si>
    <t>IE</t>
  </si>
  <si>
    <t>SUN</t>
  </si>
  <si>
    <t>Suncorp Group Ltd.</t>
  </si>
  <si>
    <t>Life Insurance</t>
  </si>
  <si>
    <t>S32</t>
  </si>
  <si>
    <t>South32 Ltd.</t>
  </si>
  <si>
    <t>XRO</t>
  </si>
  <si>
    <t>Xero Ltd.</t>
  </si>
  <si>
    <t>Software</t>
  </si>
  <si>
    <t>NZ</t>
  </si>
  <si>
    <t>SHL</t>
  </si>
  <si>
    <t>Sonic Healthcare Ltd.</t>
  </si>
  <si>
    <t>Medical Services</t>
  </si>
  <si>
    <t>COH</t>
  </si>
  <si>
    <t>Cochlear Ltd.</t>
  </si>
  <si>
    <t>Medical Equipment</t>
  </si>
  <si>
    <t>WTC</t>
  </si>
  <si>
    <t>WiseTech Global Ltd.</t>
  </si>
  <si>
    <t>ORG</t>
  </si>
  <si>
    <t>Origin Energy Ltd.</t>
  </si>
  <si>
    <t>Multi-Utilities</t>
  </si>
  <si>
    <t>SCG</t>
  </si>
  <si>
    <t>Scentre Group</t>
  </si>
  <si>
    <t>Retail REITs</t>
  </si>
  <si>
    <t>IAG</t>
  </si>
  <si>
    <t>Insurance Australia Group Ltd.</t>
  </si>
  <si>
    <t>CPU</t>
  </si>
  <si>
    <t>Computershare Ltd.</t>
  </si>
  <si>
    <t>Diversified Financial Services</t>
  </si>
  <si>
    <t>NST</t>
  </si>
  <si>
    <t>Northern Star Resources Ltd.</t>
  </si>
  <si>
    <t>ResMed Inc.</t>
  </si>
  <si>
    <t>US</t>
  </si>
  <si>
    <t>PLS</t>
  </si>
  <si>
    <t>Pilbara Minerals Ltd.</t>
  </si>
  <si>
    <t>MIN</t>
  </si>
  <si>
    <t>Mineral Resources Ltd.</t>
  </si>
  <si>
    <t>ASX</t>
  </si>
  <si>
    <t>ASX Ltd.</t>
  </si>
  <si>
    <t>QAN</t>
  </si>
  <si>
    <t>Qantas Airways Ltd.</t>
  </si>
  <si>
    <t>Airlines</t>
  </si>
  <si>
    <t>APA Group</t>
  </si>
  <si>
    <t>Pipelines</t>
  </si>
  <si>
    <t>TLC</t>
  </si>
  <si>
    <t>Lottery Corp. Ltd.</t>
  </si>
  <si>
    <t>RHC</t>
  </si>
  <si>
    <t>Ramsay Health Care Ltd.</t>
  </si>
  <si>
    <t>Health Care Facilities</t>
  </si>
  <si>
    <t>BSL</t>
  </si>
  <si>
    <t>BlueScope Steel Ltd.</t>
  </si>
  <si>
    <t>SGP</t>
  </si>
  <si>
    <t>Stockland</t>
  </si>
  <si>
    <t>Residential REITs</t>
  </si>
  <si>
    <t>MPL</t>
  </si>
  <si>
    <t>Medibank Pvt Ltd.</t>
  </si>
  <si>
    <t>CAR</t>
  </si>
  <si>
    <t>carsales.com Ltd.</t>
  </si>
  <si>
    <t>Consumer Digital Services</t>
  </si>
  <si>
    <t>AMC</t>
  </si>
  <si>
    <t>Amcor plc</t>
  </si>
  <si>
    <t>JE</t>
  </si>
  <si>
    <t>IGO</t>
  </si>
  <si>
    <t>IGO Ltd.</t>
  </si>
  <si>
    <t>MGR</t>
  </si>
  <si>
    <t>Mirvac Group</t>
  </si>
  <si>
    <t>SEEK Ltd.</t>
  </si>
  <si>
    <t>Business Training and Employment Agencie</t>
  </si>
  <si>
    <t>AKE</t>
  </si>
  <si>
    <t>Allkem Ltd.</t>
  </si>
  <si>
    <t>Nonferrous Metals</t>
  </si>
  <si>
    <t>DXS</t>
  </si>
  <si>
    <t>Dexus</t>
  </si>
  <si>
    <t>Office REITs</t>
  </si>
  <si>
    <t>GPT</t>
  </si>
  <si>
    <t>GPT Group</t>
  </si>
  <si>
    <t>EDV</t>
  </si>
  <si>
    <t>Endeavour Group Ltd./Australia</t>
  </si>
  <si>
    <t>REA</t>
  </si>
  <si>
    <t>REA Group Ltd.</t>
  </si>
  <si>
    <t>Real Estate Services</t>
  </si>
  <si>
    <t>TWE</t>
  </si>
  <si>
    <t>Treasury Wine Estates Ltd.</t>
  </si>
  <si>
    <t>Distillers and Vintners</t>
  </si>
  <si>
    <t>SOL</t>
  </si>
  <si>
    <t>Washington H Soul Pattinson &amp; Co. Ltd.</t>
  </si>
  <si>
    <t>Coal</t>
  </si>
  <si>
    <t>ALD</t>
  </si>
  <si>
    <t>Ampol Ltd.</t>
  </si>
  <si>
    <t>Oil Refining and Marketing</t>
  </si>
  <si>
    <t>VCX</t>
  </si>
  <si>
    <t>Vicinity Ltd.</t>
  </si>
  <si>
    <t>ALX</t>
  </si>
  <si>
    <t>Atlas Arteria Ltd.</t>
  </si>
  <si>
    <t>AGL</t>
  </si>
  <si>
    <t>AGL Energy Ltd.</t>
  </si>
  <si>
    <t>ORI</t>
  </si>
  <si>
    <t>Orica Ltd.</t>
  </si>
  <si>
    <t>Chemicals: Diversified</t>
  </si>
  <si>
    <t>AZJ</t>
  </si>
  <si>
    <t>Aurizon Holdings Ltd.</t>
  </si>
  <si>
    <t>Railroads</t>
  </si>
  <si>
    <t>EVN</t>
  </si>
  <si>
    <t>Evolution Mining Ltd.</t>
  </si>
  <si>
    <t>NXT</t>
  </si>
  <si>
    <t>NEXTDC Ltd.</t>
  </si>
  <si>
    <t>Computer Services</t>
  </si>
  <si>
    <t>WOR</t>
  </si>
  <si>
    <t>Worley Ltd.</t>
  </si>
  <si>
    <t>Engineering and Contracting Services</t>
  </si>
  <si>
    <t>LYC</t>
  </si>
  <si>
    <t>Lynas Rare Earths Ltd.</t>
  </si>
  <si>
    <t>CWY</t>
  </si>
  <si>
    <t>Cleanaway Waste Management Ltd.</t>
  </si>
  <si>
    <t>Waste and Disposal Services</t>
  </si>
  <si>
    <t>WHC</t>
  </si>
  <si>
    <t>Whitehaven Coal Ltd.</t>
  </si>
  <si>
    <t>SDF</t>
  </si>
  <si>
    <t>Steadfast Group Ltd.</t>
  </si>
  <si>
    <t>Insurance Brokers</t>
  </si>
  <si>
    <t>LLC</t>
  </si>
  <si>
    <t>Lendlease Corp. Ltd.</t>
  </si>
  <si>
    <t>Construction</t>
  </si>
  <si>
    <t>IPL</t>
  </si>
  <si>
    <t>Incitec Pivot Ltd.</t>
  </si>
  <si>
    <t>ALQ</t>
  </si>
  <si>
    <t>ALS Ltd.</t>
  </si>
  <si>
    <t>Professional Business Support Services</t>
  </si>
  <si>
    <t>Bendigo &amp; Adelaide Bank Ltd.</t>
  </si>
  <si>
    <t>CHC</t>
  </si>
  <si>
    <t>Charter Hall Group</t>
  </si>
  <si>
    <t>IEL</t>
  </si>
  <si>
    <t>IDP Education Ltd.</t>
  </si>
  <si>
    <t>Education Services</t>
  </si>
  <si>
    <t>QUB</t>
  </si>
  <si>
    <t>Qube Holdings Ltd.</t>
  </si>
  <si>
    <t>Industrial Suppliers</t>
  </si>
  <si>
    <t>JBH</t>
  </si>
  <si>
    <t>JB Hi-Fi Ltd.</t>
  </si>
  <si>
    <t>Specialty Retailers</t>
  </si>
  <si>
    <t>LTR</t>
  </si>
  <si>
    <t>Liontown Resources Ltd.</t>
  </si>
  <si>
    <t>ALU</t>
  </si>
  <si>
    <t>Altium Ltd.</t>
  </si>
  <si>
    <t>TNE</t>
  </si>
  <si>
    <t>Technology One Ltd.</t>
  </si>
  <si>
    <t>ILU</t>
  </si>
  <si>
    <t>Iluka Resources Ltd.</t>
  </si>
  <si>
    <t>REH</t>
  </si>
  <si>
    <t>Reece Ltd.</t>
  </si>
  <si>
    <t>CGF</t>
  </si>
  <si>
    <t>Challenger Ltd.</t>
  </si>
  <si>
    <t>SVW</t>
  </si>
  <si>
    <t>Seven Group Holdings Ltd.</t>
  </si>
  <si>
    <t>Machinery: Construction and Handling</t>
  </si>
  <si>
    <t>VUK</t>
  </si>
  <si>
    <t>Virgin Money UK plc</t>
  </si>
  <si>
    <t>GB</t>
  </si>
  <si>
    <t>BOQ</t>
  </si>
  <si>
    <t>Bank of Queensland Ltd.</t>
  </si>
  <si>
    <t>NHF</t>
  </si>
  <si>
    <t>nib holdings Ltd./Australia</t>
  </si>
  <si>
    <t>Flight Centre Travel Group Ltd.</t>
  </si>
  <si>
    <t>Travel and Tourism</t>
  </si>
  <si>
    <t>A2M</t>
  </si>
  <si>
    <t>a2 Milk Co. Ltd.</t>
  </si>
  <si>
    <t>Food Products</t>
  </si>
  <si>
    <t>FPH</t>
  </si>
  <si>
    <t>Fisher &amp; Paykel Healthcare Corp. Ltd.</t>
  </si>
  <si>
    <t>CNU</t>
  </si>
  <si>
    <t>Chorus Ltd.</t>
  </si>
  <si>
    <t>PME</t>
  </si>
  <si>
    <t>Pro Medicus Ltd.</t>
  </si>
  <si>
    <t>MTS</t>
  </si>
  <si>
    <t>Metcash Ltd.</t>
  </si>
  <si>
    <t>SQ2</t>
  </si>
  <si>
    <t>Block Inc.</t>
  </si>
  <si>
    <t>Transaction Processing Services</t>
  </si>
  <si>
    <t>AWC</t>
  </si>
  <si>
    <t>Alumina Ltd.</t>
  </si>
  <si>
    <t>Aluminum</t>
  </si>
  <si>
    <t>AMP Ltd.</t>
  </si>
  <si>
    <t>Asset Managers and Custodians</t>
  </si>
  <si>
    <t>RWC</t>
  </si>
  <si>
    <t>Reliance Worldwide Corp. Ltd.</t>
  </si>
  <si>
    <t>Building, Roofing/Wallboard and Plumbing</t>
  </si>
  <si>
    <t>DMP</t>
  </si>
  <si>
    <t>Domino's Pizza Enterprises Ltd.</t>
  </si>
  <si>
    <t>Restaurants and Bars</t>
  </si>
  <si>
    <t>NEC</t>
  </si>
  <si>
    <t>Nine Entertainment Co. Holdings Ltd.</t>
  </si>
  <si>
    <t>Radio and TV Broadcasters</t>
  </si>
  <si>
    <t>SFR</t>
  </si>
  <si>
    <t>Sandfire Resources Ltd.</t>
  </si>
  <si>
    <t>Copper</t>
  </si>
  <si>
    <t>WEB</t>
  </si>
  <si>
    <t>Webjet Ltd.</t>
  </si>
  <si>
    <t>ANN</t>
  </si>
  <si>
    <t>Ansell Ltd.</t>
  </si>
  <si>
    <t>Medical Supplies</t>
  </si>
  <si>
    <t>ORA</t>
  </si>
  <si>
    <t>Orora Ltd.</t>
  </si>
  <si>
    <t>Downer EDI Ltd.</t>
  </si>
  <si>
    <t>NSR</t>
  </si>
  <si>
    <t>National Storage REIT</t>
  </si>
  <si>
    <t>Storage REITs</t>
  </si>
  <si>
    <t>NHC</t>
  </si>
  <si>
    <t>New Hope Corp. Ltd.</t>
  </si>
  <si>
    <t>TLX</t>
  </si>
  <si>
    <t>Telix Pharmaceuticals Ltd.</t>
  </si>
  <si>
    <t>Biotechnology</t>
  </si>
  <si>
    <t>RGN</t>
  </si>
  <si>
    <t>Region RE Ltd.</t>
  </si>
  <si>
    <t>CSR</t>
  </si>
  <si>
    <t>CSR Ltd.</t>
  </si>
  <si>
    <t>CTD</t>
  </si>
  <si>
    <t>Corporate Travel Management Ltd.</t>
  </si>
  <si>
    <t>PPT</t>
  </si>
  <si>
    <t>Perpetual Ltd.</t>
  </si>
  <si>
    <t>CLW</t>
  </si>
  <si>
    <t>Charter Hall Long Wale REIT</t>
  </si>
  <si>
    <t>AUB</t>
  </si>
  <si>
    <t>AUB Group Ltd.</t>
  </si>
  <si>
    <t>BPT</t>
  </si>
  <si>
    <t>Beach Energy Ltd.</t>
  </si>
  <si>
    <t>APE</t>
  </si>
  <si>
    <t>Eagers Automotive Ltd.</t>
  </si>
  <si>
    <t>SGM</t>
  </si>
  <si>
    <t>Sims Ltd.</t>
  </si>
  <si>
    <t>TAH</t>
  </si>
  <si>
    <t>Tabcorp Holdings Ltd.</t>
  </si>
  <si>
    <t>ARB</t>
  </si>
  <si>
    <t>ARB Corp. Ltd.</t>
  </si>
  <si>
    <t>Auto Parts</t>
  </si>
  <si>
    <t>HVN</t>
  </si>
  <si>
    <t>Harvey Norman Holdings Ltd.</t>
  </si>
  <si>
    <t>Perseus Mining Ltd.</t>
  </si>
  <si>
    <t>CIA</t>
  </si>
  <si>
    <t>Champion Iron Ltd.</t>
  </si>
  <si>
    <t>BKW</t>
  </si>
  <si>
    <t>Brickworks Ltd.</t>
  </si>
  <si>
    <t>HUB</t>
  </si>
  <si>
    <t>HUB24 Ltd.</t>
  </si>
  <si>
    <t>BRG</t>
  </si>
  <si>
    <t>Breville Group Ltd.</t>
  </si>
  <si>
    <t>Household Equipment and Products</t>
  </si>
  <si>
    <t>PMV</t>
  </si>
  <si>
    <t>Premier Investments Ltd.</t>
  </si>
  <si>
    <t>Apparel Retailers</t>
  </si>
  <si>
    <t>VEA</t>
  </si>
  <si>
    <t>Viva Energy Group Ltd.</t>
  </si>
  <si>
    <t>TPG</t>
  </si>
  <si>
    <t>TPG Telecom Ltd.</t>
  </si>
  <si>
    <t>BAP</t>
  </si>
  <si>
    <t>Bapcor Ltd.</t>
  </si>
  <si>
    <t>NUF</t>
  </si>
  <si>
    <t>Nufarm Ltd.</t>
  </si>
  <si>
    <t>Fertilizers</t>
  </si>
  <si>
    <t>DRR</t>
  </si>
  <si>
    <t>Deterra Royalties Ltd.</t>
  </si>
  <si>
    <t>PDN</t>
  </si>
  <si>
    <t>Paladin Energy Ltd.</t>
  </si>
  <si>
    <t>CHN</t>
  </si>
  <si>
    <t>Chalice Mining Ltd.</t>
  </si>
  <si>
    <t>IFL</t>
  </si>
  <si>
    <t>Insignia Financial Ltd.</t>
  </si>
  <si>
    <t>SUL</t>
  </si>
  <si>
    <t>Super Retail Group Ltd.</t>
  </si>
  <si>
    <t>CQR</t>
  </si>
  <si>
    <t>Charter Hall Retail REIT</t>
  </si>
  <si>
    <t>IRE</t>
  </si>
  <si>
    <t>IRESS Ltd.</t>
  </si>
  <si>
    <t>BWP</t>
  </si>
  <si>
    <t>BWP Trust</t>
  </si>
  <si>
    <t>HDN</t>
  </si>
  <si>
    <t>HomeCo Daily Needs REIT</t>
  </si>
  <si>
    <t>IPH</t>
  </si>
  <si>
    <t>IPH Ltd.</t>
  </si>
  <si>
    <t>AIA</t>
  </si>
  <si>
    <t>Auckland International Airport Ltd.</t>
  </si>
  <si>
    <t>GNC</t>
  </si>
  <si>
    <t>GrainCorp Ltd.</t>
  </si>
  <si>
    <t>Fruit and Grain Processing</t>
  </si>
  <si>
    <t>DEG</t>
  </si>
  <si>
    <t>De Grey Mining Ltd.</t>
  </si>
  <si>
    <t>WPR</t>
  </si>
  <si>
    <t>Waypoint REIT Ltd.</t>
  </si>
  <si>
    <t>GOR</t>
  </si>
  <si>
    <t>Gold Road Resources Ltd.</t>
  </si>
  <si>
    <t>NIC</t>
  </si>
  <si>
    <t>Nickel Industries Ltd.</t>
  </si>
  <si>
    <t>LIC</t>
  </si>
  <si>
    <t>Lifestyle Communities Ltd.</t>
  </si>
  <si>
    <t>Real Estate Holding and Development</t>
  </si>
  <si>
    <t>CIP</t>
  </si>
  <si>
    <t>Centuria Industrial REIT</t>
  </si>
  <si>
    <t>Industrial REITs</t>
  </si>
  <si>
    <t>NEU</t>
  </si>
  <si>
    <t>Neuren Pharmaceuticals Ltd.</t>
  </si>
  <si>
    <t>PNI</t>
  </si>
  <si>
    <t>Pinnacle Investment Management Group Ltd.</t>
  </si>
  <si>
    <t>HLS</t>
  </si>
  <si>
    <t>Healius Ltd.</t>
  </si>
  <si>
    <t>IVC</t>
  </si>
  <si>
    <t>InvoCare Ltd.</t>
  </si>
  <si>
    <t>Funeral Parlors and Cemetery</t>
  </si>
  <si>
    <t>VNT</t>
  </si>
  <si>
    <t>Ventia Services Group Pty Ltd.</t>
  </si>
  <si>
    <t>CCP</t>
  </si>
  <si>
    <t>Credit Corp. Group Ltd.</t>
  </si>
  <si>
    <t>Consumer Lending</t>
  </si>
  <si>
    <t>BGL</t>
  </si>
  <si>
    <t>Bellevue Gold Ltd.</t>
  </si>
  <si>
    <t>PXA</t>
  </si>
  <si>
    <t>PEXA Group Ltd.</t>
  </si>
  <si>
    <t>CMM</t>
  </si>
  <si>
    <t>Capricorn Metals Ltd.</t>
  </si>
  <si>
    <t>MP1</t>
  </si>
  <si>
    <t>Megaport Ltd.</t>
  </si>
  <si>
    <t>CGC</t>
  </si>
  <si>
    <t>Costa Group Holdings Ltd.</t>
  </si>
  <si>
    <t>Farming, Fishing, Ranching and Plantatio</t>
  </si>
  <si>
    <t>Life360 Inc.</t>
  </si>
  <si>
    <t>INA</t>
  </si>
  <si>
    <t>Ingenia Communities Group</t>
  </si>
  <si>
    <t>KLS</t>
  </si>
  <si>
    <t>Kelsian Group Ltd.</t>
  </si>
  <si>
    <t>BLD</t>
  </si>
  <si>
    <t>Boral Ltd.</t>
  </si>
  <si>
    <t>SGR</t>
  </si>
  <si>
    <t>Star Entertainment Grp Ltd.</t>
  </si>
  <si>
    <t>LOV</t>
  </si>
  <si>
    <t>Lovisa Holdings Ltd.</t>
  </si>
  <si>
    <t>GUD</t>
  </si>
  <si>
    <t>GUD Holdings Ltd.</t>
  </si>
  <si>
    <t>CRN</t>
  </si>
  <si>
    <t>Coronado Global Resources Inc.</t>
  </si>
  <si>
    <t>MFG</t>
  </si>
  <si>
    <t>Magellan Financial Group Ltd.</t>
  </si>
  <si>
    <t>ARF</t>
  </si>
  <si>
    <t>Arena REIT</t>
  </si>
  <si>
    <t>Health Care REITs</t>
  </si>
  <si>
    <t>UMG</t>
  </si>
  <si>
    <t>United Malt Grp Ltd.</t>
  </si>
  <si>
    <t>MND</t>
  </si>
  <si>
    <t>Monadelphous Group Ltd.</t>
  </si>
  <si>
    <t>FBU</t>
  </si>
  <si>
    <t>Fletcher Building Ltd.</t>
  </si>
  <si>
    <t>RRL</t>
  </si>
  <si>
    <t>Regis Resources Ltd.</t>
  </si>
  <si>
    <t>MMS</t>
  </si>
  <si>
    <t>McMillan Shakespeare Ltd.</t>
  </si>
  <si>
    <t>NAN</t>
  </si>
  <si>
    <t>Nanosonics Ltd.</t>
  </si>
  <si>
    <t>EVT</t>
  </si>
  <si>
    <t>EVT Ltd.</t>
  </si>
  <si>
    <t>Entertainment</t>
  </si>
  <si>
    <t>KAR</t>
  </si>
  <si>
    <t>Karoon Energy Ltd.</t>
  </si>
  <si>
    <t>NWL</t>
  </si>
  <si>
    <t>Netwealth Group Ltd.</t>
  </si>
  <si>
    <t>NWH</t>
  </si>
  <si>
    <t>NRW Holdings Ltd.</t>
  </si>
  <si>
    <t>RMS</t>
  </si>
  <si>
    <t>Ramelius Resources Ltd.</t>
  </si>
  <si>
    <t>HMC</t>
  </si>
  <si>
    <t>HMC Capital Ltd.</t>
  </si>
  <si>
    <t>SIQ</t>
  </si>
  <si>
    <t>SmartGroup Corp. Ltd.</t>
  </si>
  <si>
    <t>CNI</t>
  </si>
  <si>
    <t>Centuria Capital Group</t>
  </si>
  <si>
    <t>HLI</t>
  </si>
  <si>
    <t>Helia Group Ltd.</t>
  </si>
  <si>
    <t>Mortgage Finance</t>
  </si>
  <si>
    <t>CXO</t>
  </si>
  <si>
    <t>Core Lithium Ltd.</t>
  </si>
  <si>
    <t>Strike Energy Ltd.</t>
  </si>
  <si>
    <t>SYA</t>
  </si>
  <si>
    <t>Sayona Mining Ltd.</t>
  </si>
  <si>
    <t>Diamonds and Gemstones</t>
  </si>
  <si>
    <t>WBT</t>
  </si>
  <si>
    <t>Weebit Nano Ltd.</t>
  </si>
  <si>
    <t>Semiconductors</t>
  </si>
  <si>
    <t>DTL</t>
  </si>
  <si>
    <t>Data#3 Ltd.</t>
  </si>
  <si>
    <t>ELD</t>
  </si>
  <si>
    <t>Elders Ltd.</t>
  </si>
  <si>
    <t>SPK</t>
  </si>
  <si>
    <t>Spark New Zealand Ltd.</t>
  </si>
  <si>
    <t>ABPDA</t>
  </si>
  <si>
    <t>Abacus Property Group</t>
  </si>
  <si>
    <t>LLL</t>
  </si>
  <si>
    <t>Leo Lithium Ltd.</t>
  </si>
  <si>
    <t>PNV</t>
  </si>
  <si>
    <t>PolyNovo Ltd.</t>
  </si>
  <si>
    <t>CKF</t>
  </si>
  <si>
    <t>Collins Foods Ltd.</t>
  </si>
  <si>
    <t>ING</t>
  </si>
  <si>
    <t>Inghams Group Ltd.</t>
  </si>
  <si>
    <t>DHG</t>
  </si>
  <si>
    <t>Domain Holdings Australia Ltd.</t>
  </si>
  <si>
    <t>News Corp.</t>
  </si>
  <si>
    <t>Publishing</t>
  </si>
  <si>
    <t>BOE</t>
  </si>
  <si>
    <t>Boss Energy Ltd.</t>
  </si>
  <si>
    <t>CQE</t>
  </si>
  <si>
    <t>Charter Hall Social Infrastructure REIT</t>
  </si>
  <si>
    <t>Other Specialty REITs</t>
  </si>
  <si>
    <t>BGA</t>
  </si>
  <si>
    <t>Bega Cheese Ltd.</t>
  </si>
  <si>
    <t>IMD</t>
  </si>
  <si>
    <t>Imdex Ltd.</t>
  </si>
  <si>
    <t>ABC</t>
  </si>
  <si>
    <t>Adbri Ltd.</t>
  </si>
  <si>
    <t>Cement</t>
  </si>
  <si>
    <t>JLG</t>
  </si>
  <si>
    <t>Johns Lyng Group Ltd.</t>
  </si>
  <si>
    <t>GEM</t>
  </si>
  <si>
    <t>G8 Education Ltd.</t>
  </si>
  <si>
    <t>WAF</t>
  </si>
  <si>
    <t>West African Resources Ltd.</t>
  </si>
  <si>
    <t>CDA</t>
  </si>
  <si>
    <t>Codan Ltd./Australia</t>
  </si>
  <si>
    <t>Telecommunications Equipment</t>
  </si>
  <si>
    <t>MSB</t>
  </si>
  <si>
    <t>Mesoblast Ltd.</t>
  </si>
  <si>
    <t>GOZ</t>
  </si>
  <si>
    <t>Growthpoint Properties Australia Ltd.</t>
  </si>
  <si>
    <t>SDR</t>
  </si>
  <si>
    <t>SiteMinder Ltd.</t>
  </si>
  <si>
    <t>HSN</t>
  </si>
  <si>
    <t>Hansen Technologies Ltd.</t>
  </si>
  <si>
    <t>ADT</t>
  </si>
  <si>
    <t>Adriatic Metals plc</t>
  </si>
  <si>
    <t>SIG</t>
  </si>
  <si>
    <t>Sigma Healthcare Ltd.</t>
  </si>
  <si>
    <t>Drug Retailers</t>
  </si>
  <si>
    <t>SLR</t>
  </si>
  <si>
    <t>Silver Lake Resources Ltd.</t>
  </si>
  <si>
    <t>CUV</t>
  </si>
  <si>
    <t>Clinuvel Pharmaceuticals Ltd.</t>
  </si>
  <si>
    <t>PRN</t>
  </si>
  <si>
    <t>Perenti Ltd.</t>
  </si>
  <si>
    <t>JIN</t>
  </si>
  <si>
    <t>Jumbo Interactive Ltd.</t>
  </si>
  <si>
    <t>OML</t>
  </si>
  <si>
    <t>oOh!media Ltd.</t>
  </si>
  <si>
    <t>Media Agencies</t>
  </si>
  <si>
    <t>OBL</t>
  </si>
  <si>
    <t>Omni Bridgeway Ltd.</t>
  </si>
  <si>
    <t>CMW</t>
  </si>
  <si>
    <t>Cromwell Property Group</t>
  </si>
  <si>
    <t>WGX</t>
  </si>
  <si>
    <t>Westgold Resources Ltd.</t>
  </si>
  <si>
    <t>LNK</t>
  </si>
  <si>
    <t>Link Administration Holdings Ltd.</t>
  </si>
  <si>
    <t>Resolute Mining Ltd.</t>
  </si>
  <si>
    <t>RFF</t>
  </si>
  <si>
    <t>Rural Funds Group</t>
  </si>
  <si>
    <t>JDO</t>
  </si>
  <si>
    <t>Judo Capital Holdings Ltd.</t>
  </si>
  <si>
    <t>PWH</t>
  </si>
  <si>
    <t>PWR Holdings Ltd.</t>
  </si>
  <si>
    <t>SKC</t>
  </si>
  <si>
    <t>SKYCITY Entertainment Group Ltd.</t>
  </si>
  <si>
    <t>NCK</t>
  </si>
  <si>
    <t>Nick Scali Ltd.</t>
  </si>
  <si>
    <t>Home Improvement Retailers</t>
  </si>
  <si>
    <t>AX1</t>
  </si>
  <si>
    <t>Accent Group Ltd.</t>
  </si>
  <si>
    <t>CXL</t>
  </si>
  <si>
    <t>Calix Ltd.</t>
  </si>
  <si>
    <t>SLX</t>
  </si>
  <si>
    <t>Silex Systems Ltd.</t>
  </si>
  <si>
    <t>Production Technology Equipment</t>
  </si>
  <si>
    <t>FPR</t>
  </si>
  <si>
    <t>FleetPartners Group Ltd.</t>
  </si>
  <si>
    <t>URW</t>
  </si>
  <si>
    <t>Unibail-Rodamco-Westfield</t>
  </si>
  <si>
    <t>FR</t>
  </si>
  <si>
    <t>EBO</t>
  </si>
  <si>
    <t>EBOS Group Ltd.</t>
  </si>
  <si>
    <t>DBI</t>
  </si>
  <si>
    <t>Dalrymple Bay Infrastructure Ltd.</t>
  </si>
  <si>
    <t>PTM</t>
  </si>
  <si>
    <t>Platinum Asset Management Ltd.</t>
  </si>
  <si>
    <t>ASB</t>
  </si>
  <si>
    <t>Austal Ltd.</t>
  </si>
  <si>
    <t>Marine Transportation</t>
  </si>
  <si>
    <t>TPW</t>
  </si>
  <si>
    <t>Temple &amp; Webster Group Ltd.</t>
  </si>
  <si>
    <t>Consumer Services: Misc.</t>
  </si>
  <si>
    <t>AD8</t>
  </si>
  <si>
    <t>Audinate Group Ltd.</t>
  </si>
  <si>
    <t>IFM</t>
  </si>
  <si>
    <t>Infomedia Ltd.</t>
  </si>
  <si>
    <t>EHE</t>
  </si>
  <si>
    <t>Estia Health Ltd.</t>
  </si>
  <si>
    <t>IMU</t>
  </si>
  <si>
    <t>Imugene Ltd.</t>
  </si>
  <si>
    <t>RED</t>
  </si>
  <si>
    <t>Red 5 Ltd.</t>
  </si>
  <si>
    <t>Centuria Office REIT</t>
  </si>
  <si>
    <t>TYR</t>
  </si>
  <si>
    <t>Tyro Payments Ltd.</t>
  </si>
  <si>
    <t>IDX</t>
  </si>
  <si>
    <t>Integral Diagnostics Ltd.</t>
  </si>
  <si>
    <t>Health Care Services</t>
  </si>
  <si>
    <t>VUL</t>
  </si>
  <si>
    <t>Vulcan Energy Resources Ltd.</t>
  </si>
  <si>
    <t>ABB</t>
  </si>
  <si>
    <t>Aussie Broadband Ltd.</t>
  </si>
  <si>
    <t>HPI</t>
  </si>
  <si>
    <t>Hotel Property Investments Ltd.</t>
  </si>
  <si>
    <t>DXI</t>
  </si>
  <si>
    <t>Dexus Industria REIT</t>
  </si>
  <si>
    <t>KGN</t>
  </si>
  <si>
    <t>Kogan.com Ltd.</t>
  </si>
  <si>
    <t>JHG</t>
  </si>
  <si>
    <t>Janus Henderson Group plc</t>
  </si>
  <si>
    <t>AVZ</t>
  </si>
  <si>
    <t>AVZ Minerals Ltd.</t>
  </si>
  <si>
    <t>APM</t>
  </si>
  <si>
    <t>APM Human Services International ltd</t>
  </si>
  <si>
    <t>BRN</t>
  </si>
  <si>
    <t>BrainChip Holdings Ltd.</t>
  </si>
  <si>
    <t>INR</t>
  </si>
  <si>
    <t>ioneer Ltd.</t>
  </si>
  <si>
    <t>ARU</t>
  </si>
  <si>
    <t>Arafura Rare Earths Ltd.</t>
  </si>
  <si>
    <t>SSM</t>
  </si>
  <si>
    <t>Service Stream Ltd.</t>
  </si>
  <si>
    <t>SHV</t>
  </si>
  <si>
    <t>Select Harvests Ltd.</t>
  </si>
  <si>
    <t>OFX</t>
  </si>
  <si>
    <t>OFX Group Ltd.</t>
  </si>
  <si>
    <t>GWA</t>
  </si>
  <si>
    <t>GWA Group Ltd.</t>
  </si>
  <si>
    <t>DYL</t>
  </si>
  <si>
    <t>Deep Yellow Ltd.</t>
  </si>
  <si>
    <t>Alternative Fuels</t>
  </si>
  <si>
    <t>DDR</t>
  </si>
  <si>
    <t>Dicker Data Ltd.</t>
  </si>
  <si>
    <t>Computer Hardware</t>
  </si>
  <si>
    <t>RIC</t>
  </si>
  <si>
    <t>Ridley Corp. Ltd.</t>
  </si>
  <si>
    <t>AAC</t>
  </si>
  <si>
    <t>Australian Agricultural Co. Ltd.</t>
  </si>
  <si>
    <t>TLG</t>
  </si>
  <si>
    <t>Talga Group Ltd.</t>
  </si>
  <si>
    <t>TIE</t>
  </si>
  <si>
    <t>Tietto Minerals Ltd.</t>
  </si>
  <si>
    <t>AEF</t>
  </si>
  <si>
    <t>Australian Ethical Investment Ltd.</t>
  </si>
  <si>
    <t>MAF</t>
  </si>
  <si>
    <t>MA Financial Group Ltd.</t>
  </si>
  <si>
    <t>SYR</t>
  </si>
  <si>
    <t>Syrah Resources Ltd.</t>
  </si>
  <si>
    <t>RNU</t>
  </si>
  <si>
    <t>Renascor Resources Ltd.</t>
  </si>
  <si>
    <t>AGY</t>
  </si>
  <si>
    <t>Argosy Minerals Ltd.</t>
  </si>
  <si>
    <t>PBH</t>
  </si>
  <si>
    <t>PointsBet Holdings Ltd.</t>
  </si>
  <si>
    <t>AFG</t>
  </si>
  <si>
    <t>Australian Finance Group Ltd.</t>
  </si>
  <si>
    <t>SSR</t>
  </si>
  <si>
    <t>SSR Mining Inc.</t>
  </si>
  <si>
    <t>CA</t>
  </si>
  <si>
    <t>COE</t>
  </si>
  <si>
    <t>Cooper Energy Ltd.</t>
  </si>
  <si>
    <t>GDI</t>
  </si>
  <si>
    <t>GDI Property Group Partnership</t>
  </si>
  <si>
    <t>MGH</t>
  </si>
  <si>
    <t>Maas Group Holdings Ltd.</t>
  </si>
  <si>
    <t>MYS</t>
  </si>
  <si>
    <t>MyState Ltd.</t>
  </si>
  <si>
    <t>MYX</t>
  </si>
  <si>
    <t>Mayne Pharma Group Ltd.</t>
  </si>
  <si>
    <t>SWM</t>
  </si>
  <si>
    <t>Seven West Media Ltd.</t>
  </si>
  <si>
    <t>ACL</t>
  </si>
  <si>
    <t>Australian Clinical Labs Ltd.</t>
  </si>
  <si>
    <t>SVR</t>
  </si>
  <si>
    <t>Solvar Ltd.</t>
  </si>
  <si>
    <t>NVX</t>
  </si>
  <si>
    <t>Novonix Ltd.</t>
  </si>
  <si>
    <t>Electrical Components</t>
  </si>
  <si>
    <t>LKE</t>
  </si>
  <si>
    <t>Lake Resources NL</t>
  </si>
  <si>
    <t>ZIP</t>
  </si>
  <si>
    <t>Zip Co. Ltd.</t>
  </si>
  <si>
    <t>GMD</t>
  </si>
  <si>
    <t>Genesis Minerals Ltd.</t>
  </si>
  <si>
    <t>APX</t>
  </si>
  <si>
    <t>Appen Ltd.</t>
  </si>
  <si>
    <t>GRR</t>
  </si>
  <si>
    <t>Grange Resources Ltd.</t>
  </si>
  <si>
    <t>ADH</t>
  </si>
  <si>
    <t>Adairs Ltd.</t>
  </si>
  <si>
    <t>Household Furnishings</t>
  </si>
  <si>
    <t>Terracom Ltd.</t>
  </si>
  <si>
    <t>NMT</t>
  </si>
  <si>
    <t>Neometals Ltd.</t>
  </si>
  <si>
    <t>BBN</t>
  </si>
  <si>
    <t>Baby Bunting Group Ltd.</t>
  </si>
  <si>
    <t>SBM</t>
  </si>
  <si>
    <t>St. Barbara Ltd.</t>
  </si>
  <si>
    <t>29M</t>
  </si>
  <si>
    <t>29Metals Ltd.</t>
  </si>
  <si>
    <t>BCB</t>
  </si>
  <si>
    <t>Bowen Coking Coal Ltd.</t>
  </si>
  <si>
    <t>JRV</t>
  </si>
  <si>
    <t>Jervois Global Ltd.</t>
  </si>
  <si>
    <t>Hastings Technology Metals Ltd.</t>
  </si>
  <si>
    <t>IHL</t>
  </si>
  <si>
    <t>Incannex Healthcare Ltd.</t>
  </si>
  <si>
    <t>5EA</t>
  </si>
  <si>
    <t>5E Advanced Materials Inc.</t>
  </si>
  <si>
    <t>ASKXX</t>
  </si>
  <si>
    <t>Abacus Storage King</t>
  </si>
  <si>
    <t>FFX</t>
  </si>
  <si>
    <t>Firefinch Ltd.</t>
  </si>
  <si>
    <t>VAF - Vanguard Australian Fixed Interest Index Fund</t>
  </si>
  <si>
    <t>VAS - Vanguard Australian Shares Index Fund</t>
  </si>
  <si>
    <t>VBND - Vanguard Global Aggregate Bond Index Fund Hedged</t>
  </si>
  <si>
    <t>VEMS - Vanguard Emerging Markets Shares Index Fund</t>
  </si>
  <si>
    <t>VGAD - Vanguard International Shares Index Fund Hedged</t>
  </si>
  <si>
    <t>VGS - Vanguard International Shares Index Fund</t>
  </si>
  <si>
    <t>VISM - Vanguard International Small Cos. Index Fund</t>
  </si>
  <si>
    <t>Source</t>
  </si>
  <si>
    <t>Ticket</t>
  </si>
  <si>
    <t>Ranking</t>
  </si>
  <si>
    <t>Percentage</t>
  </si>
  <si>
    <t>Links</t>
  </si>
  <si>
    <t>Note</t>
  </si>
  <si>
    <t>Vanguard Australian Fixed Interest Index Fund</t>
  </si>
  <si>
    <t xml:space="preserve">https://www.vanguard.com.au/personal/invest-with-us/fund?portId=8103&amp;tab=holdings
</t>
  </si>
  <si>
    <t>Vanguard Australian Shares Index Fund</t>
  </si>
  <si>
    <t xml:space="preserve">https://www.vanguard.com.au/institutional/products/en/detail/broker-basket/etf/8205/equity/CRRD/B42HLD6/5
</t>
  </si>
  <si>
    <t>This VDHG VAS version contains only 200 companies and not sure about the weights. The original independent VAS contains 300 companies, see here https://www.vanguard.com.au/adviser/invest/etf?portId=8205 --- not sure why</t>
  </si>
  <si>
    <t>Vanguard Global Aggregate Bond Index Fund Hedged</t>
  </si>
  <si>
    <t xml:space="preserve">https://www.vanguard.com.au/personal/invest-with-us/fund?portId=8130&amp;tab=holdings
</t>
  </si>
  <si>
    <t>Vanguard Emerging Markets Shares Index Fund</t>
  </si>
  <si>
    <t xml:space="preserve">https://www.vanguard.com.au/personal/invest-with-us/fund?portId=8109
</t>
  </si>
  <si>
    <t>Vanguard International Shares Index Fund Hedged</t>
  </si>
  <si>
    <t xml:space="preserve">https://www.vanguard.com.au/personal/invest-with-us/etf?portId=8213&amp;tab=holdings
</t>
  </si>
  <si>
    <t>Vanguard International Shares Index Fund</t>
  </si>
  <si>
    <t>Vanguard International Small Cos. Index Fund</t>
  </si>
  <si>
    <t>https://www.vanguard.com.au/personal/invest-with-us/fund?portId=8118</t>
  </si>
  <si>
    <t>Download the ETF independent here in the tabs</t>
  </si>
  <si>
    <t>But for VDHG --- download ALSO the specific VDHG version and compare</t>
  </si>
  <si>
    <t>then cumulate them in 1 single spreadsheet in my format ---</t>
  </si>
  <si>
    <t>take inspiration from the VDHG tizio</t>
  </si>
  <si>
    <t>2330</t>
  </si>
  <si>
    <t>Taiwan Semiconductor Manufacturing Co. Ltd.</t>
  </si>
  <si>
    <t>TW</t>
  </si>
  <si>
    <t>700</t>
  </si>
  <si>
    <t>Tencent Holdings Ltd.</t>
  </si>
  <si>
    <t>KY</t>
  </si>
  <si>
    <t>005930</t>
  </si>
  <si>
    <t>Samsung Electronics Co. Ltd.</t>
  </si>
  <si>
    <t>9988</t>
  </si>
  <si>
    <t>Alibaba Group Holding Ltd.</t>
  </si>
  <si>
    <t>3690</t>
  </si>
  <si>
    <t>Meituan</t>
  </si>
  <si>
    <t>RELIANCE</t>
  </si>
  <si>
    <t>Reliance Industries Ltd.</t>
  </si>
  <si>
    <t>IN</t>
  </si>
  <si>
    <t>ICICIBANK</t>
  </si>
  <si>
    <t>ICICI Bank Ltd.</t>
  </si>
  <si>
    <t>HDFCBANK</t>
  </si>
  <si>
    <t>HDFC Bank Ltd.</t>
  </si>
  <si>
    <t>SG</t>
  </si>
  <si>
    <t>939</t>
  </si>
  <si>
    <t>China Construction Bank Corp.</t>
  </si>
  <si>
    <t>CN</t>
  </si>
  <si>
    <t>INFY</t>
  </si>
  <si>
    <t>Infosys Ltd.</t>
  </si>
  <si>
    <t>000660</t>
  </si>
  <si>
    <t>SK Hynix Inc.</t>
  </si>
  <si>
    <t>VALE3</t>
  </si>
  <si>
    <t>Vale SA</t>
  </si>
  <si>
    <t>9618</t>
  </si>
  <si>
    <t>JD.com Inc.</t>
  </si>
  <si>
    <t>PDD</t>
  </si>
  <si>
    <t>PDD Holdings Inc.</t>
  </si>
  <si>
    <t>2318</t>
  </si>
  <si>
    <t>Ping An Insurance Group Co. of China Ltd.</t>
  </si>
  <si>
    <t>9888</t>
  </si>
  <si>
    <t>Baidu Inc.</t>
  </si>
  <si>
    <t>2317</t>
  </si>
  <si>
    <t>Hon Hai Precision Industry Co. Ltd.</t>
  </si>
  <si>
    <t>Electronic Components</t>
  </si>
  <si>
    <t>9999</t>
  </si>
  <si>
    <t>NetEase Inc.</t>
  </si>
  <si>
    <t>Electronic Entertainment</t>
  </si>
  <si>
    <t>1120</t>
  </si>
  <si>
    <t>Al Rajhi Bank</t>
  </si>
  <si>
    <t>SA</t>
  </si>
  <si>
    <t>NPN</t>
  </si>
  <si>
    <t>Naspers Ltd.</t>
  </si>
  <si>
    <t>ZA</t>
  </si>
  <si>
    <t>TCS</t>
  </si>
  <si>
    <t>Tata Consultancy Services Ltd.</t>
  </si>
  <si>
    <t>005935</t>
  </si>
  <si>
    <t>005490</t>
  </si>
  <si>
    <t>POSCO Holdings Inc.</t>
  </si>
  <si>
    <t>1211</t>
  </si>
  <si>
    <t>BYD Co. Ltd.</t>
  </si>
  <si>
    <t>Automobiles</t>
  </si>
  <si>
    <t>2454</t>
  </si>
  <si>
    <t>MediaTek Inc.</t>
  </si>
  <si>
    <t>BBCA</t>
  </si>
  <si>
    <t>Bank Central Asia Tbk PT</t>
  </si>
  <si>
    <t>ID</t>
  </si>
  <si>
    <t>AMXB</t>
  </si>
  <si>
    <t>America Movil SAB de CV</t>
  </si>
  <si>
    <t>MX</t>
  </si>
  <si>
    <t>PETR4</t>
  </si>
  <si>
    <t>Petroleo Brasileiro SA</t>
  </si>
  <si>
    <t>Integrated Oil and Gas</t>
  </si>
  <si>
    <t>1180</t>
  </si>
  <si>
    <t>Saudi National Bank</t>
  </si>
  <si>
    <t>3988</t>
  </si>
  <si>
    <t>Bank of China Ltd.</t>
  </si>
  <si>
    <t>ITUB4</t>
  </si>
  <si>
    <t>Itau Unibanco Holding SA</t>
  </si>
  <si>
    <t>1398</t>
  </si>
  <si>
    <t>Industrial &amp; Commercial Bank of China Ltd.</t>
  </si>
  <si>
    <t>006400</t>
  </si>
  <si>
    <t>Samsung SDI Co. Ltd.</t>
  </si>
  <si>
    <t>PETR3</t>
  </si>
  <si>
    <t>AXISBANK</t>
  </si>
  <si>
    <t>Axis Bank Ltd.</t>
  </si>
  <si>
    <t>BBRI</t>
  </si>
  <si>
    <t>Bank Rakyat Indonesia Persero Tbk PT</t>
  </si>
  <si>
    <t>YUMC</t>
  </si>
  <si>
    <t>Yum China Holdings Inc.</t>
  </si>
  <si>
    <t>HINDUNILVR</t>
  </si>
  <si>
    <t>Hindustan Unilever Ltd.</t>
  </si>
  <si>
    <t>Personal Products</t>
  </si>
  <si>
    <t>051910</t>
  </si>
  <si>
    <t>LG Chem Ltd.</t>
  </si>
  <si>
    <t>Specialty Chemicals</t>
  </si>
  <si>
    <t>GFNORTEO</t>
  </si>
  <si>
    <t>Grupo Financiero Banorte SAB de CV</t>
  </si>
  <si>
    <t>BHARTIARTL</t>
  </si>
  <si>
    <t>Bharti Airtel Ltd.</t>
  </si>
  <si>
    <t>KOTAKBANK</t>
  </si>
  <si>
    <t>Kotak Mahindra Bank Ltd.</t>
  </si>
  <si>
    <t>BAJFINANCE</t>
  </si>
  <si>
    <t>Bajaj Finance Ltd.</t>
  </si>
  <si>
    <t>2015</t>
  </si>
  <si>
    <t>Li Auto Inc.</t>
  </si>
  <si>
    <t>1810</t>
  </si>
  <si>
    <t>Xiaomi Corp.</t>
  </si>
  <si>
    <t>NBK</t>
  </si>
  <si>
    <t>National Bank of Kuwait SAKP</t>
  </si>
  <si>
    <t>KW</t>
  </si>
  <si>
    <t>035420</t>
  </si>
  <si>
    <t>NAVER Corp.</t>
  </si>
  <si>
    <t>2222</t>
  </si>
  <si>
    <t>Saudi Arabian Oil Co.</t>
  </si>
  <si>
    <t>LT</t>
  </si>
  <si>
    <t>Larsen &amp; Toubro Ltd.</t>
  </si>
  <si>
    <t>2308</t>
  </si>
  <si>
    <t>Delta Electronics Inc.</t>
  </si>
  <si>
    <t>7010</t>
  </si>
  <si>
    <t>Saudi Telecom Co.</t>
  </si>
  <si>
    <t>FEMSAUBD</t>
  </si>
  <si>
    <t>Fomento Economico Mexicano SAB de CV</t>
  </si>
  <si>
    <t>Soft Drinks</t>
  </si>
  <si>
    <t>9961</t>
  </si>
  <si>
    <t>Trip.com Group Ltd.</t>
  </si>
  <si>
    <t>WALMEX*</t>
  </si>
  <si>
    <t>Wal-Mart de Mexico SAB de CV</t>
  </si>
  <si>
    <t>QNBK</t>
  </si>
  <si>
    <t>Qatar National Bank QPSC</t>
  </si>
  <si>
    <t>QA</t>
  </si>
  <si>
    <t>EAND</t>
  </si>
  <si>
    <t>Emirates Telecommunications Group Co. PJSC</t>
  </si>
  <si>
    <t>AE</t>
  </si>
  <si>
    <t>2269</t>
  </si>
  <si>
    <t>Wuxi Biologics Cayman Inc.</t>
  </si>
  <si>
    <t>005380</t>
  </si>
  <si>
    <t>Hyundai Motor Co.</t>
  </si>
  <si>
    <t>NIO</t>
  </si>
  <si>
    <t>NIO Inc.</t>
  </si>
  <si>
    <t>3968</t>
  </si>
  <si>
    <t>China Merchants Bank Co. Ltd.</t>
  </si>
  <si>
    <t>2010</t>
  </si>
  <si>
    <t>Saudi Basic Industries Corp.</t>
  </si>
  <si>
    <t>FSR</t>
  </si>
  <si>
    <t>FirstRand Ltd.</t>
  </si>
  <si>
    <t>2382</t>
  </si>
  <si>
    <t>Quanta Computer Inc.</t>
  </si>
  <si>
    <t>KFH</t>
  </si>
  <si>
    <t>Kuwait Finance House KSCP</t>
  </si>
  <si>
    <t>600519</t>
  </si>
  <si>
    <t>Kweichow Moutai Co. Ltd.</t>
  </si>
  <si>
    <t>1024</t>
  </si>
  <si>
    <t>Kuaishou Technology</t>
  </si>
  <si>
    <t>B3SA3</t>
  </si>
  <si>
    <t>B3 SA - Brasil Bolsa Balcao</t>
  </si>
  <si>
    <t>FAB</t>
  </si>
  <si>
    <t>First Abu Dhabi Bank PJSC</t>
  </si>
  <si>
    <t>BBDC4</t>
  </si>
  <si>
    <t>Banco Bradesco SA</t>
  </si>
  <si>
    <t>000270</t>
  </si>
  <si>
    <t>Kia Corp.</t>
  </si>
  <si>
    <t>2303</t>
  </si>
  <si>
    <t>United Microelectronics Corp.</t>
  </si>
  <si>
    <t>ITC</t>
  </si>
  <si>
    <t>ITC Ltd.</t>
  </si>
  <si>
    <t>Tobacco</t>
  </si>
  <si>
    <t>M&amp;M</t>
  </si>
  <si>
    <t>Mahindra &amp; Mahindra Ltd.</t>
  </si>
  <si>
    <t>GMEXICOB</t>
  </si>
  <si>
    <t>Grupo Mexico SAB de CV</t>
  </si>
  <si>
    <t>ASIANPAINT</t>
  </si>
  <si>
    <t>Asian Paints Ltd.</t>
  </si>
  <si>
    <t>Paints and Coatings</t>
  </si>
  <si>
    <t>857</t>
  </si>
  <si>
    <t>PetroChina Co. Ltd.</t>
  </si>
  <si>
    <t>247540</t>
  </si>
  <si>
    <t>Ecopro BM Co. Ltd.</t>
  </si>
  <si>
    <t>105560</t>
  </si>
  <si>
    <t>KB Financial Group Inc.</t>
  </si>
  <si>
    <t>2881</t>
  </si>
  <si>
    <t>Fubon Financial Holding Co. Ltd.</t>
  </si>
  <si>
    <t>MARUTI</t>
  </si>
  <si>
    <t>Maruti Suzuki India Ltd.</t>
  </si>
  <si>
    <t>373220</t>
  </si>
  <si>
    <t>LG Energy Solution Ltd.</t>
  </si>
  <si>
    <t>Saudi Arabian Mining Co.</t>
  </si>
  <si>
    <t>1109</t>
  </si>
  <si>
    <t>China Resources Land Ltd.</t>
  </si>
  <si>
    <t>2891</t>
  </si>
  <si>
    <t>CTBC Financial Holding Co. Ltd.</t>
  </si>
  <si>
    <t>ABEV3</t>
  </si>
  <si>
    <t>Ambev SA</t>
  </si>
  <si>
    <t>Brewers</t>
  </si>
  <si>
    <t>386</t>
  </si>
  <si>
    <t>China Petroleum &amp; Chemical Corp.</t>
  </si>
  <si>
    <t>2020</t>
  </si>
  <si>
    <t>ANTA Sports Products Ltd.</t>
  </si>
  <si>
    <t>Clothing and Accessories</t>
  </si>
  <si>
    <t>SBK</t>
  </si>
  <si>
    <t>Standard Bank Group Ltd.</t>
  </si>
  <si>
    <t>2331</t>
  </si>
  <si>
    <t>Li Ning Co. Ltd.</t>
  </si>
  <si>
    <t>2886</t>
  </si>
  <si>
    <t>Mega Financial Holding Co. Ltd.</t>
  </si>
  <si>
    <t>BMRI</t>
  </si>
  <si>
    <t>Bank Mandiri Persero Tbk PT</t>
  </si>
  <si>
    <t>2412</t>
  </si>
  <si>
    <t>Chunghwa Telecom Co. Ltd.</t>
  </si>
  <si>
    <t>GFI</t>
  </si>
  <si>
    <t>Gold Fields Ltd.</t>
  </si>
  <si>
    <t>WEGE3</t>
  </si>
  <si>
    <t>WEG SA</t>
  </si>
  <si>
    <t>Machinery: Industrial</t>
  </si>
  <si>
    <t>2882</t>
  </si>
  <si>
    <t>Cathay Financial Holding Co. Ltd.</t>
  </si>
  <si>
    <t>SBIN</t>
  </si>
  <si>
    <t>State Bank of India</t>
  </si>
  <si>
    <t>PBBANK</t>
  </si>
  <si>
    <t>Public Bank Bhd.</t>
  </si>
  <si>
    <t>MY</t>
  </si>
  <si>
    <t>MTN</t>
  </si>
  <si>
    <t>MTN Group Ltd.</t>
  </si>
  <si>
    <t>SUNPHARMA</t>
  </si>
  <si>
    <t>Sun Pharmaceutical Industries Ltd.</t>
  </si>
  <si>
    <t>TATAMOTORS</t>
  </si>
  <si>
    <t>Tata Motors Ltd.</t>
  </si>
  <si>
    <t>HCLTECH</t>
  </si>
  <si>
    <t>HCL Technologies Ltd.</t>
  </si>
  <si>
    <t>2628</t>
  </si>
  <si>
    <t>China Life Insurance Co. Ltd.</t>
  </si>
  <si>
    <t>TITAN</t>
  </si>
  <si>
    <t>Titan Co. Ltd.</t>
  </si>
  <si>
    <t>Luxury Items</t>
  </si>
  <si>
    <t>003670</t>
  </si>
  <si>
    <t>POSCO Future M Co. Ltd.</t>
  </si>
  <si>
    <t>035720</t>
  </si>
  <si>
    <t>Kakao Corp.</t>
  </si>
  <si>
    <t>RENT3</t>
  </si>
  <si>
    <t>Localiza Rent a Car SA</t>
  </si>
  <si>
    <t>Rental and Leasing Services: Consumer</t>
  </si>
  <si>
    <t>EMAAR</t>
  </si>
  <si>
    <t>Emaar Properties PJSC</t>
  </si>
  <si>
    <t>068270</t>
  </si>
  <si>
    <t>Celltrion Inc.</t>
  </si>
  <si>
    <t>1010</t>
  </si>
  <si>
    <t>Riyad Bank</t>
  </si>
  <si>
    <t>TLKM</t>
  </si>
  <si>
    <t>Telkom Indonesia Persero Tbk PT</t>
  </si>
  <si>
    <t>2319</t>
  </si>
  <si>
    <t>China Mengniu Dairy Co. Ltd.</t>
  </si>
  <si>
    <t>055550</t>
  </si>
  <si>
    <t>Shinhan Financial Group Co. Ltd.</t>
  </si>
  <si>
    <t>ZTO</t>
  </si>
  <si>
    <t>ZTO Express Cayman Inc.</t>
  </si>
  <si>
    <t>Delivery Services</t>
  </si>
  <si>
    <t>CEMEXCPO</t>
  </si>
  <si>
    <t>Cemex SAB de CV</t>
  </si>
  <si>
    <t>3231</t>
  </si>
  <si>
    <t>Wistron Corp.</t>
  </si>
  <si>
    <t>BEKE</t>
  </si>
  <si>
    <t>KE Holdings Inc.</t>
  </si>
  <si>
    <t>2884</t>
  </si>
  <si>
    <t>E.Sun Financial Holding Co. Ltd.</t>
  </si>
  <si>
    <t>9868</t>
  </si>
  <si>
    <t>XPeng Inc.</t>
  </si>
  <si>
    <t>012330</t>
  </si>
  <si>
    <t>Hyundai Mobis Co. Ltd.</t>
  </si>
  <si>
    <t>1216</t>
  </si>
  <si>
    <t>Uni-President Enterprises Corp.</t>
  </si>
  <si>
    <t>6160</t>
  </si>
  <si>
    <t>BeiGene Ltd.</t>
  </si>
  <si>
    <t>NTPC</t>
  </si>
  <si>
    <t>NTPC Ltd.</t>
  </si>
  <si>
    <t>Conventional Electricity</t>
  </si>
  <si>
    <t>3711</t>
  </si>
  <si>
    <t>ASE Technology Holding Co. Ltd.</t>
  </si>
  <si>
    <t>ULTRACEMCO</t>
  </si>
  <si>
    <t>UltraTech Cement Ltd.</t>
  </si>
  <si>
    <t>TATASTEEL</t>
  </si>
  <si>
    <t>Tata Steel Ltd.</t>
  </si>
  <si>
    <t>POWERGRID</t>
  </si>
  <si>
    <t>Power Grid Corp. of India Ltd.</t>
  </si>
  <si>
    <t>MAYBANK</t>
  </si>
  <si>
    <t>Malayan Banking Bhd.</t>
  </si>
  <si>
    <t>CPALL-F</t>
  </si>
  <si>
    <t>CP ALL PCL</t>
  </si>
  <si>
    <t>TH</t>
  </si>
  <si>
    <t>207940</t>
  </si>
  <si>
    <t>Samsung Biologics Co. Ltd.</t>
  </si>
  <si>
    <t>1303</t>
  </si>
  <si>
    <t>Nan Ya Plastics Corp.</t>
  </si>
  <si>
    <t>Credicorp Ltd.</t>
  </si>
  <si>
    <t>BM</t>
  </si>
  <si>
    <t>2002</t>
  </si>
  <si>
    <t>China Steel Corp.</t>
  </si>
  <si>
    <t>SQM-B</t>
  </si>
  <si>
    <t>Sociedad Quimica y Minera de Chile SA</t>
  </si>
  <si>
    <t>PKN</t>
  </si>
  <si>
    <t>ORLEN SA</t>
  </si>
  <si>
    <t>PL</t>
  </si>
  <si>
    <t>291</t>
  </si>
  <si>
    <t>China Resources Beer Holdings Co. Ltd.</t>
  </si>
  <si>
    <t>HK</t>
  </si>
  <si>
    <t>1301</t>
  </si>
  <si>
    <t>Formosa Plastics Corp.</t>
  </si>
  <si>
    <t>Plastics</t>
  </si>
  <si>
    <t>ITSA4</t>
  </si>
  <si>
    <t>Itausa SA</t>
  </si>
  <si>
    <t>9633</t>
  </si>
  <si>
    <t>Nongfu Spring Co. Ltd.</t>
  </si>
  <si>
    <t>1088</t>
  </si>
  <si>
    <t>China Shenhua Energy Co. Ltd.</t>
  </si>
  <si>
    <t>DELTA-F</t>
  </si>
  <si>
    <t>Delta Electronics Thailand PCL</t>
  </si>
  <si>
    <t>PTT-F</t>
  </si>
  <si>
    <t>PTT PCL</t>
  </si>
  <si>
    <t>1288</t>
  </si>
  <si>
    <t>Agricultural Bank of China Ltd.</t>
  </si>
  <si>
    <t>ELET3</t>
  </si>
  <si>
    <t>Centrais Eletricas Brasileiras SA</t>
  </si>
  <si>
    <t>Alternative Electricity</t>
  </si>
  <si>
    <t>1060</t>
  </si>
  <si>
    <t>Saudi Awwal Bank</t>
  </si>
  <si>
    <t>2892</t>
  </si>
  <si>
    <t>First Financial Holding Co. Ltd.</t>
  </si>
  <si>
    <t>QIBK</t>
  </si>
  <si>
    <t>Qatar Islamic Bank SAQ</t>
  </si>
  <si>
    <t>2899</t>
  </si>
  <si>
    <t>Zijin Mining Group Co. Ltd.</t>
  </si>
  <si>
    <t>2688</t>
  </si>
  <si>
    <t>ENN Energy Holdings Ltd.</t>
  </si>
  <si>
    <t>Gas Distribution</t>
  </si>
  <si>
    <t>2301</t>
  </si>
  <si>
    <t>Lite-On Technology Corp.</t>
  </si>
  <si>
    <t>5871</t>
  </si>
  <si>
    <t>Chailease Holding Co. Ltd.</t>
  </si>
  <si>
    <t>1150</t>
  </si>
  <si>
    <t>Alinma Bank</t>
  </si>
  <si>
    <t>096770</t>
  </si>
  <si>
    <t>SK Innovation Co. Ltd.</t>
  </si>
  <si>
    <t>ANG</t>
  </si>
  <si>
    <t>AngloGold Ashanti Ltd.</t>
  </si>
  <si>
    <t>—</t>
  </si>
  <si>
    <t>Jio Financial Services Ltd.</t>
  </si>
  <si>
    <t>ASII</t>
  </si>
  <si>
    <t>Astra International Tbk PT</t>
  </si>
  <si>
    <t>HTHT</t>
  </si>
  <si>
    <t>H World Group Ltd.</t>
  </si>
  <si>
    <t>Hotels and Motels</t>
  </si>
  <si>
    <t>NESTLEIND</t>
  </si>
  <si>
    <t>Nestle India Ltd.</t>
  </si>
  <si>
    <t>5880</t>
  </si>
  <si>
    <t>Taiwan Cooperative Financial Holding Co. Ltd.</t>
  </si>
  <si>
    <t>086790</t>
  </si>
  <si>
    <t>Hana Financial Group Inc.</t>
  </si>
  <si>
    <t>066570</t>
  </si>
  <si>
    <t>LG Electronics Inc.</t>
  </si>
  <si>
    <t>Consumer Electronics</t>
  </si>
  <si>
    <t>688</t>
  </si>
  <si>
    <t>China Overseas Land &amp; Investment Ltd.</t>
  </si>
  <si>
    <t>300750</t>
  </si>
  <si>
    <t>Contemporary Amperex Technology Co. Ltd.</t>
  </si>
  <si>
    <t>ABG</t>
  </si>
  <si>
    <t>Absa Group Ltd.</t>
  </si>
  <si>
    <t>AOT-F</t>
  </si>
  <si>
    <t>Airports of Thailand PCL</t>
  </si>
  <si>
    <t>BDMS-F</t>
  </si>
  <si>
    <t>Bangkok Dusit Medical Services PCL</t>
  </si>
  <si>
    <t>PKO</t>
  </si>
  <si>
    <t>Powszechna Kasa Oszczednosci Bank Polski SA</t>
  </si>
  <si>
    <t>175</t>
  </si>
  <si>
    <t>Geely Automobile Holdings Ltd.</t>
  </si>
  <si>
    <t>9901</t>
  </si>
  <si>
    <t>New Oriental Education &amp; Technology Group Inc.</t>
  </si>
  <si>
    <t>2313</t>
  </si>
  <si>
    <t>Shenzhou International Group Holdings Ltd.</t>
  </si>
  <si>
    <t>CPI</t>
  </si>
  <si>
    <t>Capitec Bank Holdings Ltd.</t>
  </si>
  <si>
    <t>EMIRATESNBD</t>
  </si>
  <si>
    <t>Emirates NBD Bank PJSC</t>
  </si>
  <si>
    <t>BBAS3</t>
  </si>
  <si>
    <t>Banco do Brasil SA</t>
  </si>
  <si>
    <t>SABIC Agri-Nutrients Co.</t>
  </si>
  <si>
    <t>OTP</t>
  </si>
  <si>
    <t>OTP Bank Nyrt</t>
  </si>
  <si>
    <t>HU</t>
  </si>
  <si>
    <t>992</t>
  </si>
  <si>
    <t>Lenovo Group Ltd.</t>
  </si>
  <si>
    <t>BPAC11</t>
  </si>
  <si>
    <t>Banco BTG Pactual SA</t>
  </si>
  <si>
    <t>2328</t>
  </si>
  <si>
    <t>PICC Property &amp; Casualty Co. Ltd.</t>
  </si>
  <si>
    <t>BID</t>
  </si>
  <si>
    <t>Bid Corp. Ltd.</t>
  </si>
  <si>
    <t>2357</t>
  </si>
  <si>
    <t>Asustek Computer Inc.</t>
  </si>
  <si>
    <t>6618</t>
  </si>
  <si>
    <t>JD Health International Inc.</t>
  </si>
  <si>
    <t>Sasol Ltd.</t>
  </si>
  <si>
    <t>ADVANC-F</t>
  </si>
  <si>
    <t>Advanced Info Service PCL</t>
  </si>
  <si>
    <t>3037</t>
  </si>
  <si>
    <t>Unimicron Technology Corp.</t>
  </si>
  <si>
    <t>2885</t>
  </si>
  <si>
    <t>Yuanta Financial Holding Co. Ltd.</t>
  </si>
  <si>
    <t>RADL3</t>
  </si>
  <si>
    <t>Raia Drogasil SA</t>
  </si>
  <si>
    <t>SUZB3</t>
  </si>
  <si>
    <t>Suzano SA</t>
  </si>
  <si>
    <t>Paper</t>
  </si>
  <si>
    <t>HDFCLIFE</t>
  </si>
  <si>
    <t>HDFC Life Insurance Co. Ltd.</t>
  </si>
  <si>
    <t>CIMB</t>
  </si>
  <si>
    <t>CIMB Group Holdings Bhd.</t>
  </si>
  <si>
    <t>1326</t>
  </si>
  <si>
    <t>Formosa Chemicals &amp; Fibre Corp.</t>
  </si>
  <si>
    <t>3034</t>
  </si>
  <si>
    <t>Novatek Microelectronics Corp.</t>
  </si>
  <si>
    <t>BAJAJFINSV</t>
  </si>
  <si>
    <t>Bajaj Finserv Ltd.</t>
  </si>
  <si>
    <t>Full Line Insurance</t>
  </si>
  <si>
    <t>DRREDDY</t>
  </si>
  <si>
    <t>Dr Reddy's Laboratories Ltd.</t>
  </si>
  <si>
    <t>1093</t>
  </si>
  <si>
    <t>CSPC Pharmaceutical Group Ltd.</t>
  </si>
  <si>
    <t>TECHM</t>
  </si>
  <si>
    <t>Tech Mahindra Ltd.</t>
  </si>
  <si>
    <t>SCC-F</t>
  </si>
  <si>
    <t>Siam Cement PCL</t>
  </si>
  <si>
    <t>SBILIFE</t>
  </si>
  <si>
    <t>SBI Life Insurance Co. Ltd.</t>
  </si>
  <si>
    <t>CEZ</t>
  </si>
  <si>
    <t>CEZ AS</t>
  </si>
  <si>
    <t>CZ</t>
  </si>
  <si>
    <t>DMART</t>
  </si>
  <si>
    <t>Avenue Supermarts Ltd.</t>
  </si>
  <si>
    <t>2207</t>
  </si>
  <si>
    <t>Hotai Motor Co. Ltd.</t>
  </si>
  <si>
    <t>GAPB</t>
  </si>
  <si>
    <t>Grupo Aeroportuario del Pacifico SAB de CV</t>
  </si>
  <si>
    <t>SCCO</t>
  </si>
  <si>
    <t>Southern Copper Corp.</t>
  </si>
  <si>
    <t>1101</t>
  </si>
  <si>
    <t>Taiwan Cement Corp.</t>
  </si>
  <si>
    <t>PRIO3</t>
  </si>
  <si>
    <t>PRIO SA/Brazil</t>
  </si>
  <si>
    <t>CIPLA</t>
  </si>
  <si>
    <t>Cipla Ltd./India</t>
  </si>
  <si>
    <t>EQTL3</t>
  </si>
  <si>
    <t>Equatorial Energia SA</t>
  </si>
  <si>
    <t>3008</t>
  </si>
  <si>
    <t>Largan Precision Co. Ltd.</t>
  </si>
  <si>
    <t>GGBR4</t>
  </si>
  <si>
    <t>Gerdau SA</t>
  </si>
  <si>
    <t>ADCB</t>
  </si>
  <si>
    <t>Abu Dhabi Commercial Bank PJSC</t>
  </si>
  <si>
    <t>HINDALCO</t>
  </si>
  <si>
    <t>Hindalco Industries Ltd.</t>
  </si>
  <si>
    <t>Sunny Optical Technology Group Co. Ltd.</t>
  </si>
  <si>
    <t>SHP</t>
  </si>
  <si>
    <t>Shoprite Holdings Ltd.</t>
  </si>
  <si>
    <t>BIMBOA</t>
  </si>
  <si>
    <t>Grupo Bimbo SAB de CV</t>
  </si>
  <si>
    <t>028260</t>
  </si>
  <si>
    <t>Samsung C&amp;T Corp.</t>
  </si>
  <si>
    <t>VIPS</t>
  </si>
  <si>
    <t>Vipshop Holdings Ltd.</t>
  </si>
  <si>
    <t>2601</t>
  </si>
  <si>
    <t>China Pacific Insurance Group Co. Ltd.</t>
  </si>
  <si>
    <t>267</t>
  </si>
  <si>
    <t>CITIC Ltd.</t>
  </si>
  <si>
    <t>Diversified Industrials</t>
  </si>
  <si>
    <t>4013</t>
  </si>
  <si>
    <t>Dr Sulaiman Al Habib Medical Services Group Co.</t>
  </si>
  <si>
    <t>ONGC</t>
  </si>
  <si>
    <t>Oil &amp; Natural Gas Corp. Ltd.</t>
  </si>
  <si>
    <t>SLM</t>
  </si>
  <si>
    <t>Sanlam Ltd.</t>
  </si>
  <si>
    <t>PTTEP-F</t>
  </si>
  <si>
    <t>PTT Exploration &amp; Production PCL</t>
  </si>
  <si>
    <t>033780</t>
  </si>
  <si>
    <t>KT&amp;G Corp.</t>
  </si>
  <si>
    <t>1050</t>
  </si>
  <si>
    <t>Banque Saudi Fransi</t>
  </si>
  <si>
    <t>WIPRO</t>
  </si>
  <si>
    <t>Wipro Ltd.</t>
  </si>
  <si>
    <t>SHRIRAMFIN</t>
  </si>
  <si>
    <t>Shriram Finance Ltd.</t>
  </si>
  <si>
    <t>RAIL3</t>
  </si>
  <si>
    <t>Rumo SA</t>
  </si>
  <si>
    <t>2887</t>
  </si>
  <si>
    <t>Taishin Financial Holding Co. Ltd.</t>
  </si>
  <si>
    <t>NED</t>
  </si>
  <si>
    <t>Nedbank Group Ltd.</t>
  </si>
  <si>
    <t>009150</t>
  </si>
  <si>
    <t>Samsung Electro-Mechanics Co. Ltd.</t>
  </si>
  <si>
    <t>IMP</t>
  </si>
  <si>
    <t>Impala Platinum Holdings Ltd.</t>
  </si>
  <si>
    <t>Platinum and Precious Metals</t>
  </si>
  <si>
    <t>BRITANNIA</t>
  </si>
  <si>
    <t>Britannia Industries Ltd.</t>
  </si>
  <si>
    <t>APOLLOHOSP</t>
  </si>
  <si>
    <t>Apollo Hospitals Enterprise Ltd.</t>
  </si>
  <si>
    <t>003550</t>
  </si>
  <si>
    <t>LG Corp.</t>
  </si>
  <si>
    <t>SMPH</t>
  </si>
  <si>
    <t>SM Prime Holdings Inc.</t>
  </si>
  <si>
    <t>6690</t>
  </si>
  <si>
    <t>Haier Smart Home Co. Ltd.</t>
  </si>
  <si>
    <t>Household Appliance</t>
  </si>
  <si>
    <t>2880</t>
  </si>
  <si>
    <t>Hua Nan Financial Holdings Co. Ltd.</t>
  </si>
  <si>
    <t>2379</t>
  </si>
  <si>
    <t>Realtek Semiconductor Corp.</t>
  </si>
  <si>
    <t>TATACONSUM</t>
  </si>
  <si>
    <t>Tata Consumer Products Ltd.</t>
  </si>
  <si>
    <t>GOTO</t>
  </si>
  <si>
    <t>GoTo Gojek Tokopedia Tbk PT</t>
  </si>
  <si>
    <t>8069</t>
  </si>
  <si>
    <t>E Ink Holdings Inc.</t>
  </si>
  <si>
    <t>PZU</t>
  </si>
  <si>
    <t>Powszechny Zaklad Ubezpieczen SA</t>
  </si>
  <si>
    <t>BDO</t>
  </si>
  <si>
    <t>BDO Unibank Inc.</t>
  </si>
  <si>
    <t>GRASIM</t>
  </si>
  <si>
    <t>Grasim Industries Ltd.</t>
  </si>
  <si>
    <t>JSWSTEEL</t>
  </si>
  <si>
    <t>JSW Steel Ltd.</t>
  </si>
  <si>
    <t>034020</t>
  </si>
  <si>
    <t>Doosan Enerbility Co. Ltd.</t>
  </si>
  <si>
    <t>000858</t>
  </si>
  <si>
    <t>Wuliangye Yibin Co. Ltd.</t>
  </si>
  <si>
    <t>2883</t>
  </si>
  <si>
    <t>China Development Financial Holding Corp.</t>
  </si>
  <si>
    <t>2345</t>
  </si>
  <si>
    <t>Accton Technology Corp.</t>
  </si>
  <si>
    <t>BBDC3</t>
  </si>
  <si>
    <t>2890</t>
  </si>
  <si>
    <t>SinoPac Financial Holdings Co. Ltd.</t>
  </si>
  <si>
    <t>000810</t>
  </si>
  <si>
    <t>Samsung Fire &amp; Marine Insurance Co. Ltd.</t>
  </si>
  <si>
    <t>2395</t>
  </si>
  <si>
    <t>Advantech Co. Ltd.</t>
  </si>
  <si>
    <t>CHOLAFIN</t>
  </si>
  <si>
    <t>Cholamandalam Investment and Finance Co. Ltd.</t>
  </si>
  <si>
    <t>PEO</t>
  </si>
  <si>
    <t>Bank Polska Kasa Opieki SA</t>
  </si>
  <si>
    <t>ASURB</t>
  </si>
  <si>
    <t>Grupo Aeroportuario del Sureste SAB de CV</t>
  </si>
  <si>
    <t>601318</t>
  </si>
  <si>
    <t>CBQK</t>
  </si>
  <si>
    <t>Commercial Bank PSQC</t>
  </si>
  <si>
    <t>BEL</t>
  </si>
  <si>
    <t>Bharat Electronics Ltd.</t>
  </si>
  <si>
    <t>Defense</t>
  </si>
  <si>
    <t>EICHERMOT</t>
  </si>
  <si>
    <t>Eicher Motors Ltd.</t>
  </si>
  <si>
    <t>Recreational Vehicles and Boats</t>
  </si>
  <si>
    <t>091990</t>
  </si>
  <si>
    <t>Celltrion Healthcare Co. Ltd.</t>
  </si>
  <si>
    <t>IQCD</t>
  </si>
  <si>
    <t>Industries Qatar QSC</t>
  </si>
  <si>
    <t>Diversified Materials</t>
  </si>
  <si>
    <t>1140</t>
  </si>
  <si>
    <t>Bank AlBilad</t>
  </si>
  <si>
    <t>MAXHEALTH</t>
  </si>
  <si>
    <t>Max Healthcare Institute Ltd.</t>
  </si>
  <si>
    <t>HAPV3</t>
  </si>
  <si>
    <t>Hapvida Participacoes e Investimentos S/A</t>
  </si>
  <si>
    <t>Health Care Management Services</t>
  </si>
  <si>
    <t>3045</t>
  </si>
  <si>
    <t>Taiwan Mobile Co. Ltd.</t>
  </si>
  <si>
    <t>DIVISLAB</t>
  </si>
  <si>
    <t>Divi's Laboratories Ltd.</t>
  </si>
  <si>
    <t>2356</t>
  </si>
  <si>
    <t>Inventec Corp.</t>
  </si>
  <si>
    <t>TENAGA</t>
  </si>
  <si>
    <t>Tenaga Nasional Bhd.</t>
  </si>
  <si>
    <t>SSW</t>
  </si>
  <si>
    <t>Sibanye Stillwater Ltd.</t>
  </si>
  <si>
    <t>5876</t>
  </si>
  <si>
    <t>Shanghai Commercial &amp; Savings Bank Ltd.</t>
  </si>
  <si>
    <t>DNP</t>
  </si>
  <si>
    <t>Dino Polska SA</t>
  </si>
  <si>
    <t>LTIM</t>
  </si>
  <si>
    <t>LTIMindtree Ltd.</t>
  </si>
  <si>
    <t>ADANIENT</t>
  </si>
  <si>
    <t>Adani Enterprises Ltd.</t>
  </si>
  <si>
    <t>1658</t>
  </si>
  <si>
    <t>Postal Savings Bank of China Co. Ltd.</t>
  </si>
  <si>
    <t>CHILE</t>
  </si>
  <si>
    <t>Banco de Chile</t>
  </si>
  <si>
    <t>ALDAR</t>
  </si>
  <si>
    <t>Aldar Properties PJSC</t>
  </si>
  <si>
    <t>968</t>
  </si>
  <si>
    <t>Xinyi Solar Holdings Ltd.</t>
  </si>
  <si>
    <t>Renewable Energy Equipment</t>
  </si>
  <si>
    <t>5110</t>
  </si>
  <si>
    <t>Saudi Electricity Co.</t>
  </si>
  <si>
    <t>1801</t>
  </si>
  <si>
    <t>Innovent Biologics Inc.</t>
  </si>
  <si>
    <t>6669</t>
  </si>
  <si>
    <t>Wiwynn Corp.</t>
  </si>
  <si>
    <t>GODREJCP</t>
  </si>
  <si>
    <t>Godrej Consumer Products Ltd.</t>
  </si>
  <si>
    <t>960</t>
  </si>
  <si>
    <t>Longfor Group Holdings Ltd.</t>
  </si>
  <si>
    <t>ADANIPORTS</t>
  </si>
  <si>
    <t>Adani Ports &amp; Special Economic Zone Ltd.</t>
  </si>
  <si>
    <t>GFINBURO</t>
  </si>
  <si>
    <t>Grupo Financiero Inbursa SAB de CV</t>
  </si>
  <si>
    <t>066970</t>
  </si>
  <si>
    <t>L&amp;F Co. Ltd.</t>
  </si>
  <si>
    <t>168</t>
  </si>
  <si>
    <t>Tsingtao Brewery Co. Ltd.</t>
  </si>
  <si>
    <t>CSAN3</t>
  </si>
  <si>
    <t>Cosan SA</t>
  </si>
  <si>
    <t>2912</t>
  </si>
  <si>
    <t>President Chain Store Corp.</t>
  </si>
  <si>
    <t>TME</t>
  </si>
  <si>
    <t>Tencent Music Entertainment Group</t>
  </si>
  <si>
    <t>PIDILITIND</t>
  </si>
  <si>
    <t>Pidilite Industries Ltd.</t>
  </si>
  <si>
    <t>4938</t>
  </si>
  <si>
    <t>Pegatron Corp.</t>
  </si>
  <si>
    <t>788</t>
  </si>
  <si>
    <t>China Tower Corp. Ltd.</t>
  </si>
  <si>
    <t>316140</t>
  </si>
  <si>
    <t>Woori Financial Group Inc.</t>
  </si>
  <si>
    <t>3328</t>
  </si>
  <si>
    <t>Bank of Communications Co. Ltd.</t>
  </si>
  <si>
    <t>REM</t>
  </si>
  <si>
    <t>Remgro Ltd.</t>
  </si>
  <si>
    <t>3481</t>
  </si>
  <si>
    <t>Innolux Corp.</t>
  </si>
  <si>
    <t>THYAO.E</t>
  </si>
  <si>
    <t>Turk Hava Yollari AO</t>
  </si>
  <si>
    <t>TR</t>
  </si>
  <si>
    <t>268</t>
  </si>
  <si>
    <t>Kingdee International Software Group Co. Ltd.</t>
  </si>
  <si>
    <t>AC*</t>
  </si>
  <si>
    <t>Arca Continental SAB de CV</t>
  </si>
  <si>
    <t>1080</t>
  </si>
  <si>
    <t>Arab National Bank</t>
  </si>
  <si>
    <t>1177</t>
  </si>
  <si>
    <t>Sino Biopharmaceutical Ltd.</t>
  </si>
  <si>
    <t>DABUR</t>
  </si>
  <si>
    <t>Dabur India Ltd.</t>
  </si>
  <si>
    <t>2327</t>
  </si>
  <si>
    <t>Yageo Corp.</t>
  </si>
  <si>
    <t>6862</t>
  </si>
  <si>
    <t>Haidilao International Holding Ltd.</t>
  </si>
  <si>
    <t>VBL</t>
  </si>
  <si>
    <t>Varun Beverages Ltd.</t>
  </si>
  <si>
    <t>FUNO11</t>
  </si>
  <si>
    <t>Fibra Uno Administracion SA de CV</t>
  </si>
  <si>
    <t>7020</t>
  </si>
  <si>
    <t>Etihad Etisalat Co.</t>
  </si>
  <si>
    <t>2280</t>
  </si>
  <si>
    <t>Almarai Co. JSC</t>
  </si>
  <si>
    <t>BBSE3</t>
  </si>
  <si>
    <t>BB Seguridade Participacoes SA</t>
  </si>
  <si>
    <t>032830</t>
  </si>
  <si>
    <t>Samsung Life Insurance Co. Ltd.</t>
  </si>
  <si>
    <t>BBNI</t>
  </si>
  <si>
    <t>Bank Negara Indonesia Persero Tbk PT</t>
  </si>
  <si>
    <t>KOFUBL</t>
  </si>
  <si>
    <t>Coca-Cola Femsa SAB de CV</t>
  </si>
  <si>
    <t>3800</t>
  </si>
  <si>
    <t>GCL Technology Holdings Ltd.</t>
  </si>
  <si>
    <t>6030</t>
  </si>
  <si>
    <t>CITIC Securities Co. Ltd.</t>
  </si>
  <si>
    <t>034730</t>
  </si>
  <si>
    <t>SK Inc.</t>
  </si>
  <si>
    <t>PMETAL</t>
  </si>
  <si>
    <t>Press Metal Aluminium Holdings Bhd.</t>
  </si>
  <si>
    <t>EUROB</t>
  </si>
  <si>
    <t>Eurobank Ergasias Services and Holdings SA</t>
  </si>
  <si>
    <t>GR</t>
  </si>
  <si>
    <t>3443</t>
  </si>
  <si>
    <t>Global Unichip Corp.</t>
  </si>
  <si>
    <t>600036</t>
  </si>
  <si>
    <t>600900</t>
  </si>
  <si>
    <t>China Yangtze Power Co. Ltd.</t>
  </si>
  <si>
    <t>1919</t>
  </si>
  <si>
    <t>COSCO SHIPPING Holdings Co. Ltd.</t>
  </si>
  <si>
    <t>DSY</t>
  </si>
  <si>
    <t>Discovery Ltd.</t>
  </si>
  <si>
    <t>DIB</t>
  </si>
  <si>
    <t>Dubai Islamic Bank PJSC</t>
  </si>
  <si>
    <t>028050</t>
  </si>
  <si>
    <t>Samsung Engineering Co. Ltd.</t>
  </si>
  <si>
    <t>2409</t>
  </si>
  <si>
    <t>AUO Corp.</t>
  </si>
  <si>
    <t>RDOR3</t>
  </si>
  <si>
    <t>Rede D'Or Sao Luiz SA</t>
  </si>
  <si>
    <t>WHL</t>
  </si>
  <si>
    <t>Woolworths Holdings Ltd./South Africa</t>
  </si>
  <si>
    <t>ADANIGREEN</t>
  </si>
  <si>
    <t>Adani Green Energy Ltd.</t>
  </si>
  <si>
    <t>LEGN</t>
  </si>
  <si>
    <t>Legend Biotech Corp.</t>
  </si>
  <si>
    <t>VOD</t>
  </si>
  <si>
    <t>Vodacom Group Ltd.</t>
  </si>
  <si>
    <t>TATAPOWER</t>
  </si>
  <si>
    <t>Tata Power Co. Ltd.</t>
  </si>
  <si>
    <t>KGH</t>
  </si>
  <si>
    <t>KGHM Polska Miedz SA</t>
  </si>
  <si>
    <t>ZOMATO</t>
  </si>
  <si>
    <t>Zomato Ltd.</t>
  </si>
  <si>
    <t>SBSP3</t>
  </si>
  <si>
    <t>Cia de Saneamento Basico do Estado de Sao Paulo SABESP</t>
  </si>
  <si>
    <t>Water</t>
  </si>
  <si>
    <t>010140</t>
  </si>
  <si>
    <t>Samsung Heavy Industries Co. Ltd.</t>
  </si>
  <si>
    <t>BVT</t>
  </si>
  <si>
    <t>Bidvest Group Ltd.</t>
  </si>
  <si>
    <t>ADIB</t>
  </si>
  <si>
    <t>Abu Dhabi Islamic Bank PJSC</t>
  </si>
  <si>
    <t>1590</t>
  </si>
  <si>
    <t>Airtac International Group</t>
  </si>
  <si>
    <t>SM</t>
  </si>
  <si>
    <t>SM Investments Corp.</t>
  </si>
  <si>
    <t>COALINDIA</t>
  </si>
  <si>
    <t>Coal India Ltd.</t>
  </si>
  <si>
    <t>7203</t>
  </si>
  <si>
    <t>Elm Co.</t>
  </si>
  <si>
    <t>HEROMOTOCO</t>
  </si>
  <si>
    <t>Hero MotoCorp Ltd.</t>
  </si>
  <si>
    <t>836</t>
  </si>
  <si>
    <t>China Resources Power Holdings Co. Ltd.</t>
  </si>
  <si>
    <t>MYTIL</t>
  </si>
  <si>
    <t>Mytilineos SA</t>
  </si>
  <si>
    <t>SIEMENS</t>
  </si>
  <si>
    <t>Siemens Ltd.</t>
  </si>
  <si>
    <t>GULF-F</t>
  </si>
  <si>
    <t>Gulf Energy Development PCL</t>
  </si>
  <si>
    <t>APN</t>
  </si>
  <si>
    <t>Aspen Pharmacare Holdings Ltd.</t>
  </si>
  <si>
    <t>914</t>
  </si>
  <si>
    <t>Anhui Conch Cement Co. Ltd.</t>
  </si>
  <si>
    <t>INDIGO</t>
  </si>
  <si>
    <t>InterGlobe Aviation Ltd.</t>
  </si>
  <si>
    <t>PCHEM</t>
  </si>
  <si>
    <t>Petronas Chemicals Group Bhd.</t>
  </si>
  <si>
    <t>VBBR3</t>
  </si>
  <si>
    <t>Vibra Energia SA</t>
  </si>
  <si>
    <t>COMI</t>
  </si>
  <si>
    <t>Commercial International Bank Egypt SAE</t>
  </si>
  <si>
    <t>BAJAJ-AUTO</t>
  </si>
  <si>
    <t>Bajaj Auto Ltd.</t>
  </si>
  <si>
    <t>002594</t>
  </si>
  <si>
    <t>2324</t>
  </si>
  <si>
    <t>Compal Electronics Inc.</t>
  </si>
  <si>
    <t>HAVELLS</t>
  </si>
  <si>
    <t>Havells India Ltd.</t>
  </si>
  <si>
    <t>INDHOTEL</t>
  </si>
  <si>
    <t>Indian Hotels Co. Ltd.</t>
  </si>
  <si>
    <t>998</t>
  </si>
  <si>
    <t>China CITIC Bank Corp. Ltd.</t>
  </si>
  <si>
    <t>2377</t>
  </si>
  <si>
    <t>Micro-Star International Co. Ltd.</t>
  </si>
  <si>
    <t>TVSMOTOR</t>
  </si>
  <si>
    <t>TVS Motor Co. Ltd.</t>
  </si>
  <si>
    <t>GCARSOA1</t>
  </si>
  <si>
    <t>Grupo Carso SAB de CV</t>
  </si>
  <si>
    <t>1099</t>
  </si>
  <si>
    <t>Sinopharm Group Co. Ltd.</t>
  </si>
  <si>
    <t>015760</t>
  </si>
  <si>
    <t>Korea Electric Power Corp.</t>
  </si>
  <si>
    <t>3888</t>
  </si>
  <si>
    <t>Kingsoft Corp. Ltd.</t>
  </si>
  <si>
    <t>BPI</t>
  </si>
  <si>
    <t>Bank of the Philippine Islands</t>
  </si>
  <si>
    <t>ICICIGI</t>
  </si>
  <si>
    <t>ICICI Lombard General Insurance Co. Ltd.</t>
  </si>
  <si>
    <t>2888</t>
  </si>
  <si>
    <t>Shin Kong Financial Holding Co. Ltd.</t>
  </si>
  <si>
    <t>ALE</t>
  </si>
  <si>
    <t>Allegro.eu SA</t>
  </si>
  <si>
    <t>LU</t>
  </si>
  <si>
    <t>352820</t>
  </si>
  <si>
    <t>HYBE Co. Ltd.</t>
  </si>
  <si>
    <t>CPN-F</t>
  </si>
  <si>
    <t>Central Pattana PCL</t>
  </si>
  <si>
    <t>009540</t>
  </si>
  <si>
    <t>HD Korea Shipbuilding &amp; Offshore Engineering Co. Ltd.</t>
  </si>
  <si>
    <t>SRF</t>
  </si>
  <si>
    <t>SRF Ltd.</t>
  </si>
  <si>
    <t>LPP</t>
  </si>
  <si>
    <t>LPP SA</t>
  </si>
  <si>
    <t>RICHTER</t>
  </si>
  <si>
    <t>Richter Gedeon Nyrt</t>
  </si>
  <si>
    <t>2082</t>
  </si>
  <si>
    <t>ACWA Power Co.</t>
  </si>
  <si>
    <t>KLBN11</t>
  </si>
  <si>
    <t>Klabin SA</t>
  </si>
  <si>
    <t>2359</t>
  </si>
  <si>
    <t>WuXi AppTec Co. Ltd.</t>
  </si>
  <si>
    <t>259960</t>
  </si>
  <si>
    <t>Krafton Inc.</t>
  </si>
  <si>
    <t>138040</t>
  </si>
  <si>
    <t>Meritz Financial Group Inc.</t>
  </si>
  <si>
    <t>BH-F</t>
  </si>
  <si>
    <t>Bumrungrad Hospital PCL</t>
  </si>
  <si>
    <t>NAUKRI</t>
  </si>
  <si>
    <t>Info Edge India Ltd.</t>
  </si>
  <si>
    <t>ICT</t>
  </si>
  <si>
    <t>International Container Terminal Services Inc.</t>
  </si>
  <si>
    <t>TIINDIA</t>
  </si>
  <si>
    <t>Tube Investments of India Ltd.</t>
  </si>
  <si>
    <t>Metal Fabricating</t>
  </si>
  <si>
    <t>LREN3</t>
  </si>
  <si>
    <t>Lojas Renner SA</t>
  </si>
  <si>
    <t>ASAI3</t>
  </si>
  <si>
    <t>Sendas Distribuidora S/A</t>
  </si>
  <si>
    <t>TRENT</t>
  </si>
  <si>
    <t>Trent Ltd.</t>
  </si>
  <si>
    <t>ALPHA</t>
  </si>
  <si>
    <t>Alpha Services and Holdings SA</t>
  </si>
  <si>
    <t>TAL</t>
  </si>
  <si>
    <t>TAL Education Group</t>
  </si>
  <si>
    <t>ETE</t>
  </si>
  <si>
    <t>National Bank of Greece SA</t>
  </si>
  <si>
    <t>TUPRS.E</t>
  </si>
  <si>
    <t>Turkiye Petrol Rafinerileri AS</t>
  </si>
  <si>
    <t>MARK</t>
  </si>
  <si>
    <t>Masraf Al Rayan QSC</t>
  </si>
  <si>
    <t>6409</t>
  </si>
  <si>
    <t>Voltronic Power Technology Corp.</t>
  </si>
  <si>
    <t>3908</t>
  </si>
  <si>
    <t>China International Capital Corp. Ltd.</t>
  </si>
  <si>
    <t>003490</t>
  </si>
  <si>
    <t>Korean Air Lines Co. Ltd.</t>
  </si>
  <si>
    <t>VIVT3</t>
  </si>
  <si>
    <t>Telefonica Brasil SA</t>
  </si>
  <si>
    <t>DLF</t>
  </si>
  <si>
    <t>DLF Ltd.</t>
  </si>
  <si>
    <t>CLS</t>
  </si>
  <si>
    <t>Clicks Group Ltd.</t>
  </si>
  <si>
    <t>Hindustan Aeronautics Ltd.</t>
  </si>
  <si>
    <t>Aerospace</t>
  </si>
  <si>
    <t>ZAIN</t>
  </si>
  <si>
    <t>Mobile Telecommunications Co. KSCP</t>
  </si>
  <si>
    <t>KCHOL.E</t>
  </si>
  <si>
    <t>KOC Holding AS</t>
  </si>
  <si>
    <t>3529</t>
  </si>
  <si>
    <t>eMemory Technology Inc.</t>
  </si>
  <si>
    <t>UPL</t>
  </si>
  <si>
    <t>UPL Ltd.</t>
  </si>
  <si>
    <t>CMIG4</t>
  </si>
  <si>
    <t>Cia Energetica de Minas Gerais</t>
  </si>
  <si>
    <t>KIMBERA</t>
  </si>
  <si>
    <t>Kimberly-Clark de Mexico SAB de CV</t>
  </si>
  <si>
    <t>BIMAS.E</t>
  </si>
  <si>
    <t>BIM Birlesik Magazalar AS</t>
  </si>
  <si>
    <t>9626</t>
  </si>
  <si>
    <t>Bilibili Inc.</t>
  </si>
  <si>
    <t>2474</t>
  </si>
  <si>
    <t>Catcher Technology Co. Ltd.</t>
  </si>
  <si>
    <t>6488</t>
  </si>
  <si>
    <t>Globalwafers Co. Ltd.</t>
  </si>
  <si>
    <t>047050</t>
  </si>
  <si>
    <t>Posco International Corp.</t>
  </si>
  <si>
    <t>1171</t>
  </si>
  <si>
    <t>Yankuang Energy Group Co. Ltd.</t>
  </si>
  <si>
    <t>ALI</t>
  </si>
  <si>
    <t>Ayala Land Inc.</t>
  </si>
  <si>
    <t>HYPE3</t>
  </si>
  <si>
    <t>Hypera SA</t>
  </si>
  <si>
    <t>ADNOCDIST</t>
  </si>
  <si>
    <t>Abu Dhabi National Oil Co. for Distribution PJSC</t>
  </si>
  <si>
    <t>SPL</t>
  </si>
  <si>
    <t>Santander Bank Polska SA</t>
  </si>
  <si>
    <t>MCDOWELL-N</t>
  </si>
  <si>
    <t>United Spirits Ltd.</t>
  </si>
  <si>
    <t>2310</t>
  </si>
  <si>
    <t>Sahara International Petrochemical Co.</t>
  </si>
  <si>
    <t>BELA</t>
  </si>
  <si>
    <t>JUMBO SA</t>
  </si>
  <si>
    <t>Toys</t>
  </si>
  <si>
    <t>NTCO3</t>
  </si>
  <si>
    <t>Natura &amp; Co. Holding SA</t>
  </si>
  <si>
    <t>Cosmetics</t>
  </si>
  <si>
    <t>1929</t>
  </si>
  <si>
    <t>Chow Tai Fook Jewellery Group Ltd.</t>
  </si>
  <si>
    <t>MARICO</t>
  </si>
  <si>
    <t>Marico Ltd.</t>
  </si>
  <si>
    <t>BPCL</t>
  </si>
  <si>
    <t>Bharat Petroleum Corp. Ltd.</t>
  </si>
  <si>
    <t>6415</t>
  </si>
  <si>
    <t>Silergy Corp.</t>
  </si>
  <si>
    <t>4904</t>
  </si>
  <si>
    <t>Far EasTone Telecommunications Co. Ltd.</t>
  </si>
  <si>
    <t>018260</t>
  </si>
  <si>
    <t>Samsung SDS Co. Ltd.</t>
  </si>
  <si>
    <t>2290</t>
  </si>
  <si>
    <t>Yanbu National Petrochemical Co.</t>
  </si>
  <si>
    <t>AKBNK.E</t>
  </si>
  <si>
    <t>Akbank TAS</t>
  </si>
  <si>
    <t>8210</t>
  </si>
  <si>
    <t>Bupa Arabia for Cooperative Insurance Co.</t>
  </si>
  <si>
    <t>BSANTANDER</t>
  </si>
  <si>
    <t>Banco Santander Chile</t>
  </si>
  <si>
    <t>OMU</t>
  </si>
  <si>
    <t>Old Mutual Ltd.</t>
  </si>
  <si>
    <t>PIIND</t>
  </si>
  <si>
    <t>PI Industries Ltd.</t>
  </si>
  <si>
    <t>241</t>
  </si>
  <si>
    <t>Alibaba Health Information Technology Ltd.</t>
  </si>
  <si>
    <t>402340</t>
  </si>
  <si>
    <t>SK Square Co. Ltd.</t>
  </si>
  <si>
    <t>AMBUJACEM</t>
  </si>
  <si>
    <t>Ambuja Cements Ltd.</t>
  </si>
  <si>
    <t>012450</t>
  </si>
  <si>
    <t>Hanwha Aerospace Co. Ltd.</t>
  </si>
  <si>
    <t>GRUMAB</t>
  </si>
  <si>
    <t>Gruma SAB de CV</t>
  </si>
  <si>
    <t>BZ</t>
  </si>
  <si>
    <t>Kanzhun Ltd.</t>
  </si>
  <si>
    <t>2603</t>
  </si>
  <si>
    <t>Evergreen Marine Corp. Taiwan Ltd.</t>
  </si>
  <si>
    <t>323410</t>
  </si>
  <si>
    <t>KakaoBank Corp.</t>
  </si>
  <si>
    <t>763</t>
  </si>
  <si>
    <t>ZTE Corp.</t>
  </si>
  <si>
    <t>1209</t>
  </si>
  <si>
    <t>China Resources Mixc Lifestyle Services Ltd.</t>
  </si>
  <si>
    <t>011200</t>
  </si>
  <si>
    <t>HMM Co. Ltd.</t>
  </si>
  <si>
    <t>1193</t>
  </si>
  <si>
    <t>China Resources Gas Group Ltd.</t>
  </si>
  <si>
    <t>2353</t>
  </si>
  <si>
    <t>Acer Inc.</t>
  </si>
  <si>
    <t>GAIL</t>
  </si>
  <si>
    <t>GAIL India Ltd.</t>
  </si>
  <si>
    <t>005070</t>
  </si>
  <si>
    <t>CosmoAM&amp;T Co. Ltd.</t>
  </si>
  <si>
    <t>2618</t>
  </si>
  <si>
    <t>JD Logistics Inc.</t>
  </si>
  <si>
    <t>MOL</t>
  </si>
  <si>
    <t>MOL Hungarian Oil &amp; Gas plc</t>
  </si>
  <si>
    <t>916</t>
  </si>
  <si>
    <t>China Longyuan Power Group Corp. Ltd.</t>
  </si>
  <si>
    <t>RNI</t>
  </si>
  <si>
    <t>Reinet Investments SCA</t>
  </si>
  <si>
    <t>AMS</t>
  </si>
  <si>
    <t>Anglo American Platinum Ltd.</t>
  </si>
  <si>
    <t>601766</t>
  </si>
  <si>
    <t>CRRC Corp. Ltd.</t>
  </si>
  <si>
    <t>Railroad Equipment</t>
  </si>
  <si>
    <t>1605</t>
  </si>
  <si>
    <t>Walsin Lihwa Corp.</t>
  </si>
  <si>
    <t>151</t>
  </si>
  <si>
    <t>Want Want China Holdings Ltd.</t>
  </si>
  <si>
    <t>010130</t>
  </si>
  <si>
    <t>Korea Zinc Co. Ltd.</t>
  </si>
  <si>
    <t>1476</t>
  </si>
  <si>
    <t>Eclat Textile Co. Ltd.</t>
  </si>
  <si>
    <t>Textile Products</t>
  </si>
  <si>
    <t>036570</t>
  </si>
  <si>
    <t>NCSoft Corp.</t>
  </si>
  <si>
    <t>2801</t>
  </si>
  <si>
    <t>Chang Hwa Commercial Bank Ltd.</t>
  </si>
  <si>
    <t>1066</t>
  </si>
  <si>
    <t>Shandong Weigao Group Medical Polymer Co. Ltd.</t>
  </si>
  <si>
    <t>TOTS3</t>
  </si>
  <si>
    <t>TOTVS SA</t>
  </si>
  <si>
    <t>CDB</t>
  </si>
  <si>
    <t>CELCOMDIGI Bhd.</t>
  </si>
  <si>
    <t>HTO</t>
  </si>
  <si>
    <t>Hellenic Telecommunications Organization SA</t>
  </si>
  <si>
    <t>IOC</t>
  </si>
  <si>
    <t>Indian Oil Corp. Ltd.</t>
  </si>
  <si>
    <t>MULTIPLY</t>
  </si>
  <si>
    <t>Multiply Group PJSC</t>
  </si>
  <si>
    <t>OPAP</t>
  </si>
  <si>
    <t>OPAP SA</t>
  </si>
  <si>
    <t>AC</t>
  </si>
  <si>
    <t>Ayala Corp.</t>
  </si>
  <si>
    <t>4002</t>
  </si>
  <si>
    <t>Mouwasat Medical Services Co.</t>
  </si>
  <si>
    <t>384</t>
  </si>
  <si>
    <t>China Gas Holdings Ltd.</t>
  </si>
  <si>
    <t>135</t>
  </si>
  <si>
    <t>Kunlun Energy Co. Ltd.</t>
  </si>
  <si>
    <t>285</t>
  </si>
  <si>
    <t>BYD Electronic International Co. Ltd.</t>
  </si>
  <si>
    <t>600690</t>
  </si>
  <si>
    <t>780</t>
  </si>
  <si>
    <t>Tongcheng Travel Holdings Ltd.</t>
  </si>
  <si>
    <t>MINT-F</t>
  </si>
  <si>
    <t>Minor International PCL</t>
  </si>
  <si>
    <t>COLPAL</t>
  </si>
  <si>
    <t>Colgate-Palmolive India Ltd.</t>
  </si>
  <si>
    <t>9688</t>
  </si>
  <si>
    <t>Zai Lab Ltd.</t>
  </si>
  <si>
    <t>JBSS3</t>
  </si>
  <si>
    <t>JBS S/A</t>
  </si>
  <si>
    <t>6505</t>
  </si>
  <si>
    <t>Formosa Petrochemical Corp.</t>
  </si>
  <si>
    <t>1339</t>
  </si>
  <si>
    <t>People's Insurance Co. Group of China Ltd.</t>
  </si>
  <si>
    <t>MOTHERSON</t>
  </si>
  <si>
    <t>Samvardhana Motherson International Ltd.</t>
  </si>
  <si>
    <t>6770</t>
  </si>
  <si>
    <t>Powerchip Semiconductor Manufacturing Corp.</t>
  </si>
  <si>
    <t>AGLTY</t>
  </si>
  <si>
    <t>Agility Public Warehousing Co. KSC</t>
  </si>
  <si>
    <t>ENELAM</t>
  </si>
  <si>
    <t>Enel Americas SA</t>
  </si>
  <si>
    <t>SISE.E</t>
  </si>
  <si>
    <t>Turkiye Sise ve Cam Fabrikalari AS</t>
  </si>
  <si>
    <t>Glass</t>
  </si>
  <si>
    <t>BHARATFORG</t>
  </si>
  <si>
    <t>Bharat Forge Ltd.</t>
  </si>
  <si>
    <t>Eva Airways Corp.</t>
  </si>
  <si>
    <t>1102</t>
  </si>
  <si>
    <t>Asia Cement Corp.</t>
  </si>
  <si>
    <t>009830</t>
  </si>
  <si>
    <t>Hanwha Solutions Corp.</t>
  </si>
  <si>
    <t>601166</t>
  </si>
  <si>
    <t>Industrial Bank Co. Ltd.</t>
  </si>
  <si>
    <t>300760</t>
  </si>
  <si>
    <t>Shenzhen Mindray Bio-Medical Electronics Co. Ltd.</t>
  </si>
  <si>
    <t>000568</t>
  </si>
  <si>
    <t>Luzhou Laojiao Co. Ltd.</t>
  </si>
  <si>
    <t>9910</t>
  </si>
  <si>
    <t>Feng TAY Enterprise Co. Ltd.</t>
  </si>
  <si>
    <t>Footwear</t>
  </si>
  <si>
    <t>322</t>
  </si>
  <si>
    <t>Tingyi Cayman Islands Holding Corp.</t>
  </si>
  <si>
    <t>1402</t>
  </si>
  <si>
    <t>Far Eastern New Century Corp.</t>
  </si>
  <si>
    <t>ABB India Ltd.</t>
  </si>
  <si>
    <t>COPEC</t>
  </si>
  <si>
    <t>Empresas Copec SA</t>
  </si>
  <si>
    <t>PETGAS</t>
  </si>
  <si>
    <t>Petronas Gas Bhd.</t>
  </si>
  <si>
    <t>000100</t>
  </si>
  <si>
    <t>Yuhan Corp.</t>
  </si>
  <si>
    <t>047810</t>
  </si>
  <si>
    <t>Korea Aerospace Industries Ltd.</t>
  </si>
  <si>
    <t>AMRT</t>
  </si>
  <si>
    <t>Sumber Alfaria Trijaya Tbk PT</t>
  </si>
  <si>
    <t>1548</t>
  </si>
  <si>
    <t>Genscript Biotech Corp.</t>
  </si>
  <si>
    <t>2050</t>
  </si>
  <si>
    <t>Savola Group</t>
  </si>
  <si>
    <t>QIIK</t>
  </si>
  <si>
    <t>Qatar International Islamic Bank QSC</t>
  </si>
  <si>
    <t>CGPOWER</t>
  </si>
  <si>
    <t>CG Power &amp; Industrial Solutions Ltd.</t>
  </si>
  <si>
    <t>1111</t>
  </si>
  <si>
    <t>Saudi Tadawul Group Holding Co.</t>
  </si>
  <si>
    <t>TATAELXSI</t>
  </si>
  <si>
    <t>Tata Elxsi Ltd.</t>
  </si>
  <si>
    <t>CCRO3</t>
  </si>
  <si>
    <t>CCR SA</t>
  </si>
  <si>
    <t>CENCOSUD</t>
  </si>
  <si>
    <t>Cencosud SA</t>
  </si>
  <si>
    <t>SCB-F</t>
  </si>
  <si>
    <t>SCB X PCL</t>
  </si>
  <si>
    <t>UGPA3</t>
  </si>
  <si>
    <t>Ultrapar Participacoes SA</t>
  </si>
  <si>
    <t>2344</t>
  </si>
  <si>
    <t>Winbond Electronics Corp.</t>
  </si>
  <si>
    <t>601288</t>
  </si>
  <si>
    <t>NRP</t>
  </si>
  <si>
    <t>NEPI Rockcastle N.V.</t>
  </si>
  <si>
    <t>NL</t>
  </si>
  <si>
    <t>EA-F</t>
  </si>
  <si>
    <t>Energy Absolute PCL</t>
  </si>
  <si>
    <t>051900</t>
  </si>
  <si>
    <t>LG H&amp;H Co. Ltd.</t>
  </si>
  <si>
    <t>UNTR</t>
  </si>
  <si>
    <t>United Tractors Tbk PT</t>
  </si>
  <si>
    <t>PAGEIND</t>
  </si>
  <si>
    <t>Page Industries Ltd.</t>
  </si>
  <si>
    <t>IQ</t>
  </si>
  <si>
    <t>iQIYI Inc.</t>
  </si>
  <si>
    <t>011070</t>
  </si>
  <si>
    <t>LG Innotek Co. Ltd.</t>
  </si>
  <si>
    <t>QGTS</t>
  </si>
  <si>
    <t>Qatar Gas Transport Co. Ltd.</t>
  </si>
  <si>
    <t>028300</t>
  </si>
  <si>
    <t>HLB Inc.</t>
  </si>
  <si>
    <t>MDKA</t>
  </si>
  <si>
    <t>Merdeka Copper Gold Tbk PT</t>
  </si>
  <si>
    <t>SHREECEM</t>
  </si>
  <si>
    <t>Shree Cement Ltd.</t>
  </si>
  <si>
    <t>NPH</t>
  </si>
  <si>
    <t>Northam Platinum Holdings Ltd.</t>
  </si>
  <si>
    <t>PFBCOLOM</t>
  </si>
  <si>
    <t>Bancolombia SA</t>
  </si>
  <si>
    <t>CO</t>
  </si>
  <si>
    <t>PE&amp;OLES*</t>
  </si>
  <si>
    <t>Industrias Penoles SAB de CV</t>
  </si>
  <si>
    <t>HLBANK</t>
  </si>
  <si>
    <t>Hong Leong Bank Bhd.</t>
  </si>
  <si>
    <t>AUROPHARMA</t>
  </si>
  <si>
    <t>Aurobindo Pharma Ltd.</t>
  </si>
  <si>
    <t>IHH</t>
  </si>
  <si>
    <t>IHH Healthcare Bhd.</t>
  </si>
  <si>
    <t>SBICARD</t>
  </si>
  <si>
    <t>SBI Cards &amp; Payment Services Ltd.</t>
  </si>
  <si>
    <t>2834</t>
  </si>
  <si>
    <t>Taiwan Business Bank</t>
  </si>
  <si>
    <t>QFLS</t>
  </si>
  <si>
    <t>Qatar Fuel QSC</t>
  </si>
  <si>
    <t>3702</t>
  </si>
  <si>
    <t>WPG Holdings Ltd.</t>
  </si>
  <si>
    <t>1816</t>
  </si>
  <si>
    <t>CGN Power Co. Ltd.</t>
  </si>
  <si>
    <t>SONACOMS</t>
  </si>
  <si>
    <t>Sona Blw Precision Forgings Ltd.</t>
  </si>
  <si>
    <t>BOUBYAN</t>
  </si>
  <si>
    <t>Boubyan Bank KSCP</t>
  </si>
  <si>
    <t>GRT</t>
  </si>
  <si>
    <t>Growthpoint Properties Ltd.</t>
  </si>
  <si>
    <t>6446</t>
  </si>
  <si>
    <t>PharmaEssentia Corp.</t>
  </si>
  <si>
    <t>1585</t>
  </si>
  <si>
    <t>Yadea Group Holdings Ltd.</t>
  </si>
  <si>
    <t>FROTO.E</t>
  </si>
  <si>
    <t>Ford Otomotiv Sanayi AS</t>
  </si>
  <si>
    <t>CDR</t>
  </si>
  <si>
    <t>CD Projekt SA</t>
  </si>
  <si>
    <t>090430</t>
  </si>
  <si>
    <t>Amorepacific Corp.</t>
  </si>
  <si>
    <t>2333</t>
  </si>
  <si>
    <t>Great Wall Motor Co. Ltd.</t>
  </si>
  <si>
    <t>2408</t>
  </si>
  <si>
    <t>Nanya Technology Corp.</t>
  </si>
  <si>
    <t>KLBF</t>
  </si>
  <si>
    <t>Kalbe Farma Tbk PT</t>
  </si>
  <si>
    <t>270</t>
  </si>
  <si>
    <t>Guangdong Investment Ltd.</t>
  </si>
  <si>
    <t>005830</t>
  </si>
  <si>
    <t>DB Insurance Co. Ltd.</t>
  </si>
  <si>
    <t>TLEVISACPO</t>
  </si>
  <si>
    <t>Grupo Televisa SAB</t>
  </si>
  <si>
    <t>TIMS3</t>
  </si>
  <si>
    <t>TIM SA/Brazil</t>
  </si>
  <si>
    <t>1044</t>
  </si>
  <si>
    <t>Hengan International Group Co. Ltd.</t>
  </si>
  <si>
    <t>2347</t>
  </si>
  <si>
    <t>Synnex Technology International Corp.</t>
  </si>
  <si>
    <t>YESBANK</t>
  </si>
  <si>
    <t>Yes Bank Ltd.</t>
  </si>
  <si>
    <t>011170</t>
  </si>
  <si>
    <t>Lotte Chemical Corp.</t>
  </si>
  <si>
    <t>HMPRO-F</t>
  </si>
  <si>
    <t>Home Product Center PCL</t>
  </si>
  <si>
    <t>LUPIN</t>
  </si>
  <si>
    <t>Lupin Ltd.</t>
  </si>
  <si>
    <t>010950</t>
  </si>
  <si>
    <t>S-Oil Corp.</t>
  </si>
  <si>
    <t>6837</t>
  </si>
  <si>
    <t>Haitong Securities Co. Ltd.</t>
  </si>
  <si>
    <t>6098</t>
  </si>
  <si>
    <t>Country Garden Services Holdings Co. Ltd.</t>
  </si>
  <si>
    <t>VEDL</t>
  </si>
  <si>
    <t>Vedanta Ltd.</t>
  </si>
  <si>
    <t>AMR</t>
  </si>
  <si>
    <t>Americana Restaurants International plc</t>
  </si>
  <si>
    <t>2609</t>
  </si>
  <si>
    <t>Yang Ming Marine Transport Corp.</t>
  </si>
  <si>
    <t>DQ</t>
  </si>
  <si>
    <t>Daqo New Energy Corp.</t>
  </si>
  <si>
    <t>HAR</t>
  </si>
  <si>
    <t>Harmony Gold Mining Co. Ltd.</t>
  </si>
  <si>
    <t>JINDALSTEL</t>
  </si>
  <si>
    <t>Jindal Steel &amp; Power Ltd.</t>
  </si>
  <si>
    <t>9926</t>
  </si>
  <si>
    <t>Akeso Inc.</t>
  </si>
  <si>
    <t>ADANIPOWER</t>
  </si>
  <si>
    <t>Adani Power Ltd.</t>
  </si>
  <si>
    <t>MRF</t>
  </si>
  <si>
    <t>MRF Ltd.</t>
  </si>
  <si>
    <t>Tires</t>
  </si>
  <si>
    <t>CPIN</t>
  </si>
  <si>
    <t>Charoen Pokphand Indonesia Tbk PT</t>
  </si>
  <si>
    <t>2250</t>
  </si>
  <si>
    <t>Saudi Industrial Investment Group</t>
  </si>
  <si>
    <t>390</t>
  </si>
  <si>
    <t>China Railway Group Ltd.</t>
  </si>
  <si>
    <t>TORNTPHARM</t>
  </si>
  <si>
    <t>Torrent Pharmaceuticals Ltd.</t>
  </si>
  <si>
    <t>123</t>
  </si>
  <si>
    <t>Yuexiu Property Co. Ltd.</t>
  </si>
  <si>
    <t>2007</t>
  </si>
  <si>
    <t>Country Garden Holdings Co. Ltd.</t>
  </si>
  <si>
    <t>4300</t>
  </si>
  <si>
    <t>Dar Al Arkan Real Estate Development Co.</t>
  </si>
  <si>
    <t>ORDS</t>
  </si>
  <si>
    <t>Ooredoo QPSC</t>
  </si>
  <si>
    <t>086280</t>
  </si>
  <si>
    <t>Hyundai Glovis Co. Ltd.</t>
  </si>
  <si>
    <t>3323</t>
  </si>
  <si>
    <t>China National Building Material Co. Ltd.</t>
  </si>
  <si>
    <t>MPHASIS</t>
  </si>
  <si>
    <t>Mphasis Ltd.</t>
  </si>
  <si>
    <t>ICICIPRULI</t>
  </si>
  <si>
    <t>ICICI Prudential Life Insurance Co. Ltd.</t>
  </si>
  <si>
    <t>GODREJPROP</t>
  </si>
  <si>
    <t>Godrej Properties Ltd.</t>
  </si>
  <si>
    <t>3311</t>
  </si>
  <si>
    <t>China State Construction International Holdings Ltd.</t>
  </si>
  <si>
    <t>002460</t>
  </si>
  <si>
    <t>Ganfeng Lithium Group Co. Ltd.</t>
  </si>
  <si>
    <t>ENEV3</t>
  </si>
  <si>
    <t>Eneva SA</t>
  </si>
  <si>
    <t>329180</t>
  </si>
  <si>
    <t>HD Hyundai Heavy Industries Co. Ltd.</t>
  </si>
  <si>
    <t>CONCOR</t>
  </si>
  <si>
    <t>Container Corp. Of India Ltd.</t>
  </si>
  <si>
    <t>CPF-F</t>
  </si>
  <si>
    <t>Charoen Pokphand Foods PCL</t>
  </si>
  <si>
    <t>867</t>
  </si>
  <si>
    <t>China Medical System Holdings Ltd.</t>
  </si>
  <si>
    <t>600309</t>
  </si>
  <si>
    <t>Wanhua Chemical Group Co. Ltd.</t>
  </si>
  <si>
    <t>004020</t>
  </si>
  <si>
    <t>Hyundai Steel Co.</t>
  </si>
  <si>
    <t>000720</t>
  </si>
  <si>
    <t>Hyundai Engineering &amp; Construction Co. Ltd.</t>
  </si>
  <si>
    <t>BANKBARODA</t>
  </si>
  <si>
    <t>Bank of Baroda</t>
  </si>
  <si>
    <t>MPHC</t>
  </si>
  <si>
    <t>Mesaieed Petrochemical Holding Co.</t>
  </si>
  <si>
    <t>PTTGC-F</t>
  </si>
  <si>
    <t>PTT Global Chemical PCL</t>
  </si>
  <si>
    <t>600809</t>
  </si>
  <si>
    <t>Shanxi Xinghuacun Fen Wine Factory Co. Ltd.</t>
  </si>
  <si>
    <t>PPB</t>
  </si>
  <si>
    <t>PPB Group Bhd.</t>
  </si>
  <si>
    <t>4190</t>
  </si>
  <si>
    <t>Jarir Marketing Co.</t>
  </si>
  <si>
    <t>600276</t>
  </si>
  <si>
    <t>Jiangsu Hengrui Pharmaceuticals Co. Ltd.</t>
  </si>
  <si>
    <t>KOMB</t>
  </si>
  <si>
    <t>Komercni Banka AS</t>
  </si>
  <si>
    <t>IOICORP</t>
  </si>
  <si>
    <t>IOI Corp. Bhd.</t>
  </si>
  <si>
    <t>425</t>
  </si>
  <si>
    <t>Minth Group Ltd.</t>
  </si>
  <si>
    <t>034220</t>
  </si>
  <si>
    <t>LG Display Co. Ltd.</t>
  </si>
  <si>
    <t>267250</t>
  </si>
  <si>
    <t>HD Hyundai Co. Ltd.</t>
  </si>
  <si>
    <t>Commercial Vehicles and Parts</t>
  </si>
  <si>
    <t>BALKRISIND</t>
  </si>
  <si>
    <t>Balkrishna Industries Ltd.</t>
  </si>
  <si>
    <t>BAJAJHLDNG</t>
  </si>
  <si>
    <t>Bajaj Holdings &amp; Investment Ltd.</t>
  </si>
  <si>
    <t>881</t>
  </si>
  <si>
    <t>Zhongsheng Group Holdings Ltd.</t>
  </si>
  <si>
    <t>005385</t>
  </si>
  <si>
    <t>BBAJIOO</t>
  </si>
  <si>
    <t>Banco del Bajio SA</t>
  </si>
  <si>
    <t>2338</t>
  </si>
  <si>
    <t>Weichai Power Co. Ltd.</t>
  </si>
  <si>
    <t>Machinery: Engines</t>
  </si>
  <si>
    <t>601328</t>
  </si>
  <si>
    <t>241560</t>
  </si>
  <si>
    <t>Doosan Bobcat Inc.</t>
  </si>
  <si>
    <t>PINFRA*</t>
  </si>
  <si>
    <t>Promotora y Operadora de Infraestructura SAB de CV</t>
  </si>
  <si>
    <t>3993</t>
  </si>
  <si>
    <t>CMOC Group Ltd.</t>
  </si>
  <si>
    <t>6060</t>
  </si>
  <si>
    <t>ZhongAn Online P&amp;C Insurance Co. Ltd.</t>
  </si>
  <si>
    <t>7202</t>
  </si>
  <si>
    <t>Arabian Internet &amp; Communications Services Co.</t>
  </si>
  <si>
    <t>CRC-F</t>
  </si>
  <si>
    <t>Central Retail Corp. PCL</t>
  </si>
  <si>
    <t>1030</t>
  </si>
  <si>
    <t>Saudi Investment Bank</t>
  </si>
  <si>
    <t>6078</t>
  </si>
  <si>
    <t>Hygeia Healthcare Holdings Co. Ltd.</t>
  </si>
  <si>
    <t>SANB11</t>
  </si>
  <si>
    <t>Banco Santander Brasil SA</t>
  </si>
  <si>
    <t>601888</t>
  </si>
  <si>
    <t>China Tourism Group Duty Free Corp. Ltd.</t>
  </si>
  <si>
    <t>3606</t>
  </si>
  <si>
    <t>Fuyao Glass Industry Group Co. Ltd.</t>
  </si>
  <si>
    <t>051915</t>
  </si>
  <si>
    <t>PPC</t>
  </si>
  <si>
    <t>Public Power Corp. SA</t>
  </si>
  <si>
    <t>2350</t>
  </si>
  <si>
    <t>Saudi Kayan Petrochemical Co.</t>
  </si>
  <si>
    <t>4958</t>
  </si>
  <si>
    <t>Zhen Ding Technology Holding Ltd.</t>
  </si>
  <si>
    <t>INDF</t>
  </si>
  <si>
    <t>Indofood Sukses Makmur Tbk PT</t>
  </si>
  <si>
    <t>JUBLFOOD</t>
  </si>
  <si>
    <t>Jubilant Foodworks Ltd.</t>
  </si>
  <si>
    <t>5347</t>
  </si>
  <si>
    <t>Vanguard International Semiconductor Corp.</t>
  </si>
  <si>
    <t>TCELL.E</t>
  </si>
  <si>
    <t>Turkcell Iletisim Hizmetleri AS</t>
  </si>
  <si>
    <t>IRCTC</t>
  </si>
  <si>
    <t>Indian Railway Catering &amp; Tourism Corp. Ltd.</t>
  </si>
  <si>
    <t>Vending and Catering Service</t>
  </si>
  <si>
    <t>ORBIA*</t>
  </si>
  <si>
    <t>Orbia Advance Corp. SAB de CV</t>
  </si>
  <si>
    <t>TRUE-F</t>
  </si>
  <si>
    <t>True Corp. PCL</t>
  </si>
  <si>
    <t>MRP</t>
  </si>
  <si>
    <t>Mr Price Group Ltd.</t>
  </si>
  <si>
    <t>JFC</t>
  </si>
  <si>
    <t>Jollibee Foods Corp.</t>
  </si>
  <si>
    <t>2610</t>
  </si>
  <si>
    <t>China Airlines Ltd.</t>
  </si>
  <si>
    <t>005387</t>
  </si>
  <si>
    <t>SASA.E</t>
  </si>
  <si>
    <t>Sasa Polyester Sanayi AS</t>
  </si>
  <si>
    <t>Chemicals and Synthetic Fibers</t>
  </si>
  <si>
    <t>316</t>
  </si>
  <si>
    <t>Orient Overseas International Ltd.</t>
  </si>
  <si>
    <t>902</t>
  </si>
  <si>
    <t>Huaneng Power International Inc.</t>
  </si>
  <si>
    <t>EREGL.E</t>
  </si>
  <si>
    <t>Eregli Demir ve Celik Fabrikalari TAS</t>
  </si>
  <si>
    <t>KLK</t>
  </si>
  <si>
    <t>Kuala Lumpur Kepong Bhd.</t>
  </si>
  <si>
    <t>MAXIS</t>
  </si>
  <si>
    <t>Maxis Bhd.</t>
  </si>
  <si>
    <t>China Oilfield Services Ltd.</t>
  </si>
  <si>
    <t>Oil Equipment and Services</t>
  </si>
  <si>
    <t>9921</t>
  </si>
  <si>
    <t>Giant Manufacturing Co. Ltd.</t>
  </si>
  <si>
    <t>Recreational Products</t>
  </si>
  <si>
    <t>ENGI11</t>
  </si>
  <si>
    <t>Energisa S/A</t>
  </si>
  <si>
    <t>INTUCH-F</t>
  </si>
  <si>
    <t>Intouch Holdings PCL</t>
  </si>
  <si>
    <t>000002</t>
  </si>
  <si>
    <t>China Vanke Co. Ltd.</t>
  </si>
  <si>
    <t>300059</t>
  </si>
  <si>
    <t>East Money Information Co. Ltd.</t>
  </si>
  <si>
    <t>Financial Data Providers</t>
  </si>
  <si>
    <t>200596</t>
  </si>
  <si>
    <t>Anhui Gujing Distillery Co. Ltd.</t>
  </si>
  <si>
    <t>601601</t>
  </si>
  <si>
    <t>601138</t>
  </si>
  <si>
    <t>Foxconn Industrial Internet Co. Ltd.</t>
  </si>
  <si>
    <t>4966</t>
  </si>
  <si>
    <t>Parade Technologies Ltd.</t>
  </si>
  <si>
    <t>ADRO</t>
  </si>
  <si>
    <t>Adaro Energy Indonesia Tbk PT</t>
  </si>
  <si>
    <t>CMPC</t>
  </si>
  <si>
    <t>Empresas CMPC SA</t>
  </si>
  <si>
    <t>9904</t>
  </si>
  <si>
    <t>Pou Chen Corp.</t>
  </si>
  <si>
    <t>BCOLOMBIA</t>
  </si>
  <si>
    <t>1378</t>
  </si>
  <si>
    <t>China Hongqiao Group Ltd.</t>
  </si>
  <si>
    <t>1988</t>
  </si>
  <si>
    <t>China Minsheng Banking Corp. Ltd.</t>
  </si>
  <si>
    <t>MISC</t>
  </si>
  <si>
    <t>MISC Bhd.</t>
  </si>
  <si>
    <t>601668</t>
  </si>
  <si>
    <t>China State Construction Engineering Corp. Ltd.</t>
  </si>
  <si>
    <t>271560</t>
  </si>
  <si>
    <t>Orion Corp./Republic of Korea</t>
  </si>
  <si>
    <t>2105</t>
  </si>
  <si>
    <t>Cheng Shin Rubber Industry Co. Ltd.</t>
  </si>
  <si>
    <t>6186</t>
  </si>
  <si>
    <t>China Feihe Ltd.</t>
  </si>
  <si>
    <t>753</t>
  </si>
  <si>
    <t>Air China Ltd.</t>
  </si>
  <si>
    <t>NESTLE</t>
  </si>
  <si>
    <t>Nestle Malaysia Bhd.</t>
  </si>
  <si>
    <t>024110</t>
  </si>
  <si>
    <t>Industrial Bank of Korea</t>
  </si>
  <si>
    <t>358</t>
  </si>
  <si>
    <t>Jiangxi Copper Co. Ltd.</t>
  </si>
  <si>
    <t>EXX</t>
  </si>
  <si>
    <t>Exxaro Resources Ltd.</t>
  </si>
  <si>
    <t>BANPU-F</t>
  </si>
  <si>
    <t>Banpu PCL</t>
  </si>
  <si>
    <t>KBANK-F</t>
  </si>
  <si>
    <t>Kasikornbank PCL</t>
  </si>
  <si>
    <t>326030</t>
  </si>
  <si>
    <t>SK Biopharmaceuticals Co. Ltd.</t>
  </si>
  <si>
    <t>2380</t>
  </si>
  <si>
    <t>China Power International Development Ltd.</t>
  </si>
  <si>
    <t>ELET6</t>
  </si>
  <si>
    <t>QEWS</t>
  </si>
  <si>
    <t>Qatar Electricity &amp; Water Co. QSC</t>
  </si>
  <si>
    <t>SIMEPLT</t>
  </si>
  <si>
    <t>Sime Darby Plantation Bhd.</t>
  </si>
  <si>
    <t>QFIN</t>
  </si>
  <si>
    <t>Qifu Technology Inc.</t>
  </si>
  <si>
    <t>1336</t>
  </si>
  <si>
    <t>New China Life Insurance Co. Ltd.</t>
  </si>
  <si>
    <t>FALABELLA</t>
  </si>
  <si>
    <t>Falabella SA</t>
  </si>
  <si>
    <t>SAHOL.E</t>
  </si>
  <si>
    <t>Haci Omer Sabanci Holding AS</t>
  </si>
  <si>
    <t>TFG</t>
  </si>
  <si>
    <t>Foschini Group Ltd.</t>
  </si>
  <si>
    <t>CSNA3</t>
  </si>
  <si>
    <t>Cia Siderurgica Nacional SA</t>
  </si>
  <si>
    <t>BCI</t>
  </si>
  <si>
    <t>Banco de Credito e Inversiones SA</t>
  </si>
  <si>
    <t>BTS-F</t>
  </si>
  <si>
    <t>BTS Group Holdings PCL</t>
  </si>
  <si>
    <t>600887</t>
  </si>
  <si>
    <t>Inner Mongolia Yili Industrial Group Co. Ltd.</t>
  </si>
  <si>
    <t>CRFB3</t>
  </si>
  <si>
    <t>Atacadao SA</t>
  </si>
  <si>
    <t>161390</t>
  </si>
  <si>
    <t>Hankook Tire &amp; Technology Co. Ltd.</t>
  </si>
  <si>
    <t>BEM-F</t>
  </si>
  <si>
    <t>Bangkok Expressway &amp; Metro PCL</t>
  </si>
  <si>
    <t>MNSO</t>
  </si>
  <si>
    <t>MINISO Group Holding Ltd.</t>
  </si>
  <si>
    <t>PETRONET</t>
  </si>
  <si>
    <t>Petronet LNG Ltd.</t>
  </si>
  <si>
    <t>LH-F</t>
  </si>
  <si>
    <t>Land &amp; Houses PCL</t>
  </si>
  <si>
    <t>ISCTR.E</t>
  </si>
  <si>
    <t>Turkiye Is Bankasi AS</t>
  </si>
  <si>
    <t>UNVR</t>
  </si>
  <si>
    <t>Unilever Indonesia Tbk PT</t>
  </si>
  <si>
    <t>361610</t>
  </si>
  <si>
    <t>SK IE Technology Co. Ltd.</t>
  </si>
  <si>
    <t>JGS</t>
  </si>
  <si>
    <t>JG Summit Holdings Inc.</t>
  </si>
  <si>
    <t>HINDPETRO</t>
  </si>
  <si>
    <t>Hindustan Petroleum Corp. Ltd.</t>
  </si>
  <si>
    <t>601899</t>
  </si>
  <si>
    <t>BERGEPAINT</t>
  </si>
  <si>
    <t>Berger Paints India Ltd.</t>
  </si>
  <si>
    <t>MGLU3</t>
  </si>
  <si>
    <t>Magazine Luiza SA</t>
  </si>
  <si>
    <t>PLDT Inc.</t>
  </si>
  <si>
    <t>3898</t>
  </si>
  <si>
    <t>Zhuzhou CRRC Times Electric Co. Ltd.</t>
  </si>
  <si>
    <t>Electronic Equipment: Other</t>
  </si>
  <si>
    <t>000001</t>
  </si>
  <si>
    <t>Ping An Bank Co. Ltd.</t>
  </si>
  <si>
    <t>1055</t>
  </si>
  <si>
    <t>China Southern Airlines Co. Ltd.</t>
  </si>
  <si>
    <t>GENTING</t>
  </si>
  <si>
    <t>Genting Bhd.</t>
  </si>
  <si>
    <t>1347</t>
  </si>
  <si>
    <t>Hua Hong Semiconductor Ltd.</t>
  </si>
  <si>
    <t>OR-F</t>
  </si>
  <si>
    <t>PTT Oil &amp; Retail Business PCL</t>
  </si>
  <si>
    <t>586</t>
  </si>
  <si>
    <t>China Conch Venture Holdings Ltd.</t>
  </si>
  <si>
    <t>ENELCHILE</t>
  </si>
  <si>
    <t>Enel Chile SA</t>
  </si>
  <si>
    <t>URC</t>
  </si>
  <si>
    <t>Universal Robina Corp.</t>
  </si>
  <si>
    <t>1020</t>
  </si>
  <si>
    <t>Bank Al-Jazira</t>
  </si>
  <si>
    <t>ATHM</t>
  </si>
  <si>
    <t>Autohome Inc.</t>
  </si>
  <si>
    <t>6969</t>
  </si>
  <si>
    <t>Smoore International Holdings Ltd.</t>
  </si>
  <si>
    <t>6881</t>
  </si>
  <si>
    <t>China Galaxy Securities Co. Ltd.</t>
  </si>
  <si>
    <t>002352</t>
  </si>
  <si>
    <t>SF Holding Co. Ltd.</t>
  </si>
  <si>
    <t>GAMUDA</t>
  </si>
  <si>
    <t>Gamuda Bhd.</t>
  </si>
  <si>
    <t>696</t>
  </si>
  <si>
    <t>TravelSky Technology Ltd.</t>
  </si>
  <si>
    <t>016360</t>
  </si>
  <si>
    <t>Samsung Securities Co. Ltd.</t>
  </si>
  <si>
    <t>DUBK</t>
  </si>
  <si>
    <t>Dukhan Bank</t>
  </si>
  <si>
    <t>KTB-F</t>
  </si>
  <si>
    <t>Krung Thai Bank PCL</t>
  </si>
  <si>
    <t>9945</t>
  </si>
  <si>
    <t>Ruentex Development Co. Ltd.</t>
  </si>
  <si>
    <t>ISA</t>
  </si>
  <si>
    <t>Interconexion Electrica SA ESP</t>
  </si>
  <si>
    <t>008770</t>
  </si>
  <si>
    <t>Hotel Shilla Co. Ltd.</t>
  </si>
  <si>
    <t>ASELS.E</t>
  </si>
  <si>
    <t>Aselsan Elektronik Sanayi Ve Ticaret AS</t>
  </si>
  <si>
    <t>002714</t>
  </si>
  <si>
    <t>Muyuan Foods Co. Ltd.</t>
  </si>
  <si>
    <t>603288</t>
  </si>
  <si>
    <t>Foshan Haitian Flavouring &amp; Food Co. Ltd.</t>
  </si>
  <si>
    <t>392</t>
  </si>
  <si>
    <t>Beijing Enterprises Holdings Ltd.</t>
  </si>
  <si>
    <t>2633</t>
  </si>
  <si>
    <t>Taiwan High Speed Rail Corp.</t>
  </si>
  <si>
    <t>148</t>
  </si>
  <si>
    <t>Kingboard Holdings Ltd.</t>
  </si>
  <si>
    <t>2238</t>
  </si>
  <si>
    <t>Guangzhou Automobile Group Co. Ltd.</t>
  </si>
  <si>
    <t>656</t>
  </si>
  <si>
    <t>Fosun International Ltd.</t>
  </si>
  <si>
    <t>600845</t>
  </si>
  <si>
    <t>Shanghai Baosight Software Co. Ltd.</t>
  </si>
  <si>
    <t>002475</t>
  </si>
  <si>
    <t>Luxshare Precision Industry Co. Ltd.</t>
  </si>
  <si>
    <t>4164</t>
  </si>
  <si>
    <t>Nahdi Medical Co.</t>
  </si>
  <si>
    <t>1797</t>
  </si>
  <si>
    <t>East Buy Holding Ltd.</t>
  </si>
  <si>
    <t>ALFAA</t>
  </si>
  <si>
    <t>Alfa SAB de CV</t>
  </si>
  <si>
    <t>1776</t>
  </si>
  <si>
    <t>GF Securities Co. Ltd.</t>
  </si>
  <si>
    <t>2202</t>
  </si>
  <si>
    <t>772</t>
  </si>
  <si>
    <t>China Literature Ltd.</t>
  </si>
  <si>
    <t>601012</t>
  </si>
  <si>
    <t>LONGi Green Energy Technology Co. Ltd.</t>
  </si>
  <si>
    <t>PGE</t>
  </si>
  <si>
    <t>PGE Polska Grupa Energetyczna SA</t>
  </si>
  <si>
    <t>MUTHOOTFIN</t>
  </si>
  <si>
    <t>Muthoot Finance Ltd.</t>
  </si>
  <si>
    <t>136</t>
  </si>
  <si>
    <t>China Ruyi Holdings Ltd.</t>
  </si>
  <si>
    <t>3692</t>
  </si>
  <si>
    <t>Hansoh Pharmaceutical Group Co. Ltd.</t>
  </si>
  <si>
    <t>IGL</t>
  </si>
  <si>
    <t>Indraprastha Gas Ltd.</t>
  </si>
  <si>
    <t>DIALOG</t>
  </si>
  <si>
    <t>Dialog Group Bhd.</t>
  </si>
  <si>
    <t>097950</t>
  </si>
  <si>
    <t>CJ CheilJedang Corp.</t>
  </si>
  <si>
    <t>2223</t>
  </si>
  <si>
    <t>Saudi Aramco Base Oil Co.</t>
  </si>
  <si>
    <t>9922</t>
  </si>
  <si>
    <t>Jiumaojiu International Holdings Ltd.</t>
  </si>
  <si>
    <t>MABANEE</t>
  </si>
  <si>
    <t>Mabanee Co. KPSC</t>
  </si>
  <si>
    <t>TOP-F</t>
  </si>
  <si>
    <t>Thai Oil PCL</t>
  </si>
  <si>
    <t>631</t>
  </si>
  <si>
    <t>Sany Heavy Equipment International Holdings Co. Ltd.</t>
  </si>
  <si>
    <t>Motor Oil Hellas Corinth Refineries SA</t>
  </si>
  <si>
    <t>6886</t>
  </si>
  <si>
    <t>Huatai Securities Co. Ltd.</t>
  </si>
  <si>
    <t>ACC</t>
  </si>
  <si>
    <t>ACC Ltd.</t>
  </si>
  <si>
    <t>1530</t>
  </si>
  <si>
    <t>3SBio Inc.</t>
  </si>
  <si>
    <t>6110</t>
  </si>
  <si>
    <t>Topsports International Holdings Ltd.</t>
  </si>
  <si>
    <t>2588</t>
  </si>
  <si>
    <t>BOC Aviation Ltd.</t>
  </si>
  <si>
    <t>Commercial Vehicle-Equipment Leasing</t>
  </si>
  <si>
    <t>INARI</t>
  </si>
  <si>
    <t>Inari Amertron Bhd.</t>
  </si>
  <si>
    <t>MCG</t>
  </si>
  <si>
    <t>MultiChoice Group</t>
  </si>
  <si>
    <t>Cable Television Services</t>
  </si>
  <si>
    <t>MBT</t>
  </si>
  <si>
    <t>Metropolitan Bank &amp; Trust Co.</t>
  </si>
  <si>
    <t>600000</t>
  </si>
  <si>
    <t>Shanghai Pudong Development Bank Co. Ltd.</t>
  </si>
  <si>
    <t>354</t>
  </si>
  <si>
    <t>Chinasoft International Ltd.</t>
  </si>
  <si>
    <t>CPAXT-F</t>
  </si>
  <si>
    <t>CP Axtra PCL</t>
  </si>
  <si>
    <t>144</t>
  </si>
  <si>
    <t>China Merchants Port Holdings Co. Ltd.</t>
  </si>
  <si>
    <t>AEV</t>
  </si>
  <si>
    <t>Aboitiz Equity Ventures Inc.</t>
  </si>
  <si>
    <t>2196</t>
  </si>
  <si>
    <t>Shanghai Fosun Pharmaceutical Group Co. Ltd.</t>
  </si>
  <si>
    <t>601390</t>
  </si>
  <si>
    <t>PPH</t>
  </si>
  <si>
    <t>Pepkor Holdings Ltd.</t>
  </si>
  <si>
    <t>RHBBANK</t>
  </si>
  <si>
    <t>RHB Bank Bhd.</t>
  </si>
  <si>
    <t>2607</t>
  </si>
  <si>
    <t>Shanghai Pharmaceuticals Holding Co. Ltd.</t>
  </si>
  <si>
    <t>EGIE3</t>
  </si>
  <si>
    <t>Engie Brasil Energia SA</t>
  </si>
  <si>
    <t>CPFE3</t>
  </si>
  <si>
    <t>CPFL Energia SA</t>
  </si>
  <si>
    <t>ICBP</t>
  </si>
  <si>
    <t>Indofood CBP Sukses Makmur Tbk PT</t>
  </si>
  <si>
    <t>KIO</t>
  </si>
  <si>
    <t>Kumba Iron Ore Ltd.</t>
  </si>
  <si>
    <t>4210</t>
  </si>
  <si>
    <t>Saudi Research &amp; Media Group</t>
  </si>
  <si>
    <t>2600</t>
  </si>
  <si>
    <t>Aluminum Corp. of China Ltd.</t>
  </si>
  <si>
    <t>IVL-F</t>
  </si>
  <si>
    <t>Indorama Ventures PCL</t>
  </si>
  <si>
    <t>3998</t>
  </si>
  <si>
    <t>Bosideng International Holdings Ltd.</t>
  </si>
  <si>
    <t>8464</t>
  </si>
  <si>
    <t>Nien Made Enterprise Co. Ltd.</t>
  </si>
  <si>
    <t>8046</t>
  </si>
  <si>
    <t>Nan Ya Printed Circuit Board Corp.</t>
  </si>
  <si>
    <t>688111</t>
  </si>
  <si>
    <t>Beijing Kingsoft Office Software Inc.</t>
  </si>
  <si>
    <t>002304</t>
  </si>
  <si>
    <t>Jiangsu Yanghe Brewery Joint-Stock Co. Ltd.</t>
  </si>
  <si>
    <t>021240</t>
  </si>
  <si>
    <t>Coway Co. Ltd.</t>
  </si>
  <si>
    <t>BANDHANBNK</t>
  </si>
  <si>
    <t>Bandhan Bank Ltd.</t>
  </si>
  <si>
    <t>GENM</t>
  </si>
  <si>
    <t>Genting Malaysia Bhd.</t>
  </si>
  <si>
    <t>AMBANK</t>
  </si>
  <si>
    <t>AMMB Holdings Bhd.</t>
  </si>
  <si>
    <t>PCO</t>
  </si>
  <si>
    <t>Pepco Group NV</t>
  </si>
  <si>
    <t>1818</t>
  </si>
  <si>
    <t>Zhaojin Mining Industry Co. Ltd.</t>
  </si>
  <si>
    <t>011790</t>
  </si>
  <si>
    <t>SKC Co. Ltd.</t>
  </si>
  <si>
    <t>YKBNK.E</t>
  </si>
  <si>
    <t>Yapi ve Kredi Bankasi AS</t>
  </si>
  <si>
    <t>853</t>
  </si>
  <si>
    <t>Microport Scientific Corp.</t>
  </si>
  <si>
    <t>AXIATA</t>
  </si>
  <si>
    <t>Axiata Group Bhd.</t>
  </si>
  <si>
    <t>BVN</t>
  </si>
  <si>
    <t>Cia de Minas Buenaventura SAA</t>
  </si>
  <si>
    <t>PE</t>
  </si>
  <si>
    <t>3105</t>
  </si>
  <si>
    <t>Win Semiconductors Corp.</t>
  </si>
  <si>
    <t>1882</t>
  </si>
  <si>
    <t>Haitian International Holdings Ltd.</t>
  </si>
  <si>
    <t>9992</t>
  </si>
  <si>
    <t>Pop Mart International Group Ltd.</t>
  </si>
  <si>
    <t>011780</t>
  </si>
  <si>
    <t>Kumho Petrochemical Co. Ltd.</t>
  </si>
  <si>
    <t>1787</t>
  </si>
  <si>
    <t>Shandong Gold Mining Co. Ltd.</t>
  </si>
  <si>
    <t>032640</t>
  </si>
  <si>
    <t>LG Uplus Corp.</t>
  </si>
  <si>
    <t>002142</t>
  </si>
  <si>
    <t>Bank of Ningbo Co. Ltd.</t>
  </si>
  <si>
    <t>MER</t>
  </si>
  <si>
    <t>Manila Electric Co.</t>
  </si>
  <si>
    <t>010620</t>
  </si>
  <si>
    <t>Hyundai Mipo Dockyard Co. Ltd.</t>
  </si>
  <si>
    <t>1898</t>
  </si>
  <si>
    <t>China Coal Energy Co. Ltd.</t>
  </si>
  <si>
    <t>2018</t>
  </si>
  <si>
    <t>AAC Technologies Holdings Inc.</t>
  </si>
  <si>
    <t>BRES</t>
  </si>
  <si>
    <t>Barwa Real Estate Co.</t>
  </si>
  <si>
    <t>1908</t>
  </si>
  <si>
    <t>C&amp;D International Investment Group Ltd.</t>
  </si>
  <si>
    <t>2669</t>
  </si>
  <si>
    <t>China Overseas Property Holdings Ltd.</t>
  </si>
  <si>
    <t>PGSUS.E</t>
  </si>
  <si>
    <t>Pegasus Hava Tasimaciligi AS</t>
  </si>
  <si>
    <t>600030</t>
  </si>
  <si>
    <t>302440</t>
  </si>
  <si>
    <t>SK Bioscience Co. Ltd.</t>
  </si>
  <si>
    <t>600016</t>
  </si>
  <si>
    <t>OUT</t>
  </si>
  <si>
    <t>OUTsurance Group Ltd.</t>
  </si>
  <si>
    <t>Advanced Petrochemical Co.</t>
  </si>
  <si>
    <t>078930</t>
  </si>
  <si>
    <t>GS Holdings Corp.</t>
  </si>
  <si>
    <t>600048</t>
  </si>
  <si>
    <t>Poly Developments and Holdings Group Co. Ltd.</t>
  </si>
  <si>
    <t>030200</t>
  </si>
  <si>
    <t>KT Corp.</t>
  </si>
  <si>
    <t>MBK</t>
  </si>
  <si>
    <t>mBank SA</t>
  </si>
  <si>
    <t>128940</t>
  </si>
  <si>
    <t>Hanmi Pharm Co. Ltd.</t>
  </si>
  <si>
    <t>966</t>
  </si>
  <si>
    <t>China Taiping Insurance Holdings Co. Ltd.</t>
  </si>
  <si>
    <t>1368</t>
  </si>
  <si>
    <t>Xtep International Holdings Ltd.</t>
  </si>
  <si>
    <t>257</t>
  </si>
  <si>
    <t>China Everbright Environment Group Ltd.</t>
  </si>
  <si>
    <t>INKP</t>
  </si>
  <si>
    <t>Indah Kiat Pulp &amp; Paper Tbk PT</t>
  </si>
  <si>
    <t>TOWR</t>
  </si>
  <si>
    <t>Sarana Menara Nusantara Tbk PT</t>
  </si>
  <si>
    <t>SCGP-F</t>
  </si>
  <si>
    <t>SCG Packaging PCL</t>
  </si>
  <si>
    <t>006800</t>
  </si>
  <si>
    <t>Mirae Asset Securities Co. Ltd.</t>
  </si>
  <si>
    <t>601939</t>
  </si>
  <si>
    <t>071050</t>
  </si>
  <si>
    <t>Korea Investment Holdings Co. Ltd.</t>
  </si>
  <si>
    <t>600406</t>
  </si>
  <si>
    <t>NARI Technology Co. Ltd.</t>
  </si>
  <si>
    <t>Electronic Equipment: Gauges and Meters</t>
  </si>
  <si>
    <t>4004</t>
  </si>
  <si>
    <t>Dallah Healthcare Co.</t>
  </si>
  <si>
    <t>300015</t>
  </si>
  <si>
    <t>Aier Eye Hospital Group Co. Ltd.</t>
  </si>
  <si>
    <t>1833</t>
  </si>
  <si>
    <t>Ping An Healthcare and Technology Co. Ltd.</t>
  </si>
  <si>
    <t>9698</t>
  </si>
  <si>
    <t>GDS Holdings Ltd.</t>
  </si>
  <si>
    <t>YY</t>
  </si>
  <si>
    <t>JOYY Inc.</t>
  </si>
  <si>
    <t>7030</t>
  </si>
  <si>
    <t>Mobile Telecommunications Co. Saudi Arabia</t>
  </si>
  <si>
    <t>GBK</t>
  </si>
  <si>
    <t>Gulf Bank KSCP</t>
  </si>
  <si>
    <t>300274</t>
  </si>
  <si>
    <t>Sungrow Power Supply Co. Ltd.</t>
  </si>
  <si>
    <t>570</t>
  </si>
  <si>
    <t>China Traditional Chinese Medicine Holdings Co. Ltd.</t>
  </si>
  <si>
    <t>601225</t>
  </si>
  <si>
    <t>Shaanxi Coal Industry Co. Ltd.</t>
  </si>
  <si>
    <t>601688</t>
  </si>
  <si>
    <t>AviChina Industry &amp; Technology Co. Ltd.</t>
  </si>
  <si>
    <t>SMGR</t>
  </si>
  <si>
    <t>Semen Indonesia Persero Tbk PT</t>
  </si>
  <si>
    <t>QL</t>
  </si>
  <si>
    <t>QL Resources Bhd.</t>
  </si>
  <si>
    <t>002371</t>
  </si>
  <si>
    <t>NAURA Technology Group Co. Ltd.</t>
  </si>
  <si>
    <t>PETDAG</t>
  </si>
  <si>
    <t>Petronas Dagangan Bhd.</t>
  </si>
  <si>
    <t>RATCH-F</t>
  </si>
  <si>
    <t>Ratch Group PCL</t>
  </si>
  <si>
    <t>900948</t>
  </si>
  <si>
    <t>Inner Mongolia Yitai Coal Co. Ltd.</t>
  </si>
  <si>
    <t>AUBANK</t>
  </si>
  <si>
    <t>AU Small Finance Bank Ltd.</t>
  </si>
  <si>
    <t>601818</t>
  </si>
  <si>
    <t>China Everbright Bank Co. Ltd.</t>
  </si>
  <si>
    <t>HLFG</t>
  </si>
  <si>
    <t>Hong Leong Financial Group Bhd.</t>
  </si>
  <si>
    <t>BRPT</t>
  </si>
  <si>
    <t>Barito Pacific Tbk PT</t>
  </si>
  <si>
    <t>000338</t>
  </si>
  <si>
    <t>SITES1A-1</t>
  </si>
  <si>
    <t>Operadora De Sites Mexicanos SAB de CV</t>
  </si>
  <si>
    <t>1138</t>
  </si>
  <si>
    <t>COSCO SHIPPING Energy Transportation Co. Ltd.</t>
  </si>
  <si>
    <t>TM</t>
  </si>
  <si>
    <t>Telekom Malaysia Bhd.</t>
  </si>
  <si>
    <t>SIME</t>
  </si>
  <si>
    <t>Sime Darby Bhd.</t>
  </si>
  <si>
    <t>600600</t>
  </si>
  <si>
    <t>600019</t>
  </si>
  <si>
    <t>Baoshan Iron &amp; Steel Co. Ltd.</t>
  </si>
  <si>
    <t>8454</t>
  </si>
  <si>
    <t>momo.com Inc.</t>
  </si>
  <si>
    <t>2060</t>
  </si>
  <si>
    <t>National Industrialization Co.</t>
  </si>
  <si>
    <t>ARI</t>
  </si>
  <si>
    <t>African Rainbow Minerals Ltd.</t>
  </si>
  <si>
    <t>600436</t>
  </si>
  <si>
    <t>Zhangzhou Pientzehuang Pharmaceutical Co. Ltd.</t>
  </si>
  <si>
    <t>601816</t>
  </si>
  <si>
    <t>Beijing-Shanghai High Speed Railway Co. Ltd.</t>
  </si>
  <si>
    <t>KTC-F</t>
  </si>
  <si>
    <t>Krungthai Card PCL</t>
  </si>
  <si>
    <t>189</t>
  </si>
  <si>
    <t>Dongyue Group Ltd.</t>
  </si>
  <si>
    <t>3320</t>
  </si>
  <si>
    <t>China Resources Pharmaceutical Group Ltd.</t>
  </si>
  <si>
    <t>263750</t>
  </si>
  <si>
    <t>Pearl Abyss Corp.</t>
  </si>
  <si>
    <t>600989</t>
  </si>
  <si>
    <t>Ningxia Baofeng Energy Group Co. Ltd.</t>
  </si>
  <si>
    <t>600050</t>
  </si>
  <si>
    <t>China United Network Communications Ltd.</t>
  </si>
  <si>
    <t>383220</t>
  </si>
  <si>
    <t>F&amp;F Co. Ltd. / New</t>
  </si>
  <si>
    <t>OSP-F</t>
  </si>
  <si>
    <t>Osotspa PCL</t>
  </si>
  <si>
    <t>489</t>
  </si>
  <si>
    <t>Dongfeng Motor Group Co. Ltd.</t>
  </si>
  <si>
    <t>601398</t>
  </si>
  <si>
    <t>601336</t>
  </si>
  <si>
    <t>TOASO.E</t>
  </si>
  <si>
    <t>Tofas Turk Otomobil Fabrikasi AS</t>
  </si>
  <si>
    <t>MONET</t>
  </si>
  <si>
    <t>Moneta Money Bank AS</t>
  </si>
  <si>
    <t>005940</t>
  </si>
  <si>
    <t>NH Investment &amp; Securities Co. Ltd.</t>
  </si>
  <si>
    <t>HEKTS.E</t>
  </si>
  <si>
    <t>Hektas Ticaret TAS</t>
  </si>
  <si>
    <t>600150</t>
  </si>
  <si>
    <t>China CSSC Holdings Ltd.</t>
  </si>
  <si>
    <t>Lufax Holding Ltd.</t>
  </si>
  <si>
    <t>600031</t>
  </si>
  <si>
    <t>Sany Heavy Industry Co. Ltd.</t>
  </si>
  <si>
    <t>694</t>
  </si>
  <si>
    <t>Beijing Capital International Airport Co. Ltd.</t>
  </si>
  <si>
    <t>576</t>
  </si>
  <si>
    <t>Zhejiang Expressway Co. Ltd.</t>
  </si>
  <si>
    <t>WB</t>
  </si>
  <si>
    <t>Weibo Corp.</t>
  </si>
  <si>
    <t>VAPORES</t>
  </si>
  <si>
    <t>Cia Sud Americana de Vapores SA</t>
  </si>
  <si>
    <t>035250</t>
  </si>
  <si>
    <t>Kangwon Land Inc.</t>
  </si>
  <si>
    <t>GPSC-F</t>
  </si>
  <si>
    <t>Global Power Synergy PCL</t>
  </si>
  <si>
    <t>601088</t>
  </si>
  <si>
    <t>600438</t>
  </si>
  <si>
    <t>Tongwei Co. Ltd.</t>
  </si>
  <si>
    <t>068760</t>
  </si>
  <si>
    <t>Celltrion Pharm Inc.</t>
  </si>
  <si>
    <t>BJC-F</t>
  </si>
  <si>
    <t>Berli Jucker PCL</t>
  </si>
  <si>
    <t>600905</t>
  </si>
  <si>
    <t>China Three Gorges Renewables Group Co. Ltd.</t>
  </si>
  <si>
    <t>ANTM</t>
  </si>
  <si>
    <t>Aneka Tambang Tbk</t>
  </si>
  <si>
    <t>028670</t>
  </si>
  <si>
    <t>Pan Ocean Co. Ltd.</t>
  </si>
  <si>
    <t>Rabigh Refining &amp; Petrochemical Co.</t>
  </si>
  <si>
    <t>TENERGY</t>
  </si>
  <si>
    <t>Terna Energy SA</t>
  </si>
  <si>
    <t>552</t>
  </si>
  <si>
    <t>China Communications Services Corp. Ltd.</t>
  </si>
  <si>
    <t>AIRPORT</t>
  </si>
  <si>
    <t>Malaysia Airports Holdings Bhd.</t>
  </si>
  <si>
    <t>002230</t>
  </si>
  <si>
    <t>Iflytek Co. Ltd.</t>
  </si>
  <si>
    <t>BGRIM-F</t>
  </si>
  <si>
    <t>B Grimm Power PCL</t>
  </si>
  <si>
    <t>SAWAD-F</t>
  </si>
  <si>
    <t>Srisawad Corp. PCL</t>
  </si>
  <si>
    <t>2615</t>
  </si>
  <si>
    <t>Wan Hai Lines Ltd.</t>
  </si>
  <si>
    <t>MRDIY</t>
  </si>
  <si>
    <t>MR DIY Group M Bhd.</t>
  </si>
  <si>
    <t>018880</t>
  </si>
  <si>
    <t>Hanon Systems</t>
  </si>
  <si>
    <t>000651</t>
  </si>
  <si>
    <t>Gree Electric Appliances Inc. of Zhuhai</t>
  </si>
  <si>
    <t>AWC-F</t>
  </si>
  <si>
    <t>Asset World Corp. PCL</t>
  </si>
  <si>
    <t>601066</t>
  </si>
  <si>
    <t>CSC Financial Co. Ltd.</t>
  </si>
  <si>
    <t>177</t>
  </si>
  <si>
    <t>Jiangsu Expressway Co. Ltd.</t>
  </si>
  <si>
    <t>INCO</t>
  </si>
  <si>
    <t>Vale Indonesia Tbk PT</t>
  </si>
  <si>
    <t>300308</t>
  </si>
  <si>
    <t>Zhongji Innolight Co. Ltd.</t>
  </si>
  <si>
    <t>139480</t>
  </si>
  <si>
    <t>E-MART Inc.</t>
  </si>
  <si>
    <t>152</t>
  </si>
  <si>
    <t>Shenzhen International Holdings Ltd.</t>
  </si>
  <si>
    <t>KOZAL.E</t>
  </si>
  <si>
    <t>Koza Altin Isletmeleri AS</t>
  </si>
  <si>
    <t>371</t>
  </si>
  <si>
    <t>Beijing Enterprises Water Group Ltd.</t>
  </si>
  <si>
    <t>377300</t>
  </si>
  <si>
    <t>Kakaopay Corp.</t>
  </si>
  <si>
    <t>601211</t>
  </si>
  <si>
    <t>Guotai Junan Securities Co. Ltd.</t>
  </si>
  <si>
    <t>601600</t>
  </si>
  <si>
    <t>2689</t>
  </si>
  <si>
    <t>Nine Dragons Paper Holdings Ltd.</t>
  </si>
  <si>
    <t>002129</t>
  </si>
  <si>
    <t>TCL Zhonghuan Renewable Energy Technology Co. Ltd.</t>
  </si>
  <si>
    <t>300033</t>
  </si>
  <si>
    <t>Hithink RoyalFlush Information Network Co. Ltd.</t>
  </si>
  <si>
    <t>1579</t>
  </si>
  <si>
    <t>Yihai International Holding Ltd.</t>
  </si>
  <si>
    <t>300124</t>
  </si>
  <si>
    <t>Shenzhen Inovance Technology Co. Ltd.</t>
  </si>
  <si>
    <t>000792</t>
  </si>
  <si>
    <t>Qinghai Salt Lake Industry Co. Ltd.</t>
  </si>
  <si>
    <t>1313</t>
  </si>
  <si>
    <t>China Resources Cement Holdings Ltd.</t>
  </si>
  <si>
    <t>CPS</t>
  </si>
  <si>
    <t>Cyfrowy Polsat SA</t>
  </si>
  <si>
    <t>601669</t>
  </si>
  <si>
    <t>Power Construction Corp. of China Ltd.</t>
  </si>
  <si>
    <t>603259</t>
  </si>
  <si>
    <t>220</t>
  </si>
  <si>
    <t>Uni-President China Holdings Ltd.</t>
  </si>
  <si>
    <t>000725</t>
  </si>
  <si>
    <t>BOE Technology Group Co. Ltd.</t>
  </si>
  <si>
    <t>TOPGLOV</t>
  </si>
  <si>
    <t>Top Glove Corp. Bhd.</t>
  </si>
  <si>
    <t>1199</t>
  </si>
  <si>
    <t>COSCO SHIPPING Ports Ltd.</t>
  </si>
  <si>
    <t>6818</t>
  </si>
  <si>
    <t>600660</t>
  </si>
  <si>
    <t>EGCO-F</t>
  </si>
  <si>
    <t>Electricity Generating PCL</t>
  </si>
  <si>
    <t>CCU</t>
  </si>
  <si>
    <t>Cia Cervecerias Unidas SA</t>
  </si>
  <si>
    <t>000625</t>
  </si>
  <si>
    <t>Chongqing Changan Automobile Co. Ltd.</t>
  </si>
  <si>
    <t>600028</t>
  </si>
  <si>
    <t>601857</t>
  </si>
  <si>
    <t>1880</t>
  </si>
  <si>
    <t>601633</t>
  </si>
  <si>
    <t>688036</t>
  </si>
  <si>
    <t>Shenzhen Transsion Holdings Co. Ltd.</t>
  </si>
  <si>
    <t>601985</t>
  </si>
  <si>
    <t>China National Nuclear Power Co. Ltd.</t>
  </si>
  <si>
    <t>3799</t>
  </si>
  <si>
    <t>Dali Foods Group Co. Ltd.</t>
  </si>
  <si>
    <t>300498</t>
  </si>
  <si>
    <t>Wens Foodstuffs Group Co. Ltd.</t>
  </si>
  <si>
    <t>002027</t>
  </si>
  <si>
    <t>Focus Media Information Technology Co. Ltd.</t>
  </si>
  <si>
    <t>3360</t>
  </si>
  <si>
    <t>Far East Horizon Ltd.</t>
  </si>
  <si>
    <t>3900</t>
  </si>
  <si>
    <t>Greentown China Holdings Ltd.</t>
  </si>
  <si>
    <t>4220</t>
  </si>
  <si>
    <t>Emaar Economic City</t>
  </si>
  <si>
    <t>601628</t>
  </si>
  <si>
    <t>817</t>
  </si>
  <si>
    <t>China Jinmao Holdings Group Ltd.</t>
  </si>
  <si>
    <t>601006</t>
  </si>
  <si>
    <t>Daqin Railway Co. Ltd.</t>
  </si>
  <si>
    <t>002493</t>
  </si>
  <si>
    <t>Rongsheng Petrochemical Co. Ltd.</t>
  </si>
  <si>
    <t>601658</t>
  </si>
  <si>
    <t>603501</t>
  </si>
  <si>
    <t>Will Semiconductor Co. Ltd. Shanghai</t>
  </si>
  <si>
    <t>000596</t>
  </si>
  <si>
    <t>300014</t>
  </si>
  <si>
    <t>Eve Energy Co. Ltd.</t>
  </si>
  <si>
    <t>Nondurable Household Products</t>
  </si>
  <si>
    <t>601988</t>
  </si>
  <si>
    <t>600104</t>
  </si>
  <si>
    <t>SAIC Motor Corp. Ltd.</t>
  </si>
  <si>
    <t>020150</t>
  </si>
  <si>
    <t>Lotte Energy Materials Corp.</t>
  </si>
  <si>
    <t>001979</t>
  </si>
  <si>
    <t>China Merchants Shekou Industrial Zone Holdings Co. Ltd.</t>
  </si>
  <si>
    <t>601100</t>
  </si>
  <si>
    <t>Jiangsu Hengli Hydraulic Co. Ltd.</t>
  </si>
  <si>
    <t>282330</t>
  </si>
  <si>
    <t>BGF retail Co. Ltd.</t>
  </si>
  <si>
    <t>601169</t>
  </si>
  <si>
    <t>Bank of Beijing Co. Ltd.</t>
  </si>
  <si>
    <t>000063</t>
  </si>
  <si>
    <t>293490</t>
  </si>
  <si>
    <t>Kakao Games Corp.</t>
  </si>
  <si>
    <t>600015</t>
  </si>
  <si>
    <t>Huaxia Bank Co. Ltd.</t>
  </si>
  <si>
    <t>1268</t>
  </si>
  <si>
    <t>China Meidong Auto Holdings Ltd.</t>
  </si>
  <si>
    <t>1888</t>
  </si>
  <si>
    <t>Kingboard Laminates Holdings Ltd.</t>
  </si>
  <si>
    <t>600999</t>
  </si>
  <si>
    <t>China Merchants Securities Co. Ltd.</t>
  </si>
  <si>
    <t>251270</t>
  </si>
  <si>
    <t>Netmarble Corp.</t>
  </si>
  <si>
    <t>3331</t>
  </si>
  <si>
    <t>Vinda International Holdings Ltd.</t>
  </si>
  <si>
    <t>002459</t>
  </si>
  <si>
    <t>JA Solar Technology Co. Ltd.</t>
  </si>
  <si>
    <t>1359</t>
  </si>
  <si>
    <t>China Cinda Asset Management Co. Ltd.</t>
  </si>
  <si>
    <t>600919</t>
  </si>
  <si>
    <t>Bank of Jiangsu Co. Ltd.</t>
  </si>
  <si>
    <t>601865</t>
  </si>
  <si>
    <t>Flat Glass Group Co. Ltd.</t>
  </si>
  <si>
    <t>300122</t>
  </si>
  <si>
    <t>Chongqing Zhifei Biological Products Co. Ltd.</t>
  </si>
  <si>
    <t>6865</t>
  </si>
  <si>
    <t>001040</t>
  </si>
  <si>
    <t>CJ Corp.</t>
  </si>
  <si>
    <t>603993</t>
  </si>
  <si>
    <t>TSM</t>
  </si>
  <si>
    <t>1766</t>
  </si>
  <si>
    <t>600089</t>
  </si>
  <si>
    <t>TBEA Co. Ltd.</t>
  </si>
  <si>
    <t>601009</t>
  </si>
  <si>
    <t>Bank of Nanjing Co. Ltd.</t>
  </si>
  <si>
    <t>000538</t>
  </si>
  <si>
    <t>Yunnan Baiyao Group Co. Ltd.</t>
  </si>
  <si>
    <t>2869</t>
  </si>
  <si>
    <t>Greentown Service Group Co. Ltd.</t>
  </si>
  <si>
    <t>300316</t>
  </si>
  <si>
    <t>Zhejiang Jingsheng Mechanical &amp; Electrical Co. Ltd.</t>
  </si>
  <si>
    <t>603799</t>
  </si>
  <si>
    <t>Zhejiang Huayou Cobalt Co. Ltd.</t>
  </si>
  <si>
    <t>MTC-F</t>
  </si>
  <si>
    <t>Muangthai Capital PCL</t>
  </si>
  <si>
    <t>002466</t>
  </si>
  <si>
    <t>Tianqi Lithium Corp.</t>
  </si>
  <si>
    <t>002812</t>
  </si>
  <si>
    <t>Yunnan Energy New Material Co. Ltd.</t>
  </si>
  <si>
    <t>000166</t>
  </si>
  <si>
    <t>Shenwan Hongyuan Group Co. Ltd.</t>
  </si>
  <si>
    <t>600893</t>
  </si>
  <si>
    <t>AECC Aviation Power Co. Ltd.</t>
  </si>
  <si>
    <t>603659</t>
  </si>
  <si>
    <t>Shanghai Putailai New Energy Technology Co. Ltd.</t>
  </si>
  <si>
    <t>1772</t>
  </si>
  <si>
    <t>002920</t>
  </si>
  <si>
    <t>Huizhou Desay Sv Automotive Co. Ltd.</t>
  </si>
  <si>
    <t>688012</t>
  </si>
  <si>
    <t>Advanced Micro-Fabrication Equipment Inc. China</t>
  </si>
  <si>
    <t>603369</t>
  </si>
  <si>
    <t>Jiangsu King's Luck Brewery JSC Ltd.</t>
  </si>
  <si>
    <t>300896</t>
  </si>
  <si>
    <t>Imeik Technology Development Co. Ltd.</t>
  </si>
  <si>
    <t>601881</t>
  </si>
  <si>
    <t>600346</t>
  </si>
  <si>
    <t>Hengli Petrochemical Co. Ltd.</t>
  </si>
  <si>
    <t>1385</t>
  </si>
  <si>
    <t>Shanghai Fudan Microelectronics Group Co. Ltd.</t>
  </si>
  <si>
    <t>601229</t>
  </si>
  <si>
    <t>Bank of Shanghai Co. Ltd.</t>
  </si>
  <si>
    <t>600011</t>
  </si>
  <si>
    <t>600570</t>
  </si>
  <si>
    <t>Hundsun Technologies Inc.</t>
  </si>
  <si>
    <t>300347</t>
  </si>
  <si>
    <t>Hangzhou Tigermed Consulting Co. Ltd.</t>
  </si>
  <si>
    <t>CIB</t>
  </si>
  <si>
    <t>3759</t>
  </si>
  <si>
    <t>Pharmaron Beijing Co. Ltd.</t>
  </si>
  <si>
    <t>2128</t>
  </si>
  <si>
    <t>China Lesso Group Holdings Ltd.</t>
  </si>
  <si>
    <t>900926</t>
  </si>
  <si>
    <t>600111</t>
  </si>
  <si>
    <t>China Northern Rare Earth Group High-Tech Co. Ltd.</t>
  </si>
  <si>
    <t>601377</t>
  </si>
  <si>
    <t>Industrial Securities Co. Ltd.</t>
  </si>
  <si>
    <t>601319</t>
  </si>
  <si>
    <t>000938</t>
  </si>
  <si>
    <t>Unisplendour Corp. Ltd.</t>
  </si>
  <si>
    <t>600886</t>
  </si>
  <si>
    <t>SDIC Power Holdings Co. Ltd.</t>
  </si>
  <si>
    <t>688599</t>
  </si>
  <si>
    <t>Trina Solar Co. Ltd.</t>
  </si>
  <si>
    <t>000776</t>
  </si>
  <si>
    <t>601916</t>
  </si>
  <si>
    <t>China Zheshang Bank Co. Ltd.</t>
  </si>
  <si>
    <t>601788</t>
  </si>
  <si>
    <t>Everbright Securities Co. Ltd.</t>
  </si>
  <si>
    <t>TCL Technology Group Corp.</t>
  </si>
  <si>
    <t>000963</t>
  </si>
  <si>
    <t>Huadong Medicine Co. Ltd.</t>
  </si>
  <si>
    <t>600010</t>
  </si>
  <si>
    <t>Inner Mongolia BaoTou Steel Union Co. Ltd.</t>
  </si>
  <si>
    <t>688223</t>
  </si>
  <si>
    <t>Jinko Solar Co. Ltd.</t>
  </si>
  <si>
    <t>002311</t>
  </si>
  <si>
    <t>Guangdong Haid Group Co. Ltd.</t>
  </si>
  <si>
    <t>600085</t>
  </si>
  <si>
    <t>Beijing Tongrentang Co. Ltd.</t>
  </si>
  <si>
    <t>688187</t>
  </si>
  <si>
    <t>601360</t>
  </si>
  <si>
    <t>360 Security Technology Inc.</t>
  </si>
  <si>
    <t>002049</t>
  </si>
  <si>
    <t>Unigroup Guoxin Microelectronics Co. Ltd.</t>
  </si>
  <si>
    <t>600584</t>
  </si>
  <si>
    <t>JCET Group Co. Ltd.</t>
  </si>
  <si>
    <t>600703</t>
  </si>
  <si>
    <t>Sanan Optoelectronics Co. Ltd.</t>
  </si>
  <si>
    <t>900932</t>
  </si>
  <si>
    <t>Shanghai Lujiazui Finance &amp; Trade Zone Development Co. Ltd.</t>
  </si>
  <si>
    <t>300919</t>
  </si>
  <si>
    <t>CNGR Advanced Material Co. Ltd.</t>
  </si>
  <si>
    <t>CBG-F</t>
  </si>
  <si>
    <t>Carabao Group PCL</t>
  </si>
  <si>
    <t>601868</t>
  </si>
  <si>
    <t>China Energy Engineering Corp. Ltd.</t>
  </si>
  <si>
    <t>688008</t>
  </si>
  <si>
    <t>Montage Technology Co. Ltd.</t>
  </si>
  <si>
    <t>000895</t>
  </si>
  <si>
    <t>Henan Shuanghui Investment &amp; Development Co. Ltd.</t>
  </si>
  <si>
    <t>000977</t>
  </si>
  <si>
    <t>Inspur Electronic Information Industry Co. Ltd.</t>
  </si>
  <si>
    <t>600958</t>
  </si>
  <si>
    <t>Orient Securities Co. Ltd./China</t>
  </si>
  <si>
    <t>600009</t>
  </si>
  <si>
    <t>Shanghai International Airport Co. Ltd.</t>
  </si>
  <si>
    <t>002236</t>
  </si>
  <si>
    <t>Zhejiang Dahua Technology Co. Ltd.</t>
  </si>
  <si>
    <t>603806</t>
  </si>
  <si>
    <t>Hangzhou First Applied Material Co. Ltd.</t>
  </si>
  <si>
    <t>600585</t>
  </si>
  <si>
    <t>688256</t>
  </si>
  <si>
    <t>Cambricon Technologies Corp. Ltd.</t>
  </si>
  <si>
    <t>600415</t>
  </si>
  <si>
    <t>Zhejiang China Commodities City Group Co. Ltd.</t>
  </si>
  <si>
    <t>601127</t>
  </si>
  <si>
    <t>Seres Group Co. Ltd.</t>
  </si>
  <si>
    <t>600588</t>
  </si>
  <si>
    <t>Yonyou Network Technology Co. Ltd.</t>
  </si>
  <si>
    <t>600918</t>
  </si>
  <si>
    <t>Zhongtai Securities Co. Ltd.</t>
  </si>
  <si>
    <t>600026</t>
  </si>
  <si>
    <t>601618</t>
  </si>
  <si>
    <t>Metallurgical Corp. of China Ltd.</t>
  </si>
  <si>
    <t>600233</t>
  </si>
  <si>
    <t>YTO Express Group Co. Ltd.</t>
  </si>
  <si>
    <t>600426</t>
  </si>
  <si>
    <t>Shandong Hualu Hengsheng Chemical Co. Ltd.</t>
  </si>
  <si>
    <t>EAST</t>
  </si>
  <si>
    <t>Eastern Co. SAE</t>
  </si>
  <si>
    <t>HRHO</t>
  </si>
  <si>
    <t>EFG Holding S.A.E.</t>
  </si>
  <si>
    <t>002241</t>
  </si>
  <si>
    <t>GoerTek Inc.</t>
  </si>
  <si>
    <t>000425</t>
  </si>
  <si>
    <t>XCMG Construction Machinery Co. Ltd.</t>
  </si>
  <si>
    <t>300413</t>
  </si>
  <si>
    <t>Mango Excellent Media Co. Ltd.</t>
  </si>
  <si>
    <t>300751</t>
  </si>
  <si>
    <t>Suzhou Maxwell Technologies Co. Ltd.</t>
  </si>
  <si>
    <t>601825</t>
  </si>
  <si>
    <t>Shanghai Rural Commercial Bank Co. Ltd.</t>
  </si>
  <si>
    <t>600061</t>
  </si>
  <si>
    <t>SDIC Capital Co. Ltd.</t>
  </si>
  <si>
    <t>600926</t>
  </si>
  <si>
    <t>Bank of Hangzhou Co. Ltd.</t>
  </si>
  <si>
    <t>000661</t>
  </si>
  <si>
    <t>Changchun High &amp; New Technology Industry Group Inc.</t>
  </si>
  <si>
    <t>601838</t>
  </si>
  <si>
    <t>Bank of Chengdu Co. Ltd.</t>
  </si>
  <si>
    <t>002709</t>
  </si>
  <si>
    <t>Guangzhou Tinci Materials Technology Co. Ltd.</t>
  </si>
  <si>
    <t>002422</t>
  </si>
  <si>
    <t>Sichuan Kelun Pharmaceutical Co. Ltd.</t>
  </si>
  <si>
    <t>601077</t>
  </si>
  <si>
    <t>Chongqing Rural Commercial Bank Co. Ltd.</t>
  </si>
  <si>
    <t>603986</t>
  </si>
  <si>
    <t>GigaDevice Semiconductor Inc.</t>
  </si>
  <si>
    <t>300408</t>
  </si>
  <si>
    <t>Chaozhou Three-Circle Group Co. Ltd.</t>
  </si>
  <si>
    <t>600522</t>
  </si>
  <si>
    <t>Jiangsu Zhongtian Technology Co. Ltd.</t>
  </si>
  <si>
    <t>000301</t>
  </si>
  <si>
    <t>Jiangsu Eastern Shenghong Co. Ltd.</t>
  </si>
  <si>
    <t>601689</t>
  </si>
  <si>
    <t>Ningbo Tuopu Group Co. Ltd.</t>
  </si>
  <si>
    <t>002555</t>
  </si>
  <si>
    <t>37 Interactive Entertainment Network Technology Group Co. Ltd.</t>
  </si>
  <si>
    <t>603260</t>
  </si>
  <si>
    <t>Hoshine Silicon Industry Co. Ltd.</t>
  </si>
  <si>
    <t>000786</t>
  </si>
  <si>
    <t>Beijing New Building Materials plc</t>
  </si>
  <si>
    <t>600256</t>
  </si>
  <si>
    <t>Guanghui Energy Co. Ltd.</t>
  </si>
  <si>
    <t>603392</t>
  </si>
  <si>
    <t>Beijing Wantai Biological Pharmacy Enterprise Co. Ltd.</t>
  </si>
  <si>
    <t>3333</t>
  </si>
  <si>
    <t>China Evergrande Group</t>
  </si>
  <si>
    <t>603345</t>
  </si>
  <si>
    <t>Anjoy Foods Group Co. Ltd.</t>
  </si>
  <si>
    <t>300999</t>
  </si>
  <si>
    <t>Yihai Kerry Arawana Holdings Co. Ltd.</t>
  </si>
  <si>
    <t>601727</t>
  </si>
  <si>
    <t>Shanghai Electric Group Co. Ltd.</t>
  </si>
  <si>
    <t>688303</t>
  </si>
  <si>
    <t>Xinjiang Daqo New Energy Co. Ltd.</t>
  </si>
  <si>
    <t>601877</t>
  </si>
  <si>
    <t>Zhejiang Chint Electrics Co. Ltd.</t>
  </si>
  <si>
    <t>002736</t>
  </si>
  <si>
    <t>Guosen Securities Co. Ltd.</t>
  </si>
  <si>
    <t>000783</t>
  </si>
  <si>
    <t>Changjiang Securities Co. Ltd.</t>
  </si>
  <si>
    <t>600547</t>
  </si>
  <si>
    <t>601699</t>
  </si>
  <si>
    <t>Shanxi Lu'an Environmental Energy Development Co. Ltd.</t>
  </si>
  <si>
    <t>300782</t>
  </si>
  <si>
    <t>Maxscend Microelectronics Co. Ltd.</t>
  </si>
  <si>
    <t>051905</t>
  </si>
  <si>
    <t>603198</t>
  </si>
  <si>
    <t>Anhui Yingjia Distillery Co. Ltd.</t>
  </si>
  <si>
    <t>000932</t>
  </si>
  <si>
    <t>Hunan Valin Steel Co. Ltd.</t>
  </si>
  <si>
    <t>000999</t>
  </si>
  <si>
    <t>China Resources Sanjiu Medical &amp; Pharmaceutical Co. Ltd.</t>
  </si>
  <si>
    <t>600039</t>
  </si>
  <si>
    <t>Sichuan Road and Bridge Group Co. Ltd.</t>
  </si>
  <si>
    <t>600795</t>
  </si>
  <si>
    <t>GD Power Development Co. Ltd.</t>
  </si>
  <si>
    <t>603737</t>
  </si>
  <si>
    <t>Skshu Paint Co. Ltd.</t>
  </si>
  <si>
    <t>688126</t>
  </si>
  <si>
    <t>National Silicon Industry Group Co. Ltd.</t>
  </si>
  <si>
    <t>002600</t>
  </si>
  <si>
    <t>Lingyi iTech Guangdong Co.</t>
  </si>
  <si>
    <t>002028</t>
  </si>
  <si>
    <t>Sieyuan Electric Co. Ltd.</t>
  </si>
  <si>
    <t>600674</t>
  </si>
  <si>
    <t>Sichuan Chuantou Energy Co. Ltd.</t>
  </si>
  <si>
    <t>000069</t>
  </si>
  <si>
    <t>Shenzhen Overseas Chinese Town Co. Ltd.</t>
  </si>
  <si>
    <t>Recreational Services</t>
  </si>
  <si>
    <t>300142</t>
  </si>
  <si>
    <t>Walvax Biotechnology Co. Ltd.</t>
  </si>
  <si>
    <t>603939</t>
  </si>
  <si>
    <t>Yifeng Pharmacy Chain Co. Ltd.</t>
  </si>
  <si>
    <t>600837</t>
  </si>
  <si>
    <t>600188</t>
  </si>
  <si>
    <t>000975</t>
  </si>
  <si>
    <t>Yintai Gold Co. Ltd.</t>
  </si>
  <si>
    <t>600875</t>
  </si>
  <si>
    <t>Dongfang Electric Corp. Ltd.</t>
  </si>
  <si>
    <t>300759</t>
  </si>
  <si>
    <t>600079</t>
  </si>
  <si>
    <t>Humanwell Healthcare Group Co. Ltd.</t>
  </si>
  <si>
    <t>002180</t>
  </si>
  <si>
    <t>Ninestar Corp.</t>
  </si>
  <si>
    <t>600221</t>
  </si>
  <si>
    <t>Hainan Airlines Holding Co. Ltd.</t>
  </si>
  <si>
    <t>002223</t>
  </si>
  <si>
    <t>Jiangsu Yuyue Medical Equipment &amp; Supply Co. Ltd.</t>
  </si>
  <si>
    <t>600132</t>
  </si>
  <si>
    <t>Chongqing Brewery Co. Ltd.</t>
  </si>
  <si>
    <t>000423</t>
  </si>
  <si>
    <t>Dong-E-E-Jiao Co. Ltd.</t>
  </si>
  <si>
    <t>603885</t>
  </si>
  <si>
    <t>Juneyao Airlines Co. Ltd.</t>
  </si>
  <si>
    <t>300628</t>
  </si>
  <si>
    <t>Yealink Network Technology Corp. Ltd.</t>
  </si>
  <si>
    <t>601021</t>
  </si>
  <si>
    <t>Spring Airlines Co. Ltd.</t>
  </si>
  <si>
    <t>603444</t>
  </si>
  <si>
    <t>G-bits Network Technology Xiamen Co. Ltd.</t>
  </si>
  <si>
    <t>600023</t>
  </si>
  <si>
    <t>Zhejiang Zheneng Electric Power Co. Ltd.</t>
  </si>
  <si>
    <t>002202</t>
  </si>
  <si>
    <t>Goldwind Science &amp; Technology Co. Ltd.</t>
  </si>
  <si>
    <t>600745</t>
  </si>
  <si>
    <t>Wingtech Technology Co. Ltd.</t>
  </si>
  <si>
    <t>300433</t>
  </si>
  <si>
    <t>Lens Technology Co. Ltd.</t>
  </si>
  <si>
    <t>002463</t>
  </si>
  <si>
    <t>WUS Printed Circuit Kunshan Co. Ltd.</t>
  </si>
  <si>
    <t>002430</t>
  </si>
  <si>
    <t>Hangzhou Oxygen Plant Group Co. Ltd.</t>
  </si>
  <si>
    <t>Machinery: Specialty</t>
  </si>
  <si>
    <t>603833</t>
  </si>
  <si>
    <t>Oppein Home Group Inc.</t>
  </si>
  <si>
    <t>600177</t>
  </si>
  <si>
    <t>Youngor Group Co. Ltd.</t>
  </si>
  <si>
    <t>688169</t>
  </si>
  <si>
    <t>Beijing Roborock Technology Co. Ltd.</t>
  </si>
  <si>
    <t>688009</t>
  </si>
  <si>
    <t>China Railway Signal &amp; Communication Corp. Ltd.</t>
  </si>
  <si>
    <t>3347</t>
  </si>
  <si>
    <t>601238</t>
  </si>
  <si>
    <t>601799</t>
  </si>
  <si>
    <t>Changzhou Xingyu Automotive Lighting Systems Co. Ltd.</t>
  </si>
  <si>
    <t>002156</t>
  </si>
  <si>
    <t>TongFu Microelectronics Co. Ltd.</t>
  </si>
  <si>
    <t>688396</t>
  </si>
  <si>
    <t>China Resources Microelectronics Ltd.</t>
  </si>
  <si>
    <t>603290</t>
  </si>
  <si>
    <t>StarPower Semiconductor Ltd.</t>
  </si>
  <si>
    <t>000987</t>
  </si>
  <si>
    <t>Guangzhou Yuexiu Capital Holdings Group Co. Ltd.</t>
  </si>
  <si>
    <t>002625</t>
  </si>
  <si>
    <t>Kuang-Chi Technologies Co. Ltd.</t>
  </si>
  <si>
    <t>002938</t>
  </si>
  <si>
    <t>Avary Holding Shenzhen Co. Ltd.</t>
  </si>
  <si>
    <t>600741</t>
  </si>
  <si>
    <t>Huayu Automotive Systems Co. Ltd.</t>
  </si>
  <si>
    <t>1071</t>
  </si>
  <si>
    <t>Huadian Power International Corp. Ltd.</t>
  </si>
  <si>
    <t>002648</t>
  </si>
  <si>
    <t>Satellite Chemical Co. Ltd.</t>
  </si>
  <si>
    <t>605117</t>
  </si>
  <si>
    <t>Ningbo Deye Technology Co. Ltd.</t>
  </si>
  <si>
    <t>000988</t>
  </si>
  <si>
    <t>Huagong Tech Co. Ltd.</t>
  </si>
  <si>
    <t>603338</t>
  </si>
  <si>
    <t>Zhejiang Dingli Machinery Co. Ltd.</t>
  </si>
  <si>
    <t>600655</t>
  </si>
  <si>
    <t>Shanghai Yuyuan Tourist Mart Group Co. Ltd.</t>
  </si>
  <si>
    <t>300661</t>
  </si>
  <si>
    <t>SG Micro Corp.</t>
  </si>
  <si>
    <t>600115</t>
  </si>
  <si>
    <t>China Eastern Airlines Corp. Ltd.</t>
  </si>
  <si>
    <t>2518</t>
  </si>
  <si>
    <t>600176</t>
  </si>
  <si>
    <t>China Jushi Co. Ltd.</t>
  </si>
  <si>
    <t>600763</t>
  </si>
  <si>
    <t>Topchoice Medical Corp.</t>
  </si>
  <si>
    <t>000983</t>
  </si>
  <si>
    <t>Shanxi Coking Coal Energy Group Co. Ltd.</t>
  </si>
  <si>
    <t>601933</t>
  </si>
  <si>
    <t>Yonghui Superstores Co. Ltd.</t>
  </si>
  <si>
    <t>300418</t>
  </si>
  <si>
    <t>Kunlun Tech Co. Ltd.</t>
  </si>
  <si>
    <t>600702</t>
  </si>
  <si>
    <t>Shede Spirits Co. Ltd.</t>
  </si>
  <si>
    <t>000027</t>
  </si>
  <si>
    <t>Shenzhen Energy Group Co. Ltd.</t>
  </si>
  <si>
    <t>600732</t>
  </si>
  <si>
    <t>Shanghai Aiko Solar Energy Co. Ltd.</t>
  </si>
  <si>
    <t>300595</t>
  </si>
  <si>
    <t>Ovctek China Inc.</t>
  </si>
  <si>
    <t>000733</t>
  </si>
  <si>
    <t>China Zhenhua Group Science &amp; Technology Co. Ltd.</t>
  </si>
  <si>
    <t>600153</t>
  </si>
  <si>
    <t>Xiamen C &amp; D Inc.</t>
  </si>
  <si>
    <t>600489</t>
  </si>
  <si>
    <t>Zhongjin Gold Corp. Ltd.</t>
  </si>
  <si>
    <t>002739</t>
  </si>
  <si>
    <t>Wanda Film Holding Co. Ltd.</t>
  </si>
  <si>
    <t>002007</t>
  </si>
  <si>
    <t>Hualan Biological Engineering Inc.</t>
  </si>
  <si>
    <t>600848</t>
  </si>
  <si>
    <t>Shanghai Lingang Holdings Corp. Ltd.</t>
  </si>
  <si>
    <t>002050</t>
  </si>
  <si>
    <t>Zhejiang Sanhua Intelligent Controls Co. Ltd.</t>
  </si>
  <si>
    <t>Electronic Equipment: Control and Filter</t>
  </si>
  <si>
    <t>002152</t>
  </si>
  <si>
    <t>GRG Banking Equipment Co. Ltd.</t>
  </si>
  <si>
    <t>000157</t>
  </si>
  <si>
    <t>Zoomlion Heavy Industry Science and Technology Co. Ltd.</t>
  </si>
  <si>
    <t>601117</t>
  </si>
  <si>
    <t>China National Chemical Engineering Co. Ltd.</t>
  </si>
  <si>
    <t>688220</t>
  </si>
  <si>
    <t>ASR Microelectronics Co. Ltd.</t>
  </si>
  <si>
    <t>601958</t>
  </si>
  <si>
    <t>Jinduicheng Molybdenum Co. Ltd.</t>
  </si>
  <si>
    <t>002508</t>
  </si>
  <si>
    <t>Hangzhou Robam Appliances Co. Ltd.</t>
  </si>
  <si>
    <t>300454</t>
  </si>
  <si>
    <t>Sangfor Technologies Inc.</t>
  </si>
  <si>
    <t>600018</t>
  </si>
  <si>
    <t>Shanghai International Port Group Co. Ltd.</t>
  </si>
  <si>
    <t>600298</t>
  </si>
  <si>
    <t>Angel Yeast Co. Ltd.</t>
  </si>
  <si>
    <t>002568</t>
  </si>
  <si>
    <t>Shanghai Bairun Investment Holding Group Co. Ltd.</t>
  </si>
  <si>
    <t>002850</t>
  </si>
  <si>
    <t>Shenzhen Kedali Industry Co. Ltd.</t>
  </si>
  <si>
    <t>000933</t>
  </si>
  <si>
    <t>Henan Shenhuo Coal &amp; Power Co. Ltd.</t>
  </si>
  <si>
    <t>601607</t>
  </si>
  <si>
    <t>601872</t>
  </si>
  <si>
    <t>China Merchants Energy Shipping Co. Ltd.</t>
  </si>
  <si>
    <t>688188</t>
  </si>
  <si>
    <t>Shanghai Friendess Electronic Technology Corp. Ltd.</t>
  </si>
  <si>
    <t>000876</t>
  </si>
  <si>
    <t>New Hope Liuhe Co. Ltd.</t>
  </si>
  <si>
    <t>600970</t>
  </si>
  <si>
    <t>Sinoma International Engineering Co.</t>
  </si>
  <si>
    <t>603596</t>
  </si>
  <si>
    <t>Bethel Automotive Safety Systems Co. Ltd.</t>
  </si>
  <si>
    <t>600598</t>
  </si>
  <si>
    <t>Heilongjiang Agriculture Co. Ltd.</t>
  </si>
  <si>
    <t>601155</t>
  </si>
  <si>
    <t>Seazen Holdings Co. Ltd.</t>
  </si>
  <si>
    <t>002001</t>
  </si>
  <si>
    <t>Zhejiang NHU Co. Ltd.</t>
  </si>
  <si>
    <t>600161</t>
  </si>
  <si>
    <t>Beijing Tiantan Biological Products Corp. Ltd.</t>
  </si>
  <si>
    <t>603899</t>
  </si>
  <si>
    <t>Shanghai M&amp;G Stationery Inc.</t>
  </si>
  <si>
    <t>601231</t>
  </si>
  <si>
    <t>Universal Scientific Industrial Shanghai Co. Ltd.</t>
  </si>
  <si>
    <t>601880</t>
  </si>
  <si>
    <t>Liaoning Port Co. Ltd.</t>
  </si>
  <si>
    <t>002353</t>
  </si>
  <si>
    <t>Yantai Jereh Oilfield Services Group Co. Ltd.</t>
  </si>
  <si>
    <t>000831</t>
  </si>
  <si>
    <t>China Rare Earth Resources And Technology Co. Ltd.</t>
  </si>
  <si>
    <t>002602</t>
  </si>
  <si>
    <t>Zhejiang Century Huatong Group Co. Ltd.</t>
  </si>
  <si>
    <t>601991</t>
  </si>
  <si>
    <t>Datang International Power Generation Co. Ltd.</t>
  </si>
  <si>
    <t>600515</t>
  </si>
  <si>
    <t>Hainan Airport Infrastructure Co. Ltd.</t>
  </si>
  <si>
    <t>002841</t>
  </si>
  <si>
    <t>Guangzhou Shiyuan Electronic Technology Co. Ltd.</t>
  </si>
  <si>
    <t>002607</t>
  </si>
  <si>
    <t>Offcn Education Technology Co. Ltd.</t>
  </si>
  <si>
    <t>603156</t>
  </si>
  <si>
    <t>Hebei Yangyuan Zhihui Beverage Co. Ltd.</t>
  </si>
  <si>
    <t>600332</t>
  </si>
  <si>
    <t>Guangzhou Baiyunshan Pharmaceutical Holdings Co. Ltd.</t>
  </si>
  <si>
    <t>600642</t>
  </si>
  <si>
    <t>Shenergy Co. Ltd.</t>
  </si>
  <si>
    <t>600705</t>
  </si>
  <si>
    <t>AVIC Industry-Finance Holdings Co. Ltd.</t>
  </si>
  <si>
    <t>300212</t>
  </si>
  <si>
    <t>Beijing E-Hualu Information Technology Co. Ltd.</t>
  </si>
  <si>
    <t>002384</t>
  </si>
  <si>
    <t>Suzhou Dongshan Precision Manufacturing Co. Ltd.</t>
  </si>
  <si>
    <t>603858</t>
  </si>
  <si>
    <t>Shandong Buchang Pharmaceuticals Co. Ltd.</t>
  </si>
  <si>
    <t>000021</t>
  </si>
  <si>
    <t>Shenzhen Kaifa Technology Co. Ltd.</t>
  </si>
  <si>
    <t>600369</t>
  </si>
  <si>
    <t>Southwest Securities Co. Ltd.</t>
  </si>
  <si>
    <t>000728</t>
  </si>
  <si>
    <t>Guoyuan Securities Co. Ltd.</t>
  </si>
  <si>
    <t>600021</t>
  </si>
  <si>
    <t>Shanghai Electric Power Co. Ltd.</t>
  </si>
  <si>
    <t>600378</t>
  </si>
  <si>
    <t>Haohua Chemical Science &amp; Technology Co. Ltd.</t>
  </si>
  <si>
    <t>600348</t>
  </si>
  <si>
    <t>Shan Xi Hua Yang Group New Energy Co. Ltd.</t>
  </si>
  <si>
    <t>600536</t>
  </si>
  <si>
    <t>China National Software &amp; Service Co. Ltd.</t>
  </si>
  <si>
    <t>601168</t>
  </si>
  <si>
    <t>Western Mining Co. Ltd.</t>
  </si>
  <si>
    <t>600258</t>
  </si>
  <si>
    <t>BTG Hotels Group Co. Ltd.</t>
  </si>
  <si>
    <t>300251</t>
  </si>
  <si>
    <t>Beijing Enlight Media Co. Ltd.</t>
  </si>
  <si>
    <t>600754</t>
  </si>
  <si>
    <t>Shanghai Jinjiang International Hotels Co. Ltd.</t>
  </si>
  <si>
    <t>301236</t>
  </si>
  <si>
    <t>Isoftstone Information Technology Group Co. Ltd.</t>
  </si>
  <si>
    <t>000032</t>
  </si>
  <si>
    <t>Shenzhen SED Industry Co. Ltd.</t>
  </si>
  <si>
    <t>600559</t>
  </si>
  <si>
    <t>Hebei Hengshui Laobaigan Liquor Co. Ltd.</t>
  </si>
  <si>
    <t>300832</t>
  </si>
  <si>
    <t>Shenzhen New Industries Biomedical Engineering Co. Ltd.</t>
  </si>
  <si>
    <t>600380</t>
  </si>
  <si>
    <t>Joincare Pharmaceutical Group Industry Co. Ltd.</t>
  </si>
  <si>
    <t>002372</t>
  </si>
  <si>
    <t>Zhejiang Weixing New Building Materials Co. Ltd.</t>
  </si>
  <si>
    <t>002078</t>
  </si>
  <si>
    <t>Shandong Sun Paper Industry JSC Ltd.</t>
  </si>
  <si>
    <t>600460</t>
  </si>
  <si>
    <t>Hangzhou Silan Microelectronics Co. Ltd.</t>
  </si>
  <si>
    <t>603529</t>
  </si>
  <si>
    <t>AIMA Technology Group Co. Ltd.</t>
  </si>
  <si>
    <t>601696</t>
  </si>
  <si>
    <t>BOC International China Co. Ltd.</t>
  </si>
  <si>
    <t>688032</t>
  </si>
  <si>
    <t>Hoymiles Power Electronics Inc.</t>
  </si>
  <si>
    <t>600521</t>
  </si>
  <si>
    <t>Zhejiang Huahai Pharmaceutical Co. Ltd.</t>
  </si>
  <si>
    <t>601555</t>
  </si>
  <si>
    <t>SooChow Securities Co. Ltd.</t>
  </si>
  <si>
    <t>300223</t>
  </si>
  <si>
    <t>Ingenic Semiconductor Co. Ltd.</t>
  </si>
  <si>
    <t>002340</t>
  </si>
  <si>
    <t>GEM Co. Ltd.</t>
  </si>
  <si>
    <t>002831</t>
  </si>
  <si>
    <t>Shenzhen YUTO Packaging Technology Co. Ltd.</t>
  </si>
  <si>
    <t>600546</t>
  </si>
  <si>
    <t>Shanxi Coal International Energy Group Co. Ltd.</t>
  </si>
  <si>
    <t>300487</t>
  </si>
  <si>
    <t>Sunresin New Materials Co. Ltd.</t>
  </si>
  <si>
    <t>002601</t>
  </si>
  <si>
    <t>LB Group Co. Ltd.</t>
  </si>
  <si>
    <t>688561</t>
  </si>
  <si>
    <t>Qi An Xin Technology Group Inc.</t>
  </si>
  <si>
    <t>603233</t>
  </si>
  <si>
    <t>DaShenLin Pharmaceutical Group Co. Ltd.</t>
  </si>
  <si>
    <t>002385</t>
  </si>
  <si>
    <t>Beijing Dabeinong Technology Group Co. Ltd.</t>
  </si>
  <si>
    <t>000066</t>
  </si>
  <si>
    <t>China Greatwall Technology Group Co. Ltd.</t>
  </si>
  <si>
    <t>688099</t>
  </si>
  <si>
    <t>Amlogic Shanghai Co. Ltd.</t>
  </si>
  <si>
    <t>002074</t>
  </si>
  <si>
    <t>Gotion High-tech Co. Ltd.</t>
  </si>
  <si>
    <t>600803</t>
  </si>
  <si>
    <t>ENN Natural Gas Co. Ltd.</t>
  </si>
  <si>
    <t>002821</t>
  </si>
  <si>
    <t>Asymchem Laboratories Tianjin Co. Ltd.</t>
  </si>
  <si>
    <t>000513</t>
  </si>
  <si>
    <t>Livzon Pharmaceutical Group Inc.</t>
  </si>
  <si>
    <t>603658</t>
  </si>
  <si>
    <t>Autobio Diagnostics Co. Ltd.</t>
  </si>
  <si>
    <t>603486</t>
  </si>
  <si>
    <t>Ecovacs Robotics Co. Ltd.</t>
  </si>
  <si>
    <t>002244</t>
  </si>
  <si>
    <t>Hangzhou Binjiang Real Estate Group Co. Ltd.</t>
  </si>
  <si>
    <t>600549</t>
  </si>
  <si>
    <t>Xiamen Tungsten Co. Ltd.</t>
  </si>
  <si>
    <t>002405</t>
  </si>
  <si>
    <t>NavInfo Co. Ltd.</t>
  </si>
  <si>
    <t>603893</t>
  </si>
  <si>
    <t>Rockchip Electronics Co. Ltd.</t>
  </si>
  <si>
    <t>603185</t>
  </si>
  <si>
    <t>Hoyuan Green Energy Co. Ltd.</t>
  </si>
  <si>
    <t>600872</t>
  </si>
  <si>
    <t>Jonjee Hi-Tech Industrial And Commercial Holding Co. Ltd.</t>
  </si>
  <si>
    <t>600516</t>
  </si>
  <si>
    <t>Fangda Carbon New Material Co. Ltd.</t>
  </si>
  <si>
    <t>300724</t>
  </si>
  <si>
    <t>Shenzhen SC New Energy Technology Corp.</t>
  </si>
  <si>
    <t>300207</t>
  </si>
  <si>
    <t>Sunwoda Electronic Co. Ltd.</t>
  </si>
  <si>
    <t>002128</t>
  </si>
  <si>
    <t>Inner Mongolia Dian Tou Energy Corp. Ltd.</t>
  </si>
  <si>
    <t>300763</t>
  </si>
  <si>
    <t>Ginlong Technologies Co. Ltd.</t>
  </si>
  <si>
    <t>300957</t>
  </si>
  <si>
    <t>Yunnan Botanee Bio-Technology Group Co. Ltd.</t>
  </si>
  <si>
    <t>600383</t>
  </si>
  <si>
    <t>Gemdale Corp.</t>
  </si>
  <si>
    <t>000729</t>
  </si>
  <si>
    <t>Beijing Yanjing Brewery Co. Ltd.</t>
  </si>
  <si>
    <t>002541</t>
  </si>
  <si>
    <t>Anhui Honglu Steel Construction Group Co. Ltd.</t>
  </si>
  <si>
    <t>002138</t>
  </si>
  <si>
    <t>Shenzhen Sunlord Electronics Co. Ltd.</t>
  </si>
  <si>
    <t>000630</t>
  </si>
  <si>
    <t>Tongling Nonferrous Metals Group Co. Ltd.</t>
  </si>
  <si>
    <t>688363</t>
  </si>
  <si>
    <t>Bloomage Biotechnology Corp. Ltd.</t>
  </si>
  <si>
    <t>603688</t>
  </si>
  <si>
    <t>Jiangsu Pacific Quartz Co. Ltd.</t>
  </si>
  <si>
    <t>002603</t>
  </si>
  <si>
    <t>Shijiazhuang Yiling Pharmaceutical Co. Ltd.</t>
  </si>
  <si>
    <t>300558</t>
  </si>
  <si>
    <t>Betta Pharmaceuticals Co. Ltd.</t>
  </si>
  <si>
    <t>002252</t>
  </si>
  <si>
    <t>Shanghai RAAS Blood Products Co. Ltd.</t>
  </si>
  <si>
    <t>601198</t>
  </si>
  <si>
    <t>Dongxing Securities Co. Ltd.</t>
  </si>
  <si>
    <t>688521</t>
  </si>
  <si>
    <t>Verisilicon Microelectronics Shanghai Co. Ltd.</t>
  </si>
  <si>
    <t>600141</t>
  </si>
  <si>
    <t>Hubei Xingfa Chemicals Group Co. Ltd.</t>
  </si>
  <si>
    <t>000807</t>
  </si>
  <si>
    <t>Yunnan Aluminium Co. Ltd.</t>
  </si>
  <si>
    <t>300144</t>
  </si>
  <si>
    <t>Songcheng Performance Development Co. Ltd.</t>
  </si>
  <si>
    <t>002185</t>
  </si>
  <si>
    <t>Tianshui Huatian Technology Co. Ltd.</t>
  </si>
  <si>
    <t>002120</t>
  </si>
  <si>
    <t>Yunda Holding Co. Ltd.</t>
  </si>
  <si>
    <t>002056</t>
  </si>
  <si>
    <t>Hengdian Group DMEGC Magnetics Co. Ltd.</t>
  </si>
  <si>
    <t>600511</t>
  </si>
  <si>
    <t>China National Medicines Corp. Ltd.</t>
  </si>
  <si>
    <t>600183</t>
  </si>
  <si>
    <t>Shengyi Technology Co. Ltd.</t>
  </si>
  <si>
    <t>000937</t>
  </si>
  <si>
    <t>Jizhong Energy Resources Co. Ltd.</t>
  </si>
  <si>
    <t>600056</t>
  </si>
  <si>
    <t>China Meheco Co. Ltd.</t>
  </si>
  <si>
    <t>603517</t>
  </si>
  <si>
    <t>Juewei Food Co. Ltd.</t>
  </si>
  <si>
    <t>600160</t>
  </si>
  <si>
    <t>Zhejiang Juhua Co. Ltd.</t>
  </si>
  <si>
    <t>000401</t>
  </si>
  <si>
    <t>Tangshan Jidong Cement Co. Ltd.</t>
  </si>
  <si>
    <t>300118</t>
  </si>
  <si>
    <t>Risen Energy Co. Ltd.</t>
  </si>
  <si>
    <t>000519</t>
  </si>
  <si>
    <t>North Industries Group Red Arrow Co. Ltd.</t>
  </si>
  <si>
    <t>688777</t>
  </si>
  <si>
    <t>Zhejiang Supcon Technology Co. Ltd.</t>
  </si>
  <si>
    <t>002299</t>
  </si>
  <si>
    <t>Fujian Sunner Development Co. Ltd.</t>
  </si>
  <si>
    <t>002738</t>
  </si>
  <si>
    <t>Sinomine Resource Group Co. Ltd.</t>
  </si>
  <si>
    <t>000683</t>
  </si>
  <si>
    <t>Inner Mongolia Yuan Xing Energy Co. Ltd.</t>
  </si>
  <si>
    <t>000009</t>
  </si>
  <si>
    <t>China Baoan Group Co. Ltd.</t>
  </si>
  <si>
    <t>002532</t>
  </si>
  <si>
    <t>Tianshan Aluminum Group Co. Ltd.</t>
  </si>
  <si>
    <t>Machinery: Agricultural</t>
  </si>
  <si>
    <t>002145</t>
  </si>
  <si>
    <t>CNNC Hua Yuan Titanium Dioxide Co. Ltd.</t>
  </si>
  <si>
    <t>002065</t>
  </si>
  <si>
    <t>DHC Software Co. Ltd.</t>
  </si>
  <si>
    <t>002916</t>
  </si>
  <si>
    <t>Shennan Circuits Co. Ltd.</t>
  </si>
  <si>
    <t>300568</t>
  </si>
  <si>
    <t>Shenzhen Senior Technology Material Co. Ltd.</t>
  </si>
  <si>
    <t>002624</t>
  </si>
  <si>
    <t>Perfect World Co. Ltd./China</t>
  </si>
  <si>
    <t>300496</t>
  </si>
  <si>
    <t>Thunder Software Technology Co. Ltd.</t>
  </si>
  <si>
    <t>600985</t>
  </si>
  <si>
    <t>Huaibei Mining Holdings Co. Ltd.</t>
  </si>
  <si>
    <t>000799</t>
  </si>
  <si>
    <t>JiuGui Liquor Co. Ltd.</t>
  </si>
  <si>
    <t>002153</t>
  </si>
  <si>
    <t>Beijing Shiji Information Technology Co. Ltd.</t>
  </si>
  <si>
    <t>601919</t>
  </si>
  <si>
    <t>600486</t>
  </si>
  <si>
    <t>Jiangsu Yangnong Chemical Co. Ltd.</t>
  </si>
  <si>
    <t>688516</t>
  </si>
  <si>
    <t>Wuxi Autowell Technology Co. Ltd.</t>
  </si>
  <si>
    <t>002558</t>
  </si>
  <si>
    <t>Giant Network Group Co. Ltd.</t>
  </si>
  <si>
    <t>601866</t>
  </si>
  <si>
    <t>COSCO SHIPPING Development Co. Ltd.</t>
  </si>
  <si>
    <t>603712</t>
  </si>
  <si>
    <t>Tianjin 712 Communication &amp; Broadcasting Co. Ltd.</t>
  </si>
  <si>
    <t>300357</t>
  </si>
  <si>
    <t>Zhejiang Wolwo Bio-Pharmaceutical Co. Ltd.</t>
  </si>
  <si>
    <t>300601</t>
  </si>
  <si>
    <t>Shenzhen Kangtai Biological Products Co. Ltd.</t>
  </si>
  <si>
    <t>688122</t>
  </si>
  <si>
    <t>Western Superconducting Technologies Co. Ltd.</t>
  </si>
  <si>
    <t>603606</t>
  </si>
  <si>
    <t>Ningbo Orient Wires &amp; Cables Co. Ltd.</t>
  </si>
  <si>
    <t>000155</t>
  </si>
  <si>
    <t>Sichuan New Energy Power Co. Ltd.</t>
  </si>
  <si>
    <t>002032</t>
  </si>
  <si>
    <t>Zhejiang Supor Co. Ltd.</t>
  </si>
  <si>
    <t>002507</t>
  </si>
  <si>
    <t>Chongqing Fuling Zhacai Group Co. Ltd.</t>
  </si>
  <si>
    <t>600884</t>
  </si>
  <si>
    <t>Ningbo Shanshan Co. Ltd.</t>
  </si>
  <si>
    <t>002064</t>
  </si>
  <si>
    <t>Huafon Chemical Co. Ltd.</t>
  </si>
  <si>
    <t>002756</t>
  </si>
  <si>
    <t>YongXing Special Materials Technology Co. Ltd.</t>
  </si>
  <si>
    <t>600170</t>
  </si>
  <si>
    <t>Shanghai Construction Group Co. Ltd.</t>
  </si>
  <si>
    <t>600566</t>
  </si>
  <si>
    <t>Hubei Jumpcan Pharmaceutical Co. Ltd.</t>
  </si>
  <si>
    <t>601108</t>
  </si>
  <si>
    <t>Caitong Securities Co. Ltd.</t>
  </si>
  <si>
    <t>002414</t>
  </si>
  <si>
    <t>Wuhan Guide Infrared Co. Ltd.</t>
  </si>
  <si>
    <t>000703</t>
  </si>
  <si>
    <t>Hengyi Petrochemical Co. Ltd.</t>
  </si>
  <si>
    <t>600688</t>
  </si>
  <si>
    <t>Sinopec Shanghai Petrochemical Co. Ltd.</t>
  </si>
  <si>
    <t>600563</t>
  </si>
  <si>
    <t>Xiamen Faratronic Co. Ltd.</t>
  </si>
  <si>
    <t>300604</t>
  </si>
  <si>
    <t>Hangzhou Chang Chuan Technology Co. Ltd.</t>
  </si>
  <si>
    <t>000825</t>
  </si>
  <si>
    <t>Shanxi Taigang Stainless Steel Co. Ltd.</t>
  </si>
  <si>
    <t>000408</t>
  </si>
  <si>
    <t>Zangge Mining Co. Ltd.</t>
  </si>
  <si>
    <t>EA-R</t>
  </si>
  <si>
    <t>600219</t>
  </si>
  <si>
    <t>Shandong Nanshan Aluminum Co. Ltd.</t>
  </si>
  <si>
    <t>600699</t>
  </si>
  <si>
    <t>Ningbo Joyson Electronic Corp.</t>
  </si>
  <si>
    <t>688385</t>
  </si>
  <si>
    <t>601615</t>
  </si>
  <si>
    <t>Ming Yang Smart Energy Group Ltd.</t>
  </si>
  <si>
    <t>000893</t>
  </si>
  <si>
    <t>Asia - Potash International Investment Guangzhou Co. Ltd.</t>
  </si>
  <si>
    <t>002240</t>
  </si>
  <si>
    <t>Chengxin Lithium Group Co. Ltd.</t>
  </si>
  <si>
    <t>688536</t>
  </si>
  <si>
    <t>3peak Inc.</t>
  </si>
  <si>
    <t>600673</t>
  </si>
  <si>
    <t>Guangdong HEC Technology Holding Co. Ltd.</t>
  </si>
  <si>
    <t>002092</t>
  </si>
  <si>
    <t>Xinjiang Zhongtai Chemical Co. Ltd.</t>
  </si>
  <si>
    <t>000960</t>
  </si>
  <si>
    <t>Yunnan Tin Co. Ltd.</t>
  </si>
  <si>
    <t>300769</t>
  </si>
  <si>
    <t>Shenzhen Dynanonic Co. Ltd.</t>
  </si>
  <si>
    <t>002080</t>
  </si>
  <si>
    <t>Sinoma Science &amp; Technology Co. Ltd.</t>
  </si>
  <si>
    <t>688301</t>
  </si>
  <si>
    <t>iRay Technology Co. Ltd.</t>
  </si>
  <si>
    <t>002673</t>
  </si>
  <si>
    <t>Western Securities Co. Ltd.</t>
  </si>
  <si>
    <t>000723</t>
  </si>
  <si>
    <t>Shanxi Meijin Energy Co. Ltd.</t>
  </si>
  <si>
    <t>600392</t>
  </si>
  <si>
    <t>Shenghe Resources Holding Co. Ltd.</t>
  </si>
  <si>
    <t>688063</t>
  </si>
  <si>
    <t>Pylon Technologies Co. Ltd.</t>
  </si>
  <si>
    <t>601878</t>
  </si>
  <si>
    <t>Zheshang Securities Co. Ltd.</t>
  </si>
  <si>
    <t>601216</t>
  </si>
  <si>
    <t>Inner Mongolia Junzheng Energy &amp; Chemical Industry Group Co. Ltd.</t>
  </si>
  <si>
    <t>600779</t>
  </si>
  <si>
    <t>Sichuan Swellfun Co. Ltd.</t>
  </si>
  <si>
    <t>600499</t>
  </si>
  <si>
    <t>Keda Industrial Group Co. Ltd.</t>
  </si>
  <si>
    <t>600096</t>
  </si>
  <si>
    <t>Yunnan Yuntianhua Co. Ltd.</t>
  </si>
  <si>
    <t>603568</t>
  </si>
  <si>
    <t>Zhejiang Weiming Environment Protection Co. Ltd.</t>
  </si>
  <si>
    <t>002266</t>
  </si>
  <si>
    <t>Zhefu Holding Group Co. Ltd.</t>
  </si>
  <si>
    <t>002939</t>
  </si>
  <si>
    <t>China Great Wall Securities Co. Ltd.</t>
  </si>
  <si>
    <t>300073</t>
  </si>
  <si>
    <t>Beijing Easpring Material Technology Co. Ltd.</t>
  </si>
  <si>
    <t>002797</t>
  </si>
  <si>
    <t>First Capital Securities Co. Ltd.</t>
  </si>
  <si>
    <t>300395</t>
  </si>
  <si>
    <t>Hubei Feilihua Quartz Glass Co. Ltd.</t>
  </si>
  <si>
    <t>601456</t>
  </si>
  <si>
    <t>Guolian Securities Co. Ltd.</t>
  </si>
  <si>
    <t>601058</t>
  </si>
  <si>
    <t>Sailun Group Co. Ltd.</t>
  </si>
  <si>
    <t>603816</t>
  </si>
  <si>
    <t>Jason Furniture Hangzhou Co. Ltd.</t>
  </si>
  <si>
    <t>002487</t>
  </si>
  <si>
    <t>Dajin Heavy Industry Co. Ltd.</t>
  </si>
  <si>
    <t>300037</t>
  </si>
  <si>
    <t>Shenzhen Capchem Technology Co. Ltd.</t>
  </si>
  <si>
    <t>601636</t>
  </si>
  <si>
    <t>Zhuzhou Kibing Group Co. Ltd.</t>
  </si>
  <si>
    <t>000629</t>
  </si>
  <si>
    <t>Pangang Group Vanadium Titanium &amp; Resources Co. Ltd.</t>
  </si>
  <si>
    <t>300529</t>
  </si>
  <si>
    <t>Jafron Biomedical Co. Ltd.</t>
  </si>
  <si>
    <t>300003</t>
  </si>
  <si>
    <t>Lepu Medical Technology Beijing Co. Ltd.</t>
  </si>
  <si>
    <t>002044</t>
  </si>
  <si>
    <t>Meinian Onehealth Healthcare Holdings Co. Ltd.</t>
  </si>
  <si>
    <t>002518</t>
  </si>
  <si>
    <t>Shenzhen Kstar Science And Technology Co. Ltd.</t>
  </si>
  <si>
    <t>600583</t>
  </si>
  <si>
    <t>Offshore Oil Engineering Co. Ltd.</t>
  </si>
  <si>
    <t>605358</t>
  </si>
  <si>
    <t>Hangzhou Lion Electronics Co. Ltd.</t>
  </si>
  <si>
    <t>601233</t>
  </si>
  <si>
    <t>Tongkun Group Co. Ltd.</t>
  </si>
  <si>
    <t>000998</t>
  </si>
  <si>
    <t>Yuan Longping High-tech Agriculture Co. Ltd.</t>
  </si>
  <si>
    <t>603077</t>
  </si>
  <si>
    <t>Sichuan Hebang Biotechnology Co. Ltd.</t>
  </si>
  <si>
    <t>300390</t>
  </si>
  <si>
    <t>Canmax Technologies Co. Ltd.</t>
  </si>
  <si>
    <t>603707</t>
  </si>
  <si>
    <t>Nanjing King-Friend Biochemical Pharmaceutical Co. Ltd.</t>
  </si>
  <si>
    <t>688390</t>
  </si>
  <si>
    <t>GoodWe Technologies Co. Ltd.</t>
  </si>
  <si>
    <t>603613</t>
  </si>
  <si>
    <t>Beijing United Information Technology Co. Ltd.</t>
  </si>
  <si>
    <t>002268</t>
  </si>
  <si>
    <t>CETC Cyberspace Security Technology Co. Ltd.</t>
  </si>
  <si>
    <t>Security Services</t>
  </si>
  <si>
    <t>300146</t>
  </si>
  <si>
    <t>By-health Co. Ltd.</t>
  </si>
  <si>
    <t>300438</t>
  </si>
  <si>
    <t>Guangzhou Great Power Energy &amp; Technology Co. Ltd.</t>
  </si>
  <si>
    <t>603456</t>
  </si>
  <si>
    <t>Zhejiang Jiuzhou Pharmaceutical Co. Ltd.</t>
  </si>
  <si>
    <t>000050</t>
  </si>
  <si>
    <t>Tianma Microelectronics Co. Ltd.</t>
  </si>
  <si>
    <t>600885</t>
  </si>
  <si>
    <t>Hongfa Technology Co. Ltd.</t>
  </si>
  <si>
    <t>300699</t>
  </si>
  <si>
    <t>Weihai Guangwei Composites Co. Ltd.</t>
  </si>
  <si>
    <t>603589</t>
  </si>
  <si>
    <t>Anhui Kouzi Distillery Co. Ltd.</t>
  </si>
  <si>
    <t>601998</t>
  </si>
  <si>
    <t>002030</t>
  </si>
  <si>
    <t>Daan Gene Co. Ltd.</t>
  </si>
  <si>
    <t>300373</t>
  </si>
  <si>
    <t>Yangzhou Yangjie Electronic Technology Co. Ltd.</t>
  </si>
  <si>
    <t>688180</t>
  </si>
  <si>
    <t>Shanghai Junshi Biosciences Co. Ltd.</t>
  </si>
  <si>
    <t>002409</t>
  </si>
  <si>
    <t>Jiangsu Yoke Technology Co. Ltd.</t>
  </si>
  <si>
    <t>000739</t>
  </si>
  <si>
    <t>Apeloa Pharmaceutical Co. Ltd.</t>
  </si>
  <si>
    <t>688005</t>
  </si>
  <si>
    <t>Ningbo Ronbay New Energy Technology Co. Ltd.</t>
  </si>
  <si>
    <t>002497</t>
  </si>
  <si>
    <t>Sichuan Yahua Industrial Group Co. Ltd.</t>
  </si>
  <si>
    <t>002407</t>
  </si>
  <si>
    <t>Do-Fluoride New Materials Co. Ltd.</t>
  </si>
  <si>
    <t>002176</t>
  </si>
  <si>
    <t>Jiangxi Special Electric Motor Co. Ltd.</t>
  </si>
  <si>
    <t>603882</t>
  </si>
  <si>
    <t>Guangzhou Kingmed Diagnostics Group Co. Ltd.</t>
  </si>
  <si>
    <t>601666</t>
  </si>
  <si>
    <t>Pingdingshan Tianan Coal Mining Co. Ltd.</t>
  </si>
  <si>
    <t>PSMCR</t>
  </si>
  <si>
    <t>601966</t>
  </si>
  <si>
    <t>Shandong Linglong Tyre Co. Ltd.</t>
  </si>
  <si>
    <t>000709</t>
  </si>
  <si>
    <t>Hesteel Co. Ltd.</t>
  </si>
  <si>
    <t>300676</t>
  </si>
  <si>
    <t>BGI Genomics Co. Ltd.</t>
  </si>
  <si>
    <t>002465</t>
  </si>
  <si>
    <t>Guangzhou Haige Communications Group Inc. Co.</t>
  </si>
  <si>
    <t>000738</t>
  </si>
  <si>
    <t>AECC Aero-Engine Control Co. Ltd.</t>
  </si>
  <si>
    <t>601992</t>
  </si>
  <si>
    <t>BBMG Corp.</t>
  </si>
  <si>
    <t>002531</t>
  </si>
  <si>
    <t>Titan Wind Energy Suzhou Co. Ltd.</t>
  </si>
  <si>
    <t>000830</t>
  </si>
  <si>
    <t>Luxi Chemical Group Co. Ltd.</t>
  </si>
  <si>
    <t>603218</t>
  </si>
  <si>
    <t>Riyue Heavy Industry Co. Ltd.</t>
  </si>
  <si>
    <t>002791</t>
  </si>
  <si>
    <t>Guangdong Kinlong Hardware Products Co. Ltd.</t>
  </si>
  <si>
    <t>688002</t>
  </si>
  <si>
    <t>Raytron Technology Co. Ltd.</t>
  </si>
  <si>
    <t>600038</t>
  </si>
  <si>
    <t>AVICOPTER plc</t>
  </si>
  <si>
    <t>603127</t>
  </si>
  <si>
    <t>Joinn Laboratories China Co. Ltd.</t>
  </si>
  <si>
    <t>813</t>
  </si>
  <si>
    <t>Shimao Group Holdings Ltd.</t>
  </si>
  <si>
    <t>600704</t>
  </si>
  <si>
    <t>Wuchan Zhongda Group Co. Ltd.</t>
  </si>
  <si>
    <t>000591</t>
  </si>
  <si>
    <t>CECEP Solar Energy Co. Ltd.</t>
  </si>
  <si>
    <t>ACEN</t>
  </si>
  <si>
    <t>ACEN Corp.</t>
  </si>
  <si>
    <t>002294</t>
  </si>
  <si>
    <t>Shenzhen Salubris Pharmaceuticals Co. Ltd.</t>
  </si>
  <si>
    <t>000800</t>
  </si>
  <si>
    <t>FAW Jiefang Group Co. Ltd.</t>
  </si>
  <si>
    <t>1618</t>
  </si>
  <si>
    <t>600998</t>
  </si>
  <si>
    <t>Jointown Pharmaceutical Group Co. Ltd.</t>
  </si>
  <si>
    <t>002192</t>
  </si>
  <si>
    <t>Youngy Co. Ltd.</t>
  </si>
  <si>
    <t>601016</t>
  </si>
  <si>
    <t>CECEP Wind-Power Corp.</t>
  </si>
  <si>
    <t>600801</t>
  </si>
  <si>
    <t>Huaxin Cement Co. Ltd.</t>
  </si>
  <si>
    <t>002500</t>
  </si>
  <si>
    <t>Shanxi Securities Co. Ltd.</t>
  </si>
  <si>
    <t>600338</t>
  </si>
  <si>
    <t>Tibet Summit Resources Co. Ltd.</t>
  </si>
  <si>
    <t>2883B</t>
  </si>
  <si>
    <t>601577</t>
  </si>
  <si>
    <t>Bank of Changsha Co. Ltd.</t>
  </si>
  <si>
    <t>Refinaria Petroleo Ipiranga</t>
  </si>
  <si>
    <t>Apple Inc.</t>
  </si>
  <si>
    <t>Microsoft Corp.</t>
  </si>
  <si>
    <t>Amazon.com Inc.</t>
  </si>
  <si>
    <t>NVIDIA Corp.</t>
  </si>
  <si>
    <t>Alphabet Inc.</t>
  </si>
  <si>
    <t>Tesla Inc.</t>
  </si>
  <si>
    <t>Meta Platforms Inc.</t>
  </si>
  <si>
    <t>UnitedHealth Group Inc.</t>
  </si>
  <si>
    <t>JPMorgan Chase &amp; Co.</t>
  </si>
  <si>
    <t>Visa Inc.</t>
  </si>
  <si>
    <t>Eli Lilly &amp; Co.</t>
  </si>
  <si>
    <t>Broadcom Inc.</t>
  </si>
  <si>
    <t>Procter &amp; Gamble Co.</t>
  </si>
  <si>
    <t>Home Depot Inc.</t>
  </si>
  <si>
    <t>Mastercard Inc.</t>
  </si>
  <si>
    <t>NESN</t>
  </si>
  <si>
    <t>Nestle SA</t>
  </si>
  <si>
    <t>CH</t>
  </si>
  <si>
    <t>ASML</t>
  </si>
  <si>
    <t>ASML Holding NV</t>
  </si>
  <si>
    <t>Merck &amp; Co. Inc.</t>
  </si>
  <si>
    <t>AbbVie Inc.</t>
  </si>
  <si>
    <t>PepsiCo Inc.</t>
  </si>
  <si>
    <t>NOVO B</t>
  </si>
  <si>
    <t>Novo Nordisk A/S</t>
  </si>
  <si>
    <t>DK</t>
  </si>
  <si>
    <t>Adobe Inc.</t>
  </si>
  <si>
    <t>Costco Wholesale Corp.</t>
  </si>
  <si>
    <t>Coca-Cola Co.</t>
  </si>
  <si>
    <t>Bank of America Corp.</t>
  </si>
  <si>
    <t>McDonald's Corp.</t>
  </si>
  <si>
    <t>Cisco Systems Inc./Delaware</t>
  </si>
  <si>
    <t>Salesforce Inc.</t>
  </si>
  <si>
    <t>NOVN</t>
  </si>
  <si>
    <t>Novartis AG</t>
  </si>
  <si>
    <t>AZN</t>
  </si>
  <si>
    <t>AstraZeneca plc</t>
  </si>
  <si>
    <t>ROG</t>
  </si>
  <si>
    <t>Roche Holding AG</t>
  </si>
  <si>
    <t>Thermo Fisher Scientific Inc.</t>
  </si>
  <si>
    <t>Pfizer Inc.</t>
  </si>
  <si>
    <t>Toyota Motor Corp.</t>
  </si>
  <si>
    <t>JP</t>
  </si>
  <si>
    <t>Accenture plc</t>
  </si>
  <si>
    <t>Abbott Laboratories</t>
  </si>
  <si>
    <t>Netflix Inc.</t>
  </si>
  <si>
    <t>Linde plc</t>
  </si>
  <si>
    <t>Comcast Corp.</t>
  </si>
  <si>
    <t>Advanced Micro Devices Inc.</t>
  </si>
  <si>
    <t>Oracle Corp.</t>
  </si>
  <si>
    <t>Danaher Corp.</t>
  </si>
  <si>
    <t>Walt Disney Co.</t>
  </si>
  <si>
    <t>Texas Instruments Inc.</t>
  </si>
  <si>
    <t>SAP</t>
  </si>
  <si>
    <t>Intel Corp.</t>
  </si>
  <si>
    <t>QUALCOMM Inc.</t>
  </si>
  <si>
    <t>Verizon Communications Inc.</t>
  </si>
  <si>
    <t>Union Pacific Corp.</t>
  </si>
  <si>
    <t>Lowe's Cos. Inc.</t>
  </si>
  <si>
    <t>Intuit Inc.</t>
  </si>
  <si>
    <t>RY</t>
  </si>
  <si>
    <t>Royal Bank of Canada</t>
  </si>
  <si>
    <t>United Parcel Service Inc.</t>
  </si>
  <si>
    <t>Caterpillar Inc.</t>
  </si>
  <si>
    <t>NIKE Inc.</t>
  </si>
  <si>
    <t>Bristol-Myers Squibb Co.</t>
  </si>
  <si>
    <t>Applied Materials Inc.</t>
  </si>
  <si>
    <t>Amgen Inc.</t>
  </si>
  <si>
    <t>S&amp;P Global Inc.</t>
  </si>
  <si>
    <t>TD</t>
  </si>
  <si>
    <t>Toronto-Dominion Bank</t>
  </si>
  <si>
    <t>Deere &amp; Co.</t>
  </si>
  <si>
    <t>ServiceNow Inc.</t>
  </si>
  <si>
    <t>1299</t>
  </si>
  <si>
    <t>AIA Group Ltd.</t>
  </si>
  <si>
    <t>SAN</t>
  </si>
  <si>
    <t>Sanofi</t>
  </si>
  <si>
    <t>Medtronic plc</t>
  </si>
  <si>
    <t>Starbucks Corp.</t>
  </si>
  <si>
    <t>Prologis Inc.</t>
  </si>
  <si>
    <t>Goldman Sachs Group Inc.</t>
  </si>
  <si>
    <t>6758</t>
  </si>
  <si>
    <t>Sony Group Corp.</t>
  </si>
  <si>
    <t>Intuitive Surgical Inc.</t>
  </si>
  <si>
    <t>Elevance Health Inc.</t>
  </si>
  <si>
    <t>BlackRock Inc.</t>
  </si>
  <si>
    <t>Morgan Stanley</t>
  </si>
  <si>
    <t>Booking Holdings Inc.</t>
  </si>
  <si>
    <t>Automatic Data Processing Inc.</t>
  </si>
  <si>
    <t>Stryker Corp.</t>
  </si>
  <si>
    <t>Mondelez International Inc.</t>
  </si>
  <si>
    <t>TJX Cos. Inc.</t>
  </si>
  <si>
    <t>American Express Co.</t>
  </si>
  <si>
    <t>Charles Schwab Corp.</t>
  </si>
  <si>
    <t>CVS Health Corp.</t>
  </si>
  <si>
    <t>ALV</t>
  </si>
  <si>
    <t>Allianz SE</t>
  </si>
  <si>
    <t>UBER</t>
  </si>
  <si>
    <t>Uber Technologies Inc.</t>
  </si>
  <si>
    <t>Lam Research Corp.</t>
  </si>
  <si>
    <t>Gilead Sciences Inc.</t>
  </si>
  <si>
    <t>Marsh &amp; McLennan Cos. Inc.</t>
  </si>
  <si>
    <t>8306</t>
  </si>
  <si>
    <t>Mitsubishi UFJ Financial Group Inc.</t>
  </si>
  <si>
    <t>Vertex Pharmaceuticals Inc.</t>
  </si>
  <si>
    <t>Citigroup Inc.</t>
  </si>
  <si>
    <t>6861</t>
  </si>
  <si>
    <t>Keyence Corp.</t>
  </si>
  <si>
    <t>American Tower Corp.</t>
  </si>
  <si>
    <t>Infrastructure REITs</t>
  </si>
  <si>
    <t>Cigna Group</t>
  </si>
  <si>
    <t>Zoetis Inc.</t>
  </si>
  <si>
    <t>PayPal Holdings Inc.</t>
  </si>
  <si>
    <t>Chubb Ltd.</t>
  </si>
  <si>
    <t>Becton Dickinson &amp; Co.</t>
  </si>
  <si>
    <t>Illinois Tool Works Inc.</t>
  </si>
  <si>
    <t>Micron Technology Inc.</t>
  </si>
  <si>
    <t>Fiserv Inc.</t>
  </si>
  <si>
    <t>Regeneron Pharmaceuticals Inc.</t>
  </si>
  <si>
    <t>CP</t>
  </si>
  <si>
    <t>Canadian Pacific Kansas City Ltd.</t>
  </si>
  <si>
    <t>Hermes International</t>
  </si>
  <si>
    <t>Deutsche Telekom AG</t>
  </si>
  <si>
    <t>Equinix Inc.</t>
  </si>
  <si>
    <t>Boston Scientific Corp.</t>
  </si>
  <si>
    <t>T-Mobile US Inc.</t>
  </si>
  <si>
    <t>Palo Alto Networks Inc.</t>
  </si>
  <si>
    <t>CNR</t>
  </si>
  <si>
    <t>Canadian National Railway Co.</t>
  </si>
  <si>
    <t>Progressive Corp.</t>
  </si>
  <si>
    <t>ZURN</t>
  </si>
  <si>
    <t>Zurich Insurance Group AG</t>
  </si>
  <si>
    <t>Blackstone Inc.</t>
  </si>
  <si>
    <t>Activision Blizzard Inc.</t>
  </si>
  <si>
    <t>GSK</t>
  </si>
  <si>
    <t>GSK plc</t>
  </si>
  <si>
    <t>BNP</t>
  </si>
  <si>
    <t>BNP Paribas SA</t>
  </si>
  <si>
    <t>CME Group Inc.</t>
  </si>
  <si>
    <t>KLA Corp.</t>
  </si>
  <si>
    <t>MBG</t>
  </si>
  <si>
    <t>Mercedes-Benz Group AG</t>
  </si>
  <si>
    <t>Synopsys Inc.</t>
  </si>
  <si>
    <t>Waste Management Inc.</t>
  </si>
  <si>
    <t>UBSG</t>
  </si>
  <si>
    <t>UBS Group AG</t>
  </si>
  <si>
    <t>ULVR</t>
  </si>
  <si>
    <t>Unilever plc</t>
  </si>
  <si>
    <t>CSX Corp.</t>
  </si>
  <si>
    <t>UNA</t>
  </si>
  <si>
    <t>Air Products and Chemicals Inc.</t>
  </si>
  <si>
    <t>Banco Santander SA</t>
  </si>
  <si>
    <t>Sherwin-Williams Co.</t>
  </si>
  <si>
    <t>REL</t>
  </si>
  <si>
    <t>RELX plc</t>
  </si>
  <si>
    <t>8035</t>
  </si>
  <si>
    <t>Tokyo Electron Ltd.</t>
  </si>
  <si>
    <t>BMO</t>
  </si>
  <si>
    <t>Bank of Montreal</t>
  </si>
  <si>
    <t>Aon plc</t>
  </si>
  <si>
    <t>Cadence Design Systems Inc.</t>
  </si>
  <si>
    <t>Target Corp.</t>
  </si>
  <si>
    <t>Airbnb Inc.</t>
  </si>
  <si>
    <t>4063</t>
  </si>
  <si>
    <t>Shin-Etsu Chemical Co. Ltd.</t>
  </si>
  <si>
    <t>Intercontinental Exchange Inc.</t>
  </si>
  <si>
    <t>FedEx Corp.</t>
  </si>
  <si>
    <t>EssilorLuxottica SA</t>
  </si>
  <si>
    <t>Colgate-Palmolive Co.</t>
  </si>
  <si>
    <t>US Bancorp</t>
  </si>
  <si>
    <t>BNS</t>
  </si>
  <si>
    <t>Bank of Nova Scotia</t>
  </si>
  <si>
    <t>8316</t>
  </si>
  <si>
    <t>Sumitomo Mitsui Financial Group Inc.</t>
  </si>
  <si>
    <t>IFX</t>
  </si>
  <si>
    <t>Infineon Technologies AG</t>
  </si>
  <si>
    <t>BAYN</t>
  </si>
  <si>
    <t>Bayer AG</t>
  </si>
  <si>
    <t>Humana Inc.</t>
  </si>
  <si>
    <t>4568</t>
  </si>
  <si>
    <t>Daiichi Sankyo Co. Ltd.</t>
  </si>
  <si>
    <t>MELI</t>
  </si>
  <si>
    <t>MercadoLibre Inc.</t>
  </si>
  <si>
    <t>MRVL</t>
  </si>
  <si>
    <t>Marvell Technology Inc.</t>
  </si>
  <si>
    <t>O'Reilly Automotive Inc.</t>
  </si>
  <si>
    <t>NXP Semiconductors NV</t>
  </si>
  <si>
    <t>Moody's Corp.</t>
  </si>
  <si>
    <t>McKesson Corp.</t>
  </si>
  <si>
    <t>PRX</t>
  </si>
  <si>
    <t>Prosus NV</t>
  </si>
  <si>
    <t>HCA Healthcare Inc.</t>
  </si>
  <si>
    <t>ADYEN</t>
  </si>
  <si>
    <t>Adyen NV</t>
  </si>
  <si>
    <t>SNOW</t>
  </si>
  <si>
    <t>Snowflake Inc.</t>
  </si>
  <si>
    <t>Chipotle Mexican Grill Inc.</t>
  </si>
  <si>
    <t>PNC Financial Services Group Inc.</t>
  </si>
  <si>
    <t>388</t>
  </si>
  <si>
    <t>Hong Kong Exchanges &amp; Clearing Ltd.</t>
  </si>
  <si>
    <t>RKT</t>
  </si>
  <si>
    <t>Reckitt Benckiser Group plc</t>
  </si>
  <si>
    <t>CS</t>
  </si>
  <si>
    <t>7267</t>
  </si>
  <si>
    <t>Honda Motor Co. Ltd.</t>
  </si>
  <si>
    <t>Microchip Technology Inc.</t>
  </si>
  <si>
    <t>Fortinet Inc.</t>
  </si>
  <si>
    <t>Ford Motor Co.</t>
  </si>
  <si>
    <t>Carrier Global Corp.</t>
  </si>
  <si>
    <t>Building: Climate Control</t>
  </si>
  <si>
    <t>Edwards Lifesciences Corp.</t>
  </si>
  <si>
    <t>INGA</t>
  </si>
  <si>
    <t>ING Groep NV</t>
  </si>
  <si>
    <t>DHL</t>
  </si>
  <si>
    <t>DHL Group</t>
  </si>
  <si>
    <t>9984</t>
  </si>
  <si>
    <t>SoftBank Group Corp.</t>
  </si>
  <si>
    <t>Marriott International Inc./MD</t>
  </si>
  <si>
    <t>UCG</t>
  </si>
  <si>
    <t>UniCredit SPA</t>
  </si>
  <si>
    <t>7974</t>
  </si>
  <si>
    <t>Nintendo Co. Ltd.</t>
  </si>
  <si>
    <t>4502</t>
  </si>
  <si>
    <t>Takeda Pharmaceutical Co. Ltd.</t>
  </si>
  <si>
    <t>Dexcom Inc.</t>
  </si>
  <si>
    <t>Recruit Holdings Co. Ltd.</t>
  </si>
  <si>
    <t>D05</t>
  </si>
  <si>
    <t>DBS Group Holdings Ltd.</t>
  </si>
  <si>
    <t>LSEG</t>
  </si>
  <si>
    <t>London Stock Exchange Group plc</t>
  </si>
  <si>
    <t>Johnson Controls International plc</t>
  </si>
  <si>
    <t>BBVA</t>
  </si>
  <si>
    <t>Banco Bilbao Vizcaya Argentaria SA</t>
  </si>
  <si>
    <t>CPG</t>
  </si>
  <si>
    <t>Compass Group plc</t>
  </si>
  <si>
    <t>Crown Castle Inc.</t>
  </si>
  <si>
    <t>Motorola Solutions Inc.</t>
  </si>
  <si>
    <t>WDAY</t>
  </si>
  <si>
    <t>Workday Inc.</t>
  </si>
  <si>
    <t>Archer-Daniels-Midland Co.</t>
  </si>
  <si>
    <t>9433</t>
  </si>
  <si>
    <t>KDDI Corp.</t>
  </si>
  <si>
    <t>ON Semiconductor Corp.</t>
  </si>
  <si>
    <t>Arthur J Gallagher &amp; Co.</t>
  </si>
  <si>
    <t>SHOP</t>
  </si>
  <si>
    <t>Shopify Inc.</t>
  </si>
  <si>
    <t>SQ</t>
  </si>
  <si>
    <t>PACCAR Inc.</t>
  </si>
  <si>
    <t>CRH</t>
  </si>
  <si>
    <t>CRH plc</t>
  </si>
  <si>
    <t>Cintas Corp.</t>
  </si>
  <si>
    <t>AutoZone Inc.</t>
  </si>
  <si>
    <t>LONN</t>
  </si>
  <si>
    <t>Lonza Group AG</t>
  </si>
  <si>
    <t>Autodesk Inc.</t>
  </si>
  <si>
    <t>8411</t>
  </si>
  <si>
    <t>Mizuho Financial Group Inc.</t>
  </si>
  <si>
    <t>Kimberly-Clark Corp.</t>
  </si>
  <si>
    <t>IDEXX Laboratories Inc.</t>
  </si>
  <si>
    <t>Public Storage</t>
  </si>
  <si>
    <t>Trane Technologies plc</t>
  </si>
  <si>
    <t>American International Group Inc.</t>
  </si>
  <si>
    <t>ISP</t>
  </si>
  <si>
    <t>Intesa Sanpaolo SPA</t>
  </si>
  <si>
    <t>Monster Beverage Corp.</t>
  </si>
  <si>
    <t>ALC</t>
  </si>
  <si>
    <t>Alcon Inc.</t>
  </si>
  <si>
    <t>General Mills Inc.</t>
  </si>
  <si>
    <t>Truist Financial Corp.</t>
  </si>
  <si>
    <t>Simon Property Group Inc.</t>
  </si>
  <si>
    <t>Charter Communications Inc.</t>
  </si>
  <si>
    <t>Capital One Financial Corp.</t>
  </si>
  <si>
    <t>Nucor Corp.</t>
  </si>
  <si>
    <t>Aflac Inc.</t>
  </si>
  <si>
    <t>Corteva Inc.</t>
  </si>
  <si>
    <t>LULU</t>
  </si>
  <si>
    <t>Lululemon Athletica Inc.</t>
  </si>
  <si>
    <t>INVE B</t>
  </si>
  <si>
    <t>Investor AB</t>
  </si>
  <si>
    <t>SE</t>
  </si>
  <si>
    <t>8766</t>
  </si>
  <si>
    <t>Tokio Marine Holdings Inc.</t>
  </si>
  <si>
    <t>MSCI Inc.</t>
  </si>
  <si>
    <t>APO</t>
  </si>
  <si>
    <t>Apollo Global Management Inc.</t>
  </si>
  <si>
    <t>Paychex Inc.</t>
  </si>
  <si>
    <t>KER</t>
  </si>
  <si>
    <t>Kering SA</t>
  </si>
  <si>
    <t>TTD</t>
  </si>
  <si>
    <t>Trade Desk Inc.</t>
  </si>
  <si>
    <t>ITX</t>
  </si>
  <si>
    <t>Industria de Diseno Textil SA</t>
  </si>
  <si>
    <t>Welltower Inc.</t>
  </si>
  <si>
    <t>7741</t>
  </si>
  <si>
    <t>Hoya Corp.</t>
  </si>
  <si>
    <t>Estee Lauder Cos. Inc.</t>
  </si>
  <si>
    <t>Old Dominion Freight Line Inc.</t>
  </si>
  <si>
    <t>Trucking</t>
  </si>
  <si>
    <t>Moderna Inc.</t>
  </si>
  <si>
    <t>NDA FI</t>
  </si>
  <si>
    <t>Nordea Bank Abp</t>
  </si>
  <si>
    <t>Realty Income Corp.</t>
  </si>
  <si>
    <t>Biogen Inc.</t>
  </si>
  <si>
    <t>IQVIA Holdings Inc.</t>
  </si>
  <si>
    <t>CM</t>
  </si>
  <si>
    <t>Canadian Imperial Bank of Commerce</t>
  </si>
  <si>
    <t>Travelers Cos. Inc.</t>
  </si>
  <si>
    <t>CSU</t>
  </si>
  <si>
    <t>Constellation Software Inc./Canada</t>
  </si>
  <si>
    <t>Hilton Worldwide Holdings Inc.</t>
  </si>
  <si>
    <t>Sysco Corp.</t>
  </si>
  <si>
    <t>Arista Networks Inc.</t>
  </si>
  <si>
    <t>KKR</t>
  </si>
  <si>
    <t>KKR &amp; Co. Inc.</t>
  </si>
  <si>
    <t>BN</t>
  </si>
  <si>
    <t>Danone SA</t>
  </si>
  <si>
    <t>MetLife Inc.</t>
  </si>
  <si>
    <t>L'Oreal SA</t>
  </si>
  <si>
    <t>Centene Corp.</t>
  </si>
  <si>
    <t>Electronic Arts Inc.</t>
  </si>
  <si>
    <t>MFC</t>
  </si>
  <si>
    <t>Manulife Financial Corp.</t>
  </si>
  <si>
    <t>Ameriprise Financial Inc.</t>
  </si>
  <si>
    <t>LLOY</t>
  </si>
  <si>
    <t>Lloyds Banking Group plc</t>
  </si>
  <si>
    <t>9983</t>
  </si>
  <si>
    <t>Fast Retailing Co. Ltd.</t>
  </si>
  <si>
    <t>Otis Worldwide Corp.</t>
  </si>
  <si>
    <t>Rockwell Automation Inc.</t>
  </si>
  <si>
    <t>Yum! Brands Inc.</t>
  </si>
  <si>
    <t>Ross Stores Inc.</t>
  </si>
  <si>
    <t>RACE</t>
  </si>
  <si>
    <t>Ferrari NV</t>
  </si>
  <si>
    <t>Prudential plc</t>
  </si>
  <si>
    <t>Copart Inc.</t>
  </si>
  <si>
    <t>Fidelity National Information Services Inc.</t>
  </si>
  <si>
    <t>Dollar General Corp.</t>
  </si>
  <si>
    <t>Agilent Technologies Inc.</t>
  </si>
  <si>
    <t>DuPont de Nemours Inc.</t>
  </si>
  <si>
    <t>4661</t>
  </si>
  <si>
    <t>Oriental Land Co. Ltd./Japan</t>
  </si>
  <si>
    <t>PLTR</t>
  </si>
  <si>
    <t>Palantir Technologies Inc.</t>
  </si>
  <si>
    <t>Digital Realty Trust Inc.</t>
  </si>
  <si>
    <t>O39</t>
  </si>
  <si>
    <t>Oversea-Chinese Banking Corp. Ltd.</t>
  </si>
  <si>
    <t>DB1</t>
  </si>
  <si>
    <t>Deutsche Boerse AG</t>
  </si>
  <si>
    <t>ATCO A</t>
  </si>
  <si>
    <t>Atlas Copco AB</t>
  </si>
  <si>
    <t>WCN</t>
  </si>
  <si>
    <t>Waste Connections Inc.</t>
  </si>
  <si>
    <t>STMPA</t>
  </si>
  <si>
    <t>STMicroelectronics NV</t>
  </si>
  <si>
    <t>CoStar Group Inc.</t>
  </si>
  <si>
    <t>Bank of New York Mellon Corp.</t>
  </si>
  <si>
    <t>CRWD</t>
  </si>
  <si>
    <t>Crowdstrike Holdings Inc.</t>
  </si>
  <si>
    <t>Cognizant Technology Solutions Corp.</t>
  </si>
  <si>
    <t>DSV</t>
  </si>
  <si>
    <t>6981</t>
  </si>
  <si>
    <t>Murata Manufacturing Co. Ltd.</t>
  </si>
  <si>
    <t>EXPN</t>
  </si>
  <si>
    <t>Experian plc</t>
  </si>
  <si>
    <t>VMW</t>
  </si>
  <si>
    <t>VMware Inc.</t>
  </si>
  <si>
    <t>FERG</t>
  </si>
  <si>
    <t>Ferguson plc</t>
  </si>
  <si>
    <t>Prudential Financial Inc.</t>
  </si>
  <si>
    <t>AD</t>
  </si>
  <si>
    <t>Koninklijke Ahold Delhaize NV</t>
  </si>
  <si>
    <t>NTR</t>
  </si>
  <si>
    <t>Nutrien Ltd.</t>
  </si>
  <si>
    <t>Newmont Corp.</t>
  </si>
  <si>
    <t>Hershey Co.</t>
  </si>
  <si>
    <t>Fastenal Co.</t>
  </si>
  <si>
    <t>Verisk Analytics Inc.</t>
  </si>
  <si>
    <t>Amadeus IT Group SA</t>
  </si>
  <si>
    <t>6594</t>
  </si>
  <si>
    <t>NIDEC Corp.</t>
  </si>
  <si>
    <t>ADS</t>
  </si>
  <si>
    <t>adidas AG</t>
  </si>
  <si>
    <t>BMW</t>
  </si>
  <si>
    <t>Bayerische Motoren Werke AG</t>
  </si>
  <si>
    <t>9432</t>
  </si>
  <si>
    <t>Nippon Telegraph &amp; Telephone Corp.</t>
  </si>
  <si>
    <t>DDOG</t>
  </si>
  <si>
    <t>Datadog Inc.</t>
  </si>
  <si>
    <t>Dollar Tree Inc.</t>
  </si>
  <si>
    <t>9434</t>
  </si>
  <si>
    <t>SoftBank Corp.</t>
  </si>
  <si>
    <t>Illumina Inc.</t>
  </si>
  <si>
    <t>3382</t>
  </si>
  <si>
    <t>Seven &amp; i Holdings Co. Ltd.</t>
  </si>
  <si>
    <t>AHT</t>
  </si>
  <si>
    <t>Ashtead Group plc</t>
  </si>
  <si>
    <t>SLF</t>
  </si>
  <si>
    <t>Sun Life Financial Inc.</t>
  </si>
  <si>
    <t>G</t>
  </si>
  <si>
    <t>Assicurazioni Generali SPA</t>
  </si>
  <si>
    <t>SREN</t>
  </si>
  <si>
    <t>Swiss Re AG</t>
  </si>
  <si>
    <t>Reinsurance</t>
  </si>
  <si>
    <t>Kroger Co.</t>
  </si>
  <si>
    <t>OR</t>
  </si>
  <si>
    <t>Republic Services Inc.</t>
  </si>
  <si>
    <t>Keurig Dr Pepper Inc.</t>
  </si>
  <si>
    <t>6954</t>
  </si>
  <si>
    <t>FANUC Corp.</t>
  </si>
  <si>
    <t>GE HealthCare Technologies Inc.</t>
  </si>
  <si>
    <t>6902</t>
  </si>
  <si>
    <t>Denso Corp.</t>
  </si>
  <si>
    <t>6273</t>
  </si>
  <si>
    <t>SMC Corp.</t>
  </si>
  <si>
    <t>AmerisourceBergen Corp.</t>
  </si>
  <si>
    <t>BARC</t>
  </si>
  <si>
    <t>Barclays plc</t>
  </si>
  <si>
    <t>WKL</t>
  </si>
  <si>
    <t>Wolters Kluwer NV</t>
  </si>
  <si>
    <t>VEEV</t>
  </si>
  <si>
    <t>Veeva Systems Inc.</t>
  </si>
  <si>
    <t>Vulcan Materials Co.</t>
  </si>
  <si>
    <t>Extra Space Storage Inc.</t>
  </si>
  <si>
    <t>Allstate Corp.</t>
  </si>
  <si>
    <t>Keysight Technologies Inc.</t>
  </si>
  <si>
    <t>1AE</t>
  </si>
  <si>
    <t>Argenx SE</t>
  </si>
  <si>
    <t>FNV</t>
  </si>
  <si>
    <t>Franco-Nevada Corp.</t>
  </si>
  <si>
    <t>American Water Works Co. Inc.</t>
  </si>
  <si>
    <t>Global Payments Inc.</t>
  </si>
  <si>
    <t>T Rowe Price Group Inc.</t>
  </si>
  <si>
    <t>Arch Capital Group Ltd.</t>
  </si>
  <si>
    <t>HP Inc.</t>
  </si>
  <si>
    <t>MDB</t>
  </si>
  <si>
    <t>MongoDB Inc.</t>
  </si>
  <si>
    <t>Mettler-Toledo International Inc.</t>
  </si>
  <si>
    <t>Warner Bros Discovery Inc.</t>
  </si>
  <si>
    <t>Zimmer Biomet Holdings Inc.</t>
  </si>
  <si>
    <t>Aptiv plc</t>
  </si>
  <si>
    <t>GMAB</t>
  </si>
  <si>
    <t>Genmab A/S</t>
  </si>
  <si>
    <t>Align Technology Inc.</t>
  </si>
  <si>
    <t>Martin Marietta Materials Inc.</t>
  </si>
  <si>
    <t>Kraft Heinz Co.</t>
  </si>
  <si>
    <t>Gartner Inc.</t>
  </si>
  <si>
    <t>Lennar Corp.</t>
  </si>
  <si>
    <t>Home Construction</t>
  </si>
  <si>
    <t>HUBS</t>
  </si>
  <si>
    <t>HubSpot Inc.</t>
  </si>
  <si>
    <t>VWS</t>
  </si>
  <si>
    <t>Vestas Wind Systems A/S</t>
  </si>
  <si>
    <t>NA</t>
  </si>
  <si>
    <t>National Bank of Canada</t>
  </si>
  <si>
    <t>Ingersoll Rand Inc.</t>
  </si>
  <si>
    <t>U11</t>
  </si>
  <si>
    <t>United Overseas Bank Ltd.</t>
  </si>
  <si>
    <t>4503</t>
  </si>
  <si>
    <t>Astellas Pharma Inc.</t>
  </si>
  <si>
    <t>IFC</t>
  </si>
  <si>
    <t>Intact Financial Corp.</t>
  </si>
  <si>
    <t>TEAM</t>
  </si>
  <si>
    <t>Atlassian Corp.</t>
  </si>
  <si>
    <t>6752</t>
  </si>
  <si>
    <t>Panasonic Holdings Corp.</t>
  </si>
  <si>
    <t>GIVN</t>
  </si>
  <si>
    <t>Givaudan SA</t>
  </si>
  <si>
    <t>DASH</t>
  </si>
  <si>
    <t>DoorDash Inc.</t>
  </si>
  <si>
    <t>AvalonBay Communities Inc.</t>
  </si>
  <si>
    <t>LR</t>
  </si>
  <si>
    <t>Legrand SA</t>
  </si>
  <si>
    <t>SGEN</t>
  </si>
  <si>
    <t>Seagen Inc.</t>
  </si>
  <si>
    <t>West Pharmaceutical Services Inc.</t>
  </si>
  <si>
    <t>Corning Inc.</t>
  </si>
  <si>
    <t>Albemarle Corp.</t>
  </si>
  <si>
    <t>7751</t>
  </si>
  <si>
    <t>Canon Inc.</t>
  </si>
  <si>
    <t>Electronic Office Equipment</t>
  </si>
  <si>
    <t>CDW Corp./DE</t>
  </si>
  <si>
    <t>State Street Corp.</t>
  </si>
  <si>
    <t>6857</t>
  </si>
  <si>
    <t>Advantest Corp.</t>
  </si>
  <si>
    <t>Monolithic Power Systems Inc.</t>
  </si>
  <si>
    <t>Take-Two Interactive Software Inc.</t>
  </si>
  <si>
    <t>Tractor Supply Co.</t>
  </si>
  <si>
    <t>Equity Residential</t>
  </si>
  <si>
    <t>ALNY</t>
  </si>
  <si>
    <t>Alnylam Pharmaceuticals Inc.</t>
  </si>
  <si>
    <t>PGHN</t>
  </si>
  <si>
    <t>Partners Group Holding AG</t>
  </si>
  <si>
    <t>LyondellBasell Industries NV</t>
  </si>
  <si>
    <t>CBRE Group Inc.</t>
  </si>
  <si>
    <t>M&amp;T Bank Corp.</t>
  </si>
  <si>
    <t>Royal Caribbean Cruises Ltd.</t>
  </si>
  <si>
    <t>AEM</t>
  </si>
  <si>
    <t>Agnico Eagle Mines Ltd.</t>
  </si>
  <si>
    <t>Cardinal Health Inc.</t>
  </si>
  <si>
    <t>ASSA B</t>
  </si>
  <si>
    <t>Assa Abloy AB</t>
  </si>
  <si>
    <t>Discover Financial Services</t>
  </si>
  <si>
    <t>III</t>
  </si>
  <si>
    <t>3i Group plc</t>
  </si>
  <si>
    <t>6723</t>
  </si>
  <si>
    <t>Renesas Electronics Corp.</t>
  </si>
  <si>
    <t>6702</t>
  </si>
  <si>
    <t>Fujitsu Ltd.</t>
  </si>
  <si>
    <t>SBA Communications Corp.</t>
  </si>
  <si>
    <t>STLAM</t>
  </si>
  <si>
    <t>Stellantis NV</t>
  </si>
  <si>
    <t>5108</t>
  </si>
  <si>
    <t>Bridgestone Corp.</t>
  </si>
  <si>
    <t>9022</t>
  </si>
  <si>
    <t>Central Japan Railway Co.</t>
  </si>
  <si>
    <t>DBK</t>
  </si>
  <si>
    <t>Deutsche Bank AG</t>
  </si>
  <si>
    <t>Tesco plc</t>
  </si>
  <si>
    <t>QSR</t>
  </si>
  <si>
    <t>Restaurant Brands International Inc.</t>
  </si>
  <si>
    <t>Equifax Inc.</t>
  </si>
  <si>
    <t>McCormick &amp; Co. Inc./MD</t>
  </si>
  <si>
    <t>Baxter International Inc.</t>
  </si>
  <si>
    <t>STAN</t>
  </si>
  <si>
    <t>Standard Chartered plc</t>
  </si>
  <si>
    <t>Merck KGaA</t>
  </si>
  <si>
    <t>eBay Inc.</t>
  </si>
  <si>
    <t>Church &amp; Dwight Co. Inc.</t>
  </si>
  <si>
    <t>STERIS plc</t>
  </si>
  <si>
    <t>Invitation Homes Inc.</t>
  </si>
  <si>
    <t>First Solar Inc.</t>
  </si>
  <si>
    <t>TEF</t>
  </si>
  <si>
    <t>Telefonica SA</t>
  </si>
  <si>
    <t>Genuine Parts Co.</t>
  </si>
  <si>
    <t>Ulta Beauty Inc.</t>
  </si>
  <si>
    <t>HLN</t>
  </si>
  <si>
    <t>Haleon plc</t>
  </si>
  <si>
    <t>HZNP</t>
  </si>
  <si>
    <t>Horizon Therapeutics plc</t>
  </si>
  <si>
    <t>International Flavors &amp; Fragrances Inc.</t>
  </si>
  <si>
    <t>CLNX</t>
  </si>
  <si>
    <t>Cellnex Telecom SA</t>
  </si>
  <si>
    <t>Hewlett Packard Enterprise Co.</t>
  </si>
  <si>
    <t>4543</t>
  </si>
  <si>
    <t>Terumo Corp.</t>
  </si>
  <si>
    <t>Raymond James Financial Inc.</t>
  </si>
  <si>
    <t>TRI</t>
  </si>
  <si>
    <t>Thomson Reuters Corp.</t>
  </si>
  <si>
    <t>ML</t>
  </si>
  <si>
    <t>Cie Generale des Etablissements Michelin SCA</t>
  </si>
  <si>
    <t>Vodafone Group plc</t>
  </si>
  <si>
    <t>ASM</t>
  </si>
  <si>
    <t>ASM International NV</t>
  </si>
  <si>
    <t>Walgreens Boots Alliance Inc.</t>
  </si>
  <si>
    <t>Orange SA</t>
  </si>
  <si>
    <t>DNB</t>
  </si>
  <si>
    <t>DNB Bank ASA</t>
  </si>
  <si>
    <t>NO</t>
  </si>
  <si>
    <t>Fair Isaac Corp.</t>
  </si>
  <si>
    <t>SAMPO</t>
  </si>
  <si>
    <t>Sampo Oyj</t>
  </si>
  <si>
    <t>Hartford Financial Services Group Inc.</t>
  </si>
  <si>
    <t>Westinghouse Air Brake Technologies Corp.</t>
  </si>
  <si>
    <t>GIB.A</t>
  </si>
  <si>
    <t>CGI Inc.</t>
  </si>
  <si>
    <t>Dover Corp.</t>
  </si>
  <si>
    <t>Willis Towers Watson plc</t>
  </si>
  <si>
    <t>9020</t>
  </si>
  <si>
    <t>East Japan Railway Co.</t>
  </si>
  <si>
    <t>7733</t>
  </si>
  <si>
    <t>Olympus Corp.</t>
  </si>
  <si>
    <t>ICLR</t>
  </si>
  <si>
    <t>ICON plc</t>
  </si>
  <si>
    <t>4901</t>
  </si>
  <si>
    <t>FUJIFILM Holdings Corp.</t>
  </si>
  <si>
    <t>Enphase Energy Inc.</t>
  </si>
  <si>
    <t>WPM</t>
  </si>
  <si>
    <t>Wheaton Precious Metals Corp.</t>
  </si>
  <si>
    <t>Alexandria Real Estate Equities Inc.</t>
  </si>
  <si>
    <t>Broadridge Financial Solutions Inc.</t>
  </si>
  <si>
    <t>NOKIA</t>
  </si>
  <si>
    <t>Nokia Oyj</t>
  </si>
  <si>
    <t>Fifth Third Bancorp</t>
  </si>
  <si>
    <t>Regions Financial Corp.</t>
  </si>
  <si>
    <t>Ventas Inc.</t>
  </si>
  <si>
    <t>DSFIR</t>
  </si>
  <si>
    <t>DSM-Firmenich AG</t>
  </si>
  <si>
    <t>MKL</t>
  </si>
  <si>
    <t>Markel Group Inc.</t>
  </si>
  <si>
    <t>Hologic Inc.</t>
  </si>
  <si>
    <t>SPOT</t>
  </si>
  <si>
    <t>Spotify Technology SA</t>
  </si>
  <si>
    <t>PUB</t>
  </si>
  <si>
    <t>Publicis Groupe SA</t>
  </si>
  <si>
    <t>ATCO B</t>
  </si>
  <si>
    <t>NET</t>
  </si>
  <si>
    <t>Cloudflare Inc.</t>
  </si>
  <si>
    <t>Laboratory Corp. of America Holdings</t>
  </si>
  <si>
    <t>Clorox Co.</t>
  </si>
  <si>
    <t>4519</t>
  </si>
  <si>
    <t>Chugai Pharmaceutical Co. Ltd.</t>
  </si>
  <si>
    <t>NVR Inc.</t>
  </si>
  <si>
    <t>RTO</t>
  </si>
  <si>
    <t>Rentokil Initial plc</t>
  </si>
  <si>
    <t>Insulet Corp.</t>
  </si>
  <si>
    <t>PHIA</t>
  </si>
  <si>
    <t>Koninklijke Philips NV</t>
  </si>
  <si>
    <t>Universal Music Group NV</t>
  </si>
  <si>
    <t>GLE</t>
  </si>
  <si>
    <t>Societe Generale SA</t>
  </si>
  <si>
    <t>Principal Financial Group Inc.</t>
  </si>
  <si>
    <t>CPNG</t>
  </si>
  <si>
    <t>Coupang Inc.</t>
  </si>
  <si>
    <t>SLHN</t>
  </si>
  <si>
    <t>Swiss Life Holding AG</t>
  </si>
  <si>
    <t>PulteGroup Inc.</t>
  </si>
  <si>
    <t>Iron Mountain Inc.</t>
  </si>
  <si>
    <t>Carnival Corp.</t>
  </si>
  <si>
    <t>PA</t>
  </si>
  <si>
    <t>Paycom Software Inc.</t>
  </si>
  <si>
    <t>GEBN</t>
  </si>
  <si>
    <t>Geberit AG</t>
  </si>
  <si>
    <t>DOL</t>
  </si>
  <si>
    <t>Dollarama Inc.</t>
  </si>
  <si>
    <t>SPLK</t>
  </si>
  <si>
    <t>Splunk Inc.</t>
  </si>
  <si>
    <t>7269</t>
  </si>
  <si>
    <t>Suzuki Motor Corp.</t>
  </si>
  <si>
    <t>6971</t>
  </si>
  <si>
    <t>Kyocera Corp.</t>
  </si>
  <si>
    <t>8801</t>
  </si>
  <si>
    <t>Mitsui Fudosan Co. Ltd.</t>
  </si>
  <si>
    <t>LPLA</t>
  </si>
  <si>
    <t>LPL Financial Holdings Inc.</t>
  </si>
  <si>
    <t>2802</t>
  </si>
  <si>
    <t>Ajinomoto Co. Inc.</t>
  </si>
  <si>
    <t>FleetCor Technologies Inc.</t>
  </si>
  <si>
    <t>ZM</t>
  </si>
  <si>
    <t>Zoom Video Communications Inc.</t>
  </si>
  <si>
    <t>Teradyne Inc.</t>
  </si>
  <si>
    <t>Expeditors International of Washington Inc.</t>
  </si>
  <si>
    <t>Mid-America Apartment Communities Inc.</t>
  </si>
  <si>
    <t>Molina Healthcare Inc.</t>
  </si>
  <si>
    <t>VeriSign Inc.</t>
  </si>
  <si>
    <t>8750</t>
  </si>
  <si>
    <t>Dai-ichi Life Holdings Inc.</t>
  </si>
  <si>
    <t>LGEN</t>
  </si>
  <si>
    <t>Legal &amp; General Group plc</t>
  </si>
  <si>
    <t>NetApp Inc.</t>
  </si>
  <si>
    <t>Huntington Bancshares Inc./OH</t>
  </si>
  <si>
    <t>SWED A</t>
  </si>
  <si>
    <t>Swedbank AB</t>
  </si>
  <si>
    <t>Cooper Cos. Inc.</t>
  </si>
  <si>
    <t>Omnicom Group Inc.</t>
  </si>
  <si>
    <t>NWG</t>
  </si>
  <si>
    <t>NatWest Group plc</t>
  </si>
  <si>
    <t>4911</t>
  </si>
  <si>
    <t>Shiseido Co. Ltd.</t>
  </si>
  <si>
    <t>Northern Trust Corp.</t>
  </si>
  <si>
    <t>RBLX</t>
  </si>
  <si>
    <t>ROBLOX Corp.</t>
  </si>
  <si>
    <t>Brown &amp; Brown Inc.</t>
  </si>
  <si>
    <t>16</t>
  </si>
  <si>
    <t>Sun Hung Kai Properties Ltd.</t>
  </si>
  <si>
    <t>PINS</t>
  </si>
  <si>
    <t>Pinterest Inc.</t>
  </si>
  <si>
    <t>FFH</t>
  </si>
  <si>
    <t>Fairfax Financial Holdings Ltd.</t>
  </si>
  <si>
    <t>EXAS</t>
  </si>
  <si>
    <t>Exact Sciences Corp.</t>
  </si>
  <si>
    <t>KBC</t>
  </si>
  <si>
    <t>KBC Group NV</t>
  </si>
  <si>
    <t>BE</t>
  </si>
  <si>
    <t>Kellogg Co.</t>
  </si>
  <si>
    <t>4523</t>
  </si>
  <si>
    <t>Eisai Co. Ltd.</t>
  </si>
  <si>
    <t>Nasdaq Inc.</t>
  </si>
  <si>
    <t>FactSet Research Systems Inc.</t>
  </si>
  <si>
    <t>IDEX Corp.</t>
  </si>
  <si>
    <t>8725</t>
  </si>
  <si>
    <t>MS&amp;AD Insurance Group Holdings Inc.</t>
  </si>
  <si>
    <t>Skyworks Solutions Inc.</t>
  </si>
  <si>
    <t>4452</t>
  </si>
  <si>
    <t>Kao Corp.</t>
  </si>
  <si>
    <t>JB Hunt Transport Services Inc.</t>
  </si>
  <si>
    <t>UPM</t>
  </si>
  <si>
    <t>UPM-Kymmene Oyj</t>
  </si>
  <si>
    <t>Atmos Energy Corp.</t>
  </si>
  <si>
    <t>STMN</t>
  </si>
  <si>
    <t>Straumann Holding AG</t>
  </si>
  <si>
    <t>DTG</t>
  </si>
  <si>
    <t>Daimler Truck Holding AG</t>
  </si>
  <si>
    <t>EPI A</t>
  </si>
  <si>
    <t>Epiroc AB</t>
  </si>
  <si>
    <t>Best Buy Co. Inc.</t>
  </si>
  <si>
    <t>Zebra Technologies Corp.</t>
  </si>
  <si>
    <t>Expedia Group Inc.</t>
  </si>
  <si>
    <t>Waters Corp.</t>
  </si>
  <si>
    <t>KNEBV</t>
  </si>
  <si>
    <t>Kone Oyj</t>
  </si>
  <si>
    <t>1925</t>
  </si>
  <si>
    <t>Daiwa House Industry Co. Ltd.</t>
  </si>
  <si>
    <t>CF Industries Holdings Inc.</t>
  </si>
  <si>
    <t>SUI</t>
  </si>
  <si>
    <t>Sun Communities Inc.</t>
  </si>
  <si>
    <t>4578</t>
  </si>
  <si>
    <t>Otsuka Holdings Co. Ltd.</t>
  </si>
  <si>
    <t>Garmin Ltd.</t>
  </si>
  <si>
    <t>Cincinnati Financial Corp.</t>
  </si>
  <si>
    <t>Tyler Technologies Inc.</t>
  </si>
  <si>
    <t>BMRN</t>
  </si>
  <si>
    <t>BioMarin Pharmaceutical Inc.</t>
  </si>
  <si>
    <t>6178</t>
  </si>
  <si>
    <t>Japan Post Holdings Co. Ltd.</t>
  </si>
  <si>
    <t>ESSITY B</t>
  </si>
  <si>
    <t>Essity AB</t>
  </si>
  <si>
    <t>TRU</t>
  </si>
  <si>
    <t>TransUnion</t>
  </si>
  <si>
    <t>Siemens Healthineers AG</t>
  </si>
  <si>
    <t>Steel Dynamics Inc.</t>
  </si>
  <si>
    <t>Citizens Financial Group Inc.</t>
  </si>
  <si>
    <t>EDEN</t>
  </si>
  <si>
    <t>Edenred</t>
  </si>
  <si>
    <t>PTC Inc.</t>
  </si>
  <si>
    <t>KRZ</t>
  </si>
  <si>
    <t>Kerry Group plc</t>
  </si>
  <si>
    <t>Essex Property Trust Inc.</t>
  </si>
  <si>
    <t>SCMN</t>
  </si>
  <si>
    <t>Swisscom AG</t>
  </si>
  <si>
    <t>6326</t>
  </si>
  <si>
    <t>Kubota Corp.</t>
  </si>
  <si>
    <t>Bunge Ltd.</t>
  </si>
  <si>
    <t>J M Smucker Co.</t>
  </si>
  <si>
    <t>Quest Diagnostics Inc.</t>
  </si>
  <si>
    <t>669</t>
  </si>
  <si>
    <t>Techtronic Industries Co. Ltd.</t>
  </si>
  <si>
    <t>Machinery: Tools</t>
  </si>
  <si>
    <t>Pool Corp.</t>
  </si>
  <si>
    <t>MG</t>
  </si>
  <si>
    <t>Magna International Inc.</t>
  </si>
  <si>
    <t>Synchrony Financial</t>
  </si>
  <si>
    <t>8267</t>
  </si>
  <si>
    <t>Aeon Co. Ltd.</t>
  </si>
  <si>
    <t>Revvity Inc.</t>
  </si>
  <si>
    <t>Lamb Weston Holdings Inc.</t>
  </si>
  <si>
    <t>Avery Dennison Corp.</t>
  </si>
  <si>
    <t>823</t>
  </si>
  <si>
    <t>Link REIT</t>
  </si>
  <si>
    <t>Z74</t>
  </si>
  <si>
    <t>Singapore Telecommunications Ltd.</t>
  </si>
  <si>
    <t>KNIN</t>
  </si>
  <si>
    <t>Kuehne + Nagel International AG</t>
  </si>
  <si>
    <t>Stanley Black &amp; Decker Inc.</t>
  </si>
  <si>
    <t>Snap-on Inc.</t>
  </si>
  <si>
    <t>Everest Group Ltd.</t>
  </si>
  <si>
    <t>MONC</t>
  </si>
  <si>
    <t>Moncler SPA</t>
  </si>
  <si>
    <t>SY1</t>
  </si>
  <si>
    <t>Symrise AG</t>
  </si>
  <si>
    <t>CNHI</t>
  </si>
  <si>
    <t>CNH Industrial NV</t>
  </si>
  <si>
    <t>BAER</t>
  </si>
  <si>
    <t>Julius Baer Group Ltd.</t>
  </si>
  <si>
    <t>Live Nation Entertainment Inc.</t>
  </si>
  <si>
    <t>Mosaic Co.</t>
  </si>
  <si>
    <t>8113</t>
  </si>
  <si>
    <t>Unicharm Corp.</t>
  </si>
  <si>
    <t>Tyson Foods Inc.</t>
  </si>
  <si>
    <t>Packaging Corp. of America</t>
  </si>
  <si>
    <t>CHKP</t>
  </si>
  <si>
    <t>Check Point Software Technologies Ltd.</t>
  </si>
  <si>
    <t>IL</t>
  </si>
  <si>
    <t>Cboe Global Markets Inc.</t>
  </si>
  <si>
    <t>Akamai Technologies Inc.</t>
  </si>
  <si>
    <t>8802</t>
  </si>
  <si>
    <t>Mitsubishi Estate Co. Ltd.</t>
  </si>
  <si>
    <t>ACA</t>
  </si>
  <si>
    <t>Credit Agricole SA</t>
  </si>
  <si>
    <t>WPC</t>
  </si>
  <si>
    <t>WP Carey Inc.</t>
  </si>
  <si>
    <t>CABK</t>
  </si>
  <si>
    <t>CaixaBank SA</t>
  </si>
  <si>
    <t>RIVN</t>
  </si>
  <si>
    <t>Rivian Automotive Inc.</t>
  </si>
  <si>
    <t>8309</t>
  </si>
  <si>
    <t>Sumitomo Mitsui Trust Holdings Inc.</t>
  </si>
  <si>
    <t>AKZA</t>
  </si>
  <si>
    <t>Akzo Nobel NV</t>
  </si>
  <si>
    <t>UDR Inc.</t>
  </si>
  <si>
    <t>VNA</t>
  </si>
  <si>
    <t>Vonovia SE</t>
  </si>
  <si>
    <t>NICE</t>
  </si>
  <si>
    <t>Nice Ltd.</t>
  </si>
  <si>
    <t>STLAP</t>
  </si>
  <si>
    <t>Conagra Brands Inc.</t>
  </si>
  <si>
    <t>AV.</t>
  </si>
  <si>
    <t>Aviva plc</t>
  </si>
  <si>
    <t>6146</t>
  </si>
  <si>
    <t>Disco Corp.</t>
  </si>
  <si>
    <t>8630</t>
  </si>
  <si>
    <t>Sompo Holdings Inc.</t>
  </si>
  <si>
    <t>RO</t>
  </si>
  <si>
    <t>Masco Corp.</t>
  </si>
  <si>
    <t>LKQ Corp.</t>
  </si>
  <si>
    <t>COLO B</t>
  </si>
  <si>
    <t>Coloplast A/S</t>
  </si>
  <si>
    <t>SOON</t>
  </si>
  <si>
    <t>Sonova Holding AG</t>
  </si>
  <si>
    <t>Bio-Techne Corp.</t>
  </si>
  <si>
    <t>SolarEdge Technologies Inc.</t>
  </si>
  <si>
    <t>Host Hotels &amp; Resorts Inc.</t>
  </si>
  <si>
    <t>Hotel and Lodging REITs</t>
  </si>
  <si>
    <t>Western Digital Corp.</t>
  </si>
  <si>
    <t>Fox Corp.</t>
  </si>
  <si>
    <t>SCHN</t>
  </si>
  <si>
    <t>Schindler Holding AG</t>
  </si>
  <si>
    <t>EPAM Systems Inc.</t>
  </si>
  <si>
    <t>Match Group Inc.</t>
  </si>
  <si>
    <t>Domino's Pizza Inc.</t>
  </si>
  <si>
    <t>Viatris Inc.</t>
  </si>
  <si>
    <t>SN.</t>
  </si>
  <si>
    <t>Smith &amp; Nephew plc</t>
  </si>
  <si>
    <t>Healthpeak Properties Inc.</t>
  </si>
  <si>
    <t>CBK</t>
  </si>
  <si>
    <t>Commerzbank AG</t>
  </si>
  <si>
    <t>ZS</t>
  </si>
  <si>
    <t>Zscaler Inc.</t>
  </si>
  <si>
    <t>6762</t>
  </si>
  <si>
    <t>TDK Corp.</t>
  </si>
  <si>
    <t>6701</t>
  </si>
  <si>
    <t>NEC Corp.</t>
  </si>
  <si>
    <t>SSNC</t>
  </si>
  <si>
    <t>SS&amp;C Technologies Holdings Inc.</t>
  </si>
  <si>
    <t>ERIC B</t>
  </si>
  <si>
    <t>Telefonaktiebolaget LM Ericsson</t>
  </si>
  <si>
    <t>Trimble Inc.</t>
  </si>
  <si>
    <t>SEB A</t>
  </si>
  <si>
    <t>Skandinaviska Enskilda Banken AB</t>
  </si>
  <si>
    <t>AENA</t>
  </si>
  <si>
    <t>Aena SME SA</t>
  </si>
  <si>
    <t>ELS</t>
  </si>
  <si>
    <t>Equity LifeStyle Properties Inc.</t>
  </si>
  <si>
    <t>NIBE B</t>
  </si>
  <si>
    <t>Nibe Industrier AB</t>
  </si>
  <si>
    <t>Seagate Technology Holdings plc</t>
  </si>
  <si>
    <t>INF</t>
  </si>
  <si>
    <t>Informa plc</t>
  </si>
  <si>
    <t>LISP</t>
  </si>
  <si>
    <t>Chocoladefabriken Lindt &amp; Spruengli AG</t>
  </si>
  <si>
    <t>BEI</t>
  </si>
  <si>
    <t>Beiersdorf AG</t>
  </si>
  <si>
    <t>W R Berkley Corp.</t>
  </si>
  <si>
    <t>CarMax Inc.</t>
  </si>
  <si>
    <t>International Paper Co.</t>
  </si>
  <si>
    <t>Etsy Inc.</t>
  </si>
  <si>
    <t>LUMI</t>
  </si>
  <si>
    <t>Bank Leumi Le-Israel BM</t>
  </si>
  <si>
    <t>Interpublic Group of Cos. Inc.</t>
  </si>
  <si>
    <t>7832</t>
  </si>
  <si>
    <t>Bandai Namco Holdings Inc.</t>
  </si>
  <si>
    <t>FRE</t>
  </si>
  <si>
    <t>Fresenius SE &amp; Co. KGaA</t>
  </si>
  <si>
    <t>4307</t>
  </si>
  <si>
    <t>Nomura Research Institute Ltd.</t>
  </si>
  <si>
    <t>6869</t>
  </si>
  <si>
    <t>Sysmex Corp.</t>
  </si>
  <si>
    <t>MRU</t>
  </si>
  <si>
    <t>Metro Inc./CN</t>
  </si>
  <si>
    <t>9735</t>
  </si>
  <si>
    <t>Secom Co. Ltd.</t>
  </si>
  <si>
    <t>7182</t>
  </si>
  <si>
    <t>Japan Post Bank Co. Ltd.</t>
  </si>
  <si>
    <t>BMW3</t>
  </si>
  <si>
    <t>EBS</t>
  </si>
  <si>
    <t>Erste Group Bank AG</t>
  </si>
  <si>
    <t>AT</t>
  </si>
  <si>
    <t>AVTR</t>
  </si>
  <si>
    <t>Avantor Inc.</t>
  </si>
  <si>
    <t>CCEP</t>
  </si>
  <si>
    <t>Coca-Cola Europacific Partners plc</t>
  </si>
  <si>
    <t>FLEX</t>
  </si>
  <si>
    <t>Flex Ltd.</t>
  </si>
  <si>
    <t>HNR1</t>
  </si>
  <si>
    <t>Hannover Rueck SE</t>
  </si>
  <si>
    <t>GDDY</t>
  </si>
  <si>
    <t>GoDaddy Inc.</t>
  </si>
  <si>
    <t>FMC Corp.</t>
  </si>
  <si>
    <t>LISN</t>
  </si>
  <si>
    <t>BCE</t>
  </si>
  <si>
    <t>BCE Inc.</t>
  </si>
  <si>
    <t>8308</t>
  </si>
  <si>
    <t>Resona Holdings Inc.</t>
  </si>
  <si>
    <t>BNR</t>
  </si>
  <si>
    <t>Brenntag SE</t>
  </si>
  <si>
    <t>Incyte Corp.</t>
  </si>
  <si>
    <t>BILL</t>
  </si>
  <si>
    <t>BILL Holdings Inc.</t>
  </si>
  <si>
    <t>KRX</t>
  </si>
  <si>
    <t>Kingspan Group plc</t>
  </si>
  <si>
    <t>OKTA</t>
  </si>
  <si>
    <t>Okta Inc.</t>
  </si>
  <si>
    <t>Loblaw Cos. Ltd.</t>
  </si>
  <si>
    <t>POLI</t>
  </si>
  <si>
    <t>Bank Hapoalim BM</t>
  </si>
  <si>
    <t>Kimco Realty Corp.</t>
  </si>
  <si>
    <t>BURL</t>
  </si>
  <si>
    <t>Burlington Stores Inc.</t>
  </si>
  <si>
    <t>KPN</t>
  </si>
  <si>
    <t>Koninklijke KPN NV</t>
  </si>
  <si>
    <t>Hormel Foods Corp.</t>
  </si>
  <si>
    <t>6506</t>
  </si>
  <si>
    <t>Yaskawa Electric Corp.</t>
  </si>
  <si>
    <t>U</t>
  </si>
  <si>
    <t>Unity Software Inc.</t>
  </si>
  <si>
    <t>RPRX</t>
  </si>
  <si>
    <t>Royalty Pharma plc</t>
  </si>
  <si>
    <t>BIRG</t>
  </si>
  <si>
    <t>Bank of Ireland Group plc</t>
  </si>
  <si>
    <t>Jack Henry &amp; Associates Inc.</t>
  </si>
  <si>
    <t>Loews Corp.</t>
  </si>
  <si>
    <t>BNZL</t>
  </si>
  <si>
    <t>Bunzl plc</t>
  </si>
  <si>
    <t>HEI</t>
  </si>
  <si>
    <t>Heidelberg Materials AG</t>
  </si>
  <si>
    <t>Teleflex Inc.</t>
  </si>
  <si>
    <t>CH Robinson Worldwide Inc.</t>
  </si>
  <si>
    <t>TWLO</t>
  </si>
  <si>
    <t>Twilio Inc.</t>
  </si>
  <si>
    <t>KeyCorp</t>
  </si>
  <si>
    <t>SGRO</t>
  </si>
  <si>
    <t>Segro plc</t>
  </si>
  <si>
    <t>WPP</t>
  </si>
  <si>
    <t>WPP plc</t>
  </si>
  <si>
    <t>7309</t>
  </si>
  <si>
    <t>Shimano Inc.</t>
  </si>
  <si>
    <t>Carrefour SA</t>
  </si>
  <si>
    <t>1928</t>
  </si>
  <si>
    <t>Sekisui House Ltd.</t>
  </si>
  <si>
    <t>9101</t>
  </si>
  <si>
    <t>Nippon Yusen KK</t>
  </si>
  <si>
    <t>Next plc</t>
  </si>
  <si>
    <t>SGE</t>
  </si>
  <si>
    <t>Sage Group plc</t>
  </si>
  <si>
    <t>TRN</t>
  </si>
  <si>
    <t>Terna - Rete Elettrica Nazionale</t>
  </si>
  <si>
    <t>11</t>
  </si>
  <si>
    <t>Hang Seng Bank Ltd.</t>
  </si>
  <si>
    <t>4507</t>
  </si>
  <si>
    <t>Shionogi &amp; Co. Ltd.</t>
  </si>
  <si>
    <t>Qorvo Inc.</t>
  </si>
  <si>
    <t>CRDA</t>
  </si>
  <si>
    <t>Croda International plc</t>
  </si>
  <si>
    <t>6920</t>
  </si>
  <si>
    <t>Lasertec Corp.</t>
  </si>
  <si>
    <t>DOX</t>
  </si>
  <si>
    <t>Amdocs Ltd.</t>
  </si>
  <si>
    <t>GG</t>
  </si>
  <si>
    <t>UCB</t>
  </si>
  <si>
    <t>NN</t>
  </si>
  <si>
    <t>NN Group NV</t>
  </si>
  <si>
    <t>BT.A</t>
  </si>
  <si>
    <t>BT Group plc</t>
  </si>
  <si>
    <t>MB</t>
  </si>
  <si>
    <t>Mediobanca Banca di Credito Finanziario SPA</t>
  </si>
  <si>
    <t>5802</t>
  </si>
  <si>
    <t>Sumitomo Electric Industries Ltd.</t>
  </si>
  <si>
    <t>BRBY</t>
  </si>
  <si>
    <t>Burberry Group plc</t>
  </si>
  <si>
    <t>4684</t>
  </si>
  <si>
    <t>Obic Co. Ltd.</t>
  </si>
  <si>
    <t>Charles River Laboratories International Inc.</t>
  </si>
  <si>
    <t>BorgWarner Inc.</t>
  </si>
  <si>
    <t>VACN</t>
  </si>
  <si>
    <t>VAT Group AG</t>
  </si>
  <si>
    <t>MAERSK B</t>
  </si>
  <si>
    <t>AP Moller - Maersk A/S</t>
  </si>
  <si>
    <t>Boston Properties Inc.</t>
  </si>
  <si>
    <t>2388</t>
  </si>
  <si>
    <t>BOC Hong Kong Holdings Ltd.</t>
  </si>
  <si>
    <t>QIA</t>
  </si>
  <si>
    <t>DOCU</t>
  </si>
  <si>
    <t>DocuSign Inc.</t>
  </si>
  <si>
    <t>Gen Digital Inc.</t>
  </si>
  <si>
    <t>6988</t>
  </si>
  <si>
    <t>Nitto Denko Corp.</t>
  </si>
  <si>
    <t>HLMA</t>
  </si>
  <si>
    <t>Halma plc</t>
  </si>
  <si>
    <t>8604</t>
  </si>
  <si>
    <t>Nomura Holdings Inc.</t>
  </si>
  <si>
    <t>EQH</t>
  </si>
  <si>
    <t>Equitable Holdings Inc.</t>
  </si>
  <si>
    <t>BESI</t>
  </si>
  <si>
    <t>BE Semiconductor Industries NV</t>
  </si>
  <si>
    <t>AGN</t>
  </si>
  <si>
    <t>Aegon NV</t>
  </si>
  <si>
    <t>NZYM B</t>
  </si>
  <si>
    <t>Novozymes A/S</t>
  </si>
  <si>
    <t>HEN3</t>
  </si>
  <si>
    <t>Henkel AG &amp; Co. KGaA</t>
  </si>
  <si>
    <t>HM B</t>
  </si>
  <si>
    <t>H &amp; M Hennes &amp; Mauritz AB</t>
  </si>
  <si>
    <t>8830</t>
  </si>
  <si>
    <t>Sumitomo Realty &amp; Development Co. Ltd.</t>
  </si>
  <si>
    <t>6201</t>
  </si>
  <si>
    <t>Toyota Industries Corp.</t>
  </si>
  <si>
    <t>Globe Life Inc.</t>
  </si>
  <si>
    <t>GBLB</t>
  </si>
  <si>
    <t>Groupe Bruxelles Lambert NV</t>
  </si>
  <si>
    <t>IHG</t>
  </si>
  <si>
    <t>InterContinental Hotels Group plc</t>
  </si>
  <si>
    <t>FNF</t>
  </si>
  <si>
    <t>Fidelity National Financial Inc.</t>
  </si>
  <si>
    <t>Regency Centers Corp.</t>
  </si>
  <si>
    <t>FME</t>
  </si>
  <si>
    <t>Fresenius Medical Care AG &amp; Co. KGaA</t>
  </si>
  <si>
    <t>HEN</t>
  </si>
  <si>
    <t>LOGN</t>
  </si>
  <si>
    <t>Logitech International SA</t>
  </si>
  <si>
    <t>Generac Holdings Inc.</t>
  </si>
  <si>
    <t>MarketAxess Holdings Inc.</t>
  </si>
  <si>
    <t>Allegion plc</t>
  </si>
  <si>
    <t>Rollins Inc.</t>
  </si>
  <si>
    <t>ARMK</t>
  </si>
  <si>
    <t>Aramark</t>
  </si>
  <si>
    <t>Paramount Global</t>
  </si>
  <si>
    <t>PNDORA</t>
  </si>
  <si>
    <t>Pandora A/S</t>
  </si>
  <si>
    <t>7272</t>
  </si>
  <si>
    <t>Yamaha Motor Co. Ltd.</t>
  </si>
  <si>
    <t>9843</t>
  </si>
  <si>
    <t>Nitori Holdings Co. Ltd.</t>
  </si>
  <si>
    <t>6645</t>
  </si>
  <si>
    <t>Omron Corp.</t>
  </si>
  <si>
    <t>WTB</t>
  </si>
  <si>
    <t>Whitbread plc</t>
  </si>
  <si>
    <t>1COV</t>
  </si>
  <si>
    <t>Covestro AG</t>
  </si>
  <si>
    <t>Vail Resorts Inc.</t>
  </si>
  <si>
    <t>4612</t>
  </si>
  <si>
    <t>Nippon Paint Holdings Co. Ltd.</t>
  </si>
  <si>
    <t>LBRDK</t>
  </si>
  <si>
    <t>Liberty Broadband Corp.</t>
  </si>
  <si>
    <t>ARW</t>
  </si>
  <si>
    <t>Arrow Electronics Inc.</t>
  </si>
  <si>
    <t>WLN</t>
  </si>
  <si>
    <t>Worldline SA/France</t>
  </si>
  <si>
    <t>DHER</t>
  </si>
  <si>
    <t>Delivery Hero SE</t>
  </si>
  <si>
    <t>Juniper Networks Inc.</t>
  </si>
  <si>
    <t>ALLY</t>
  </si>
  <si>
    <t>Ally Financial Inc.</t>
  </si>
  <si>
    <t>9021</t>
  </si>
  <si>
    <t>West Japan Railway Co.</t>
  </si>
  <si>
    <t>Campbell Soup Co.</t>
  </si>
  <si>
    <t>Henry Schein Inc.</t>
  </si>
  <si>
    <t>2413</t>
  </si>
  <si>
    <t>M3 Inc.</t>
  </si>
  <si>
    <t>Bio-Rad Laboratories Inc.</t>
  </si>
  <si>
    <t>SIGN</t>
  </si>
  <si>
    <t>SIG Group AG</t>
  </si>
  <si>
    <t>FBK</t>
  </si>
  <si>
    <t>FinecoBank Banca Fineco SPA</t>
  </si>
  <si>
    <t>Catalent Inc.</t>
  </si>
  <si>
    <t>Ceridian HCM Holding Inc.</t>
  </si>
  <si>
    <t>SHB A</t>
  </si>
  <si>
    <t>Svenska Handelsbanken AB</t>
  </si>
  <si>
    <t>NLY</t>
  </si>
  <si>
    <t>Annaly Capital Management Inc.</t>
  </si>
  <si>
    <t>Mortgage REITs: Residential</t>
  </si>
  <si>
    <t>NHY</t>
  </si>
  <si>
    <t>Norsk Hydro ASA</t>
  </si>
  <si>
    <t>H</t>
  </si>
  <si>
    <t>Hydro One Ltd.</t>
  </si>
  <si>
    <t>Hasbro Inc.</t>
  </si>
  <si>
    <t>LEA</t>
  </si>
  <si>
    <t>Lear Corp.</t>
  </si>
  <si>
    <t>F5 Inc.</t>
  </si>
  <si>
    <t>ABF</t>
  </si>
  <si>
    <t>Associated British Foods plc</t>
  </si>
  <si>
    <t>Federal Realty Investment Trust</t>
  </si>
  <si>
    <t>FBIN</t>
  </si>
  <si>
    <t>Fortune Brands Innovations Inc.</t>
  </si>
  <si>
    <t>UU.</t>
  </si>
  <si>
    <t>United Utilities Group plc</t>
  </si>
  <si>
    <t>DENTSPLY SIRONA Inc.</t>
  </si>
  <si>
    <t>BN4</t>
  </si>
  <si>
    <t>Keppel Corp. Ltd.</t>
  </si>
  <si>
    <t>9697</t>
  </si>
  <si>
    <t>Capcom Co. Ltd.</t>
  </si>
  <si>
    <t>7201</t>
  </si>
  <si>
    <t>Nissan Motor Co. Ltd.</t>
  </si>
  <si>
    <t>BOL</t>
  </si>
  <si>
    <t>Boliden AB</t>
  </si>
  <si>
    <t>RNR</t>
  </si>
  <si>
    <t>RenaissanceRe Holdings Ltd.</t>
  </si>
  <si>
    <t>9613</t>
  </si>
  <si>
    <t>NTT Data Group Corp.</t>
  </si>
  <si>
    <t>1997</t>
  </si>
  <si>
    <t>Wharf Real Estate Investment Co. Ltd.</t>
  </si>
  <si>
    <t>EXO</t>
  </si>
  <si>
    <t>9104</t>
  </si>
  <si>
    <t>Mitsui OSK Lines Ltd.</t>
  </si>
  <si>
    <t>CON</t>
  </si>
  <si>
    <t>Continental AG</t>
  </si>
  <si>
    <t>MNDI</t>
  </si>
  <si>
    <t>Mondi plc</t>
  </si>
  <si>
    <t>Universal Health Services Inc.</t>
  </si>
  <si>
    <t>Autoliv Inc.</t>
  </si>
  <si>
    <t>Bath &amp; Body Works Inc.</t>
  </si>
  <si>
    <t>UHRN</t>
  </si>
  <si>
    <t>Swatch Group AG</t>
  </si>
  <si>
    <t>3402</t>
  </si>
  <si>
    <t>Toray Industries Inc.</t>
  </si>
  <si>
    <t>7532</t>
  </si>
  <si>
    <t>Pan Pacific International Holdings Corp.</t>
  </si>
  <si>
    <t>TEP</t>
  </si>
  <si>
    <t>Teleperformance</t>
  </si>
  <si>
    <t>SVT</t>
  </si>
  <si>
    <t>Severn Trent plc</t>
  </si>
  <si>
    <t>8795</t>
  </si>
  <si>
    <t>T&amp;D Holdings Inc.</t>
  </si>
  <si>
    <t>SOLB</t>
  </si>
  <si>
    <t>Solvay SA</t>
  </si>
  <si>
    <t>Franklin Resources Inc.</t>
  </si>
  <si>
    <t>3407</t>
  </si>
  <si>
    <t>Asahi Kasei Corp.</t>
  </si>
  <si>
    <t>ERF</t>
  </si>
  <si>
    <t>Eurofins Scientific SE</t>
  </si>
  <si>
    <t>JAZZ</t>
  </si>
  <si>
    <t>Jazz Pharmaceuticals plc</t>
  </si>
  <si>
    <t>BALN</t>
  </si>
  <si>
    <t>Baloise Holding AG</t>
  </si>
  <si>
    <t>GWO</t>
  </si>
  <si>
    <t>Great-West Lifeco Inc.</t>
  </si>
  <si>
    <t>PSON</t>
  </si>
  <si>
    <t>Pearson plc</t>
  </si>
  <si>
    <t>3659</t>
  </si>
  <si>
    <t>Nexon Co. Ltd.</t>
  </si>
  <si>
    <t>Robert Half Inc.</t>
  </si>
  <si>
    <t>Westrock Co.</t>
  </si>
  <si>
    <t>IMCD</t>
  </si>
  <si>
    <t>IMCD NV</t>
  </si>
  <si>
    <t>4689</t>
  </si>
  <si>
    <t>Z Holdings Corp.</t>
  </si>
  <si>
    <t>DIM</t>
  </si>
  <si>
    <t>Sartorius Stedim Biotech</t>
  </si>
  <si>
    <t>MOWI</t>
  </si>
  <si>
    <t>Mowi ASA</t>
  </si>
  <si>
    <t>Whirlpool Corp.</t>
  </si>
  <si>
    <t>PUM</t>
  </si>
  <si>
    <t>Puma SE</t>
  </si>
  <si>
    <t>Admiral Group plc</t>
  </si>
  <si>
    <t>9005</t>
  </si>
  <si>
    <t>Tokyu Corp.</t>
  </si>
  <si>
    <t>ZAL</t>
  </si>
  <si>
    <t>Zalando SE</t>
  </si>
  <si>
    <t>9042</t>
  </si>
  <si>
    <t>Hankyu Hanshin Holdings Inc.</t>
  </si>
  <si>
    <t>C38U</t>
  </si>
  <si>
    <t>CapitaLand Integrated Commercial Trust</t>
  </si>
  <si>
    <t>6963</t>
  </si>
  <si>
    <t>Rohm Co. Ltd.</t>
  </si>
  <si>
    <t>2267</t>
  </si>
  <si>
    <t>Yakult Honsha Co. Ltd.</t>
  </si>
  <si>
    <t>JMT</t>
  </si>
  <si>
    <t>Jeronimo Martins SGPS SA</t>
  </si>
  <si>
    <t>PT</t>
  </si>
  <si>
    <t>CHR</t>
  </si>
  <si>
    <t>Chr Hansen Holding A/S</t>
  </si>
  <si>
    <t>Delta Air Lines Inc.</t>
  </si>
  <si>
    <t>SPSN</t>
  </si>
  <si>
    <t>Swiss Prime Site AG</t>
  </si>
  <si>
    <t>ELISA</t>
  </si>
  <si>
    <t>Elisa Oyj</t>
  </si>
  <si>
    <t>AGS</t>
  </si>
  <si>
    <t>Ageas SA/NV</t>
  </si>
  <si>
    <t>4188</t>
  </si>
  <si>
    <t>Mitsubishi Chemical Group Corp.</t>
  </si>
  <si>
    <t>7701</t>
  </si>
  <si>
    <t>Shimadzu Corp.</t>
  </si>
  <si>
    <t>WISE</t>
  </si>
  <si>
    <t>Wise plc</t>
  </si>
  <si>
    <t>Isuzu Motors Ltd.</t>
  </si>
  <si>
    <t>8697</t>
  </si>
  <si>
    <t>Japan Exchange Group Inc.</t>
  </si>
  <si>
    <t>INDU A</t>
  </si>
  <si>
    <t>Industrivarden AB</t>
  </si>
  <si>
    <t>4528</t>
  </si>
  <si>
    <t>Ono Pharmaceutical Co. Ltd.</t>
  </si>
  <si>
    <t>ANTO</t>
  </si>
  <si>
    <t>Antofagasta plc</t>
  </si>
  <si>
    <t>OCDO</t>
  </si>
  <si>
    <t>Ocado Group plc</t>
  </si>
  <si>
    <t>7912</t>
  </si>
  <si>
    <t>Dai Nippon Printing Co. Ltd.</t>
  </si>
  <si>
    <t>Forms and Bulk Printing Services</t>
  </si>
  <si>
    <t>WN</t>
  </si>
  <si>
    <t>George Weston Ltd.</t>
  </si>
  <si>
    <t>VF Corp.</t>
  </si>
  <si>
    <t>S68</t>
  </si>
  <si>
    <t>Singapore Exchange Ltd.</t>
  </si>
  <si>
    <t>ZI</t>
  </si>
  <si>
    <t>ZoomInfo Technologies Inc.</t>
  </si>
  <si>
    <t>PLUG</t>
  </si>
  <si>
    <t>Plug Power Inc.</t>
  </si>
  <si>
    <t>6586</t>
  </si>
  <si>
    <t>Makita Corp.</t>
  </si>
  <si>
    <t>Arkema SA</t>
  </si>
  <si>
    <t>Comerica Inc.</t>
  </si>
  <si>
    <t>LBTYK</t>
  </si>
  <si>
    <t>Liberty Global plc</t>
  </si>
  <si>
    <t>ABN</t>
  </si>
  <si>
    <t>ABN AMRO Bank NV</t>
  </si>
  <si>
    <t>3088</t>
  </si>
  <si>
    <t>MatsukiyoCocokara &amp; Co.</t>
  </si>
  <si>
    <t>SCA B</t>
  </si>
  <si>
    <t>Svenska Cellulosa AB SCA</t>
  </si>
  <si>
    <t>Forestry</t>
  </si>
  <si>
    <t>9064</t>
  </si>
  <si>
    <t>Yamato Holdings Co. Ltd.</t>
  </si>
  <si>
    <t>IFT</t>
  </si>
  <si>
    <t>Infratil Ltd.</t>
  </si>
  <si>
    <t>STJ</t>
  </si>
  <si>
    <t>St. James's Place plc</t>
  </si>
  <si>
    <t>SKF B</t>
  </si>
  <si>
    <t>VOYA</t>
  </si>
  <si>
    <t>Voya Financial Inc.</t>
  </si>
  <si>
    <t>Accor SA</t>
  </si>
  <si>
    <t>BME</t>
  </si>
  <si>
    <t>B&amp;M European Value Retail SA</t>
  </si>
  <si>
    <t>STERV</t>
  </si>
  <si>
    <t>Stora Enso Oyj</t>
  </si>
  <si>
    <t>ABDN</t>
  </si>
  <si>
    <t>abrdn plc</t>
  </si>
  <si>
    <t>9001</t>
  </si>
  <si>
    <t>Tobu Railway Co. Ltd.</t>
  </si>
  <si>
    <t>SBRY</t>
  </si>
  <si>
    <t>J Sainsbury plc</t>
  </si>
  <si>
    <t>ASRNL</t>
  </si>
  <si>
    <t>ASR Nederland NV</t>
  </si>
  <si>
    <t>Assurant Inc.</t>
  </si>
  <si>
    <t>Telenor ASA</t>
  </si>
  <si>
    <t>SEB C</t>
  </si>
  <si>
    <t>4324</t>
  </si>
  <si>
    <t>Dentsu Group Inc.</t>
  </si>
  <si>
    <t>SRT3</t>
  </si>
  <si>
    <t>Sartorius AG</t>
  </si>
  <si>
    <t>AUTO</t>
  </si>
  <si>
    <t>Auto Trader Group plc</t>
  </si>
  <si>
    <t>9107</t>
  </si>
  <si>
    <t>Kawasaki Kisen Kaisha Ltd.</t>
  </si>
  <si>
    <t>G1A</t>
  </si>
  <si>
    <t>GEA Group AG</t>
  </si>
  <si>
    <t>6479</t>
  </si>
  <si>
    <t>MINEBEA MITSUMI Inc.</t>
  </si>
  <si>
    <t>1878</t>
  </si>
  <si>
    <t>Daito Trust Construction Co. Ltd.</t>
  </si>
  <si>
    <t>4704</t>
  </si>
  <si>
    <t>Trend Micro Inc./Japan</t>
  </si>
  <si>
    <t>CBSH</t>
  </si>
  <si>
    <t>Commerce Bancshares Inc./MO</t>
  </si>
  <si>
    <t>YAR</t>
  </si>
  <si>
    <t>Yara International ASA</t>
  </si>
  <si>
    <t>7936</t>
  </si>
  <si>
    <t>Asics Corp.</t>
  </si>
  <si>
    <t>9CI</t>
  </si>
  <si>
    <t>CapitaLand Investment Ltd./Singapore</t>
  </si>
  <si>
    <t>7550</t>
  </si>
  <si>
    <t>Zensho Holdings Co. Ltd.</t>
  </si>
  <si>
    <t>GNTX</t>
  </si>
  <si>
    <t>Gentex Corp.</t>
  </si>
  <si>
    <t>LEN.B</t>
  </si>
  <si>
    <t>6383</t>
  </si>
  <si>
    <t>Daifuku Co. Ltd.</t>
  </si>
  <si>
    <t>SK3</t>
  </si>
  <si>
    <t>Smurfit Kappa Group plc</t>
  </si>
  <si>
    <t>F34</t>
  </si>
  <si>
    <t>Wilmar International Ltd.</t>
  </si>
  <si>
    <t>8601</t>
  </si>
  <si>
    <t>Daiwa Securities Group Inc.</t>
  </si>
  <si>
    <t>DSCT</t>
  </si>
  <si>
    <t>Israel Discount Bank Ltd.</t>
  </si>
  <si>
    <t>9041</t>
  </si>
  <si>
    <t>Kintetsu Group Holdings Co. Ltd.</t>
  </si>
  <si>
    <t>PATH</t>
  </si>
  <si>
    <t>UiPath Inc.</t>
  </si>
  <si>
    <t>A17U</t>
  </si>
  <si>
    <t>CapitaLand Ascendas REIT</t>
  </si>
  <si>
    <t>GF</t>
  </si>
  <si>
    <t>Georg Fischer AG</t>
  </si>
  <si>
    <t>BARN</t>
  </si>
  <si>
    <t>Barry Callebaut AG</t>
  </si>
  <si>
    <t>A5G</t>
  </si>
  <si>
    <t>AIB Group plc</t>
  </si>
  <si>
    <t>66</t>
  </si>
  <si>
    <t>MTR Corp. Ltd.</t>
  </si>
  <si>
    <t>LAND</t>
  </si>
  <si>
    <t>Land Securities Group plc</t>
  </si>
  <si>
    <t>MEIJI Holdings Co. Ltd.</t>
  </si>
  <si>
    <t>Zions Bancorp NA</t>
  </si>
  <si>
    <t>LEG</t>
  </si>
  <si>
    <t>LEG Immobilien SE</t>
  </si>
  <si>
    <t>LHA</t>
  </si>
  <si>
    <t>Deutsche Lufthansa AG</t>
  </si>
  <si>
    <t>REC</t>
  </si>
  <si>
    <t>Recordati Industria Chimica e Farmaceutica SPA</t>
  </si>
  <si>
    <t>PSPN</t>
  </si>
  <si>
    <t>PSP Swiss Property AG</t>
  </si>
  <si>
    <t>BAMI</t>
  </si>
  <si>
    <t>Banco BPM SPA</t>
  </si>
  <si>
    <t>8952</t>
  </si>
  <si>
    <t>Japan Real Estate Investment Corp.</t>
  </si>
  <si>
    <t>RMV</t>
  </si>
  <si>
    <t>Rightmove plc</t>
  </si>
  <si>
    <t>RAND</t>
  </si>
  <si>
    <t>Randstad NV</t>
  </si>
  <si>
    <t>ORK</t>
  </si>
  <si>
    <t>Orkla ASA</t>
  </si>
  <si>
    <t>TRYG</t>
  </si>
  <si>
    <t>Tryg A/S</t>
  </si>
  <si>
    <t>LI</t>
  </si>
  <si>
    <t>Klepierre SA</t>
  </si>
  <si>
    <t>6965</t>
  </si>
  <si>
    <t>Hamamatsu Photonics KK</t>
  </si>
  <si>
    <t>BDEV</t>
  </si>
  <si>
    <t>Barratt Developments plc</t>
  </si>
  <si>
    <t>MZTF</t>
  </si>
  <si>
    <t>Mizrahi Tefahot Bank Ltd.</t>
  </si>
  <si>
    <t>HWDN</t>
  </si>
  <si>
    <t>Howden Joinery Group plc</t>
  </si>
  <si>
    <t>VIV</t>
  </si>
  <si>
    <t>Vivendi SE</t>
  </si>
  <si>
    <t>4183</t>
  </si>
  <si>
    <t>Mitsui Chemicals Inc.</t>
  </si>
  <si>
    <t>RXL</t>
  </si>
  <si>
    <t>Rexel SA</t>
  </si>
  <si>
    <t>7951</t>
  </si>
  <si>
    <t>Yamaha Corp.</t>
  </si>
  <si>
    <t>Z</t>
  </si>
  <si>
    <t>Zillow Group Inc.</t>
  </si>
  <si>
    <t>BKG</t>
  </si>
  <si>
    <t>Berkeley Group Holdings plc</t>
  </si>
  <si>
    <t>2897</t>
  </si>
  <si>
    <t>Nissin Foods Holdings Co. Ltd.</t>
  </si>
  <si>
    <t>GET</t>
  </si>
  <si>
    <t>Getlink SE</t>
  </si>
  <si>
    <t>NEXI</t>
  </si>
  <si>
    <t>Nexi SPA</t>
  </si>
  <si>
    <t>DPH</t>
  </si>
  <si>
    <t>Dechra Pharmaceuticals plc</t>
  </si>
  <si>
    <t>9007</t>
  </si>
  <si>
    <t>Odakyu Electric Railway Co. Ltd.</t>
  </si>
  <si>
    <t>Organon &amp; Co.</t>
  </si>
  <si>
    <t>8951</t>
  </si>
  <si>
    <t>Nippon Building Fund Inc.</t>
  </si>
  <si>
    <t>Mohawk Industries Inc.</t>
  </si>
  <si>
    <t>7261</t>
  </si>
  <si>
    <t>Mazda Motor Corp.</t>
  </si>
  <si>
    <t>BIM</t>
  </si>
  <si>
    <t>BioMerieux</t>
  </si>
  <si>
    <t>ENX</t>
  </si>
  <si>
    <t>Euronext NV</t>
  </si>
  <si>
    <t>C6L</t>
  </si>
  <si>
    <t>Singapore Airlines Ltd.</t>
  </si>
  <si>
    <t>CCH</t>
  </si>
  <si>
    <t>Coca-Cola HBC AG</t>
  </si>
  <si>
    <t>SSAB B</t>
  </si>
  <si>
    <t>MNG</t>
  </si>
  <si>
    <t>M&amp;G plc</t>
  </si>
  <si>
    <t>SW</t>
  </si>
  <si>
    <t>Sodexo SA</t>
  </si>
  <si>
    <t>KGF</t>
  </si>
  <si>
    <t>Kingfisher plc</t>
  </si>
  <si>
    <t>3462</t>
  </si>
  <si>
    <t>Nomura Real Estate Master Fund Inc.</t>
  </si>
  <si>
    <t>9766</t>
  </si>
  <si>
    <t>Konami Group Corp.</t>
  </si>
  <si>
    <t>4062</t>
  </si>
  <si>
    <t>Ibiden Co. Ltd.</t>
  </si>
  <si>
    <t>MASI</t>
  </si>
  <si>
    <t>Masimo Corp.</t>
  </si>
  <si>
    <t>AGNC</t>
  </si>
  <si>
    <t>AGNC Investment Corp.</t>
  </si>
  <si>
    <t>Mortgage REITs: Diversified</t>
  </si>
  <si>
    <t>GFC</t>
  </si>
  <si>
    <t>Gecina SA</t>
  </si>
  <si>
    <t>Endeavour Mining plc</t>
  </si>
  <si>
    <t>9962</t>
  </si>
  <si>
    <t>MISUMI Group Inc.</t>
  </si>
  <si>
    <t>6724</t>
  </si>
  <si>
    <t>Seiko Epson Corp.</t>
  </si>
  <si>
    <t>Saputo Inc.</t>
  </si>
  <si>
    <t>SAGA B</t>
  </si>
  <si>
    <t>Sagax AB</t>
  </si>
  <si>
    <t>7276</t>
  </si>
  <si>
    <t>Koito Manufacturing Co. Ltd.</t>
  </si>
  <si>
    <t>DaVita Inc.</t>
  </si>
  <si>
    <t>4151</t>
  </si>
  <si>
    <t>Kyowa Kirin Co. Ltd.</t>
  </si>
  <si>
    <t>Southwest Airlines Co.</t>
  </si>
  <si>
    <t>SCR</t>
  </si>
  <si>
    <t>SCOR SE</t>
  </si>
  <si>
    <t>TELIA</t>
  </si>
  <si>
    <t>Telia Co. AB</t>
  </si>
  <si>
    <t>Aeroports de Paris</t>
  </si>
  <si>
    <t>7911</t>
  </si>
  <si>
    <t>TOPPAN Inc.</t>
  </si>
  <si>
    <t>TW.</t>
  </si>
  <si>
    <t>Taylor Wimpey plc</t>
  </si>
  <si>
    <t>UTG</t>
  </si>
  <si>
    <t>UNITE Group plc</t>
  </si>
  <si>
    <t>HFG</t>
  </si>
  <si>
    <t>HelloFresh SE</t>
  </si>
  <si>
    <t>4768</t>
  </si>
  <si>
    <t>Otsuka Corp.</t>
  </si>
  <si>
    <t>ELAN</t>
  </si>
  <si>
    <t>Elanco Animal Health Inc.</t>
  </si>
  <si>
    <t>PHNX</t>
  </si>
  <si>
    <t>Phoenix Group Holdings plc</t>
  </si>
  <si>
    <t>TECN</t>
  </si>
  <si>
    <t>Tecan Group AG</t>
  </si>
  <si>
    <t>RS1</t>
  </si>
  <si>
    <t>RS GROUP plc</t>
  </si>
  <si>
    <t>7186</t>
  </si>
  <si>
    <t>Concordia Financial Group Ltd.</t>
  </si>
  <si>
    <t>JD.</t>
  </si>
  <si>
    <t>JD Sports Fashion plc</t>
  </si>
  <si>
    <t>HELN</t>
  </si>
  <si>
    <t>Helvetia Holding AG</t>
  </si>
  <si>
    <t>EMSN</t>
  </si>
  <si>
    <t>EMS-Chemie Holding AG</t>
  </si>
  <si>
    <t>LIGHT</t>
  </si>
  <si>
    <t>Signify NV</t>
  </si>
  <si>
    <t>HOLM B</t>
  </si>
  <si>
    <t>Holmen AB</t>
  </si>
  <si>
    <t>WLK</t>
  </si>
  <si>
    <t>Westlake Corp.</t>
  </si>
  <si>
    <t>3626</t>
  </si>
  <si>
    <t>TIS Inc.</t>
  </si>
  <si>
    <t>6465</t>
  </si>
  <si>
    <t>Hoshizaki Corp.</t>
  </si>
  <si>
    <t>ICP</t>
  </si>
  <si>
    <t>Intermediate Capital Group plc</t>
  </si>
  <si>
    <t>SOI</t>
  </si>
  <si>
    <t>SOITEC</t>
  </si>
  <si>
    <t>4021</t>
  </si>
  <si>
    <t>Nissan Chemical Corp.</t>
  </si>
  <si>
    <t>VALMT</t>
  </si>
  <si>
    <t>Valmet Oyj</t>
  </si>
  <si>
    <t>8953</t>
  </si>
  <si>
    <t>Japan Metropolitan Fund Invest</t>
  </si>
  <si>
    <t>3436</t>
  </si>
  <si>
    <t>SUMCO Corp.</t>
  </si>
  <si>
    <t>DCC</t>
  </si>
  <si>
    <t>DCC plc</t>
  </si>
  <si>
    <t>3861</t>
  </si>
  <si>
    <t>Oji Holdings Corp.</t>
  </si>
  <si>
    <t>BEAN</t>
  </si>
  <si>
    <t>Belimo Holding AG</t>
  </si>
  <si>
    <t>United Airlines Holdings Inc.</t>
  </si>
  <si>
    <t>3283</t>
  </si>
  <si>
    <t>Nippon Prologis REIT Inc.</t>
  </si>
  <si>
    <t>KBX</t>
  </si>
  <si>
    <t>Knorr-Bremse AG</t>
  </si>
  <si>
    <t>Nisshin Seifun Group Inc.</t>
  </si>
  <si>
    <t>TREL B</t>
  </si>
  <si>
    <t>Trelleborg AB</t>
  </si>
  <si>
    <t>S51</t>
  </si>
  <si>
    <t>Seatrium Ltd.</t>
  </si>
  <si>
    <t>9009</t>
  </si>
  <si>
    <t>Keisei Electric Railway Co. Ltd.</t>
  </si>
  <si>
    <t>PSN</t>
  </si>
  <si>
    <t>Persimmon plc</t>
  </si>
  <si>
    <t>SKA B</t>
  </si>
  <si>
    <t>Skanska AB</t>
  </si>
  <si>
    <t>LSXMA</t>
  </si>
  <si>
    <t>Liberty Media Corp-Liberty SiriusXM</t>
  </si>
  <si>
    <t>8984</t>
  </si>
  <si>
    <t>Daiwa House REIT Investment Corp.</t>
  </si>
  <si>
    <t>9602</t>
  </si>
  <si>
    <t>Toho Co. Ltd./Tokyo</t>
  </si>
  <si>
    <t>5332</t>
  </si>
  <si>
    <t>TOTO Ltd.</t>
  </si>
  <si>
    <t>SMDS</t>
  </si>
  <si>
    <t>DS Smith plc</t>
  </si>
  <si>
    <t>1951</t>
  </si>
  <si>
    <t>EXEO Group Inc.</t>
  </si>
  <si>
    <t>6370</t>
  </si>
  <si>
    <t>Kurita Water Industries Ltd.</t>
  </si>
  <si>
    <t>Electronic Equipment: Pollution Control</t>
  </si>
  <si>
    <t>7259</t>
  </si>
  <si>
    <t>Aisin Corp.</t>
  </si>
  <si>
    <t>8369</t>
  </si>
  <si>
    <t>Bank of Kyoto Ltd.</t>
  </si>
  <si>
    <t>7747</t>
  </si>
  <si>
    <t>Asahi Intecc Co. Ltd.</t>
  </si>
  <si>
    <t>KESKOB</t>
  </si>
  <si>
    <t>Kesko Oyj</t>
  </si>
  <si>
    <t>ORNBV</t>
  </si>
  <si>
    <t>Orion Oyj</t>
  </si>
  <si>
    <t>UHR</t>
  </si>
  <si>
    <t>4204</t>
  </si>
  <si>
    <t>Sekisui Chemical Co. Ltd.</t>
  </si>
  <si>
    <t>1808</t>
  </si>
  <si>
    <t>Haseko Corp.</t>
  </si>
  <si>
    <t>Valeo</t>
  </si>
  <si>
    <t>6526</t>
  </si>
  <si>
    <t>Socionext Inc.</t>
  </si>
  <si>
    <t>LCID</t>
  </si>
  <si>
    <t>Lucid Group Inc.</t>
  </si>
  <si>
    <t>4527</t>
  </si>
  <si>
    <t>Rohto Pharmaceutical Co. Ltd.</t>
  </si>
  <si>
    <t>9201</t>
  </si>
  <si>
    <t>Japan Airlines Co. Ltd.</t>
  </si>
  <si>
    <t>2587</t>
  </si>
  <si>
    <t>Suntory Beverage &amp; Food Ltd.</t>
  </si>
  <si>
    <t>HL.</t>
  </si>
  <si>
    <t>Hargreaves Lansdown plc</t>
  </si>
  <si>
    <t>Schroders plc</t>
  </si>
  <si>
    <t>H78</t>
  </si>
  <si>
    <t>Hongkong Land Holdings Ltd.</t>
  </si>
  <si>
    <t>ZG</t>
  </si>
  <si>
    <t>SRT</t>
  </si>
  <si>
    <t>CTEC</t>
  </si>
  <si>
    <t>ConvaTec Group plc</t>
  </si>
  <si>
    <t>4185</t>
  </si>
  <si>
    <t>JSR Corp.</t>
  </si>
  <si>
    <t>9143</t>
  </si>
  <si>
    <t>SG Holdings Co. Ltd.</t>
  </si>
  <si>
    <t>TSEM</t>
  </si>
  <si>
    <t>Tower Semiconductor Ltd.</t>
  </si>
  <si>
    <t>AAP</t>
  </si>
  <si>
    <t>Advance Auto Parts Inc.</t>
  </si>
  <si>
    <t>G24</t>
  </si>
  <si>
    <t>Scout24 SE</t>
  </si>
  <si>
    <t>TEMN</t>
  </si>
  <si>
    <t>Temenos AG</t>
  </si>
  <si>
    <t>288</t>
  </si>
  <si>
    <t>WH Group Ltd.</t>
  </si>
  <si>
    <t>066575</t>
  </si>
  <si>
    <t>M44U</t>
  </si>
  <si>
    <t>Mapletree Logistics Trust</t>
  </si>
  <si>
    <t>6845</t>
  </si>
  <si>
    <t>Azbil Corp.</t>
  </si>
  <si>
    <t>TELUS Corp. - NON CANADIAN RESIDENT</t>
  </si>
  <si>
    <t>6532</t>
  </si>
  <si>
    <t>BayCurrent Consulting Inc.</t>
  </si>
  <si>
    <t>8331</t>
  </si>
  <si>
    <t>Chiba Bank Ltd.</t>
  </si>
  <si>
    <t>3281</t>
  </si>
  <si>
    <t>GLP J-Reit</t>
  </si>
  <si>
    <t>3099</t>
  </si>
  <si>
    <t>Isetan Mitsukoshi Holdings Ltd.</t>
  </si>
  <si>
    <t>BC8</t>
  </si>
  <si>
    <t>Bechtle AG</t>
  </si>
  <si>
    <t>MEL</t>
  </si>
  <si>
    <t>Meridian Energy Ltd.</t>
  </si>
  <si>
    <t>Talanx AG</t>
  </si>
  <si>
    <t>9147</t>
  </si>
  <si>
    <t>NIPPON EXPRESS HOLDINGS Inc.</t>
  </si>
  <si>
    <t>ELI</t>
  </si>
  <si>
    <t>Elia Group SA/NV</t>
  </si>
  <si>
    <t>GETI B</t>
  </si>
  <si>
    <t>Getinge AB</t>
  </si>
  <si>
    <t>8473</t>
  </si>
  <si>
    <t>SBI Holdings Inc.</t>
  </si>
  <si>
    <t>BEZ</t>
  </si>
  <si>
    <t>Beazley plc</t>
  </si>
  <si>
    <t>WDP</t>
  </si>
  <si>
    <t>Warehouses De Pauw CVA</t>
  </si>
  <si>
    <t>TEL2 B</t>
  </si>
  <si>
    <t>Tele2 AB</t>
  </si>
  <si>
    <t>AFX</t>
  </si>
  <si>
    <t>Carl Zeiss Meditec AG</t>
  </si>
  <si>
    <t>9435</t>
  </si>
  <si>
    <t>Hikari Tsushin Inc.</t>
  </si>
  <si>
    <t>5334</t>
  </si>
  <si>
    <t>Niterra Co. Ltd.</t>
  </si>
  <si>
    <t>3038</t>
  </si>
  <si>
    <t>Kobe Bussan Co. Ltd.</t>
  </si>
  <si>
    <t>HIK</t>
  </si>
  <si>
    <t>Hikma Pharmaceuticals plc</t>
  </si>
  <si>
    <t>Amplifon SPA</t>
  </si>
  <si>
    <t>EDPR</t>
  </si>
  <si>
    <t>EDP Renovaveis SA</t>
  </si>
  <si>
    <t>Interpump Group SPA</t>
  </si>
  <si>
    <t>8253</t>
  </si>
  <si>
    <t>Credit Saison Co. Ltd.</t>
  </si>
  <si>
    <t>2875</t>
  </si>
  <si>
    <t>Toyo Suisan Kaisha Ltd.</t>
  </si>
  <si>
    <t>9684</t>
  </si>
  <si>
    <t>Square Enix Holdings Co. Ltd.</t>
  </si>
  <si>
    <t>EVD</t>
  </si>
  <si>
    <t>CTS Eventim AG &amp; Co. KGaA</t>
  </si>
  <si>
    <t>CLN</t>
  </si>
  <si>
    <t>Clariant AG</t>
  </si>
  <si>
    <t>JMAT</t>
  </si>
  <si>
    <t>Johnson Matthey plc</t>
  </si>
  <si>
    <t>BKT</t>
  </si>
  <si>
    <t>Bankinter SA</t>
  </si>
  <si>
    <t>ANDR</t>
  </si>
  <si>
    <t>IPN</t>
  </si>
  <si>
    <t>Ipsen SA</t>
  </si>
  <si>
    <t>83</t>
  </si>
  <si>
    <t>Sino Land Co. Ltd.</t>
  </si>
  <si>
    <t>RAA</t>
  </si>
  <si>
    <t>Rational AG</t>
  </si>
  <si>
    <t>5938</t>
  </si>
  <si>
    <t>Lixil Corp.</t>
  </si>
  <si>
    <t>3269</t>
  </si>
  <si>
    <t>Advance Residence Investment Corp.</t>
  </si>
  <si>
    <t>UBI</t>
  </si>
  <si>
    <t>Ubisoft Entertainment SA</t>
  </si>
  <si>
    <t>BEIJ B</t>
  </si>
  <si>
    <t>Beijer Ref AB</t>
  </si>
  <si>
    <t>NVCR</t>
  </si>
  <si>
    <t>Novocure Ltd.</t>
  </si>
  <si>
    <t>SALM</t>
  </si>
  <si>
    <t>Salmar ASA</t>
  </si>
  <si>
    <t>1910</t>
  </si>
  <si>
    <t>Samsonite International SA</t>
  </si>
  <si>
    <t>GFS</t>
  </si>
  <si>
    <t>GLOBALFOUNDRIES Inc.</t>
  </si>
  <si>
    <t>8354</t>
  </si>
  <si>
    <t>Fukuoka Financial Group Inc.</t>
  </si>
  <si>
    <t>090435</t>
  </si>
  <si>
    <t>1821</t>
  </si>
  <si>
    <t>ESR Cayman Ltd.</t>
  </si>
  <si>
    <t>TELUS Corp.</t>
  </si>
  <si>
    <t>SIRI</t>
  </si>
  <si>
    <t>Sirius XM Holdings Inc.</t>
  </si>
  <si>
    <t>MAERSK A</t>
  </si>
  <si>
    <t>KGX</t>
  </si>
  <si>
    <t>KION Group AG</t>
  </si>
  <si>
    <t>868</t>
  </si>
  <si>
    <t>Xinyi Glass Holdings Ltd.</t>
  </si>
  <si>
    <t>TOM</t>
  </si>
  <si>
    <t>TOMRA Systems ASA</t>
  </si>
  <si>
    <t>3289</t>
  </si>
  <si>
    <t>Tokyu Fudosan Holdings Corp.</t>
  </si>
  <si>
    <t>ACKB</t>
  </si>
  <si>
    <t>Ackermans &amp; van Haaren NV</t>
  </si>
  <si>
    <t>IGM</t>
  </si>
  <si>
    <t>IGM Financial Inc.</t>
  </si>
  <si>
    <t>HSX</t>
  </si>
  <si>
    <t>Hiscox Ltd.</t>
  </si>
  <si>
    <t>8355</t>
  </si>
  <si>
    <t>Shizuoka Bank Ltd.</t>
  </si>
  <si>
    <t>1911</t>
  </si>
  <si>
    <t>Sumitomo Forestry Co. Ltd.</t>
  </si>
  <si>
    <t>SECU B</t>
  </si>
  <si>
    <t>Securitas AB</t>
  </si>
  <si>
    <t>JETl</t>
  </si>
  <si>
    <t>Just Eat Takeaway.com NV</t>
  </si>
  <si>
    <t>4755</t>
  </si>
  <si>
    <t>Rakuten Group Inc.</t>
  </si>
  <si>
    <t>LSXMK</t>
  </si>
  <si>
    <t>OCI</t>
  </si>
  <si>
    <t>OCI NV</t>
  </si>
  <si>
    <t>SEIC</t>
  </si>
  <si>
    <t>SEI Investments Co.</t>
  </si>
  <si>
    <t>6923</t>
  </si>
  <si>
    <t>Stanley Electric Co. Ltd.</t>
  </si>
  <si>
    <t>6806</t>
  </si>
  <si>
    <t>Hirose Electric Co. Ltd.</t>
  </si>
  <si>
    <t>PST</t>
  </si>
  <si>
    <t>Poste Italiane SPA</t>
  </si>
  <si>
    <t>BANB</t>
  </si>
  <si>
    <t>Bachem Holding AG</t>
  </si>
  <si>
    <t>KINV B</t>
  </si>
  <si>
    <t>Kinnevik AB</t>
  </si>
  <si>
    <t>9202</t>
  </si>
  <si>
    <t>ANA Holdings Inc.</t>
  </si>
  <si>
    <t>12</t>
  </si>
  <si>
    <t>Henderson Land Development Co. Ltd.</t>
  </si>
  <si>
    <t>MRL</t>
  </si>
  <si>
    <t>Merlin Properties Socimi SA</t>
  </si>
  <si>
    <t>CAST</t>
  </si>
  <si>
    <t>Castellum AB</t>
  </si>
  <si>
    <t>9364</t>
  </si>
  <si>
    <t>Kamigumi Co. Ltd.</t>
  </si>
  <si>
    <t>3391</t>
  </si>
  <si>
    <t>Tsuruha Holdings Inc.</t>
  </si>
  <si>
    <t>U14</t>
  </si>
  <si>
    <t>UOL Group Ltd.</t>
  </si>
  <si>
    <t>Nomura Real Estate Holdings Inc.</t>
  </si>
  <si>
    <t>4751</t>
  </si>
  <si>
    <t>CyberAgent Inc.</t>
  </si>
  <si>
    <t>LOTB</t>
  </si>
  <si>
    <t>Lotus Bakeries NV</t>
  </si>
  <si>
    <t>HUSQ B</t>
  </si>
  <si>
    <t>Husqvarna AB</t>
  </si>
  <si>
    <t>2784</t>
  </si>
  <si>
    <t>Alfresa Holdings Corp.</t>
  </si>
  <si>
    <t>INDU C</t>
  </si>
  <si>
    <t>TITR</t>
  </si>
  <si>
    <t>Telecom Italia SpA/Milano</t>
  </si>
  <si>
    <t>3288</t>
  </si>
  <si>
    <t>Open House Group Co. Ltd.</t>
  </si>
  <si>
    <t>101</t>
  </si>
  <si>
    <t>Hang Lung Properties Ltd.</t>
  </si>
  <si>
    <t>GL9</t>
  </si>
  <si>
    <t>Glanbia plc</t>
  </si>
  <si>
    <t>NEOEN</t>
  </si>
  <si>
    <t>Neoen SA</t>
  </si>
  <si>
    <t>SHB B</t>
  </si>
  <si>
    <t>BLND</t>
  </si>
  <si>
    <t>British Land Co. plc</t>
  </si>
  <si>
    <t>INW</t>
  </si>
  <si>
    <t>Infrastrutture Wireless Italiane SPA</t>
  </si>
  <si>
    <t>DIE</t>
  </si>
  <si>
    <t>D'ieteren Group</t>
  </si>
  <si>
    <t>Auto Services</t>
  </si>
  <si>
    <t>AZRG</t>
  </si>
  <si>
    <t>Azrieli Group Ltd.</t>
  </si>
  <si>
    <t>9008</t>
  </si>
  <si>
    <t>Keio Corp.</t>
  </si>
  <si>
    <t>9142</t>
  </si>
  <si>
    <t>Kyushu Railway Co.</t>
  </si>
  <si>
    <t>HUH1V</t>
  </si>
  <si>
    <t>Huhtamaki Oyj</t>
  </si>
  <si>
    <t>ITV</t>
  </si>
  <si>
    <t>ITV plc</t>
  </si>
  <si>
    <t>3769</t>
  </si>
  <si>
    <t>GMO Payment Gateway Inc.</t>
  </si>
  <si>
    <t>2811</t>
  </si>
  <si>
    <t>Kagome Co. Ltd.</t>
  </si>
  <si>
    <t>8252</t>
  </si>
  <si>
    <t>Marui Group Co. Ltd.</t>
  </si>
  <si>
    <t>8385</t>
  </si>
  <si>
    <t>Iyo Bank Ltd.</t>
  </si>
  <si>
    <t>LXS</t>
  </si>
  <si>
    <t>LANXESS AG</t>
  </si>
  <si>
    <t>1913</t>
  </si>
  <si>
    <t>2702</t>
  </si>
  <si>
    <t>McDonald's Holdings Co. Japan Ltd.</t>
  </si>
  <si>
    <t>6028</t>
  </si>
  <si>
    <t>TechnoPro Holdings Inc.</t>
  </si>
  <si>
    <t>MFT</t>
  </si>
  <si>
    <t>Mainfreight Ltd.</t>
  </si>
  <si>
    <t>8111</t>
  </si>
  <si>
    <t>Goldwin Inc.</t>
  </si>
  <si>
    <t>DLN</t>
  </si>
  <si>
    <t>Derwent London plc</t>
  </si>
  <si>
    <t>7453</t>
  </si>
  <si>
    <t>Ryohin Keikaku Co. Ltd.</t>
  </si>
  <si>
    <t>VOLCAR B</t>
  </si>
  <si>
    <t>Volvo Car AB</t>
  </si>
  <si>
    <t>6976</t>
  </si>
  <si>
    <t>Taiyo Yuden Co. Ltd.</t>
  </si>
  <si>
    <t>EVK</t>
  </si>
  <si>
    <t>Evonik Industries AG</t>
  </si>
  <si>
    <t>9044</t>
  </si>
  <si>
    <t>Nankai Electric Railway Co. Ltd.</t>
  </si>
  <si>
    <t>SOF</t>
  </si>
  <si>
    <t>Sofina SA</t>
  </si>
  <si>
    <t>DEMANT</t>
  </si>
  <si>
    <t>Demant A/S</t>
  </si>
  <si>
    <t>9989</t>
  </si>
  <si>
    <t>Sundrug Co. Ltd.</t>
  </si>
  <si>
    <t>4922</t>
  </si>
  <si>
    <t>Kose Corp.</t>
  </si>
  <si>
    <t>JDEP</t>
  </si>
  <si>
    <t>JDE Peet's NV</t>
  </si>
  <si>
    <t>HMN</t>
  </si>
  <si>
    <t>CapitaLand Ascott Trust</t>
  </si>
  <si>
    <t>5101</t>
  </si>
  <si>
    <t>Yokohama Rubber Co. Ltd.</t>
  </si>
  <si>
    <t>6448</t>
  </si>
  <si>
    <t>Brother Industries Ltd.</t>
  </si>
  <si>
    <t>3064</t>
  </si>
  <si>
    <t>MonotaRO Co. Ltd.</t>
  </si>
  <si>
    <t>4732</t>
  </si>
  <si>
    <t>USS Co. Ltd.</t>
  </si>
  <si>
    <t>8628</t>
  </si>
  <si>
    <t>Matsui Securities Co. Ltd.</t>
  </si>
  <si>
    <t>7735</t>
  </si>
  <si>
    <t>SCREEN Holdings Co. Ltd.</t>
  </si>
  <si>
    <t>FTRE</t>
  </si>
  <si>
    <t>Fortrea Holdings Inc.</t>
  </si>
  <si>
    <t>2181</t>
  </si>
  <si>
    <t>Persol Holdings Co. Ltd.</t>
  </si>
  <si>
    <t>BALD B</t>
  </si>
  <si>
    <t>Fastighets AB Balder</t>
  </si>
  <si>
    <t>4385</t>
  </si>
  <si>
    <t>Mercari Inc.</t>
  </si>
  <si>
    <t>7731</t>
  </si>
  <si>
    <t>Nikon Corp.</t>
  </si>
  <si>
    <t>Photography</t>
  </si>
  <si>
    <t>SKG</t>
  </si>
  <si>
    <t>8593</t>
  </si>
  <si>
    <t>Mitsubishi HC Capital Inc.</t>
  </si>
  <si>
    <t>9301</t>
  </si>
  <si>
    <t>Mitsubishi Logistics Corp.</t>
  </si>
  <si>
    <t>ERIC A</t>
  </si>
  <si>
    <t>3471</t>
  </si>
  <si>
    <t>Mitsui Fudosan Logistics Park Inc.</t>
  </si>
  <si>
    <t>NOD</t>
  </si>
  <si>
    <t>Nordic Semiconductor ASA</t>
  </si>
  <si>
    <t>2282</t>
  </si>
  <si>
    <t>NH Foods Ltd.</t>
  </si>
  <si>
    <t>4967</t>
  </si>
  <si>
    <t>Kobayashi Pharmaceutical Co. Ltd.</t>
  </si>
  <si>
    <t>ATM</t>
  </si>
  <si>
    <t>8088</t>
  </si>
  <si>
    <t>Iwatani Corp.</t>
  </si>
  <si>
    <t>Nemetschek SE</t>
  </si>
  <si>
    <t>9045</t>
  </si>
  <si>
    <t>Keihan Holdings Co. Ltd.</t>
  </si>
  <si>
    <t>MF</t>
  </si>
  <si>
    <t>Wendel SE</t>
  </si>
  <si>
    <t>AMUN</t>
  </si>
  <si>
    <t>Amundi SA</t>
  </si>
  <si>
    <t>9024</t>
  </si>
  <si>
    <t>Seibu Holdings Inc.</t>
  </si>
  <si>
    <t>7181</t>
  </si>
  <si>
    <t>Japan Post Insurance Co. Ltd.</t>
  </si>
  <si>
    <t>BZU</t>
  </si>
  <si>
    <t>Buzzi SPA</t>
  </si>
  <si>
    <t>NVMI</t>
  </si>
  <si>
    <t>Nova Ltd.</t>
  </si>
  <si>
    <t>SCHB</t>
  </si>
  <si>
    <t>Schibsted ASA</t>
  </si>
  <si>
    <t>BEZQ</t>
  </si>
  <si>
    <t>Bezeq The Israeli Telecommunication Corp. Ltd.</t>
  </si>
  <si>
    <t>NGT</t>
  </si>
  <si>
    <t>4091</t>
  </si>
  <si>
    <t>Nippon Sanso Holdings Corp.</t>
  </si>
  <si>
    <t>ME8U</t>
  </si>
  <si>
    <t>Mapletree Industrial Trust</t>
  </si>
  <si>
    <t>Inmobiliaria Colonial Socimi SA</t>
  </si>
  <si>
    <t>87</t>
  </si>
  <si>
    <t>Swire Pacific Ltd.</t>
  </si>
  <si>
    <t>4912</t>
  </si>
  <si>
    <t>Lion Corp.</t>
  </si>
  <si>
    <t>SOBI</t>
  </si>
  <si>
    <t>Swedish Orphan Biovitrum AB</t>
  </si>
  <si>
    <t>IG</t>
  </si>
  <si>
    <t>Italgas SPA</t>
  </si>
  <si>
    <t>8954</t>
  </si>
  <si>
    <t>Orix JREIT Inc.</t>
  </si>
  <si>
    <t>DIA</t>
  </si>
  <si>
    <t>DiaSorin SPA</t>
  </si>
  <si>
    <t>7459</t>
  </si>
  <si>
    <t>Medipal Holdings Corp.</t>
  </si>
  <si>
    <t>TATE</t>
  </si>
  <si>
    <t>Tate &amp; Lyle plc</t>
  </si>
  <si>
    <t>MCY</t>
  </si>
  <si>
    <t>Mercury NZ Ltd.</t>
  </si>
  <si>
    <t>7211</t>
  </si>
  <si>
    <t>Mitsubishi Motors Corp.</t>
  </si>
  <si>
    <t>FHZN</t>
  </si>
  <si>
    <t>Flughafen Zurich AG</t>
  </si>
  <si>
    <t>19</t>
  </si>
  <si>
    <t>8136</t>
  </si>
  <si>
    <t>Sanrio Co. Ltd.</t>
  </si>
  <si>
    <t>PIRC</t>
  </si>
  <si>
    <t>Pirelli &amp; C SPA</t>
  </si>
  <si>
    <t>American Airlines Group Inc.</t>
  </si>
  <si>
    <t>AXFO</t>
  </si>
  <si>
    <t>Axfood AB</t>
  </si>
  <si>
    <t>7167</t>
  </si>
  <si>
    <t>Mebuki Financial Group Inc.</t>
  </si>
  <si>
    <t>AutoStore Holdings Ltd.</t>
  </si>
  <si>
    <t>1414</t>
  </si>
  <si>
    <t>SHO-BOND Holdings Co. Ltd.</t>
  </si>
  <si>
    <t>6967</t>
  </si>
  <si>
    <t>Shinko Electric Industries Co. Ltd.</t>
  </si>
  <si>
    <t>VPK</t>
  </si>
  <si>
    <t>Koninklijke Vopak NV</t>
  </si>
  <si>
    <t>FPE3</t>
  </si>
  <si>
    <t>FUCHS SE</t>
  </si>
  <si>
    <t>4202</t>
  </si>
  <si>
    <t>Daicel Corp.</t>
  </si>
  <si>
    <t>6952</t>
  </si>
  <si>
    <t>Casio Computer Co. Ltd.</t>
  </si>
  <si>
    <t>3003</t>
  </si>
  <si>
    <t>Hulic Co. Ltd.</t>
  </si>
  <si>
    <t>4716</t>
  </si>
  <si>
    <t>Oracle Corp. Japan</t>
  </si>
  <si>
    <t>LBRDA</t>
  </si>
  <si>
    <t>2810</t>
  </si>
  <si>
    <t>House Foods Group Inc.</t>
  </si>
  <si>
    <t>9048</t>
  </si>
  <si>
    <t>Nagoya Railroad Co. Ltd.</t>
  </si>
  <si>
    <t>5233</t>
  </si>
  <si>
    <t>Taiheiyo Cement Corp.</t>
  </si>
  <si>
    <t>8279</t>
  </si>
  <si>
    <t>Yaoko Co. Ltd.</t>
  </si>
  <si>
    <t>5803</t>
  </si>
  <si>
    <t>Fujikura Ltd.</t>
  </si>
  <si>
    <t>ELUX B</t>
  </si>
  <si>
    <t>Electrolux AB</t>
  </si>
  <si>
    <t>081660</t>
  </si>
  <si>
    <t>Fila Holdings Corp.</t>
  </si>
  <si>
    <t>8960</t>
  </si>
  <si>
    <t>United Urban Investment Corp.</t>
  </si>
  <si>
    <t>4</t>
  </si>
  <si>
    <t>Wharf Holdings Ltd.</t>
  </si>
  <si>
    <t>BCVN</t>
  </si>
  <si>
    <t>Banque Cantonale Vaudoise</t>
  </si>
  <si>
    <t>4887</t>
  </si>
  <si>
    <t>Sawai Group Holdings Co. Ltd.</t>
  </si>
  <si>
    <t>4536</t>
  </si>
  <si>
    <t>Santen Pharmaceutical Co. Ltd.</t>
  </si>
  <si>
    <t>9987</t>
  </si>
  <si>
    <t>Suzuken Co. Ltd./Aichi Japan</t>
  </si>
  <si>
    <t>2433</t>
  </si>
  <si>
    <t>Hakuhodo DY Holdings Inc.</t>
  </si>
  <si>
    <t>MAP</t>
  </si>
  <si>
    <t>Mapfre SA</t>
  </si>
  <si>
    <t>3092</t>
  </si>
  <si>
    <t>ZOZO Inc.</t>
  </si>
  <si>
    <t>2871</t>
  </si>
  <si>
    <t>Nichirei Corp.</t>
  </si>
  <si>
    <t>9706</t>
  </si>
  <si>
    <t>Japan Airport Terminal Co. Ltd.</t>
  </si>
  <si>
    <t>DLG</t>
  </si>
  <si>
    <t>Direct Line Insurance Group plc</t>
  </si>
  <si>
    <t>3405</t>
  </si>
  <si>
    <t>Kuraray Co. Ltd.</t>
  </si>
  <si>
    <t>6728</t>
  </si>
  <si>
    <t>Ulvac Inc.</t>
  </si>
  <si>
    <t>7966</t>
  </si>
  <si>
    <t>Lintec Corp.</t>
  </si>
  <si>
    <t>522</t>
  </si>
  <si>
    <t>ASMPT Ltd.</t>
  </si>
  <si>
    <t>BUOU</t>
  </si>
  <si>
    <t>Frasers Logistics &amp; Commercial Trust</t>
  </si>
  <si>
    <t>LATO B</t>
  </si>
  <si>
    <t>Investment AB Latour</t>
  </si>
  <si>
    <t>N2IU</t>
  </si>
  <si>
    <t>Mapletree Pan Asia Commercial Trust</t>
  </si>
  <si>
    <t>3941</t>
  </si>
  <si>
    <t>Rengo Co. Ltd.</t>
  </si>
  <si>
    <t>6113</t>
  </si>
  <si>
    <t>Amada Co. Ltd.</t>
  </si>
  <si>
    <t>ALLFG</t>
  </si>
  <si>
    <t>Allfunds Group plc</t>
  </si>
  <si>
    <t>GJF</t>
  </si>
  <si>
    <t>Gjensidige Forsikring ASA</t>
  </si>
  <si>
    <t>5929</t>
  </si>
  <si>
    <t>Sanwa Holdings Corp.</t>
  </si>
  <si>
    <t>8963</t>
  </si>
  <si>
    <t>Invincible Investment Corp.</t>
  </si>
  <si>
    <t>HLE</t>
  </si>
  <si>
    <t>Hella GmbH &amp; Co. KGaA</t>
  </si>
  <si>
    <t>5444</t>
  </si>
  <si>
    <t>Yamato Kogyo Co. Ltd.</t>
  </si>
  <si>
    <t>6481</t>
  </si>
  <si>
    <t>THK Co. Ltd.</t>
  </si>
  <si>
    <t>3401</t>
  </si>
  <si>
    <t>Teijin Ltd.</t>
  </si>
  <si>
    <t>2296</t>
  </si>
  <si>
    <t>Itoham Yonekyu Holdings Inc.</t>
  </si>
  <si>
    <t>4118</t>
  </si>
  <si>
    <t>Kaneka Corp.</t>
  </si>
  <si>
    <t>SIX3</t>
  </si>
  <si>
    <t>Sixt SE</t>
  </si>
  <si>
    <t>001450</t>
  </si>
  <si>
    <t>Hyundai Marine &amp; Fire Insurance Co. Ltd.</t>
  </si>
  <si>
    <t>DKSH</t>
  </si>
  <si>
    <t>DKSH Holding AG</t>
  </si>
  <si>
    <t>23</t>
  </si>
  <si>
    <t>Bank of East Asia Ltd.</t>
  </si>
  <si>
    <t>4483</t>
  </si>
  <si>
    <t>JMDC Inc.</t>
  </si>
  <si>
    <t>9831</t>
  </si>
  <si>
    <t>Yamada Holdings Co. Ltd.</t>
  </si>
  <si>
    <t>RBI</t>
  </si>
  <si>
    <t>Raiffeisen Bank International AG</t>
  </si>
  <si>
    <t>TIT</t>
  </si>
  <si>
    <t>ANE</t>
  </si>
  <si>
    <t>Corp ACCIONA Energias Renovables SA</t>
  </si>
  <si>
    <t>3291</t>
  </si>
  <si>
    <t>Iida Group Holdings Co. Ltd.</t>
  </si>
  <si>
    <t>9031</t>
  </si>
  <si>
    <t>Nishi-Nippon Railroad Co. Ltd.</t>
  </si>
  <si>
    <t>4613</t>
  </si>
  <si>
    <t>Kansai Paint Co. Ltd.</t>
  </si>
  <si>
    <t>C09</t>
  </si>
  <si>
    <t>City Developments Ltd.</t>
  </si>
  <si>
    <t>3635</t>
  </si>
  <si>
    <t>Koei Tecmo Holdings Co. Ltd.</t>
  </si>
  <si>
    <t>1308</t>
  </si>
  <si>
    <t>SITC International Holdings Co. Ltd.</t>
  </si>
  <si>
    <t>INVE A</t>
  </si>
  <si>
    <t>T82U</t>
  </si>
  <si>
    <t>Suntec Real Estate Investment Trust</t>
  </si>
  <si>
    <t>8233</t>
  </si>
  <si>
    <t>Takashimaya Co. Ltd.</t>
  </si>
  <si>
    <t>CJLU</t>
  </si>
  <si>
    <t>NETLINK NBN TRUST</t>
  </si>
  <si>
    <t>8273</t>
  </si>
  <si>
    <t>Izumi Co. Ltd.</t>
  </si>
  <si>
    <t>Resonac Holdings Corp.</t>
  </si>
  <si>
    <t>6471</t>
  </si>
  <si>
    <t>NSK Ltd.</t>
  </si>
  <si>
    <t>4530</t>
  </si>
  <si>
    <t>Hisamitsu Pharmaceutical Co. Inc.</t>
  </si>
  <si>
    <t>Alps Alpine Co. Ltd.</t>
  </si>
  <si>
    <t>International Consolidated Airlines Group SA</t>
  </si>
  <si>
    <t>7313</t>
  </si>
  <si>
    <t>TS Tech Co. Ltd.</t>
  </si>
  <si>
    <t>TKA</t>
  </si>
  <si>
    <t>Telekom Austria AG</t>
  </si>
  <si>
    <t>3086</t>
  </si>
  <si>
    <t>J Front Retailing Co. Ltd.</t>
  </si>
  <si>
    <t>8439</t>
  </si>
  <si>
    <t>Tokyo Century Corp.</t>
  </si>
  <si>
    <t>8804</t>
  </si>
  <si>
    <t>Tokyo Tatemono Co. Ltd.</t>
  </si>
  <si>
    <t>8985</t>
  </si>
  <si>
    <t>Japan Hotel REIT Investment Corp.</t>
  </si>
  <si>
    <t>6005</t>
  </si>
  <si>
    <t>Miura Co. Ltd.</t>
  </si>
  <si>
    <t>7180</t>
  </si>
  <si>
    <t>Kyushu Financial Group Inc.</t>
  </si>
  <si>
    <t>7564</t>
  </si>
  <si>
    <t>Workman Co. Ltd.</t>
  </si>
  <si>
    <t>5947</t>
  </si>
  <si>
    <t>Rinnai Corp.</t>
  </si>
  <si>
    <t>V03</t>
  </si>
  <si>
    <t>Venture Corp. Ltd.</t>
  </si>
  <si>
    <t>2809</t>
  </si>
  <si>
    <t>Kewpie Corp.</t>
  </si>
  <si>
    <t>8304</t>
  </si>
  <si>
    <t>Aozora Bank Ltd.</t>
  </si>
  <si>
    <t>8964</t>
  </si>
  <si>
    <t>Frontier Real Estate Investment Corp.</t>
  </si>
  <si>
    <t>7518</t>
  </si>
  <si>
    <t>NET One Systems Co. Ltd.</t>
  </si>
  <si>
    <t>4516</t>
  </si>
  <si>
    <t>Nippon Shinyaku Co. Ltd.</t>
  </si>
  <si>
    <t>O2D</t>
  </si>
  <si>
    <t>Telefonica Deutschland Holding AG</t>
  </si>
  <si>
    <t>CNA</t>
  </si>
  <si>
    <t>CNA Financial Corp.</t>
  </si>
  <si>
    <t>9006</t>
  </si>
  <si>
    <t>Keikyu Corp.</t>
  </si>
  <si>
    <t>EMMN</t>
  </si>
  <si>
    <t>Emmi AG</t>
  </si>
  <si>
    <t>Sohgo Security Services Co. Ltd.</t>
  </si>
  <si>
    <t>3994</t>
  </si>
  <si>
    <t>Money Forward Inc.</t>
  </si>
  <si>
    <t>00680K</t>
  </si>
  <si>
    <t>8056</t>
  </si>
  <si>
    <t>BIPROGY Inc.</t>
  </si>
  <si>
    <t>ADE</t>
  </si>
  <si>
    <t>Adevinta ASA</t>
  </si>
  <si>
    <t>INPST</t>
  </si>
  <si>
    <t>InPost SA</t>
  </si>
  <si>
    <t>1972</t>
  </si>
  <si>
    <t>Swire Properties Ltd.</t>
  </si>
  <si>
    <t>6268</t>
  </si>
  <si>
    <t>Nabtesco Corp.</t>
  </si>
  <si>
    <t>RYM</t>
  </si>
  <si>
    <t>Ryman Healthcare Ltd.</t>
  </si>
  <si>
    <t>WCH</t>
  </si>
  <si>
    <t>Wacker Chemie AG</t>
  </si>
  <si>
    <t>3279</t>
  </si>
  <si>
    <t>Activia Properties Inc.</t>
  </si>
  <si>
    <t>6324</t>
  </si>
  <si>
    <t>Harmonic Drive Systems Inc.</t>
  </si>
  <si>
    <t>3309</t>
  </si>
  <si>
    <t>Sekisui House Reit Inc.</t>
  </si>
  <si>
    <t>7649</t>
  </si>
  <si>
    <t>Sugi Holdings Co. Ltd.</t>
  </si>
  <si>
    <t>3048</t>
  </si>
  <si>
    <t>Bic Camera Inc.</t>
  </si>
  <si>
    <t>FIBI</t>
  </si>
  <si>
    <t>First International Bank Of Israel Ltd.</t>
  </si>
  <si>
    <t>4205</t>
  </si>
  <si>
    <t>Zeon Corp.</t>
  </si>
  <si>
    <t>REY</t>
  </si>
  <si>
    <t>Reply SPA</t>
  </si>
  <si>
    <t>7947</t>
  </si>
  <si>
    <t>FP Corp.</t>
  </si>
  <si>
    <t>3774</t>
  </si>
  <si>
    <t>Internet Initiative Japan Inc.</t>
  </si>
  <si>
    <t>196170</t>
  </si>
  <si>
    <t>Alteogen Inc.</t>
  </si>
  <si>
    <t>2212</t>
  </si>
  <si>
    <t>Yamazaki Baking Co. Ltd.</t>
  </si>
  <si>
    <t>8418</t>
  </si>
  <si>
    <t>Yamaguchi Financial Group Inc.</t>
  </si>
  <si>
    <t>3226</t>
  </si>
  <si>
    <t>Nippon Accommodations Fund Inc.</t>
  </si>
  <si>
    <t>3697</t>
  </si>
  <si>
    <t>SHIFT Inc.</t>
  </si>
  <si>
    <t>14</t>
  </si>
  <si>
    <t>Hysan Development Co. Ltd.</t>
  </si>
  <si>
    <t>9468</t>
  </si>
  <si>
    <t>Kadokawa Corp.</t>
  </si>
  <si>
    <t>EPI B</t>
  </si>
  <si>
    <t>COV</t>
  </si>
  <si>
    <t>Covivio SA/France</t>
  </si>
  <si>
    <t>5991</t>
  </si>
  <si>
    <t>NHK Spring Co. Ltd.</t>
  </si>
  <si>
    <t>AAF</t>
  </si>
  <si>
    <t>Airtel Africa plc</t>
  </si>
  <si>
    <t>KOJAMO</t>
  </si>
  <si>
    <t>Kojamo Oyj</t>
  </si>
  <si>
    <t>2371</t>
  </si>
  <si>
    <t>Kakaku.com Inc.</t>
  </si>
  <si>
    <t>3349</t>
  </si>
  <si>
    <t>Cosmos Pharmaceutical Corp.</t>
  </si>
  <si>
    <t>2579</t>
  </si>
  <si>
    <t>Coca-Cola Bottlers Japan Holdings Inc.</t>
  </si>
  <si>
    <t>1721</t>
  </si>
  <si>
    <t>COMSYS Holdings Corp.</t>
  </si>
  <si>
    <t>8986</t>
  </si>
  <si>
    <t>Daiwa Securities Living Investments Corp.</t>
  </si>
  <si>
    <t>2127</t>
  </si>
  <si>
    <t>Nihon M&amp;A Center Holdings Inc.</t>
  </si>
  <si>
    <t>5901</t>
  </si>
  <si>
    <t>Toyo Seikan Group Holdings Ltd.</t>
  </si>
  <si>
    <t>SIX2</t>
  </si>
  <si>
    <t>4061</t>
  </si>
  <si>
    <t>Denka Co. Ltd.</t>
  </si>
  <si>
    <t>293</t>
  </si>
  <si>
    <t>Cathay Pacific Airways Ltd.</t>
  </si>
  <si>
    <t>ENLT</t>
  </si>
  <si>
    <t>Enlight Renewable Energy Ltd.</t>
  </si>
  <si>
    <t>9065</t>
  </si>
  <si>
    <t>Sankyu Inc.</t>
  </si>
  <si>
    <t>7730</t>
  </si>
  <si>
    <t>Mani Inc.</t>
  </si>
  <si>
    <t>8955</t>
  </si>
  <si>
    <t>Japan Prime Realty Investment Corp.</t>
  </si>
  <si>
    <t>7988</t>
  </si>
  <si>
    <t>Nifco Inc./Japan</t>
  </si>
  <si>
    <t>5105</t>
  </si>
  <si>
    <t>Toyo Tire Corp.</t>
  </si>
  <si>
    <t>7337</t>
  </si>
  <si>
    <t>Hirogin Holdings Inc.</t>
  </si>
  <si>
    <t>4272</t>
  </si>
  <si>
    <t>Nippon Kayaku Co. Ltd.</t>
  </si>
  <si>
    <t>3249</t>
  </si>
  <si>
    <t>Industrial &amp; Infrastructure Fund Investment Corp.</t>
  </si>
  <si>
    <t>8359</t>
  </si>
  <si>
    <t>Hachijuni Bank Ltd.</t>
  </si>
  <si>
    <t>S58</t>
  </si>
  <si>
    <t>SATS Ltd.</t>
  </si>
  <si>
    <t>139130</t>
  </si>
  <si>
    <t>DGB Financial Group Inc.</t>
  </si>
  <si>
    <t>3141</t>
  </si>
  <si>
    <t>Welcia Holdings Co. Ltd.</t>
  </si>
  <si>
    <t>9076</t>
  </si>
  <si>
    <t>Seino Holdings Co. Ltd.</t>
  </si>
  <si>
    <t>8967</t>
  </si>
  <si>
    <t>Japan Logistics Fund Inc.</t>
  </si>
  <si>
    <t>K71U</t>
  </si>
  <si>
    <t>Keppel REIT</t>
  </si>
  <si>
    <t>3292</t>
  </si>
  <si>
    <t>AEON REIT Investment Corp.</t>
  </si>
  <si>
    <t>6966</t>
  </si>
  <si>
    <t>Mitsui High-Tec Inc.</t>
  </si>
  <si>
    <t>5214</t>
  </si>
  <si>
    <t>Nippon Electric Glass Co. Ltd.</t>
  </si>
  <si>
    <t>3234</t>
  </si>
  <si>
    <t>Mori Hills REIT Investment Corp.</t>
  </si>
  <si>
    <t>ILCO</t>
  </si>
  <si>
    <t>Israel Corp. Ltd.</t>
  </si>
  <si>
    <t>BIG</t>
  </si>
  <si>
    <t>Big Shopping Centers Ltd.</t>
  </si>
  <si>
    <t>8114</t>
  </si>
  <si>
    <t>Descente Ltd.</t>
  </si>
  <si>
    <t>De' Longhi SPA</t>
  </si>
  <si>
    <t>8972</t>
  </si>
  <si>
    <t>Kenedix Office Investment Corp.</t>
  </si>
  <si>
    <t>8</t>
  </si>
  <si>
    <t>PCCW Ltd.</t>
  </si>
  <si>
    <t>8227</t>
  </si>
  <si>
    <t>Shimamura Co. Ltd.</t>
  </si>
  <si>
    <t>002380</t>
  </si>
  <si>
    <t>KCC Corp.</t>
  </si>
  <si>
    <t>PHIN</t>
  </si>
  <si>
    <t>Phinia Inc.</t>
  </si>
  <si>
    <t>FIE</t>
  </si>
  <si>
    <t>Fielmann AG</t>
  </si>
  <si>
    <t>6141</t>
  </si>
  <si>
    <t>DMG Mori Co. Ltd.</t>
  </si>
  <si>
    <t>4581</t>
  </si>
  <si>
    <t>Taisho Pharmaceutical Holdings Co. Ltd.</t>
  </si>
  <si>
    <t>7164</t>
  </si>
  <si>
    <t>Zenkoku Hosho Co. Ltd.</t>
  </si>
  <si>
    <t>138930</t>
  </si>
  <si>
    <t>BNK Financial Group Inc.</t>
  </si>
  <si>
    <t>PHOE</t>
  </si>
  <si>
    <t>Phoenix Holdings Ltd.</t>
  </si>
  <si>
    <t>FRA</t>
  </si>
  <si>
    <t>Fraport AG Frankfurt Airport Services Worldwide</t>
  </si>
  <si>
    <t>9719</t>
  </si>
  <si>
    <t>SCSK Corp.</t>
  </si>
  <si>
    <t>Kotobuki Spirits Co. Ltd.</t>
  </si>
  <si>
    <t>UTDI</t>
  </si>
  <si>
    <t>United Internet AG</t>
  </si>
  <si>
    <t>4186</t>
  </si>
  <si>
    <t>Tokyo Ohka Kogyo Co. Ltd.</t>
  </si>
  <si>
    <t>6473</t>
  </si>
  <si>
    <t>JTEKT Corp.</t>
  </si>
  <si>
    <t>SN</t>
  </si>
  <si>
    <t>SharkNinja Inc.</t>
  </si>
  <si>
    <t>2593</t>
  </si>
  <si>
    <t>Ito En Ltd.</t>
  </si>
  <si>
    <t>6849</t>
  </si>
  <si>
    <t>Nihon Kohden Corp.</t>
  </si>
  <si>
    <t>13</t>
  </si>
  <si>
    <t>HUTCHMED China Ltd.</t>
  </si>
  <si>
    <t>204320</t>
  </si>
  <si>
    <t>HL Mando Co. Ltd.</t>
  </si>
  <si>
    <t>180640</t>
  </si>
  <si>
    <t>Hanjin Kal Corp.</t>
  </si>
  <si>
    <t>3466</t>
  </si>
  <si>
    <t>LaSalle Logiport REIT</t>
  </si>
  <si>
    <t>ROCK B</t>
  </si>
  <si>
    <t>ROCKWOOL A/S</t>
  </si>
  <si>
    <t>8012</t>
  </si>
  <si>
    <t>Nagase &amp; Co. Ltd.</t>
  </si>
  <si>
    <t>551</t>
  </si>
  <si>
    <t>Yue Yuen Industrial Holdings Ltd.</t>
  </si>
  <si>
    <t>8876</t>
  </si>
  <si>
    <t>Relo Group Inc.</t>
  </si>
  <si>
    <t>FRES</t>
  </si>
  <si>
    <t>Fresnillo plc</t>
  </si>
  <si>
    <t>HARL</t>
  </si>
  <si>
    <t>Harel Insurance Investments &amp; Financial Services Ltd.</t>
  </si>
  <si>
    <t>4666</t>
  </si>
  <si>
    <t>Park24 Co. Ltd.</t>
  </si>
  <si>
    <t>2432</t>
  </si>
  <si>
    <t>DeNA Co. Ltd.</t>
  </si>
  <si>
    <t>5076</t>
  </si>
  <si>
    <t>INFRONEER Holdings Inc.</t>
  </si>
  <si>
    <t>1999</t>
  </si>
  <si>
    <t>Man Wah Holdings Ltd.</t>
  </si>
  <si>
    <t>012750</t>
  </si>
  <si>
    <t>S-1 Corp.</t>
  </si>
  <si>
    <t>8382</t>
  </si>
  <si>
    <t>Chugoku Bank Ltd.</t>
  </si>
  <si>
    <t>6588</t>
  </si>
  <si>
    <t>Toshiba TEC Corp.</t>
  </si>
  <si>
    <t>4203</t>
  </si>
  <si>
    <t>Sumitomo Bakelite Co. Ltd.</t>
  </si>
  <si>
    <t>6925</t>
  </si>
  <si>
    <t>Ushio Inc.</t>
  </si>
  <si>
    <t>4114</t>
  </si>
  <si>
    <t>Nippon Shokubai Co. Ltd.</t>
  </si>
  <si>
    <t>973</t>
  </si>
  <si>
    <t>L'Occitane International SA</t>
  </si>
  <si>
    <t>7458</t>
  </si>
  <si>
    <t>Daiichikosho Co. Ltd.</t>
  </si>
  <si>
    <t>UI</t>
  </si>
  <si>
    <t>Ubiquiti Inc.</t>
  </si>
  <si>
    <t>2264</t>
  </si>
  <si>
    <t>Morinaga Milk Industry Co. Ltd.</t>
  </si>
  <si>
    <t>2670</t>
  </si>
  <si>
    <t>ABC-Mart Inc.</t>
  </si>
  <si>
    <t>8424</t>
  </si>
  <si>
    <t>Fuyo General Lease Co. Ltd.</t>
  </si>
  <si>
    <t>1973</t>
  </si>
  <si>
    <t>NEC Networks &amp; System Integration Corp.</t>
  </si>
  <si>
    <t>4902</t>
  </si>
  <si>
    <t>Konica Minolta Inc.</t>
  </si>
  <si>
    <t>CC3</t>
  </si>
  <si>
    <t>StarHub Ltd.</t>
  </si>
  <si>
    <t>BMED</t>
  </si>
  <si>
    <t>Banca Mediolanum SPA</t>
  </si>
  <si>
    <t>5714</t>
  </si>
  <si>
    <t>Dowa Holdings Co. Ltd.</t>
  </si>
  <si>
    <t>3923</t>
  </si>
  <si>
    <t>Rakus Co. Ltd.</t>
  </si>
  <si>
    <t>Eurazeo SE</t>
  </si>
  <si>
    <t>MVNE</t>
  </si>
  <si>
    <t>Mivne Real Estate KD Ltd.</t>
  </si>
  <si>
    <t>8060</t>
  </si>
  <si>
    <t>Canon Marketing Japan Inc.</t>
  </si>
  <si>
    <t>ICAD</t>
  </si>
  <si>
    <t>ICADE</t>
  </si>
  <si>
    <t>6951</t>
  </si>
  <si>
    <t>Jeol Ltd.</t>
  </si>
  <si>
    <t>303</t>
  </si>
  <si>
    <t>VTech Holdings Ltd.</t>
  </si>
  <si>
    <t>6754</t>
  </si>
  <si>
    <t>Anritsu Corp.</t>
  </si>
  <si>
    <t>004000</t>
  </si>
  <si>
    <t>LOTTE Fine Chemical Co. Ltd.</t>
  </si>
  <si>
    <t>ELTR</t>
  </si>
  <si>
    <t>Electra Ltd./Israel</t>
  </si>
  <si>
    <t>Sumitomo Rubber Industries Ltd.</t>
  </si>
  <si>
    <t>LSG</t>
  </si>
  <si>
    <t>Leroy Seafood Group ASA</t>
  </si>
  <si>
    <t>023530</t>
  </si>
  <si>
    <t>Lotte Shopping Co. Ltd.</t>
  </si>
  <si>
    <t>3116</t>
  </si>
  <si>
    <t>Toyota Boshoku Corp.</t>
  </si>
  <si>
    <t>DEC</t>
  </si>
  <si>
    <t>JCDecaux SE</t>
  </si>
  <si>
    <t>097955</t>
  </si>
  <si>
    <t>SAE</t>
  </si>
  <si>
    <t>Shufersal Ltd.</t>
  </si>
  <si>
    <t>SEB SA</t>
  </si>
  <si>
    <t>8905</t>
  </si>
  <si>
    <t>Aeon Mall Co. Ltd.</t>
  </si>
  <si>
    <t>026960</t>
  </si>
  <si>
    <t>Dongsuh Cos. Inc.</t>
  </si>
  <si>
    <t>CTPNV</t>
  </si>
  <si>
    <t>CTP NV</t>
  </si>
  <si>
    <t>Ship Healthcare Holdings Inc.</t>
  </si>
  <si>
    <t>7956</t>
  </si>
  <si>
    <t>Pigeon Corp.</t>
  </si>
  <si>
    <t>Fuji Oil Holdings Inc.</t>
  </si>
  <si>
    <t>8976</t>
  </si>
  <si>
    <t>Daiwa Office Investment Corp.</t>
  </si>
  <si>
    <t>AJBU</t>
  </si>
  <si>
    <t>Keppel DC REIT</t>
  </si>
  <si>
    <t>RRTL</t>
  </si>
  <si>
    <t>RTL Group SA</t>
  </si>
  <si>
    <t>308</t>
  </si>
  <si>
    <t>China Travel International Investment Hong Kong Ltd.</t>
  </si>
  <si>
    <t>NS8U</t>
  </si>
  <si>
    <t>Hutchison Port Holdings Trust</t>
  </si>
  <si>
    <t>2175</t>
  </si>
  <si>
    <t>SMS Co. Ltd.</t>
  </si>
  <si>
    <t>003410</t>
  </si>
  <si>
    <t>SSANGYONG C&amp;E Co. Ltd.</t>
  </si>
  <si>
    <t>2229</t>
  </si>
  <si>
    <t>Calbee Inc.</t>
  </si>
  <si>
    <t>7780</t>
  </si>
  <si>
    <t>Menicon Co. Ltd.</t>
  </si>
  <si>
    <t>6755</t>
  </si>
  <si>
    <t>Fujitsu General Ltd.</t>
  </si>
  <si>
    <t>683</t>
  </si>
  <si>
    <t>Kerry Properties Ltd.</t>
  </si>
  <si>
    <t>SK</t>
  </si>
  <si>
    <t>4921</t>
  </si>
  <si>
    <t>Fancl Corp.</t>
  </si>
  <si>
    <t>MLSR</t>
  </si>
  <si>
    <t>Melisron Ltd.</t>
  </si>
  <si>
    <t>004370</t>
  </si>
  <si>
    <t>NongShim Co. Ltd.</t>
  </si>
  <si>
    <t>030000</t>
  </si>
  <si>
    <t>Cheil Worldwide Inc.</t>
  </si>
  <si>
    <t>5801</t>
  </si>
  <si>
    <t>Furukawa Electric Co. Ltd.</t>
  </si>
  <si>
    <t>2778</t>
  </si>
  <si>
    <t>Champion REIT</t>
  </si>
  <si>
    <t>440</t>
  </si>
  <si>
    <t>Dah Sing Financial Holdings Ltd.</t>
  </si>
  <si>
    <t>6136</t>
  </si>
  <si>
    <t>OSG Corp.</t>
  </si>
  <si>
    <t>HLUN B</t>
  </si>
  <si>
    <t>H Lundbeck A/S</t>
  </si>
  <si>
    <t>7984</t>
  </si>
  <si>
    <t>Kokuyo Co. Ltd.</t>
  </si>
  <si>
    <t>ALD SA</t>
  </si>
  <si>
    <t>6753</t>
  </si>
  <si>
    <t>Sharp Corp./Japan</t>
  </si>
  <si>
    <t>SKBN</t>
  </si>
  <si>
    <t>Shikun &amp; Binui Ltd.</t>
  </si>
  <si>
    <t>1208</t>
  </si>
  <si>
    <t>MMG Ltd.</t>
  </si>
  <si>
    <t>DWNI</t>
  </si>
  <si>
    <t>Deutsche Wohnen SE</t>
  </si>
  <si>
    <t>4587</t>
  </si>
  <si>
    <t>PeptiDream Inc.</t>
  </si>
  <si>
    <t>3765</t>
  </si>
  <si>
    <t>GungHo Online Entertainment Inc.</t>
  </si>
  <si>
    <t>9627</t>
  </si>
  <si>
    <t>Ain Holdings Inc.</t>
  </si>
  <si>
    <t>ASHG</t>
  </si>
  <si>
    <t>Ashtrom Group Ltd.</t>
  </si>
  <si>
    <t>ALHE</t>
  </si>
  <si>
    <t>Alony Hetz Properties &amp; Investments Ltd.</t>
  </si>
  <si>
    <t>345</t>
  </si>
  <si>
    <t>Vitasoy International Holdings Ltd.</t>
  </si>
  <si>
    <t>8282</t>
  </si>
  <si>
    <t>K's Holdings Corp.</t>
  </si>
  <si>
    <t>VC2</t>
  </si>
  <si>
    <t>Olam Group Ltd.</t>
  </si>
  <si>
    <t>10</t>
  </si>
  <si>
    <t>Hang Lung Group Ltd.</t>
  </si>
  <si>
    <t>7205</t>
  </si>
  <si>
    <t>Hino Motors Ltd.</t>
  </si>
  <si>
    <t>7476</t>
  </si>
  <si>
    <t>As One Corp.</t>
  </si>
  <si>
    <t>3880</t>
  </si>
  <si>
    <t>Daio Paper Corp.</t>
  </si>
  <si>
    <t>SPEN</t>
  </si>
  <si>
    <t>Shapir Engineering and Industry Ltd.</t>
  </si>
  <si>
    <t>7240</t>
  </si>
  <si>
    <t>NOK Corp.</t>
  </si>
  <si>
    <t>8570</t>
  </si>
  <si>
    <t>AEON Financial Service Co. Ltd.</t>
  </si>
  <si>
    <t>4540</t>
  </si>
  <si>
    <t>Tsumura &amp; Co.</t>
  </si>
  <si>
    <t>S08</t>
  </si>
  <si>
    <t>Singapore Post Ltd.</t>
  </si>
  <si>
    <t>006280</t>
  </si>
  <si>
    <t>Green Cross Corp./South Korea</t>
  </si>
  <si>
    <t>4544</t>
  </si>
  <si>
    <t>H.U. Group Holdings Inc.</t>
  </si>
  <si>
    <t>019170</t>
  </si>
  <si>
    <t>Shin Poong Pharmaceutical Co. Ltd.</t>
  </si>
  <si>
    <t>4631</t>
  </si>
  <si>
    <t>DIC Corp.</t>
  </si>
  <si>
    <t>035760</t>
  </si>
  <si>
    <t>CJ ENM Co. Ltd.</t>
  </si>
  <si>
    <t>8283</t>
  </si>
  <si>
    <t>PALTAC Corp.</t>
  </si>
  <si>
    <t>D01</t>
  </si>
  <si>
    <t>DFI Retail Group Holdings Ltd.</t>
  </si>
  <si>
    <t>142</t>
  </si>
  <si>
    <t>First Pacific Co. Ltd.</t>
  </si>
  <si>
    <t>8919</t>
  </si>
  <si>
    <t>Katitas Co. Ltd.</t>
  </si>
  <si>
    <t>Benefit One Inc.</t>
  </si>
  <si>
    <t>2201</t>
  </si>
  <si>
    <t>Morinaga &amp; Co. Ltd./Japan</t>
  </si>
  <si>
    <t>STRS</t>
  </si>
  <si>
    <t>Strauss Group Ltd.</t>
  </si>
  <si>
    <t>4927</t>
  </si>
  <si>
    <t>Pola Orbis Holdings Inc.</t>
  </si>
  <si>
    <t>KPG</t>
  </si>
  <si>
    <t>Kiwi Property Group Ltd.</t>
  </si>
  <si>
    <t>9783</t>
  </si>
  <si>
    <t>Benesse Holdings Inc.</t>
  </si>
  <si>
    <t>B4B</t>
  </si>
  <si>
    <t>METRO AG</t>
  </si>
  <si>
    <t>002790</t>
  </si>
  <si>
    <t>AMOREPACIFIC Group</t>
  </si>
  <si>
    <t>PROX</t>
  </si>
  <si>
    <t>Proximus SADP</t>
  </si>
  <si>
    <t>ARPT</t>
  </si>
  <si>
    <t>Airport City Ltd.</t>
  </si>
  <si>
    <t>1316</t>
  </si>
  <si>
    <t>Nexteer Automotive Group Ltd.</t>
  </si>
  <si>
    <t>4506</t>
  </si>
  <si>
    <t>Sumitomo Pharma Co. Ltd.</t>
  </si>
  <si>
    <t>2678</t>
  </si>
  <si>
    <t>ASKUL Corp.</t>
  </si>
  <si>
    <t>4552</t>
  </si>
  <si>
    <t>JCR Pharmaceuticals Co. Ltd.</t>
  </si>
  <si>
    <t>2206</t>
  </si>
  <si>
    <t>Ezaki Glico Co. Ltd.</t>
  </si>
  <si>
    <t>9519</t>
  </si>
  <si>
    <t>RENOVA Inc.</t>
  </si>
  <si>
    <t>4521</t>
  </si>
  <si>
    <t>Kaken Pharmaceutical Co. Ltd.</t>
  </si>
  <si>
    <t>8410</t>
  </si>
  <si>
    <t>Seven Bank Ltd.</t>
  </si>
  <si>
    <t>EURAZEO SE loyalty line</t>
  </si>
  <si>
    <t>3549</t>
  </si>
  <si>
    <t>Kusuri no Aoki Holdings Co. Ltd.</t>
  </si>
  <si>
    <t>4686</t>
  </si>
  <si>
    <t>Justsystems Corp.</t>
  </si>
  <si>
    <t>179</t>
  </si>
  <si>
    <t>Johnson Electric Holdings Ltd.</t>
  </si>
  <si>
    <t>SEB - PF - 2025</t>
  </si>
  <si>
    <t>4974</t>
  </si>
  <si>
    <t>Takara Bio Inc.</t>
  </si>
  <si>
    <t>GVYM</t>
  </si>
  <si>
    <t>Gav-Yam Lands Corp. Ltd.</t>
  </si>
  <si>
    <t>1959</t>
  </si>
  <si>
    <t>Kyudenko Corp.</t>
  </si>
  <si>
    <t>452260</t>
  </si>
  <si>
    <t>Hanwha Galleria Corp.</t>
  </si>
  <si>
    <t>9601</t>
  </si>
  <si>
    <t>Shochiku Co. Ltd.</t>
  </si>
  <si>
    <t>1691</t>
  </si>
  <si>
    <t>JS Global Lifestyle Co. Ltd.</t>
  </si>
  <si>
    <t>7282</t>
  </si>
  <si>
    <t>Toyoda Gosei Co. Ltd.</t>
  </si>
  <si>
    <t>BRK.B</t>
  </si>
  <si>
    <t>Berkshire Hathaway Inc.</t>
  </si>
  <si>
    <t>Exxon Mobil Corp.</t>
  </si>
  <si>
    <t>Johnson &amp; Johnson</t>
  </si>
  <si>
    <t>Chevron Corp.</t>
  </si>
  <si>
    <t>MC</t>
  </si>
  <si>
    <t>LVMH Moet Hennessy Louis Vuitton SE</t>
  </si>
  <si>
    <t>Walmart Inc.</t>
  </si>
  <si>
    <t>SHEL</t>
  </si>
  <si>
    <t>Shell plc</t>
  </si>
  <si>
    <t>Wells Fargo &amp; Co.</t>
  </si>
  <si>
    <t>HSBA</t>
  </si>
  <si>
    <t>HSBC Holdings plc</t>
  </si>
  <si>
    <t>Philip Morris International Inc.</t>
  </si>
  <si>
    <t>NextEra Energy Inc.</t>
  </si>
  <si>
    <t>TTE</t>
  </si>
  <si>
    <t>TotalEnergies SE</t>
  </si>
  <si>
    <t>ConocoPhillips</t>
  </si>
  <si>
    <t>Boeing Co.</t>
  </si>
  <si>
    <t>International Business Machines Corp.</t>
  </si>
  <si>
    <t>SIE</t>
  </si>
  <si>
    <t>Siemens AG</t>
  </si>
  <si>
    <t>RTX Corp.</t>
  </si>
  <si>
    <t>Honeywell International Inc.</t>
  </si>
  <si>
    <t>General Electric Co.</t>
  </si>
  <si>
    <t>BP.</t>
  </si>
  <si>
    <t>BP plc</t>
  </si>
  <si>
    <t>Lockheed Martin Corp.</t>
  </si>
  <si>
    <t>Analog Devices Inc.</t>
  </si>
  <si>
    <t>DGE</t>
  </si>
  <si>
    <t>Diageo plc</t>
  </si>
  <si>
    <t>SU</t>
  </si>
  <si>
    <t>Schneider Electric SE</t>
  </si>
  <si>
    <t>AIR</t>
  </si>
  <si>
    <t>Airbus SE</t>
  </si>
  <si>
    <t>CFR</t>
  </si>
  <si>
    <t>Cie Financiere Richemont SA</t>
  </si>
  <si>
    <t>Altria Group Inc.</t>
  </si>
  <si>
    <t>Schlumberger NV</t>
  </si>
  <si>
    <t>CW</t>
  </si>
  <si>
    <t>Eaton Corp. plc</t>
  </si>
  <si>
    <t>Southern Co.</t>
  </si>
  <si>
    <t>EOG Resources Inc.</t>
  </si>
  <si>
    <t>IBE</t>
  </si>
  <si>
    <t>Iberdrola SA</t>
  </si>
  <si>
    <t>Rio Tinto plc</t>
  </si>
  <si>
    <t>ENB</t>
  </si>
  <si>
    <t>Enbridge Inc.</t>
  </si>
  <si>
    <t>Air Liquide SA</t>
  </si>
  <si>
    <t>BATS</t>
  </si>
  <si>
    <t>British American Tobacco plc</t>
  </si>
  <si>
    <t>Duke Energy Corp.</t>
  </si>
  <si>
    <t>CNQ</t>
  </si>
  <si>
    <t>Canadian Natural Resources Ltd.</t>
  </si>
  <si>
    <t>Freeport-McMoRan Inc.</t>
  </si>
  <si>
    <t>Northrop Grumman Corp.</t>
  </si>
  <si>
    <t>8058</t>
  </si>
  <si>
    <t>Mitsubishi Corp.</t>
  </si>
  <si>
    <t>ABBN</t>
  </si>
  <si>
    <t>ABB Ltd.</t>
  </si>
  <si>
    <t>Vinci SA</t>
  </si>
  <si>
    <t>GLEN</t>
  </si>
  <si>
    <t>Glencore plc</t>
  </si>
  <si>
    <t>3M Co.</t>
  </si>
  <si>
    <t>6501</t>
  </si>
  <si>
    <t>Hitachi Ltd.</t>
  </si>
  <si>
    <t>Marathon Petroleum Corp.</t>
  </si>
  <si>
    <t>SAF</t>
  </si>
  <si>
    <t>Safran SA</t>
  </si>
  <si>
    <t>ENEL</t>
  </si>
  <si>
    <t>Enel SPA</t>
  </si>
  <si>
    <t>General Motors Co.</t>
  </si>
  <si>
    <t>MUV2</t>
  </si>
  <si>
    <t>Muenchener Rueckversicherungs-Gesellschaft AG in Muenchen</t>
  </si>
  <si>
    <t>Norfolk Southern Corp.</t>
  </si>
  <si>
    <t>Parker-Hannifin Corp.</t>
  </si>
  <si>
    <t>General Dynamics Corp.</t>
  </si>
  <si>
    <t>Amphenol Corp.</t>
  </si>
  <si>
    <t>Roper Technologies Inc.</t>
  </si>
  <si>
    <t>Emerson Electric Co.</t>
  </si>
  <si>
    <t>8031</t>
  </si>
  <si>
    <t>Mitsui &amp; Co. Ltd.</t>
  </si>
  <si>
    <t>Phillips 66</t>
  </si>
  <si>
    <t>Pioneer Natural Resources Co.</t>
  </si>
  <si>
    <t>6367</t>
  </si>
  <si>
    <t>Daikin Industries Ltd.</t>
  </si>
  <si>
    <t>ABI</t>
  </si>
  <si>
    <t>Anheuser-Busch InBev SA/NV</t>
  </si>
  <si>
    <t>Brookfield Corp.</t>
  </si>
  <si>
    <t>8001</t>
  </si>
  <si>
    <t>ITOCHU Corp.</t>
  </si>
  <si>
    <t>NG.</t>
  </si>
  <si>
    <t>National Grid plc</t>
  </si>
  <si>
    <t>BAS</t>
  </si>
  <si>
    <t>Valero Energy Corp.</t>
  </si>
  <si>
    <t>Sempra</t>
  </si>
  <si>
    <t>TransDigm Group Inc.</t>
  </si>
  <si>
    <t>Ecolab Inc.</t>
  </si>
  <si>
    <t>RI</t>
  </si>
  <si>
    <t>Pernod Ricard SA</t>
  </si>
  <si>
    <t>Occidental Petroleum Corp.</t>
  </si>
  <si>
    <t>SIKA</t>
  </si>
  <si>
    <t>Sika AG</t>
  </si>
  <si>
    <t>TE Connectivity Ltd.</t>
  </si>
  <si>
    <t>Dominion Energy Inc.</t>
  </si>
  <si>
    <t>CRHl</t>
  </si>
  <si>
    <t>Constellation Brands Inc.</t>
  </si>
  <si>
    <t>American Electric Power Co. Inc.</t>
  </si>
  <si>
    <t>Suncor Energy Inc.</t>
  </si>
  <si>
    <t>Hess Corp.</t>
  </si>
  <si>
    <t>Offshore Drilling and Other Services</t>
  </si>
  <si>
    <t>Williams Cos. Inc.</t>
  </si>
  <si>
    <t>Exelon Corp.</t>
  </si>
  <si>
    <t>Dow Inc.</t>
  </si>
  <si>
    <t>ATD</t>
  </si>
  <si>
    <t>Alimentation Couche-Tard Inc.</t>
  </si>
  <si>
    <t>Anglo American plc</t>
  </si>
  <si>
    <t>DR Horton Inc.</t>
  </si>
  <si>
    <t>HOLN</t>
  </si>
  <si>
    <t>Holcim Ltd.</t>
  </si>
  <si>
    <t>BA.</t>
  </si>
  <si>
    <t>BAE Systems plc</t>
  </si>
  <si>
    <t>Cummins Inc.</t>
  </si>
  <si>
    <t>AMETEK Inc.</t>
  </si>
  <si>
    <t>NDA SE</t>
  </si>
  <si>
    <t>TRP</t>
  </si>
  <si>
    <t>TC Energy Corp.</t>
  </si>
  <si>
    <t>LNG</t>
  </si>
  <si>
    <t>Cheniere Energy Inc.</t>
  </si>
  <si>
    <t>L3Harris Technologies Inc.</t>
  </si>
  <si>
    <t>Kinder Morgan Inc.</t>
  </si>
  <si>
    <t>Baker Hughes Co.</t>
  </si>
  <si>
    <t>Halliburton Co.</t>
  </si>
  <si>
    <t>Xcel Energy Inc.</t>
  </si>
  <si>
    <t>ENI</t>
  </si>
  <si>
    <t>Eni SPA</t>
  </si>
  <si>
    <t>PPG Industries Inc.</t>
  </si>
  <si>
    <t>Devon Energy Corp.</t>
  </si>
  <si>
    <t>WW Grainger Inc.</t>
  </si>
  <si>
    <t>Consolidated Edison Inc.</t>
  </si>
  <si>
    <t>FLTR</t>
  </si>
  <si>
    <t>Flutter Entertainment plc</t>
  </si>
  <si>
    <t>SGO</t>
  </si>
  <si>
    <t>Cie de Saint-Gobain</t>
  </si>
  <si>
    <t>VOLV B</t>
  </si>
  <si>
    <t>Volvo AB</t>
  </si>
  <si>
    <t>United Rentals Inc.</t>
  </si>
  <si>
    <t>Constellation Energy Corp.</t>
  </si>
  <si>
    <t>Public Service Enterprise Group Inc.</t>
  </si>
  <si>
    <t>ABX</t>
  </si>
  <si>
    <t>Barrick Gold Corp.</t>
  </si>
  <si>
    <t>VICI Properties Inc.</t>
  </si>
  <si>
    <t>ANSYS Inc.</t>
  </si>
  <si>
    <t>ONEOK Inc.</t>
  </si>
  <si>
    <t>CAP</t>
  </si>
  <si>
    <t>Capgemini SE</t>
  </si>
  <si>
    <t>Quanta Services Inc.</t>
  </si>
  <si>
    <t>EOAN</t>
  </si>
  <si>
    <t>EQNR</t>
  </si>
  <si>
    <t>Equinor ASA</t>
  </si>
  <si>
    <t>WEC Energy Group Inc.</t>
  </si>
  <si>
    <t>Dassault Systemes SE</t>
  </si>
  <si>
    <t>6503</t>
  </si>
  <si>
    <t>Mitsubishi Electric Corp.</t>
  </si>
  <si>
    <t>Edison International</t>
  </si>
  <si>
    <t>2914</t>
  </si>
  <si>
    <t>Japan Tobacco Inc.</t>
  </si>
  <si>
    <t>8002</t>
  </si>
  <si>
    <t>Marubeni Corp.</t>
  </si>
  <si>
    <t>RWE</t>
  </si>
  <si>
    <t>Xylem Inc./NY</t>
  </si>
  <si>
    <t>Fortive Corp.</t>
  </si>
  <si>
    <t>CVE</t>
  </si>
  <si>
    <t>Cenovus Energy Inc.</t>
  </si>
  <si>
    <t>PG&amp;E Corp.</t>
  </si>
  <si>
    <t>6301</t>
  </si>
  <si>
    <t>Komatsu Ltd.</t>
  </si>
  <si>
    <t>HEIA</t>
  </si>
  <si>
    <t>Heineken NV</t>
  </si>
  <si>
    <t>Eversource Energy</t>
  </si>
  <si>
    <t>Diamondback Energy Inc.</t>
  </si>
  <si>
    <t>Weyerhaeuser Co.</t>
  </si>
  <si>
    <t>Timber REITs</t>
  </si>
  <si>
    <t>8053</t>
  </si>
  <si>
    <t>Sumitomo Corp.</t>
  </si>
  <si>
    <t>Sea Ltd.</t>
  </si>
  <si>
    <t>VOW3</t>
  </si>
  <si>
    <t>Volkswagen AG</t>
  </si>
  <si>
    <t>SSE</t>
  </si>
  <si>
    <t>SSE plc</t>
  </si>
  <si>
    <t>8591</t>
  </si>
  <si>
    <t>ORIX Corp.</t>
  </si>
  <si>
    <t>EVO</t>
  </si>
  <si>
    <t>Evolution AB</t>
  </si>
  <si>
    <t>Ameren Corp.</t>
  </si>
  <si>
    <t>BF.B</t>
  </si>
  <si>
    <t>Brown-Forman Corp.</t>
  </si>
  <si>
    <t>IMB</t>
  </si>
  <si>
    <t>Imperial Brands plc</t>
  </si>
  <si>
    <t>DTE Energy Co.</t>
  </si>
  <si>
    <t>SAND</t>
  </si>
  <si>
    <t>Sandvik AB</t>
  </si>
  <si>
    <t>VIE</t>
  </si>
  <si>
    <t>Veolia Environnement SA</t>
  </si>
  <si>
    <t>Coterra Energy Inc.</t>
  </si>
  <si>
    <t>FirstEnergy Corp.</t>
  </si>
  <si>
    <t>Darden Restaurants Inc.</t>
  </si>
  <si>
    <t>Entergy Corp.</t>
  </si>
  <si>
    <t>FTS</t>
  </si>
  <si>
    <t>Fortis Inc./Canada</t>
  </si>
  <si>
    <t>Las Vegas Sands Corp.</t>
  </si>
  <si>
    <t>PPL Corp.</t>
  </si>
  <si>
    <t>TECK.B</t>
  </si>
  <si>
    <t>Teck Resources Ltd.</t>
  </si>
  <si>
    <t>REP</t>
  </si>
  <si>
    <t>Repsol SA</t>
  </si>
  <si>
    <t>Engie SA</t>
  </si>
  <si>
    <t>RR.</t>
  </si>
  <si>
    <t>Rolls-Royce Holdings plc</t>
  </si>
  <si>
    <t>Howmet Aerospace Inc.</t>
  </si>
  <si>
    <t>HEXA B</t>
  </si>
  <si>
    <t>Hexagon AB</t>
  </si>
  <si>
    <t>CenterPoint Energy Inc.</t>
  </si>
  <si>
    <t>AI</t>
  </si>
  <si>
    <t>5401</t>
  </si>
  <si>
    <t>Nippon Steel Corp.</t>
  </si>
  <si>
    <t>Ball Corp.</t>
  </si>
  <si>
    <t>Teledyne Technologies Inc.</t>
  </si>
  <si>
    <t>CMS Energy Corp.</t>
  </si>
  <si>
    <t>2502</t>
  </si>
  <si>
    <t>Asahi Group Holdings Ltd.</t>
  </si>
  <si>
    <t>Targa Resources Corp.</t>
  </si>
  <si>
    <t>FM</t>
  </si>
  <si>
    <t>First Quantum Minerals Ltd.</t>
  </si>
  <si>
    <t>Pembina Pipeline Corp.</t>
  </si>
  <si>
    <t>WSP</t>
  </si>
  <si>
    <t>WSP Global Inc.</t>
  </si>
  <si>
    <t>HUBB</t>
  </si>
  <si>
    <t>Hubbell Inc.</t>
  </si>
  <si>
    <t>TOU</t>
  </si>
  <si>
    <t>Tourmaline Oil Corp.</t>
  </si>
  <si>
    <t>Marathon Oil Corp.</t>
  </si>
  <si>
    <t>Textron Inc.</t>
  </si>
  <si>
    <t>ORSTED</t>
  </si>
  <si>
    <t>Orsted AS</t>
  </si>
  <si>
    <t>ENTG</t>
  </si>
  <si>
    <t>Entegris Inc.</t>
  </si>
  <si>
    <t>BAH</t>
  </si>
  <si>
    <t>Booz Allen Hamilton Holding Corp.</t>
  </si>
  <si>
    <t>FER</t>
  </si>
  <si>
    <t>Ferrovial SA</t>
  </si>
  <si>
    <t>DANSKE</t>
  </si>
  <si>
    <t>Danske Bank A/S</t>
  </si>
  <si>
    <t>BLDR</t>
  </si>
  <si>
    <t>Builders FirstSource Inc.</t>
  </si>
  <si>
    <t>COIN</t>
  </si>
  <si>
    <t>Coinbase Global Inc.</t>
  </si>
  <si>
    <t>HO</t>
  </si>
  <si>
    <t>Thales SA</t>
  </si>
  <si>
    <t>27</t>
  </si>
  <si>
    <t>Galaxy Entertainment Group Ltd.</t>
  </si>
  <si>
    <t>MGM Resorts International</t>
  </si>
  <si>
    <t>Jacobs Solutions Inc.</t>
  </si>
  <si>
    <t>RCI.B</t>
  </si>
  <si>
    <t>Rogers Communications Inc.</t>
  </si>
  <si>
    <t>NESTE</t>
  </si>
  <si>
    <t>Neste Oyj</t>
  </si>
  <si>
    <t>ARES</t>
  </si>
  <si>
    <t>Ares Management Corp.</t>
  </si>
  <si>
    <t>POW</t>
  </si>
  <si>
    <t>Power Corp. of Canada</t>
  </si>
  <si>
    <t>7011</t>
  </si>
  <si>
    <t>Mitsubishi Heavy Industries Ltd.</t>
  </si>
  <si>
    <t>CCO</t>
  </si>
  <si>
    <t>Cameco Corp.</t>
  </si>
  <si>
    <t>FCNCA</t>
  </si>
  <si>
    <t>First Citizens BancShares Inc./NC</t>
  </si>
  <si>
    <t>1</t>
  </si>
  <si>
    <t>CK Hutchison Holdings Ltd.</t>
  </si>
  <si>
    <t>CARL B</t>
  </si>
  <si>
    <t>Carlsberg AS</t>
  </si>
  <si>
    <t>MT</t>
  </si>
  <si>
    <t>ArcelorMittal SA</t>
  </si>
  <si>
    <t>AES Corp.</t>
  </si>
  <si>
    <t>FWONK</t>
  </si>
  <si>
    <t>Liberty Media Corp-Liberty Formula One</t>
  </si>
  <si>
    <t>EQT Corp.</t>
  </si>
  <si>
    <t>Carlisle Cos. Inc.</t>
  </si>
  <si>
    <t>SGSN</t>
  </si>
  <si>
    <t>DELL</t>
  </si>
  <si>
    <t>Dell Technologies Inc.</t>
  </si>
  <si>
    <t>P911</t>
  </si>
  <si>
    <t>Dr Ing hc F Porsche AG</t>
  </si>
  <si>
    <t>Celanese Corp.</t>
  </si>
  <si>
    <t>Evergy Inc.</t>
  </si>
  <si>
    <t>Alliant Energy Corp.</t>
  </si>
  <si>
    <t>RPM</t>
  </si>
  <si>
    <t>RPM International Inc.</t>
  </si>
  <si>
    <t>Molson Coors Beverage Co.</t>
  </si>
  <si>
    <t>2</t>
  </si>
  <si>
    <t>CLP Holdings Ltd.</t>
  </si>
  <si>
    <t>EDP</t>
  </si>
  <si>
    <t>EDP - Energias de Portugal SA</t>
  </si>
  <si>
    <t>OC</t>
  </si>
  <si>
    <t>Owens Corning</t>
  </si>
  <si>
    <t>RS</t>
  </si>
  <si>
    <t>Reliance Steel &amp; Aluminum Co.</t>
  </si>
  <si>
    <t>APA Corp.</t>
  </si>
  <si>
    <t>Nordson Corp.</t>
  </si>
  <si>
    <t>Caesars Entertainment Inc.</t>
  </si>
  <si>
    <t>MTX</t>
  </si>
  <si>
    <t>MTU Aero Engines AG</t>
  </si>
  <si>
    <t>6502</t>
  </si>
  <si>
    <t>Toshiba Corp.</t>
  </si>
  <si>
    <t>RHM</t>
  </si>
  <si>
    <t>Rheinmetall AG</t>
  </si>
  <si>
    <t>Inpex Corp.</t>
  </si>
  <si>
    <t>GLPI</t>
  </si>
  <si>
    <t>Gaming and Leisure Properties Inc.</t>
  </si>
  <si>
    <t>BAM</t>
  </si>
  <si>
    <t>Brookfield Asset Management Ltd.</t>
  </si>
  <si>
    <t>8015</t>
  </si>
  <si>
    <t>Toyota Tsusho Corp.</t>
  </si>
  <si>
    <t>Leidos Holdings Inc.</t>
  </si>
  <si>
    <t>2503</t>
  </si>
  <si>
    <t>Kirin Holdings Co. Ltd.</t>
  </si>
  <si>
    <t>Wynn Resorts Ltd.</t>
  </si>
  <si>
    <t>7270</t>
  </si>
  <si>
    <t>Subaru Corp.</t>
  </si>
  <si>
    <t>OTEX</t>
  </si>
  <si>
    <t>Open Text Corp.</t>
  </si>
  <si>
    <t>LII</t>
  </si>
  <si>
    <t>Lennox International Inc.</t>
  </si>
  <si>
    <t>AMH</t>
  </si>
  <si>
    <t>American Homes 4 Rent</t>
  </si>
  <si>
    <t>Pentair plc</t>
  </si>
  <si>
    <t>OVV</t>
  </si>
  <si>
    <t>Ovintiv Inc.</t>
  </si>
  <si>
    <t>ROKU</t>
  </si>
  <si>
    <t>Roku Inc.</t>
  </si>
  <si>
    <t>SNAP</t>
  </si>
  <si>
    <t>Snap Inc.</t>
  </si>
  <si>
    <t>DAR</t>
  </si>
  <si>
    <t>Darling Ingredients Inc.</t>
  </si>
  <si>
    <t>NiSource Inc.</t>
  </si>
  <si>
    <t>ENT</t>
  </si>
  <si>
    <t>Entain plc</t>
  </si>
  <si>
    <t>IM</t>
  </si>
  <si>
    <t>Camden Property Trust</t>
  </si>
  <si>
    <t>IMO</t>
  </si>
  <si>
    <t>Imperial Oil Ltd.</t>
  </si>
  <si>
    <t>ALFA</t>
  </si>
  <si>
    <t>Alfa Laval AB</t>
  </si>
  <si>
    <t>1113</t>
  </si>
  <si>
    <t>CK Asset Holdings Ltd.</t>
  </si>
  <si>
    <t>BKI</t>
  </si>
  <si>
    <t>Black Knight Inc.</t>
  </si>
  <si>
    <t>CCK</t>
  </si>
  <si>
    <t>Crown Holdings Inc.</t>
  </si>
  <si>
    <t>DT</t>
  </si>
  <si>
    <t>Dynatrace Inc.</t>
  </si>
  <si>
    <t>EMA</t>
  </si>
  <si>
    <t>Emera Inc.</t>
  </si>
  <si>
    <t>GGG</t>
  </si>
  <si>
    <t>Graco Inc.</t>
  </si>
  <si>
    <t>SPX</t>
  </si>
  <si>
    <t>Spirax-Sarco Engineering plc</t>
  </si>
  <si>
    <t>BSY</t>
  </si>
  <si>
    <t>Bentley Systems Inc.</t>
  </si>
  <si>
    <t>5020</t>
  </si>
  <si>
    <t>ENEOS Holdings Inc.</t>
  </si>
  <si>
    <t>WTRG</t>
  </si>
  <si>
    <t>Essential Utilities Inc.</t>
  </si>
  <si>
    <t>Axon Enterprise Inc.</t>
  </si>
  <si>
    <t>Eastman Chemical Co.</t>
  </si>
  <si>
    <t>PRY</t>
  </si>
  <si>
    <t>Prysmian SPA</t>
  </si>
  <si>
    <t>TFII</t>
  </si>
  <si>
    <t>TFI International Inc.</t>
  </si>
  <si>
    <t>SRG</t>
  </si>
  <si>
    <t>Snam SPA</t>
  </si>
  <si>
    <t>NBIX</t>
  </si>
  <si>
    <t>Neurocrine Biosciences Inc.</t>
  </si>
  <si>
    <t>ALO</t>
  </si>
  <si>
    <t>Alstom SA</t>
  </si>
  <si>
    <t>LSCC</t>
  </si>
  <si>
    <t>Lattice Semiconductor Corp.</t>
  </si>
  <si>
    <t>3</t>
  </si>
  <si>
    <t>Hong Kong &amp; China Gas Co. Ltd.</t>
  </si>
  <si>
    <t>VST</t>
  </si>
  <si>
    <t>Vistra Corp.</t>
  </si>
  <si>
    <t>AER</t>
  </si>
  <si>
    <t>AerCap Holdings NV</t>
  </si>
  <si>
    <t>PCTY</t>
  </si>
  <si>
    <t>Paylocity Holding Corp.</t>
  </si>
  <si>
    <t>ARX</t>
  </si>
  <si>
    <t>ARC Resources Ltd.</t>
  </si>
  <si>
    <t>CGNX</t>
  </si>
  <si>
    <t>Cognex Corp.</t>
  </si>
  <si>
    <t>HEI.A</t>
  </si>
  <si>
    <t>HEICO Corp.</t>
  </si>
  <si>
    <t>TPL</t>
  </si>
  <si>
    <t>Texas Pacific Land Corp.</t>
  </si>
  <si>
    <t>TEVA</t>
  </si>
  <si>
    <t>Teva Pharmaceutical Industries Ltd.</t>
  </si>
  <si>
    <t>KNX</t>
  </si>
  <si>
    <t>Knight-Swift Transportation Holdings Inc.</t>
  </si>
  <si>
    <t>Huntington Ingalls Industries Inc.</t>
  </si>
  <si>
    <t>SCHP</t>
  </si>
  <si>
    <t>CLF</t>
  </si>
  <si>
    <t>Cleveland-Cliffs Inc.</t>
  </si>
  <si>
    <t>PAH3</t>
  </si>
  <si>
    <t>Porsche Automobil Holding SE</t>
  </si>
  <si>
    <t>RGEN</t>
  </si>
  <si>
    <t>Repligen Corp.</t>
  </si>
  <si>
    <t>Sands China Ltd.</t>
  </si>
  <si>
    <t>A O Smith Corp.</t>
  </si>
  <si>
    <t>ACM</t>
  </si>
  <si>
    <t>AECOM</t>
  </si>
  <si>
    <t>ITRK</t>
  </si>
  <si>
    <t>Intertek Group plc</t>
  </si>
  <si>
    <t>9503</t>
  </si>
  <si>
    <t>Kansai Electric Power Co. Inc.</t>
  </si>
  <si>
    <t>AKRBP</t>
  </si>
  <si>
    <t>Aker BP ASA</t>
  </si>
  <si>
    <t>American Financial Group Inc./OH</t>
  </si>
  <si>
    <t>Tradeweb Markets Inc.</t>
  </si>
  <si>
    <t>CHK</t>
  </si>
  <si>
    <t>Chesapeake Energy Corp.</t>
  </si>
  <si>
    <t>9531</t>
  </si>
  <si>
    <t>Tokyo Gas Co. Ltd.</t>
  </si>
  <si>
    <t>5713</t>
  </si>
  <si>
    <t>Sumitomo Metal Mining Co. Ltd.</t>
  </si>
  <si>
    <t>NRG Energy Inc.</t>
  </si>
  <si>
    <t>RNO</t>
  </si>
  <si>
    <t>Renault SA</t>
  </si>
  <si>
    <t>TTC</t>
  </si>
  <si>
    <t>Toro Co.</t>
  </si>
  <si>
    <t>HEIO</t>
  </si>
  <si>
    <t>Heineken Holding NV</t>
  </si>
  <si>
    <t>UTHR</t>
  </si>
  <si>
    <t>United Therapeutics Corp.</t>
  </si>
  <si>
    <t>WOLF</t>
  </si>
  <si>
    <t>Wolfspeed Inc.</t>
  </si>
  <si>
    <t>ACS</t>
  </si>
  <si>
    <t>ACS Actividades de Construccion y Servicios SA</t>
  </si>
  <si>
    <t>WBS</t>
  </si>
  <si>
    <t>Webster Financial Corp.</t>
  </si>
  <si>
    <t>9502</t>
  </si>
  <si>
    <t>Chubu Electric Power Co. Inc.</t>
  </si>
  <si>
    <t>Kikkoman Corp.</t>
  </si>
  <si>
    <t>J36</t>
  </si>
  <si>
    <t>Jardine Matheson Holdings Ltd.</t>
  </si>
  <si>
    <t>5411</t>
  </si>
  <si>
    <t>JFE Holdings Inc.</t>
  </si>
  <si>
    <t>SMIN</t>
  </si>
  <si>
    <t>Smiths Group plc</t>
  </si>
  <si>
    <t>DECK</t>
  </si>
  <si>
    <t>Deckers Outdoor Corp.</t>
  </si>
  <si>
    <t>BVI</t>
  </si>
  <si>
    <t>Bureau Veritas SA</t>
  </si>
  <si>
    <t>ENR</t>
  </si>
  <si>
    <t>Siemens Energy AG</t>
  </si>
  <si>
    <t>DINO</t>
  </si>
  <si>
    <t>HF SINCLAIR CORP</t>
  </si>
  <si>
    <t>FGR</t>
  </si>
  <si>
    <t>Eiffage SA</t>
  </si>
  <si>
    <t>CTC.A</t>
  </si>
  <si>
    <t>Canadian Tire Corp. Ltd.</t>
  </si>
  <si>
    <t>EN</t>
  </si>
  <si>
    <t>Bouygues SA</t>
  </si>
  <si>
    <t>6</t>
  </si>
  <si>
    <t>Power Assets Holdings Ltd.</t>
  </si>
  <si>
    <t>HR</t>
  </si>
  <si>
    <t>Healthcare Realty Trust Inc.</t>
  </si>
  <si>
    <t>TEN</t>
  </si>
  <si>
    <t>Tenaris SA</t>
  </si>
  <si>
    <t>iA Financial Corp. Inc.</t>
  </si>
  <si>
    <t>DBX</t>
  </si>
  <si>
    <t>Dropbox Inc.</t>
  </si>
  <si>
    <t>CAE</t>
  </si>
  <si>
    <t>CAE Inc.</t>
  </si>
  <si>
    <t>FHN</t>
  </si>
  <si>
    <t>First Horizon Corp.</t>
  </si>
  <si>
    <t>RBA</t>
  </si>
  <si>
    <t>RB Global Inc.</t>
  </si>
  <si>
    <t>TIH</t>
  </si>
  <si>
    <t>Toromont Industries Ltd.</t>
  </si>
  <si>
    <t>CG</t>
  </si>
  <si>
    <t>Carlyle Group Inc.</t>
  </si>
  <si>
    <t>CPR</t>
  </si>
  <si>
    <t>Davide Campari-Milano NV</t>
  </si>
  <si>
    <t>5201</t>
  </si>
  <si>
    <t>AGC Inc.</t>
  </si>
  <si>
    <t>CCL.B</t>
  </si>
  <si>
    <t>CCL Industries Inc.</t>
  </si>
  <si>
    <t>CYBR</t>
  </si>
  <si>
    <t>CyberArk Software Ltd.</t>
  </si>
  <si>
    <t>ELE</t>
  </si>
  <si>
    <t>Endesa SA</t>
  </si>
  <si>
    <t>ST</t>
  </si>
  <si>
    <t>Sensata Technologies Holding plc</t>
  </si>
  <si>
    <t>1812</t>
  </si>
  <si>
    <t>Kajima Corp.</t>
  </si>
  <si>
    <t>IVN</t>
  </si>
  <si>
    <t>Ivanhoe Mines Ltd.</t>
  </si>
  <si>
    <t>GALP</t>
  </si>
  <si>
    <t>Galp Energia SGPS SA</t>
  </si>
  <si>
    <t>Redeia Corp. SA</t>
  </si>
  <si>
    <t>EFN</t>
  </si>
  <si>
    <t>Element Fleet Management Corp.</t>
  </si>
  <si>
    <t>AA</t>
  </si>
  <si>
    <t>Alcoa Corp.</t>
  </si>
  <si>
    <t>DSG</t>
  </si>
  <si>
    <t>Descartes Systems Group Inc.</t>
  </si>
  <si>
    <t>METSO</t>
  </si>
  <si>
    <t>Metso Oyj</t>
  </si>
  <si>
    <t>Sealed Air Corp.</t>
  </si>
  <si>
    <t>GFL</t>
  </si>
  <si>
    <t>GFL Environmental Inc.</t>
  </si>
  <si>
    <t>OMV</t>
  </si>
  <si>
    <t>Taisei Corp.</t>
  </si>
  <si>
    <t>ADEN</t>
  </si>
  <si>
    <t>Adecco Group AG</t>
  </si>
  <si>
    <t>Kinross Gold Corp.</t>
  </si>
  <si>
    <t>X</t>
  </si>
  <si>
    <t>TMX Group Ltd.</t>
  </si>
  <si>
    <t>WSO</t>
  </si>
  <si>
    <t>Watsco Inc.</t>
  </si>
  <si>
    <t>UMI</t>
  </si>
  <si>
    <t>Umicore SA</t>
  </si>
  <si>
    <t>WRT1V</t>
  </si>
  <si>
    <t>Wartsila OYJ Abp</t>
  </si>
  <si>
    <t>FSV</t>
  </si>
  <si>
    <t>FirstService Corp.</t>
  </si>
  <si>
    <t>9501</t>
  </si>
  <si>
    <t>Tokyo Electric Power Co. Holdings Inc.</t>
  </si>
  <si>
    <t>FORTUM</t>
  </si>
  <si>
    <t>Fortum Oyj</t>
  </si>
  <si>
    <t>1802</t>
  </si>
  <si>
    <t>Obayashi Corp.</t>
  </si>
  <si>
    <t>ENGI</t>
  </si>
  <si>
    <t>LUN</t>
  </si>
  <si>
    <t>Lundin Mining Corp.</t>
  </si>
  <si>
    <t>INDT</t>
  </si>
  <si>
    <t>Indutrade AB</t>
  </si>
  <si>
    <t>9532</t>
  </si>
  <si>
    <t>Osaka Gas Co. Ltd.</t>
  </si>
  <si>
    <t>ESLT</t>
  </si>
  <si>
    <t>Elbit Systems Ltd.</t>
  </si>
  <si>
    <t>Invesco Ltd.</t>
  </si>
  <si>
    <t>VER</t>
  </si>
  <si>
    <t>Verbund AG</t>
  </si>
  <si>
    <t>ALA</t>
  </si>
  <si>
    <t>AltaGas Ltd.</t>
  </si>
  <si>
    <t>UGI</t>
  </si>
  <si>
    <t>UGI Corp.</t>
  </si>
  <si>
    <t>AQN</t>
  </si>
  <si>
    <t>Algonquin Power &amp; Utilities Corp.</t>
  </si>
  <si>
    <t>6504</t>
  </si>
  <si>
    <t>Fuji Electric Co. Ltd.</t>
  </si>
  <si>
    <t>TOST</t>
  </si>
  <si>
    <t>Toast Inc.</t>
  </si>
  <si>
    <t>ERIE</t>
  </si>
  <si>
    <t>Erie Indemnity Co.</t>
  </si>
  <si>
    <t>VOW</t>
  </si>
  <si>
    <t>Bollore SE</t>
  </si>
  <si>
    <t>GIL</t>
  </si>
  <si>
    <t>Gildan Activewear Inc.</t>
  </si>
  <si>
    <t>AZPN</t>
  </si>
  <si>
    <t>Aspen Technology Inc.</t>
  </si>
  <si>
    <t>WIX</t>
  </si>
  <si>
    <t>Wix.com Ltd.</t>
  </si>
  <si>
    <t>VOLV A</t>
  </si>
  <si>
    <t>GRAB</t>
  </si>
  <si>
    <t>Grab Holdings Ltd.</t>
  </si>
  <si>
    <t>DUFN</t>
  </si>
  <si>
    <t>Dufry AG</t>
  </si>
  <si>
    <t>7752</t>
  </si>
  <si>
    <t>Ricoh Co. Ltd.</t>
  </si>
  <si>
    <t>UHAL.B</t>
  </si>
  <si>
    <t>U-Haul Holding Co.</t>
  </si>
  <si>
    <t>AM</t>
  </si>
  <si>
    <t>Dassault Aviation SA</t>
  </si>
  <si>
    <t>WFG</t>
  </si>
  <si>
    <t>West Fraser Timber Co. Ltd.</t>
  </si>
  <si>
    <t>LIFCO B</t>
  </si>
  <si>
    <t>Lifco AB</t>
  </si>
  <si>
    <t>Keyera Corp.</t>
  </si>
  <si>
    <t>ICL</t>
  </si>
  <si>
    <t>ICL Group Ltd.</t>
  </si>
  <si>
    <t>4005</t>
  </si>
  <si>
    <t>Sumitomo Chemical Co. Ltd.</t>
  </si>
  <si>
    <t>GRF</t>
  </si>
  <si>
    <t>Grifols SA</t>
  </si>
  <si>
    <t>S63</t>
  </si>
  <si>
    <t>Singapore Technologies Engineering Ltd.</t>
  </si>
  <si>
    <t>NPI</t>
  </si>
  <si>
    <t>Northland Power Inc.</t>
  </si>
  <si>
    <t>ENG</t>
  </si>
  <si>
    <t>Enagas SA</t>
  </si>
  <si>
    <t>DKS</t>
  </si>
  <si>
    <t>Dick's Sporting Goods Inc.</t>
  </si>
  <si>
    <t>6823</t>
  </si>
  <si>
    <t>HKT Trust &amp; HKT Ltd.</t>
  </si>
  <si>
    <t>G13</t>
  </si>
  <si>
    <t>Genting Singapore Ltd.</t>
  </si>
  <si>
    <t>1876</t>
  </si>
  <si>
    <t>Budweiser Brewing Co. APAC Ltd.</t>
  </si>
  <si>
    <t>ONEX</t>
  </si>
  <si>
    <t>Onex Corp.</t>
  </si>
  <si>
    <t>6841</t>
  </si>
  <si>
    <t>Yokogawa Electric Corp.</t>
  </si>
  <si>
    <t>EMP.A</t>
  </si>
  <si>
    <t>Empire Co. Ltd.</t>
  </si>
  <si>
    <t>RCO</t>
  </si>
  <si>
    <t>Remy Cointreau SA</t>
  </si>
  <si>
    <t>BKW AG</t>
  </si>
  <si>
    <t>FDJ</t>
  </si>
  <si>
    <t>La Francaise des Jeux SAEM</t>
  </si>
  <si>
    <t>PKI</t>
  </si>
  <si>
    <t>Parkland Corp.</t>
  </si>
  <si>
    <t>BEPC</t>
  </si>
  <si>
    <t>Brookfield Renewable Corp.</t>
  </si>
  <si>
    <t>VOE</t>
  </si>
  <si>
    <t>voestalpine AG</t>
  </si>
  <si>
    <t>QBR.B</t>
  </si>
  <si>
    <t>Quebecor Inc.</t>
  </si>
  <si>
    <t>1803</t>
  </si>
  <si>
    <t>Shimizu Corp.</t>
  </si>
  <si>
    <t>NTGY</t>
  </si>
  <si>
    <t>Naturgy Energy Group SA</t>
  </si>
  <si>
    <t>KOG</t>
  </si>
  <si>
    <t>Kongsberg Gruppen ASA</t>
  </si>
  <si>
    <t>PAAS</t>
  </si>
  <si>
    <t>Pan American Silver Corp.</t>
  </si>
  <si>
    <t>17</t>
  </si>
  <si>
    <t>New World Development Co. Ltd.</t>
  </si>
  <si>
    <t>ANA</t>
  </si>
  <si>
    <t>Acciona SA</t>
  </si>
  <si>
    <t>Centrica plc</t>
  </si>
  <si>
    <t>FUTU</t>
  </si>
  <si>
    <t>Futu Holdings Ltd.</t>
  </si>
  <si>
    <t>4042</t>
  </si>
  <si>
    <t>Tosoh Corp.</t>
  </si>
  <si>
    <t>CAR.UN</t>
  </si>
  <si>
    <t>Canadian Apartment Properties REIT</t>
  </si>
  <si>
    <t>DOO</t>
  </si>
  <si>
    <t>BRP Inc.</t>
  </si>
  <si>
    <t>1038</t>
  </si>
  <si>
    <t>CK Infrastructure Holdings Ltd.</t>
  </si>
  <si>
    <t>LUND B</t>
  </si>
  <si>
    <t>L E Lundbergforetagen AB</t>
  </si>
  <si>
    <t>CHWY</t>
  </si>
  <si>
    <t>Chewy Inc.</t>
  </si>
  <si>
    <t>CU</t>
  </si>
  <si>
    <t>Canadian Utilities Ltd.</t>
  </si>
  <si>
    <t>Air Canada</t>
  </si>
  <si>
    <t>6305</t>
  </si>
  <si>
    <t>Hitachi Construction Machinery Co. Ltd.</t>
  </si>
  <si>
    <t>MNDY</t>
  </si>
  <si>
    <t>Monday.com Ltd.</t>
  </si>
  <si>
    <t>ACI</t>
  </si>
  <si>
    <t>Albertsons Cos. Inc.</t>
  </si>
  <si>
    <t>CLVT</t>
  </si>
  <si>
    <t>Clarivate plc</t>
  </si>
  <si>
    <t>5333</t>
  </si>
  <si>
    <t>NGK Insulators Ltd.</t>
  </si>
  <si>
    <t>C07</t>
  </si>
  <si>
    <t>Jardine Cycle &amp; Carriage Ltd.</t>
  </si>
  <si>
    <t>4739</t>
  </si>
  <si>
    <t>Itochu Techno-Solutions Corp.</t>
  </si>
  <si>
    <t>ENGIE - PF - 2025</t>
  </si>
  <si>
    <t>REI.UN</t>
  </si>
  <si>
    <t>RioCan Real Estate Investment Trust</t>
  </si>
  <si>
    <t>NVEI</t>
  </si>
  <si>
    <t>Nuvei Corp.</t>
  </si>
  <si>
    <t>LBTYA</t>
  </si>
  <si>
    <t>EMBRAC B</t>
  </si>
  <si>
    <t>Embracer Group AB</t>
  </si>
  <si>
    <t>5019</t>
  </si>
  <si>
    <t>Idemitsu Kosan Co. Ltd.</t>
  </si>
  <si>
    <t>EURAZEO - PF - 2025</t>
  </si>
  <si>
    <t>Apple Inc</t>
  </si>
  <si>
    <t>Technology Hardware, Storage &amp; Periphera</t>
  </si>
  <si>
    <t>6,123,090</t>
  </si>
  <si>
    <t>$1,677,072,862</t>
  </si>
  <si>
    <t>Microsoft Corp</t>
  </si>
  <si>
    <t>Systems Software</t>
  </si>
  <si>
    <t>2,738,389</t>
  </si>
  <si>
    <t>$1,389,568,978</t>
  </si>
  <si>
    <t>Amazon.com Inc</t>
  </si>
  <si>
    <t>Broadline Retail</t>
  </si>
  <si>
    <t>3,578,005</t>
  </si>
  <si>
    <t>$666,670,545</t>
  </si>
  <si>
    <t>NVIDIA Corp</t>
  </si>
  <si>
    <t>956,146</t>
  </si>
  <si>
    <t>$558,986,754</t>
  </si>
  <si>
    <t>Alphabet Inc Class A</t>
  </si>
  <si>
    <t>Interactive Media &amp; Services</t>
  </si>
  <si>
    <t>2,283,015</t>
  </si>
  <si>
    <t>$433,460,640</t>
  </si>
  <si>
    <t>Alphabet Inc Class C</t>
  </si>
  <si>
    <t>2,103,936</t>
  </si>
  <si>
    <t>$401,085,659</t>
  </si>
  <si>
    <t>Facebook Inc Class A</t>
  </si>
  <si>
    <t>858,009</t>
  </si>
  <si>
    <t>$350,972,947</t>
  </si>
  <si>
    <t>Tesla Inc</t>
  </si>
  <si>
    <t>Automobile Manufacturers</t>
  </si>
  <si>
    <t>1,106,067</t>
  </si>
  <si>
    <t>$348,543,990</t>
  </si>
  <si>
    <t>UnitedHealth Group Inc</t>
  </si>
  <si>
    <t>Managed Health Care</t>
  </si>
  <si>
    <t>360,642</t>
  </si>
  <si>
    <t>$271,527,788</t>
  </si>
  <si>
    <t>Berkshire Hathaway Inc Class B</t>
  </si>
  <si>
    <t>Multi-Sector Holdings</t>
  </si>
  <si>
    <t>504,582</t>
  </si>
  <si>
    <t>$250,345,652</t>
  </si>
  <si>
    <t>Exxon Mobil Corp</t>
  </si>
  <si>
    <t>Integrated Oil &amp; Gas</t>
  </si>
  <si>
    <t>1,572,548</t>
  </si>
  <si>
    <t>$248,293,216</t>
  </si>
  <si>
    <t>1,004,546</t>
  </si>
  <si>
    <t>$240,693,661</t>
  </si>
  <si>
    <t>JPMorgan Chase &amp; Co</t>
  </si>
  <si>
    <t>Diversified Banks</t>
  </si>
  <si>
    <t>1,134,669</t>
  </si>
  <si>
    <t>$237,944,727</t>
  </si>
  <si>
    <t>Visa Inc Class A</t>
  </si>
  <si>
    <t>Transaction &amp; Payment Processing Service</t>
  </si>
  <si>
    <t>630,385</t>
  </si>
  <si>
    <t>$215,304,020</t>
  </si>
  <si>
    <t>Eli Lilly &amp; Co</t>
  </si>
  <si>
    <t>313,408</t>
  </si>
  <si>
    <t>$207,983,002</t>
  </si>
  <si>
    <t>Broadcom Inc</t>
  </si>
  <si>
    <t>161,099</t>
  </si>
  <si>
    <t>$201,130,415</t>
  </si>
  <si>
    <t>Procter &amp; Gamble Co</t>
  </si>
  <si>
    <t>Household Products</t>
  </si>
  <si>
    <t>903,795</t>
  </si>
  <si>
    <t>$199,012,265</t>
  </si>
  <si>
    <t>Packaged Foods &amp; Meats</t>
  </si>
  <si>
    <t>1,061,215</t>
  </si>
  <si>
    <t>$193,554,114</t>
  </si>
  <si>
    <t>Mastercard Inc Class A</t>
  </si>
  <si>
    <t>330,420</t>
  </si>
  <si>
    <t>$186,370,870</t>
  </si>
  <si>
    <t>Semiconductor Materials &amp; Equipment</t>
  </si>
  <si>
    <t>156,312</t>
  </si>
  <si>
    <t>$172,914,465</t>
  </si>
  <si>
    <t>Home Depot Inc</t>
  </si>
  <si>
    <t>Home Improvement Retail</t>
  </si>
  <si>
    <t>391,786</t>
  </si>
  <si>
    <t>$171,601,239</t>
  </si>
  <si>
    <t>Merck &amp; Co Inc</t>
  </si>
  <si>
    <t>984,405</t>
  </si>
  <si>
    <t>$167,948,939</t>
  </si>
  <si>
    <t>Chevron Corp</t>
  </si>
  <si>
    <t>696,097</t>
  </si>
  <si>
    <t>$162,012,099</t>
  </si>
  <si>
    <t>Novo Nordisk A/S Class B</t>
  </si>
  <si>
    <t>642,583</t>
  </si>
  <si>
    <t>$158,667,306</t>
  </si>
  <si>
    <t>PepsiCo Inc</t>
  </si>
  <si>
    <t>Soft Drinks &amp; Non-alcoholic Beverages</t>
  </si>
  <si>
    <t>533,938</t>
  </si>
  <si>
    <t>$150,449,810</t>
  </si>
  <si>
    <t>Coca-Cola Co</t>
  </si>
  <si>
    <t>1,585,705</t>
  </si>
  <si>
    <t>$146,184,285</t>
  </si>
  <si>
    <t>AbbVie Inc</t>
  </si>
  <si>
    <t>683,406</t>
  </si>
  <si>
    <t>$145,689,086</t>
  </si>
  <si>
    <t>Apparel, Accessories &amp; Luxury Goods</t>
  </si>
  <si>
    <t>107,094</t>
  </si>
  <si>
    <t>$143,591,647</t>
  </si>
  <si>
    <t>Costco Wholesale Corp</t>
  </si>
  <si>
    <t>Consumer Staples Merchandise Retail</t>
  </si>
  <si>
    <t>171,725</t>
  </si>
  <si>
    <t>$135,745,408</t>
  </si>
  <si>
    <t>United Kingdom</t>
  </si>
  <si>
    <t>602,130</t>
  </si>
  <si>
    <t>$134,460,695</t>
  </si>
  <si>
    <t>275,213</t>
  </si>
  <si>
    <t>$134,072,745</t>
  </si>
  <si>
    <t>Salesforce Inc</t>
  </si>
  <si>
    <t>Application Software</t>
  </si>
  <si>
    <t>388,360</t>
  </si>
  <si>
    <t>$134,052,162</t>
  </si>
  <si>
    <t>Walmart Inc</t>
  </si>
  <si>
    <t>570,216</t>
  </si>
  <si>
    <t>$129,409,911</t>
  </si>
  <si>
    <t>Pfizer Inc</t>
  </si>
  <si>
    <t>2,183,308</t>
  </si>
  <si>
    <t>$128,269,134</t>
  </si>
  <si>
    <t>McDonald's Corp</t>
  </si>
  <si>
    <t>Restaurants</t>
  </si>
  <si>
    <t>281,845</t>
  </si>
  <si>
    <t>$124,170,328</t>
  </si>
  <si>
    <t>Cisco Systems Inc/Delaware</t>
  </si>
  <si>
    <t>Communications Equipment</t>
  </si>
  <si>
    <t>1,590,640</t>
  </si>
  <si>
    <t>$122,084,662</t>
  </si>
  <si>
    <t>Bank of America Corp</t>
  </si>
  <si>
    <t>2,787,732</t>
  </si>
  <si>
    <t>$119,711,152</t>
  </si>
  <si>
    <t>Thermo Fisher Scientific Inc</t>
  </si>
  <si>
    <t>Life Sciences Tools &amp; Services</t>
  </si>
  <si>
    <t>149,966</t>
  </si>
  <si>
    <t>$117,826,953</t>
  </si>
  <si>
    <t>794,369</t>
  </si>
  <si>
    <t>$117,035,359</t>
  </si>
  <si>
    <t>Accenture plc Class A</t>
  </si>
  <si>
    <t>IT Consulting &amp; Other Services</t>
  </si>
  <si>
    <t>244,950</t>
  </si>
  <si>
    <t>$115,792,481</t>
  </si>
  <si>
    <t>Adobe Inc</t>
  </si>
  <si>
    <t>178,526</t>
  </si>
  <si>
    <t>$115,253,616</t>
  </si>
  <si>
    <t>Advanced Micro Devices Inc</t>
  </si>
  <si>
    <t>625,090</t>
  </si>
  <si>
    <t>$114,180,467</t>
  </si>
  <si>
    <t>2,653,157</t>
  </si>
  <si>
    <t>$112,828,877</t>
  </si>
  <si>
    <t>Netflix Inc</t>
  </si>
  <si>
    <t>Movies &amp; Entertainment</t>
  </si>
  <si>
    <t>173,253</t>
  </si>
  <si>
    <t>$105,809,755</t>
  </si>
  <si>
    <t>Health Care Equipment</t>
  </si>
  <si>
    <t>670,818</t>
  </si>
  <si>
    <t>$105,730,412</t>
  </si>
  <si>
    <t>Industrial Gases</t>
  </si>
  <si>
    <t>190,199</t>
  </si>
  <si>
    <t>$103,941,557</t>
  </si>
  <si>
    <t>Oracle Corp</t>
  </si>
  <si>
    <t>628,932</t>
  </si>
  <si>
    <t>$102,957,670</t>
  </si>
  <si>
    <t>Comcast Corp Class A</t>
  </si>
  <si>
    <t>Cable &amp; Satellite</t>
  </si>
  <si>
    <t>1,629,274</t>
  </si>
  <si>
    <t>$99,068,117</t>
  </si>
  <si>
    <t>Walt Disney Co</t>
  </si>
  <si>
    <t>708,928</t>
  </si>
  <si>
    <t>$96,356,806</t>
  </si>
  <si>
    <t>Danaher Corp</t>
  </si>
  <si>
    <t>268,846</t>
  </si>
  <si>
    <t>$95,391,205</t>
  </si>
  <si>
    <t>Texas Instruments Inc</t>
  </si>
  <si>
    <t>352,655</t>
  </si>
  <si>
    <t>$94,753,382</t>
  </si>
  <si>
    <t>Wells Fargo &amp; Co</t>
  </si>
  <si>
    <t>1,462,686</t>
  </si>
  <si>
    <t>$89,978,413</t>
  </si>
  <si>
    <t>Verizon Communications Inc</t>
  </si>
  <si>
    <t>Integrated Telecommunication Services</t>
  </si>
  <si>
    <t>1,623,629</t>
  </si>
  <si>
    <t>$89,391,797</t>
  </si>
  <si>
    <t>7,765,954</t>
  </si>
  <si>
    <t>$87,825,626</t>
  </si>
  <si>
    <t>NextEra Energy Inc</t>
  </si>
  <si>
    <t>Electric Utilities</t>
  </si>
  <si>
    <t>773,379</t>
  </si>
  <si>
    <t>$87,788,645</t>
  </si>
  <si>
    <t>Toyota Motor Corp</t>
  </si>
  <si>
    <t>4,119,580</t>
  </si>
  <si>
    <t>$86,955,512</t>
  </si>
  <si>
    <t>Philip Morris International Inc</t>
  </si>
  <si>
    <t>601,510</t>
  </si>
  <si>
    <t>$83,662,080</t>
  </si>
  <si>
    <t>405,729</t>
  </si>
  <si>
    <t>$81,663,720</t>
  </si>
  <si>
    <t>Raytheon Technologies Corp</t>
  </si>
  <si>
    <t>Aerospace &amp; Defense</t>
  </si>
  <si>
    <t>572,984</t>
  </si>
  <si>
    <t>$81,580,384</t>
  </si>
  <si>
    <t>Bristol-Myers Squibb Co</t>
  </si>
  <si>
    <t>816,451</t>
  </si>
  <si>
    <t>$81,298,157</t>
  </si>
  <si>
    <t>916,146</t>
  </si>
  <si>
    <t>$80,110,343</t>
  </si>
  <si>
    <t>Intel Corp</t>
  </si>
  <si>
    <t>1,605,711</t>
  </si>
  <si>
    <t>$78,009,046</t>
  </si>
  <si>
    <t>NIKE Inc Class B</t>
  </si>
  <si>
    <t>478,238</t>
  </si>
  <si>
    <t>$77,786,189</t>
  </si>
  <si>
    <t>Honeywell International Inc</t>
  </si>
  <si>
    <t>Industrial Conglomerates</t>
  </si>
  <si>
    <t>258,155</t>
  </si>
  <si>
    <t>$76,431,273</t>
  </si>
  <si>
    <t>QUALCOMM Inc</t>
  </si>
  <si>
    <t>433,284</t>
  </si>
  <si>
    <t>$75,930,987</t>
  </si>
  <si>
    <t>296,236</t>
  </si>
  <si>
    <t>$74,831,815</t>
  </si>
  <si>
    <t>529,627</t>
  </si>
  <si>
    <t>$73,109,841</t>
  </si>
  <si>
    <t>S&amp;P Global Inc</t>
  </si>
  <si>
    <t>Financial Exchanges &amp; Data</t>
  </si>
  <si>
    <t>128,234</t>
  </si>
  <si>
    <t>$72,806,951</t>
  </si>
  <si>
    <t>United Parcel Service Inc Class B</t>
  </si>
  <si>
    <t>Air Freight &amp; Logistics</t>
  </si>
  <si>
    <t>280,677</t>
  </si>
  <si>
    <t>$72,429,976</t>
  </si>
  <si>
    <t>Oil &amp; Gas Exploration &amp; Production</t>
  </si>
  <si>
    <t>470,626</t>
  </si>
  <si>
    <t>$72,213,802</t>
  </si>
  <si>
    <t>Lowe's Cos. Inc</t>
  </si>
  <si>
    <t>231,483</t>
  </si>
  <si>
    <t>$71,943,407</t>
  </si>
  <si>
    <t>Sony Group Corp</t>
  </si>
  <si>
    <t>489,005</t>
  </si>
  <si>
    <t>$71,173,971</t>
  </si>
  <si>
    <t>Amgen Inc</t>
  </si>
  <si>
    <t>207,751</t>
  </si>
  <si>
    <t>$70,834,054</t>
  </si>
  <si>
    <t>Union Pacific Corp</t>
  </si>
  <si>
    <t>Rail Transportation</t>
  </si>
  <si>
    <t>236,939</t>
  </si>
  <si>
    <t>$70,486,744</t>
  </si>
  <si>
    <t>Boeing Co</t>
  </si>
  <si>
    <t>220,545</t>
  </si>
  <si>
    <t>$70,101,378</t>
  </si>
  <si>
    <t>International Business Machines Corp</t>
  </si>
  <si>
    <t>351,387</t>
  </si>
  <si>
    <t>$69,821,300</t>
  </si>
  <si>
    <t>443,651</t>
  </si>
  <si>
    <t>$69,344,038</t>
  </si>
  <si>
    <t>Prologis Inc</t>
  </si>
  <si>
    <t>358,681</t>
  </si>
  <si>
    <t>$69,031,474</t>
  </si>
  <si>
    <t>Intuit Inc</t>
  </si>
  <si>
    <t>106,121</t>
  </si>
  <si>
    <t>$68,728,167</t>
  </si>
  <si>
    <t>Applied Materials Inc</t>
  </si>
  <si>
    <t>329,968</t>
  </si>
  <si>
    <t>$67,966,831</t>
  </si>
  <si>
    <t>Starbucks Corp</t>
  </si>
  <si>
    <t>446,839</t>
  </si>
  <si>
    <t>$67,417,693</t>
  </si>
  <si>
    <t>AT&amp;T Inc</t>
  </si>
  <si>
    <t>2,764,337</t>
  </si>
  <si>
    <t>$67,191,565</t>
  </si>
  <si>
    <t>AIA Group Ltd</t>
  </si>
  <si>
    <t>Life &amp; Health Insurance</t>
  </si>
  <si>
    <t>4,523,824</t>
  </si>
  <si>
    <t>$67,061,922</t>
  </si>
  <si>
    <t>General Electric Co</t>
  </si>
  <si>
    <t>425,145</t>
  </si>
  <si>
    <t>$66,700,103</t>
  </si>
  <si>
    <t>ServiceNow Inc</t>
  </si>
  <si>
    <t>78,626</t>
  </si>
  <si>
    <t>$66,188,476</t>
  </si>
  <si>
    <t>514,928</t>
  </si>
  <si>
    <t>$65,850,948</t>
  </si>
  <si>
    <t>Goldman Sachs Group Inc</t>
  </si>
  <si>
    <t>Investment Banking &amp; Brokerage</t>
  </si>
  <si>
    <t>130,145</t>
  </si>
  <si>
    <t>$65,137,859</t>
  </si>
  <si>
    <t>Intuitive Surgical Inc</t>
  </si>
  <si>
    <t>136,450</t>
  </si>
  <si>
    <t>$64,907,314</t>
  </si>
  <si>
    <t>Caterpillar Inc</t>
  </si>
  <si>
    <t>Construction Machinery &amp; Heavy Transport</t>
  </si>
  <si>
    <t>200,506</t>
  </si>
  <si>
    <t>$63,747,368</t>
  </si>
  <si>
    <t>Elevance Health Inc</t>
  </si>
  <si>
    <t>91,877</t>
  </si>
  <si>
    <t>$63,577,777</t>
  </si>
  <si>
    <t>489,473</t>
  </si>
  <si>
    <t>$61,839,315</t>
  </si>
  <si>
    <t>705,506</t>
  </si>
  <si>
    <t>$61,626,541</t>
  </si>
  <si>
    <t>Lockheed Martin Corp</t>
  </si>
  <si>
    <t>89,432</t>
  </si>
  <si>
    <t>$61,359,348</t>
  </si>
  <si>
    <t>American Express Co</t>
  </si>
  <si>
    <t>Consumer Finance</t>
  </si>
  <si>
    <t>247,104</t>
  </si>
  <si>
    <t>$60,543,630</t>
  </si>
  <si>
    <t>Mondelez International Inc Class A</t>
  </si>
  <si>
    <t>531,774</t>
  </si>
  <si>
    <t>$60,322,227</t>
  </si>
  <si>
    <t>6,910,489</t>
  </si>
  <si>
    <t>$59,993,063</t>
  </si>
  <si>
    <t>BlackRock Inc</t>
  </si>
  <si>
    <t>Asset Management &amp; Custody Banks</t>
  </si>
  <si>
    <t>58,424</t>
  </si>
  <si>
    <t>$59,362,901</t>
  </si>
  <si>
    <t>Deere &amp; Co</t>
  </si>
  <si>
    <t>Agricultural &amp; Farm Machinery</t>
  </si>
  <si>
    <t>109,371</t>
  </si>
  <si>
    <t>$58,472,037</t>
  </si>
  <si>
    <t>Gilead Sciences Inc</t>
  </si>
  <si>
    <t>488,397</t>
  </si>
  <si>
    <t>$58,065,773</t>
  </si>
  <si>
    <t>Booking Holdings Inc</t>
  </si>
  <si>
    <t>Hotels, Resorts &amp; Cruise Lines</t>
  </si>
  <si>
    <t>14,813</t>
  </si>
  <si>
    <t>$57,424,724</t>
  </si>
  <si>
    <t>Keyence Corp</t>
  </si>
  <si>
    <t>Electronic Equipment &amp; Instruments</t>
  </si>
  <si>
    <t>75,872</t>
  </si>
  <si>
    <t>$56,893,577</t>
  </si>
  <si>
    <t>Distillers &amp; Vintners</t>
  </si>
  <si>
    <t>883,421</t>
  </si>
  <si>
    <t>$56,627,836</t>
  </si>
  <si>
    <t>Stryker Corp</t>
  </si>
  <si>
    <t>132,485</t>
  </si>
  <si>
    <t>$56,416,930</t>
  </si>
  <si>
    <t>Electrical Components &amp; Equipment</t>
  </si>
  <si>
    <t>212,037</t>
  </si>
  <si>
    <t>$56,356,847</t>
  </si>
  <si>
    <t>Analog Devices Inc</t>
  </si>
  <si>
    <t>197,001</t>
  </si>
  <si>
    <t>$54,091,181</t>
  </si>
  <si>
    <t>TJX Cos. Inc</t>
  </si>
  <si>
    <t>Apparel Retail</t>
  </si>
  <si>
    <t>451,447</t>
  </si>
  <si>
    <t>$53,568,130</t>
  </si>
  <si>
    <t>CVS Health Corp</t>
  </si>
  <si>
    <t>496,041</t>
  </si>
  <si>
    <t>$52,145,050</t>
  </si>
  <si>
    <t>Automatic Data Processing Inc</t>
  </si>
  <si>
    <t>Human Resource &amp; Employment Services</t>
  </si>
  <si>
    <t>160,770</t>
  </si>
  <si>
    <t>$51,918,910</t>
  </si>
  <si>
    <t>Multi-line Insurance</t>
  </si>
  <si>
    <t>156,809</t>
  </si>
  <si>
    <t>$51,659,540</t>
  </si>
  <si>
    <t>American Tower Corp</t>
  </si>
  <si>
    <t>Telecom Tower REITs</t>
  </si>
  <si>
    <t>180,941</t>
  </si>
  <si>
    <t>$51,568,814</t>
  </si>
  <si>
    <t>Citigroup Inc</t>
  </si>
  <si>
    <t>752,594</t>
  </si>
  <si>
    <t>$51,541,321</t>
  </si>
  <si>
    <t>Marsh &amp; McLennan Cos. Inc</t>
  </si>
  <si>
    <t>191,782</t>
  </si>
  <si>
    <t>$51,321,652</t>
  </si>
  <si>
    <t>Lam Research Corp</t>
  </si>
  <si>
    <t>52,897</t>
  </si>
  <si>
    <t>$50,408,066</t>
  </si>
  <si>
    <t>Vertex Pharmaceuticals Inc</t>
  </si>
  <si>
    <t>99,913</t>
  </si>
  <si>
    <t>$49,955,728</t>
  </si>
  <si>
    <t>203,390</t>
  </si>
  <si>
    <t>$49,696,439</t>
  </si>
  <si>
    <t>T-Mobile US Inc</t>
  </si>
  <si>
    <t>Wireless Telecommunication Services</t>
  </si>
  <si>
    <t>234,057</t>
  </si>
  <si>
    <t>$49,639,687</t>
  </si>
  <si>
    <t>Altria Group Inc</t>
  </si>
  <si>
    <t>696,047</t>
  </si>
  <si>
    <t>$47,776,262</t>
  </si>
  <si>
    <t>Regeneron Pharmaceuticals Inc</t>
  </si>
  <si>
    <t>41,729</t>
  </si>
  <si>
    <t>$47,429,782</t>
  </si>
  <si>
    <t>230,177</t>
  </si>
  <si>
    <t>$46,465,733</t>
  </si>
  <si>
    <t>Charles Schwab Corp</t>
  </si>
  <si>
    <t>566,098</t>
  </si>
  <si>
    <t>$46,090,866</t>
  </si>
  <si>
    <t>Chubb Ltd</t>
  </si>
  <si>
    <t>Property &amp; Casualty Insurance</t>
  </si>
  <si>
    <t>160,211</t>
  </si>
  <si>
    <t>$45,997,379</t>
  </si>
  <si>
    <t>Mitsubishi UFJ Financial Group Inc</t>
  </si>
  <si>
    <t>4,442,899</t>
  </si>
  <si>
    <t>$45,821,288</t>
  </si>
  <si>
    <t>Southern Co</t>
  </si>
  <si>
    <t>424,209</t>
  </si>
  <si>
    <t>$45,721,359</t>
  </si>
  <si>
    <t>Zoetis Inc</t>
  </si>
  <si>
    <t>180,818</t>
  </si>
  <si>
    <t>$45,546,075</t>
  </si>
  <si>
    <t>Progressive Corp</t>
  </si>
  <si>
    <t>227,406</t>
  </si>
  <si>
    <t>$44,947,078</t>
  </si>
  <si>
    <t>Micron Technology Inc</t>
  </si>
  <si>
    <t>423,165</t>
  </si>
  <si>
    <t>$44,595,307</t>
  </si>
  <si>
    <t>Boston Scientific Corp</t>
  </si>
  <si>
    <t>557,982</t>
  </si>
  <si>
    <t>$44,386,793</t>
  </si>
  <si>
    <t>115,707</t>
  </si>
  <si>
    <t>$44,235,601</t>
  </si>
  <si>
    <t>2,333,736</t>
  </si>
  <si>
    <t>$43,827,789</t>
  </si>
  <si>
    <t>Enbridge Inc</t>
  </si>
  <si>
    <t>Oil &amp; Gas Storage &amp; Transportation</t>
  </si>
  <si>
    <t>788,705</t>
  </si>
  <si>
    <t>$42,848,079</t>
  </si>
  <si>
    <t>Canadian Pacific Kansas City Ltd</t>
  </si>
  <si>
    <t>362,129</t>
  </si>
  <si>
    <t>$42,582,538</t>
  </si>
  <si>
    <t>Eaton Corp plc</t>
  </si>
  <si>
    <t>155,003</t>
  </si>
  <si>
    <t>$42,130,924</t>
  </si>
  <si>
    <t>58,388</t>
  </si>
  <si>
    <t>$42,044,654</t>
  </si>
  <si>
    <t>1,229,314</t>
  </si>
  <si>
    <t>$42,011,603</t>
  </si>
  <si>
    <t>Synopsys Inc</t>
  </si>
  <si>
    <t>59,612</t>
  </si>
  <si>
    <t>$41,908,484</t>
  </si>
  <si>
    <t>Personal Care Products</t>
  </si>
  <si>
    <t>63,466</t>
  </si>
  <si>
    <t>$41,716,418</t>
  </si>
  <si>
    <t>Equinix Inc</t>
  </si>
  <si>
    <t>Data Center REITs</t>
  </si>
  <si>
    <t>35,994</t>
  </si>
  <si>
    <t>$41,466,935</t>
  </si>
  <si>
    <t>Duke Energy Corp</t>
  </si>
  <si>
    <t>300,143</t>
  </si>
  <si>
    <t>$41,411,989</t>
  </si>
  <si>
    <t>Becton Dickinson &amp; Co</t>
  </si>
  <si>
    <t>109,459</t>
  </si>
  <si>
    <t>$40,891,305</t>
  </si>
  <si>
    <t>Shopify Inc Class A</t>
  </si>
  <si>
    <t>Internet Services &amp; Infrastructure</t>
  </si>
  <si>
    <t>462,946</t>
  </si>
  <si>
    <t>$40,875,527</t>
  </si>
  <si>
    <t>1,581,887</t>
  </si>
  <si>
    <t>$40,790,225</t>
  </si>
  <si>
    <t>FISV</t>
  </si>
  <si>
    <t>Fiserv Inc</t>
  </si>
  <si>
    <t>234,913</t>
  </si>
  <si>
    <t>$40,724,545</t>
  </si>
  <si>
    <t>526,735</t>
  </si>
  <si>
    <t>$40,643,957</t>
  </si>
  <si>
    <t>827,439</t>
  </si>
  <si>
    <t>$40,480,739</t>
  </si>
  <si>
    <t>Diversified Metals &amp; Mining</t>
  </si>
  <si>
    <t>441,189</t>
  </si>
  <si>
    <t>$40,405,528</t>
  </si>
  <si>
    <t>Illinois Tool Works Inc</t>
  </si>
  <si>
    <t>Industrial Machinery &amp; Supplies &amp; Compon</t>
  </si>
  <si>
    <t>118,836</t>
  </si>
  <si>
    <t>$40,165,338</t>
  </si>
  <si>
    <t>PayPal Holdings Inc</t>
  </si>
  <si>
    <t>418,738</t>
  </si>
  <si>
    <t>$40,110,590</t>
  </si>
  <si>
    <t>Uber Technologies Inc</t>
  </si>
  <si>
    <t>Passenger Ground Transportation</t>
  </si>
  <si>
    <t>678,978</t>
  </si>
  <si>
    <t>$39,795,466</t>
  </si>
  <si>
    <t>Waste Management Inc</t>
  </si>
  <si>
    <t>Environmental &amp; Facilities Services</t>
  </si>
  <si>
    <t>157,573</t>
  </si>
  <si>
    <t>$39,425,512</t>
  </si>
  <si>
    <t>152,743</t>
  </si>
  <si>
    <t>$39,414,587</t>
  </si>
  <si>
    <t>Canadian National Railway Co</t>
  </si>
  <si>
    <t>223,509</t>
  </si>
  <si>
    <t>$38,889,866</t>
  </si>
  <si>
    <t>Palo Alto Networks Inc</t>
  </si>
  <si>
    <t>117,407</t>
  </si>
  <si>
    <t>$38,713,559</t>
  </si>
  <si>
    <t>12,351</t>
  </si>
  <si>
    <t>$38,695,455</t>
  </si>
  <si>
    <t>CME Group Inc</t>
  </si>
  <si>
    <t>139,856</t>
  </si>
  <si>
    <t>$38,629,777</t>
  </si>
  <si>
    <t>CSX Corp</t>
  </si>
  <si>
    <t>811,666</t>
  </si>
  <si>
    <t>$38,466,810</t>
  </si>
  <si>
    <t>431,540</t>
  </si>
  <si>
    <t>$38,396,198</t>
  </si>
  <si>
    <t>Northrop Grumman Corp</t>
  </si>
  <si>
    <t>56,687</t>
  </si>
  <si>
    <t>$38,146,676</t>
  </si>
  <si>
    <t>Aon plc Class A</t>
  </si>
  <si>
    <t>79,987</t>
  </si>
  <si>
    <t>$38,104,291</t>
  </si>
  <si>
    <t>Cadence Design Systems Inc</t>
  </si>
  <si>
    <t>106,737</t>
  </si>
  <si>
    <t>$38,084,896</t>
  </si>
  <si>
    <t>EOG Resources Inc</t>
  </si>
  <si>
    <t>228,408</t>
  </si>
  <si>
    <t>$37,867,410</t>
  </si>
  <si>
    <t>Humana Inc</t>
  </si>
  <si>
    <t>48,822</t>
  </si>
  <si>
    <t>$37,861,851</t>
  </si>
  <si>
    <t>KLA Corp</t>
  </si>
  <si>
    <t>54,456</t>
  </si>
  <si>
    <t>$37,276,464</t>
  </si>
  <si>
    <t>Tokyo Electron Ltd</t>
  </si>
  <si>
    <t>174,171</t>
  </si>
  <si>
    <t>$37,206,821</t>
  </si>
  <si>
    <t>Construction &amp; Engineering</t>
  </si>
  <si>
    <t>209,978</t>
  </si>
  <si>
    <t>$36,777,462</t>
  </si>
  <si>
    <t>Schlumberger Ltd</t>
  </si>
  <si>
    <t>Oil &amp; Gas Equipment &amp; Services</t>
  </si>
  <si>
    <t>552,401</t>
  </si>
  <si>
    <t>$36,559,275</t>
  </si>
  <si>
    <t>Activision Blizzard Inc</t>
  </si>
  <si>
    <t>Interactive Home Entertainment</t>
  </si>
  <si>
    <t>292,567</t>
  </si>
  <si>
    <t>$36,257,241</t>
  </si>
  <si>
    <t>Blackstone Group LP Class A</t>
  </si>
  <si>
    <t>273,778</t>
  </si>
  <si>
    <t>$36,230,160</t>
  </si>
  <si>
    <t>Target Corp</t>
  </si>
  <si>
    <t>178,964</t>
  </si>
  <si>
    <t>$36,207,613</t>
  </si>
  <si>
    <t>Diversified Capital Markets</t>
  </si>
  <si>
    <t>1,241,159</t>
  </si>
  <si>
    <t>$36,169,480</t>
  </si>
  <si>
    <t>Canadian Natural Resources Ltd</t>
  </si>
  <si>
    <t>432,549</t>
  </si>
  <si>
    <t>$35,959,249</t>
  </si>
  <si>
    <t>Air Products &amp; Chemicals Inc</t>
  </si>
  <si>
    <t>86,276</t>
  </si>
  <si>
    <t>$35,880,897</t>
  </si>
  <si>
    <t>312,108</t>
  </si>
  <si>
    <t>$35,872,910</t>
  </si>
  <si>
    <t>Research &amp; Consulting Services</t>
  </si>
  <si>
    <t>746,030</t>
  </si>
  <si>
    <t>$35,862,169</t>
  </si>
  <si>
    <t>Intercontinental Exchange Inc</t>
  </si>
  <si>
    <t>217,925</t>
  </si>
  <si>
    <t>$35,678,210</t>
  </si>
  <si>
    <t>459,532</t>
  </si>
  <si>
    <t>$35,424,865</t>
  </si>
  <si>
    <t>Colgate-Palmolive Co</t>
  </si>
  <si>
    <t>306,965</t>
  </si>
  <si>
    <t>$35,280,934</t>
  </si>
  <si>
    <t>Chipotle Mexican Grill Inc Class A</t>
  </si>
  <si>
    <t>10,785</t>
  </si>
  <si>
    <t>$34,605,493</t>
  </si>
  <si>
    <t>ABB Ltd</t>
  </si>
  <si>
    <t>614,880</t>
  </si>
  <si>
    <t>$34,569,269</t>
  </si>
  <si>
    <t>Daiichi Sankyo Co Ltd</t>
  </si>
  <si>
    <t>684,252</t>
  </si>
  <si>
    <t>$34,357,689</t>
  </si>
  <si>
    <t>457,424</t>
  </si>
  <si>
    <t>$34,096,033</t>
  </si>
  <si>
    <t>O'Reilly Automotive Inc</t>
  </si>
  <si>
    <t>Automotive Retail</t>
  </si>
  <si>
    <t>24,309</t>
  </si>
  <si>
    <t>$33,931,179</t>
  </si>
  <si>
    <t>Shin-Etsu Chemical Co Ltd</t>
  </si>
  <si>
    <t>713,275</t>
  </si>
  <si>
    <t>$33,898,023</t>
  </si>
  <si>
    <t>MercadoLibre Inc</t>
  </si>
  <si>
    <t>17,647</t>
  </si>
  <si>
    <t>$33,786,036</t>
  </si>
  <si>
    <t>262,520</t>
  </si>
  <si>
    <t>$33,788,217</t>
  </si>
  <si>
    <t>Sherwin-Williams Co</t>
  </si>
  <si>
    <t>95,617</t>
  </si>
  <si>
    <t>$33,654,702</t>
  </si>
  <si>
    <t>HCA Healthcare Inc</t>
  </si>
  <si>
    <t>81,659</t>
  </si>
  <si>
    <t>$33,336,153</t>
  </si>
  <si>
    <t>277,447</t>
  </si>
  <si>
    <t>$33,188,571</t>
  </si>
  <si>
    <t>Hitachi Ltd</t>
  </si>
  <si>
    <t>368,741</t>
  </si>
  <si>
    <t>$32,813,569</t>
  </si>
  <si>
    <t>381,933</t>
  </si>
  <si>
    <t>$32,805,843</t>
  </si>
  <si>
    <t>McKesson Corp</t>
  </si>
  <si>
    <t>Health Care Distributors</t>
  </si>
  <si>
    <t>54,099</t>
  </si>
  <si>
    <t>$32,672,569</t>
  </si>
  <si>
    <t>6,394,164</t>
  </si>
  <si>
    <t>$32,074,807</t>
  </si>
  <si>
    <t>Sumitomo Mitsui Financial Group Inc</t>
  </si>
  <si>
    <t>508,428</t>
  </si>
  <si>
    <t>$31,928,378</t>
  </si>
  <si>
    <t>310,994</t>
  </si>
  <si>
    <t>$31,543,810</t>
  </si>
  <si>
    <t>Moody's Corp</t>
  </si>
  <si>
    <t>64,259</t>
  </si>
  <si>
    <t>$31,464,717</t>
  </si>
  <si>
    <t>FedEx Corp</t>
  </si>
  <si>
    <t>93,337</t>
  </si>
  <si>
    <t>$31,438,769</t>
  </si>
  <si>
    <t>Health Care Supplies</t>
  </si>
  <si>
    <t>112,689</t>
  </si>
  <si>
    <t>$31,269,414</t>
  </si>
  <si>
    <t>3M Co</t>
  </si>
  <si>
    <t>214,980</t>
  </si>
  <si>
    <t>$30,997,116</t>
  </si>
  <si>
    <t>3,910,219</t>
  </si>
  <si>
    <t>$30,812,340</t>
  </si>
  <si>
    <t>Edwards Lifesciences Corp</t>
  </si>
  <si>
    <t>235,834</t>
  </si>
  <si>
    <t>$30,695,044</t>
  </si>
  <si>
    <t>3,159,965</t>
  </si>
  <si>
    <t>$30,494,718</t>
  </si>
  <si>
    <t>Axa SA</t>
  </si>
  <si>
    <t>700,060</t>
  </si>
  <si>
    <t>$30,463,435</t>
  </si>
  <si>
    <t>Mitsubishi Corp</t>
  </si>
  <si>
    <t>Trading Companies &amp; Distributors</t>
  </si>
  <si>
    <t>489,424</t>
  </si>
  <si>
    <t>$30,236,965</t>
  </si>
  <si>
    <t>54,662</t>
  </si>
  <si>
    <t>$30,076,339</t>
  </si>
  <si>
    <t>General Mills Inc</t>
  </si>
  <si>
    <t>230,769</t>
  </si>
  <si>
    <t>$30,010,846</t>
  </si>
  <si>
    <t>1,416,703</t>
  </si>
  <si>
    <t>$30,008,237</t>
  </si>
  <si>
    <t>Marvell Technology Inc</t>
  </si>
  <si>
    <t>331,956</t>
  </si>
  <si>
    <t>$30,002,482</t>
  </si>
  <si>
    <t>133,966</t>
  </si>
  <si>
    <t>$29,890,592</t>
  </si>
  <si>
    <t>Freeport-McMoRan Inc</t>
  </si>
  <si>
    <t>560,773</t>
  </si>
  <si>
    <t>$29,756,540</t>
  </si>
  <si>
    <t>Crown Castle Inc</t>
  </si>
  <si>
    <t>168,062</t>
  </si>
  <si>
    <t>$29,400,138</t>
  </si>
  <si>
    <t>508,128</t>
  </si>
  <si>
    <t>$29,071,731</t>
  </si>
  <si>
    <t>685,605</t>
  </si>
  <si>
    <t>$28,913,311</t>
  </si>
  <si>
    <t>Norfolk Southern Corp</t>
  </si>
  <si>
    <t>89,833</t>
  </si>
  <si>
    <t>$28,898,144</t>
  </si>
  <si>
    <t>General Dynamics Corp</t>
  </si>
  <si>
    <t>91,344</t>
  </si>
  <si>
    <t>$28,819,621</t>
  </si>
  <si>
    <t>Roper Technologies Inc</t>
  </si>
  <si>
    <t>40,925</t>
  </si>
  <si>
    <t>$28,724,335</t>
  </si>
  <si>
    <t>Takeda Pharmaceutical Co Ltd</t>
  </si>
  <si>
    <t>585,734</t>
  </si>
  <si>
    <t>$28,639,996</t>
  </si>
  <si>
    <t>Ford Motor Co</t>
  </si>
  <si>
    <t>1,535,481</t>
  </si>
  <si>
    <t>$28,472,181</t>
  </si>
  <si>
    <t>Daikin Industries Ltd</t>
  </si>
  <si>
    <t>Building Products</t>
  </si>
  <si>
    <t>96,862</t>
  </si>
  <si>
    <t>$28,453,357</t>
  </si>
  <si>
    <t>Motorola Solutions Inc</t>
  </si>
  <si>
    <t>65,126</t>
  </si>
  <si>
    <t>$28,371,045</t>
  </si>
  <si>
    <t>Marathon Petroleum Corp</t>
  </si>
  <si>
    <t>Oil &amp; Gas Refining &amp; Marketing</t>
  </si>
  <si>
    <t>173,565</t>
  </si>
  <si>
    <t>$28,136,760</t>
  </si>
  <si>
    <t>101,290</t>
  </si>
  <si>
    <t>$28,032,201</t>
  </si>
  <si>
    <t>PNC Financial Services Group Inc</t>
  </si>
  <si>
    <t>155,801</t>
  </si>
  <si>
    <t>$27,886,008</t>
  </si>
  <si>
    <t>338,964</t>
  </si>
  <si>
    <t>$27,869,818</t>
  </si>
  <si>
    <t>28,926</t>
  </si>
  <si>
    <t>$27,840,910</t>
  </si>
  <si>
    <t>KDDI Corp</t>
  </si>
  <si>
    <t>584,018</t>
  </si>
  <si>
    <t>$27,716,396</t>
  </si>
  <si>
    <t>Honda Motor Co Ltd</t>
  </si>
  <si>
    <t>624,708</t>
  </si>
  <si>
    <t>$27,671,430</t>
  </si>
  <si>
    <t>1,455,825</t>
  </si>
  <si>
    <t>$27,599,551</t>
  </si>
  <si>
    <t>Monster Beverage Corp</t>
  </si>
  <si>
    <t>303,972</t>
  </si>
  <si>
    <t>$27,534,325</t>
  </si>
  <si>
    <t>Fortinet Inc</t>
  </si>
  <si>
    <t>258,722</t>
  </si>
  <si>
    <t>$27,317,429</t>
  </si>
  <si>
    <t>Kimberly-Clark Corp</t>
  </si>
  <si>
    <t>131,477</t>
  </si>
  <si>
    <t>$27,280,741</t>
  </si>
  <si>
    <t>Dexcom Inc</t>
  </si>
  <si>
    <t>150,401</t>
  </si>
  <si>
    <t>$27,251,829</t>
  </si>
  <si>
    <t>Emerson Electric Co</t>
  </si>
  <si>
    <t>226,657</t>
  </si>
  <si>
    <t>$27,206,545</t>
  </si>
  <si>
    <t>Pioneer Natural Resources Co</t>
  </si>
  <si>
    <t>88,119</t>
  </si>
  <si>
    <t>$27,156,692</t>
  </si>
  <si>
    <t>Sempra Energy</t>
  </si>
  <si>
    <t>122,387</t>
  </si>
  <si>
    <t>$27,143,948</t>
  </si>
  <si>
    <t>Nintendo Co Ltd</t>
  </si>
  <si>
    <t>412,750</t>
  </si>
  <si>
    <t>$27,097,735</t>
  </si>
  <si>
    <t>General Motors Co</t>
  </si>
  <si>
    <t>540,902</t>
  </si>
  <si>
    <t>$27,088,981</t>
  </si>
  <si>
    <t>Hoya Corp</t>
  </si>
  <si>
    <t>139,398</t>
  </si>
  <si>
    <t>$27,080,502</t>
  </si>
  <si>
    <t>Amphenol Corp Class A</t>
  </si>
  <si>
    <t>231,736</t>
  </si>
  <si>
    <t>$27,017,664</t>
  </si>
  <si>
    <t>Self-Storage REITs</t>
  </si>
  <si>
    <t>61,389</t>
  </si>
  <si>
    <t>$26,873,992</t>
  </si>
  <si>
    <t>Marriott International Inc/MD Class A</t>
  </si>
  <si>
    <t>103,630</t>
  </si>
  <si>
    <t>$26,868,698</t>
  </si>
  <si>
    <t>AutoZone Inc</t>
  </si>
  <si>
    <t>7,262</t>
  </si>
  <si>
    <t>$26,783,948</t>
  </si>
  <si>
    <t>80,414</t>
  </si>
  <si>
    <t>$26,772,626</t>
  </si>
  <si>
    <t>DPW</t>
  </si>
  <si>
    <t>Deutsche Post AG</t>
  </si>
  <si>
    <t>384,730</t>
  </si>
  <si>
    <t>$26,651,094</t>
  </si>
  <si>
    <t>Airbnb Inc Class A</t>
  </si>
  <si>
    <t>156,886</t>
  </si>
  <si>
    <t>$26,611,104</t>
  </si>
  <si>
    <t>Recruit Holdings Co Ltd</t>
  </si>
  <si>
    <t>560,463</t>
  </si>
  <si>
    <t>$26,592,321</t>
  </si>
  <si>
    <t>Dollar General Corp</t>
  </si>
  <si>
    <t>85,416</t>
  </si>
  <si>
    <t>$26,541,456</t>
  </si>
  <si>
    <t>Hong Kong Exchanges &amp; Clearing Ltd</t>
  </si>
  <si>
    <t>468,585</t>
  </si>
  <si>
    <t>$26,509,097</t>
  </si>
  <si>
    <t>Cintas Corp</t>
  </si>
  <si>
    <t>Diversified Support Services</t>
  </si>
  <si>
    <t>35,715</t>
  </si>
  <si>
    <t>$26,056,525</t>
  </si>
  <si>
    <t>Autodesk Inc</t>
  </si>
  <si>
    <t>83,912</t>
  </si>
  <si>
    <t>$25,853,687</t>
  </si>
  <si>
    <t>Biogen Inc</t>
  </si>
  <si>
    <t>56,284</t>
  </si>
  <si>
    <t>$25,779,403</t>
  </si>
  <si>
    <t>American Electric Power Co Inc</t>
  </si>
  <si>
    <t>199,859</t>
  </si>
  <si>
    <t>$25,669,907</t>
  </si>
  <si>
    <t>Basf Se</t>
  </si>
  <si>
    <t>Diversified Chemicals</t>
  </si>
  <si>
    <t>350,760</t>
  </si>
  <si>
    <t>$25,664,495</t>
  </si>
  <si>
    <t>Estee Lauder Cos. Inc Class A</t>
  </si>
  <si>
    <t>90,209</t>
  </si>
  <si>
    <t>$25,652,727</t>
  </si>
  <si>
    <t>Workday Inc Class A</t>
  </si>
  <si>
    <t>78,144</t>
  </si>
  <si>
    <t>$25,598,001</t>
  </si>
  <si>
    <t>SoftBank Group Corp</t>
  </si>
  <si>
    <t>421,626</t>
  </si>
  <si>
    <t>$25,530,747</t>
  </si>
  <si>
    <t>Brookfield Corp Class A</t>
  </si>
  <si>
    <t>550,767</t>
  </si>
  <si>
    <t>$25,526,328</t>
  </si>
  <si>
    <t>180,241</t>
  </si>
  <si>
    <t>$25,514,762</t>
  </si>
  <si>
    <t>Arthur J Gallagher &amp; Co</t>
  </si>
  <si>
    <t>82,389</t>
  </si>
  <si>
    <t>$25,504,116</t>
  </si>
  <si>
    <t>Mitsui &amp; Co Ltd</t>
  </si>
  <si>
    <t>523,193</t>
  </si>
  <si>
    <t>$25,483,627</t>
  </si>
  <si>
    <t>Ecolab Inc</t>
  </si>
  <si>
    <t>99,756</t>
  </si>
  <si>
    <t>$25,441,903</t>
  </si>
  <si>
    <t>549,715</t>
  </si>
  <si>
    <t>$25,398,252</t>
  </si>
  <si>
    <t>Occidental Petroleum Corp</t>
  </si>
  <si>
    <t>284,412</t>
  </si>
  <si>
    <t>$25,340,641</t>
  </si>
  <si>
    <t>154,579</t>
  </si>
  <si>
    <t>$25,311,807</t>
  </si>
  <si>
    <t>Moderna Inc</t>
  </si>
  <si>
    <t>127,457</t>
  </si>
  <si>
    <t>$25,152,644</t>
  </si>
  <si>
    <t>Dominion Energy Inc</t>
  </si>
  <si>
    <t>323,603</t>
  </si>
  <si>
    <t>$25,142,175</t>
  </si>
  <si>
    <t>Snowflake Inc Class A</t>
  </si>
  <si>
    <t>98,210</t>
  </si>
  <si>
    <t>$25,094,654</t>
  </si>
  <si>
    <t>Microchip Technology Inc</t>
  </si>
  <si>
    <t>214,402</t>
  </si>
  <si>
    <t>$24,933,778</t>
  </si>
  <si>
    <t>Parker-Hannifin Corp</t>
  </si>
  <si>
    <t>50,303</t>
  </si>
  <si>
    <t>$24,907,816</t>
  </si>
  <si>
    <t>Constellation Software Inc/Canada</t>
  </si>
  <si>
    <t>7,875</t>
  </si>
  <si>
    <t>$24,779,808</t>
  </si>
  <si>
    <t>Fast Retailing Co Ltd</t>
  </si>
  <si>
    <t>68,461</t>
  </si>
  <si>
    <t>$24,744,421</t>
  </si>
  <si>
    <t>267,505</t>
  </si>
  <si>
    <t>$24,677,507</t>
  </si>
  <si>
    <t>Tokio Marine Holdings Inc</t>
  </si>
  <si>
    <t>706,822</t>
  </si>
  <si>
    <t>$24,577,891</t>
  </si>
  <si>
    <t>Arista Networks Inc</t>
  </si>
  <si>
    <t>95,446</t>
  </si>
  <si>
    <t>$24,532,933</t>
  </si>
  <si>
    <t>DBS Group Holdings Ltd</t>
  </si>
  <si>
    <t>707,152</t>
  </si>
  <si>
    <t>$24,437,638</t>
  </si>
  <si>
    <t>ITOCHU Corp</t>
  </si>
  <si>
    <t>466,186</t>
  </si>
  <si>
    <t>$24,341,382</t>
  </si>
  <si>
    <t>Truist Financial Corp</t>
  </si>
  <si>
    <t>Regional Banks</t>
  </si>
  <si>
    <t>515,544</t>
  </si>
  <si>
    <t>$24,273,547</t>
  </si>
  <si>
    <t>TransDigm Group Inc</t>
  </si>
  <si>
    <t>20,181</t>
  </si>
  <si>
    <t>$24,125,830</t>
  </si>
  <si>
    <t>57,027</t>
  </si>
  <si>
    <t>$23,944,716</t>
  </si>
  <si>
    <t>Valero Energy Corp</t>
  </si>
  <si>
    <t>144,524</t>
  </si>
  <si>
    <t>$23,904,580</t>
  </si>
  <si>
    <t>29,101</t>
  </si>
  <si>
    <t>$23,891,057</t>
  </si>
  <si>
    <t>Capital One Financial Corp</t>
  </si>
  <si>
    <t>148,158</t>
  </si>
  <si>
    <t>$23,857,754</t>
  </si>
  <si>
    <t>2,362,433</t>
  </si>
  <si>
    <t>$23,817,924</t>
  </si>
  <si>
    <t>Travelers Cos. Inc</t>
  </si>
  <si>
    <t>90,668</t>
  </si>
  <si>
    <t>$23,711,122</t>
  </si>
  <si>
    <t>Constellation Brands Inc Class A</t>
  </si>
  <si>
    <t>63,044</t>
  </si>
  <si>
    <t>$23,669,629</t>
  </si>
  <si>
    <t>TC Energy Corp</t>
  </si>
  <si>
    <t>393,254</t>
  </si>
  <si>
    <t>$23,621,947</t>
  </si>
  <si>
    <t>Exelon Corp</t>
  </si>
  <si>
    <t>385,082</t>
  </si>
  <si>
    <t>$23,593,450</t>
  </si>
  <si>
    <t>American International Group Inc</t>
  </si>
  <si>
    <t>286,345</t>
  </si>
  <si>
    <t>$23,375,734</t>
  </si>
  <si>
    <t>Atlas Copco AB Class A</t>
  </si>
  <si>
    <t>1,040,059</t>
  </si>
  <si>
    <t>$23,338,608</t>
  </si>
  <si>
    <t>Archer-Daniels-Midland Co</t>
  </si>
  <si>
    <t>Agricultural Products &amp; Services</t>
  </si>
  <si>
    <t>213,503</t>
  </si>
  <si>
    <t>$23,308,332</t>
  </si>
  <si>
    <t>TE Connectivity Ltd</t>
  </si>
  <si>
    <t>Electronic Manufacturing Services</t>
  </si>
  <si>
    <t>123,042</t>
  </si>
  <si>
    <t>$23,287,003</t>
  </si>
  <si>
    <t>Alcon Inc</t>
  </si>
  <si>
    <t>194,847</t>
  </si>
  <si>
    <t>$23,272,602</t>
  </si>
  <si>
    <t>Alimentation Couche-Tard Inc</t>
  </si>
  <si>
    <t>Food Retail</t>
  </si>
  <si>
    <t>310,358</t>
  </si>
  <si>
    <t>$23,190,297</t>
  </si>
  <si>
    <t>IDEXX Laboratories Inc</t>
  </si>
  <si>
    <t>32,284</t>
  </si>
  <si>
    <t>$23,185,714</t>
  </si>
  <si>
    <t>Lululemon Athletica Inc</t>
  </si>
  <si>
    <t>45,126</t>
  </si>
  <si>
    <t>$23,145,597</t>
  </si>
  <si>
    <t>Corteva Inc</t>
  </si>
  <si>
    <t>Fertilizers &amp; Agricultural Chemicals</t>
  </si>
  <si>
    <t>279,286</t>
  </si>
  <si>
    <t>$23,084,305</t>
  </si>
  <si>
    <t>Suncor Energy Inc</t>
  </si>
  <si>
    <t>529,868</t>
  </si>
  <si>
    <t>$22,907,292</t>
  </si>
  <si>
    <t>Hershey Co</t>
  </si>
  <si>
    <t>57,086</t>
  </si>
  <si>
    <t>$22,908,498</t>
  </si>
  <si>
    <t>250,100</t>
  </si>
  <si>
    <t>$22,800,577</t>
  </si>
  <si>
    <t>Aflac Inc</t>
  </si>
  <si>
    <t>229,203</t>
  </si>
  <si>
    <t>$22,741,443</t>
  </si>
  <si>
    <t>MSCI Inc Class A</t>
  </si>
  <si>
    <t>31,249</t>
  </si>
  <si>
    <t>$22,720,532</t>
  </si>
  <si>
    <t>89,985</t>
  </si>
  <si>
    <t>$22,696,827</t>
  </si>
  <si>
    <t>Copart Inc</t>
  </si>
  <si>
    <t>167,029</t>
  </si>
  <si>
    <t>$22,606,923</t>
  </si>
  <si>
    <t>354,125</t>
  </si>
  <si>
    <t>$22,531,579</t>
  </si>
  <si>
    <t>Realty Income Corp</t>
  </si>
  <si>
    <t>243,840</t>
  </si>
  <si>
    <t>$22,396,430</t>
  </si>
  <si>
    <t>Intesa Sanpaolo SPA (Registered)</t>
  </si>
  <si>
    <t>6,253,411</t>
  </si>
  <si>
    <t>$22,205,369</t>
  </si>
  <si>
    <t>Oriental Land Co Ltd/Japan</t>
  </si>
  <si>
    <t>Leisure Facilities</t>
  </si>
  <si>
    <t>383,805</t>
  </si>
  <si>
    <t>$22,187,846</t>
  </si>
  <si>
    <t>26,140,715</t>
  </si>
  <si>
    <t>$22,113,190</t>
  </si>
  <si>
    <t>Hilton Worldwide Holdings Inc</t>
  </si>
  <si>
    <t>104,908</t>
  </si>
  <si>
    <t>$22,066,101</t>
  </si>
  <si>
    <t>425,431</t>
  </si>
  <si>
    <t>$21,929,447</t>
  </si>
  <si>
    <t>IQVIA Holdings Inc</t>
  </si>
  <si>
    <t>71,930</t>
  </si>
  <si>
    <t>$21,886,327</t>
  </si>
  <si>
    <t>ON Semiconductor Corp</t>
  </si>
  <si>
    <t>169,394</t>
  </si>
  <si>
    <t>$21,882,621</t>
  </si>
  <si>
    <t>PACCAR Inc</t>
  </si>
  <si>
    <t>204,156</t>
  </si>
  <si>
    <t>$21,697,983</t>
  </si>
  <si>
    <t>Yum! Brands Inc</t>
  </si>
  <si>
    <t>109,026</t>
  </si>
  <si>
    <t>$21,680,531</t>
  </si>
  <si>
    <t>1,071,613</t>
  </si>
  <si>
    <t>$21,672,471</t>
  </si>
  <si>
    <t>72,807</t>
  </si>
  <si>
    <t>$21,622,387</t>
  </si>
  <si>
    <t>49,170</t>
  </si>
  <si>
    <t>$21,595,007</t>
  </si>
  <si>
    <t>Xcel Energy Inc</t>
  </si>
  <si>
    <t>213,904</t>
  </si>
  <si>
    <t>$21,580,456</t>
  </si>
  <si>
    <t>731,074</t>
  </si>
  <si>
    <t>$21,574,806</t>
  </si>
  <si>
    <t>Ross Stores Inc</t>
  </si>
  <si>
    <t>134,551</t>
  </si>
  <si>
    <t>$21,543,961</t>
  </si>
  <si>
    <t>Investor AB Class B</t>
  </si>
  <si>
    <t>685,510</t>
  </si>
  <si>
    <t>$21,475,347</t>
  </si>
  <si>
    <t>1,205,718</t>
  </si>
  <si>
    <t>$21,433,537</t>
  </si>
  <si>
    <t>Sysco Corp</t>
  </si>
  <si>
    <t>Food Distributors</t>
  </si>
  <si>
    <t>198,201</t>
  </si>
  <si>
    <t>$21,423,410</t>
  </si>
  <si>
    <t>8,488</t>
  </si>
  <si>
    <t>$21,349,146</t>
  </si>
  <si>
    <t>Mizuho Financial Group Inc</t>
  </si>
  <si>
    <t>937,212</t>
  </si>
  <si>
    <t>$21,280,352</t>
  </si>
  <si>
    <t>Construction Materials</t>
  </si>
  <si>
    <t>292,888</t>
  </si>
  <si>
    <t>$21,278,115</t>
  </si>
  <si>
    <t>Electronic Arts Inc</t>
  </si>
  <si>
    <t>107,519</t>
  </si>
  <si>
    <t>$21,266,216</t>
  </si>
  <si>
    <t>Waste Connections Inc</t>
  </si>
  <si>
    <t>100,693</t>
  </si>
  <si>
    <t>$21,261,993</t>
  </si>
  <si>
    <t>497,606</t>
  </si>
  <si>
    <t>$21,189,918</t>
  </si>
  <si>
    <t>Hess Corp</t>
  </si>
  <si>
    <t>108,053</t>
  </si>
  <si>
    <t>$21,149,770</t>
  </si>
  <si>
    <t>Manulife Financial Corp</t>
  </si>
  <si>
    <t>738,708</t>
  </si>
  <si>
    <t>$21,119,835</t>
  </si>
  <si>
    <t>Welltower Inc</t>
  </si>
  <si>
    <t>183,044</t>
  </si>
  <si>
    <t>$21,103,164</t>
  </si>
  <si>
    <t>Williams Cos. Inc</t>
  </si>
  <si>
    <t>472,959</t>
  </si>
  <si>
    <t>$20,945,693</t>
  </si>
  <si>
    <t>Centene Corp</t>
  </si>
  <si>
    <t>215,686</t>
  </si>
  <si>
    <t>$20,800,376</t>
  </si>
  <si>
    <t>Dow Inc</t>
  </si>
  <si>
    <t>Commodity Chemicals</t>
  </si>
  <si>
    <t>273,848</t>
  </si>
  <si>
    <t>$20,641,745</t>
  </si>
  <si>
    <t>Carrier Global Corp</t>
  </si>
  <si>
    <t>325,962</t>
  </si>
  <si>
    <t>$20,600,859</t>
  </si>
  <si>
    <t>Simon Property Group Inc</t>
  </si>
  <si>
    <t>126,696</t>
  </si>
  <si>
    <t>$20,585,775</t>
  </si>
  <si>
    <t>Holcim AG</t>
  </si>
  <si>
    <t>216,576</t>
  </si>
  <si>
    <t>$20,552,295</t>
  </si>
  <si>
    <t>Nucor Corp</t>
  </si>
  <si>
    <t>Steel</t>
  </si>
  <si>
    <t>100,646</t>
  </si>
  <si>
    <t>$20,538,223</t>
  </si>
  <si>
    <t>Agilent Technologies Inc</t>
  </si>
  <si>
    <t>114,880</t>
  </si>
  <si>
    <t>$20,533,369</t>
  </si>
  <si>
    <t>Paychex Inc</t>
  </si>
  <si>
    <t>126,450</t>
  </si>
  <si>
    <t>$20,502,818</t>
  </si>
  <si>
    <t>DR Horton Inc</t>
  </si>
  <si>
    <t>Homebuilding</t>
  </si>
  <si>
    <t>124,138</t>
  </si>
  <si>
    <t>$20,494,327</t>
  </si>
  <si>
    <t>AMETEK Inc</t>
  </si>
  <si>
    <t>90,634</t>
  </si>
  <si>
    <t>$20,317,198</t>
  </si>
  <si>
    <t>Nippon Telegraph &amp; Telephone Corp</t>
  </si>
  <si>
    <t>462,958</t>
  </si>
  <si>
    <t>$20,250,702</t>
  </si>
  <si>
    <t>Murata Manufacturing Co Ltd</t>
  </si>
  <si>
    <t>223,090</t>
  </si>
  <si>
    <t>$20,229,866</t>
  </si>
  <si>
    <t>L3Harris Technologies Inc</t>
  </si>
  <si>
    <t>74,395</t>
  </si>
  <si>
    <t>$20,223,392</t>
  </si>
  <si>
    <t>Otis Worldwide Corp</t>
  </si>
  <si>
    <t>163,816</t>
  </si>
  <si>
    <t>$20,126,725</t>
  </si>
  <si>
    <t>Consolidated Edison Inc</t>
  </si>
  <si>
    <t>138,744</t>
  </si>
  <si>
    <t>$20,002,805</t>
  </si>
  <si>
    <t>FANUC Corp</t>
  </si>
  <si>
    <t>374,815</t>
  </si>
  <si>
    <t>$19,889,745</t>
  </si>
  <si>
    <t>MetLife Inc</t>
  </si>
  <si>
    <t>258,646</t>
  </si>
  <si>
    <t>$19,803,615</t>
  </si>
  <si>
    <t>74,299</t>
  </si>
  <si>
    <t>$19,767,351</t>
  </si>
  <si>
    <t>Crowdstrike Holdings Inc Class A</t>
  </si>
  <si>
    <t>79,848</t>
  </si>
  <si>
    <t>$19,757,491</t>
  </si>
  <si>
    <t>116,817</t>
  </si>
  <si>
    <t>$19,613,651</t>
  </si>
  <si>
    <t>Kinder Morgan Inc</t>
  </si>
  <si>
    <t>787,084</t>
  </si>
  <si>
    <t>$19,593,484</t>
  </si>
  <si>
    <t>Fidelity National Information Services Inc</t>
  </si>
  <si>
    <t>231,751</t>
  </si>
  <si>
    <t>$19,542,072</t>
  </si>
  <si>
    <t>1,289,740</t>
  </si>
  <si>
    <t>$19,534,741</t>
  </si>
  <si>
    <t>Block Inc</t>
  </si>
  <si>
    <t>209,221</t>
  </si>
  <si>
    <t>$19,523,845</t>
  </si>
  <si>
    <t>Newmont Corp</t>
  </si>
  <si>
    <t>Gold</t>
  </si>
  <si>
    <t>310,550</t>
  </si>
  <si>
    <t>$19,458,862</t>
  </si>
  <si>
    <t>DuPont de Nemours Inc</t>
  </si>
  <si>
    <t>187,138</t>
  </si>
  <si>
    <t>$19,429,502</t>
  </si>
  <si>
    <t>Rockwell Automation Inc</t>
  </si>
  <si>
    <t>45,080</t>
  </si>
  <si>
    <t>$19,407,074</t>
  </si>
  <si>
    <t>357,187</t>
  </si>
  <si>
    <t>$19,372,935</t>
  </si>
  <si>
    <t>Verisk Analytics Inc Class A</t>
  </si>
  <si>
    <t>57,170</t>
  </si>
  <si>
    <t>$19,356,438</t>
  </si>
  <si>
    <t>Charter Communications Inc Class A</t>
  </si>
  <si>
    <t>38,358</t>
  </si>
  <si>
    <t>$19,331,626</t>
  </si>
  <si>
    <t>174,714</t>
  </si>
  <si>
    <t>$19,255,146</t>
  </si>
  <si>
    <t>CoStar Group Inc</t>
  </si>
  <si>
    <t>156,500</t>
  </si>
  <si>
    <t>$19,201,267</t>
  </si>
  <si>
    <t>Cognizant Technology Solutions Corp Class A</t>
  </si>
  <si>
    <t>198,604</t>
  </si>
  <si>
    <t>$19,177,569</t>
  </si>
  <si>
    <t>Ameriprise Financial Inc</t>
  </si>
  <si>
    <t>41,557</t>
  </si>
  <si>
    <t>$19,166,372</t>
  </si>
  <si>
    <t>Seven &amp; i Holdings Co Ltd</t>
  </si>
  <si>
    <t>292,491</t>
  </si>
  <si>
    <t>$18,908,150</t>
  </si>
  <si>
    <t>Cheniere Energy Inc</t>
  </si>
  <si>
    <t>87,103</t>
  </si>
  <si>
    <t>$18,812,310</t>
  </si>
  <si>
    <t>Republic Services Inc Class A</t>
  </si>
  <si>
    <t>85,837</t>
  </si>
  <si>
    <t>$18,785,590</t>
  </si>
  <si>
    <t>Trade Desk Inc Class A</t>
  </si>
  <si>
    <t>Advertising</t>
  </si>
  <si>
    <t>173,191</t>
  </si>
  <si>
    <t>$18,754,887</t>
  </si>
  <si>
    <t>Oversea-Chinese Banking Corp Ltd</t>
  </si>
  <si>
    <t>1,335,206</t>
  </si>
  <si>
    <t>$18,685,153</t>
  </si>
  <si>
    <t>Illumina Inc</t>
  </si>
  <si>
    <t>61,467</t>
  </si>
  <si>
    <t>$18,678,028</t>
  </si>
  <si>
    <t>Bank of New York Mellon Corp</t>
  </si>
  <si>
    <t>299,757</t>
  </si>
  <si>
    <t>$18,620,461</t>
  </si>
  <si>
    <t>ResMed Inc</t>
  </si>
  <si>
    <t>57,140</t>
  </si>
  <si>
    <t>$18,611,667</t>
  </si>
  <si>
    <t>Fastenal Co</t>
  </si>
  <si>
    <t>223,539</t>
  </si>
  <si>
    <t>$18,600,904</t>
  </si>
  <si>
    <t>PPG Industries Inc</t>
  </si>
  <si>
    <t>91,660</t>
  </si>
  <si>
    <t>$18,595,444</t>
  </si>
  <si>
    <t>Kroger Co</t>
  </si>
  <si>
    <t>264,556</t>
  </si>
  <si>
    <t>$18,530,980</t>
  </si>
  <si>
    <t>SMC Corp</t>
  </si>
  <si>
    <t>22,244</t>
  </si>
  <si>
    <t>$18,470,947</t>
  </si>
  <si>
    <t>375,743</t>
  </si>
  <si>
    <t>$18,359,254</t>
  </si>
  <si>
    <t>81,342</t>
  </si>
  <si>
    <t>$18,187,721</t>
  </si>
  <si>
    <t>117,659</t>
  </si>
  <si>
    <t>$18,142,319</t>
  </si>
  <si>
    <t>3,579</t>
  </si>
  <si>
    <t>$18,125,128</t>
  </si>
  <si>
    <t>SoftBank Corp</t>
  </si>
  <si>
    <t>1,100,835</t>
  </si>
  <si>
    <t>$18,086,182</t>
  </si>
  <si>
    <t>Barrick Gold Corp</t>
  </si>
  <si>
    <t>691,750</t>
  </si>
  <si>
    <t>$18,039,409</t>
  </si>
  <si>
    <t>Dollar Tree Inc</t>
  </si>
  <si>
    <t>86,264</t>
  </si>
  <si>
    <t>$17,979,276</t>
  </si>
  <si>
    <t>VICI Properties Inc Class A</t>
  </si>
  <si>
    <t>Other Specialized REITs</t>
  </si>
  <si>
    <t>376,115</t>
  </si>
  <si>
    <t>$17,976,106</t>
  </si>
  <si>
    <t>Public Service Enterprise Group Inc</t>
  </si>
  <si>
    <t>194,033</t>
  </si>
  <si>
    <t>$17,914,659</t>
  </si>
  <si>
    <t>266,928</t>
  </si>
  <si>
    <t>$17,850,881</t>
  </si>
  <si>
    <t>866,888</t>
  </si>
  <si>
    <t>$17,779,737</t>
  </si>
  <si>
    <t>Mettler-Toledo International Inc</t>
  </si>
  <si>
    <t>8,698</t>
  </si>
  <si>
    <t>$17,766,554</t>
  </si>
  <si>
    <t>Digital Realty Trust Inc</t>
  </si>
  <si>
    <t>112,088</t>
  </si>
  <si>
    <t>$17,746,328</t>
  </si>
  <si>
    <t>WW Grainger Inc</t>
  </si>
  <si>
    <t>17,654</t>
  </si>
  <si>
    <t>$17,705,013</t>
  </si>
  <si>
    <t>6,093,833</t>
  </si>
  <si>
    <t>$17,662,445</t>
  </si>
  <si>
    <t>Old Dominion Freight Line Inc</t>
  </si>
  <si>
    <t>Cargo Ground Transportation</t>
  </si>
  <si>
    <t>36,721</t>
  </si>
  <si>
    <t>$17,615,185</t>
  </si>
  <si>
    <t>100,085</t>
  </si>
  <si>
    <t>$17,608,941</t>
  </si>
  <si>
    <t>Cummins Inc</t>
  </si>
  <si>
    <t>55,174</t>
  </si>
  <si>
    <t>$17,427,362</t>
  </si>
  <si>
    <t>GE HealthCare Technologies Inc</t>
  </si>
  <si>
    <t>141,839</t>
  </si>
  <si>
    <t>$17,426,592</t>
  </si>
  <si>
    <t>Astellas Pharma Inc</t>
  </si>
  <si>
    <t>712,454</t>
  </si>
  <si>
    <t>$17,394,404</t>
  </si>
  <si>
    <t>Prudential Financial Inc</t>
  </si>
  <si>
    <t>142,985</t>
  </si>
  <si>
    <t>$17,386,216</t>
  </si>
  <si>
    <t>KKR &amp; Co Inc</t>
  </si>
  <si>
    <t>218,383</t>
  </si>
  <si>
    <t>$17,375,478</t>
  </si>
  <si>
    <t>255,892</t>
  </si>
  <si>
    <t>$17,329,945</t>
  </si>
  <si>
    <t>Devon Energy Corp</t>
  </si>
  <si>
    <t>242,906</t>
  </si>
  <si>
    <t>$17,303,510</t>
  </si>
  <si>
    <t>VMware Inc Class A</t>
  </si>
  <si>
    <t>82,063</t>
  </si>
  <si>
    <t>$17,282,494</t>
  </si>
  <si>
    <t>Keysight Technologies Inc</t>
  </si>
  <si>
    <t>69,118</t>
  </si>
  <si>
    <t>$17,280,835</t>
  </si>
  <si>
    <t>Allstate Corp</t>
  </si>
  <si>
    <t>102,814</t>
  </si>
  <si>
    <t>$17,229,666</t>
  </si>
  <si>
    <t>Heavy Electrical Equipment</t>
  </si>
  <si>
    <t>391,241</t>
  </si>
  <si>
    <t>$17,166,070</t>
  </si>
  <si>
    <t>Franco-Nevada Corp</t>
  </si>
  <si>
    <t>76,362</t>
  </si>
  <si>
    <t>$17,125,375</t>
  </si>
  <si>
    <t>Sun Life Financial Inc</t>
  </si>
  <si>
    <t>228,710</t>
  </si>
  <si>
    <t>$17,094,667</t>
  </si>
  <si>
    <t>63,741</t>
  </si>
  <si>
    <t>$17,094,888</t>
  </si>
  <si>
    <t>ANSYS Inc</t>
  </si>
  <si>
    <t>34,078</t>
  </si>
  <si>
    <t>$17,039,790</t>
  </si>
  <si>
    <t>Kraft Heinz Co</t>
  </si>
  <si>
    <t>285,263</t>
  </si>
  <si>
    <t>$16,847,333</t>
  </si>
  <si>
    <t>WEC Energy Group Inc</t>
  </si>
  <si>
    <t>123,027</t>
  </si>
  <si>
    <t>$16,605,746</t>
  </si>
  <si>
    <t>Constellation Energy Corp</t>
  </si>
  <si>
    <t>127,655</t>
  </si>
  <si>
    <t>$16,573,550</t>
  </si>
  <si>
    <t>104,365</t>
  </si>
  <si>
    <t>$16,568,740</t>
  </si>
  <si>
    <t>Lennar Corp Class A</t>
  </si>
  <si>
    <t>100,030</t>
  </si>
  <si>
    <t>$16,557,542</t>
  </si>
  <si>
    <t>Gartner Inc</t>
  </si>
  <si>
    <t>31,057</t>
  </si>
  <si>
    <t>$16,453,995</t>
  </si>
  <si>
    <t>Seagen Inc</t>
  </si>
  <si>
    <t>54,344</t>
  </si>
  <si>
    <t>$16,433,780</t>
  </si>
  <si>
    <t>Baker Hughes Co Class A</t>
  </si>
  <si>
    <t>389,654</t>
  </si>
  <si>
    <t>$16,407,435</t>
  </si>
  <si>
    <t>Volvo AB Class B</t>
  </si>
  <si>
    <t>575,707</t>
  </si>
  <si>
    <t>$16,368,034</t>
  </si>
  <si>
    <t>E.On Se</t>
  </si>
  <si>
    <t>877,816</t>
  </si>
  <si>
    <t>$16,355,321</t>
  </si>
  <si>
    <t>American Water Works Co Inc</t>
  </si>
  <si>
    <t>Water Utilities</t>
  </si>
  <si>
    <t>73,244</t>
  </si>
  <si>
    <t>$16,348,753</t>
  </si>
  <si>
    <t>191,425</t>
  </si>
  <si>
    <t>$16,335,085</t>
  </si>
  <si>
    <t>172,279</t>
  </si>
  <si>
    <t>$16,167,206</t>
  </si>
  <si>
    <t>Rwe AG</t>
  </si>
  <si>
    <t>Independent Power Producers &amp; Energy Tra</t>
  </si>
  <si>
    <t>250,815</t>
  </si>
  <si>
    <t>$16,163,870</t>
  </si>
  <si>
    <t>Atlassian Corp Class A</t>
  </si>
  <si>
    <t>57,754</t>
  </si>
  <si>
    <t>$16,134,352</t>
  </si>
  <si>
    <t>Zimmer Biomet Holdings Inc</t>
  </si>
  <si>
    <t>81,973</t>
  </si>
  <si>
    <t>$16,129,865</t>
  </si>
  <si>
    <t>Apollo Global Management LLC</t>
  </si>
  <si>
    <t>156,106</t>
  </si>
  <si>
    <t>$16,125,606</t>
  </si>
  <si>
    <t>Nutrien Ltd</t>
  </si>
  <si>
    <t>197,658</t>
  </si>
  <si>
    <t>$16,070,213</t>
  </si>
  <si>
    <t>Denso Corp</t>
  </si>
  <si>
    <t>Automotive Parts &amp; Equipment</t>
  </si>
  <si>
    <t>168,372</t>
  </si>
  <si>
    <t>$16,035,240</t>
  </si>
  <si>
    <t>Global Payments Inc</t>
  </si>
  <si>
    <t>105,725</t>
  </si>
  <si>
    <t>$15,959,631</t>
  </si>
  <si>
    <t>Xylem Inc/NY</t>
  </si>
  <si>
    <t>102,905</t>
  </si>
  <si>
    <t>$15,933,062</t>
  </si>
  <si>
    <t>AmerisourceBergen Corp</t>
  </si>
  <si>
    <t>60,300</t>
  </si>
  <si>
    <t>$15,854,199</t>
  </si>
  <si>
    <t>HP Inc</t>
  </si>
  <si>
    <t>351,527</t>
  </si>
  <si>
    <t>$15,785,173</t>
  </si>
  <si>
    <t>Japan Tobacco Inc</t>
  </si>
  <si>
    <t>467,990</t>
  </si>
  <si>
    <t>$15,734,834</t>
  </si>
  <si>
    <t>101,083</t>
  </si>
  <si>
    <t>$15,732,980</t>
  </si>
  <si>
    <t>63,019</t>
  </si>
  <si>
    <t>$15,728,131</t>
  </si>
  <si>
    <t>Warner Bros Discovery Inc</t>
  </si>
  <si>
    <t>901,701</t>
  </si>
  <si>
    <t>$15,716,893</t>
  </si>
  <si>
    <t>Halliburton Co</t>
  </si>
  <si>
    <t>353,893</t>
  </si>
  <si>
    <t>$15,667,209</t>
  </si>
  <si>
    <t>Vulcan Materials Co</t>
  </si>
  <si>
    <t>51,794</t>
  </si>
  <si>
    <t>$15,646,646</t>
  </si>
  <si>
    <t>Arch Capital Group Ltd</t>
  </si>
  <si>
    <t>145,093</t>
  </si>
  <si>
    <t>$15,626,952</t>
  </si>
  <si>
    <t>Intact Financial Corp</t>
  </si>
  <si>
    <t>68,664</t>
  </si>
  <si>
    <t>$15,615,975</t>
  </si>
  <si>
    <t>25,718</t>
  </si>
  <si>
    <t>$15,503,148</t>
  </si>
  <si>
    <t>148,422</t>
  </si>
  <si>
    <t>$15,485,519</t>
  </si>
  <si>
    <t>Quanta Services Inc</t>
  </si>
  <si>
    <t>56,279</t>
  </si>
  <si>
    <t>$15,443,135</t>
  </si>
  <si>
    <t>Equifax Inc</t>
  </si>
  <si>
    <t>47,685</t>
  </si>
  <si>
    <t>$15,372,085</t>
  </si>
  <si>
    <t>ONEOK Inc</t>
  </si>
  <si>
    <t>173,861</t>
  </si>
  <si>
    <t>$15,222,073</t>
  </si>
  <si>
    <t>PG&amp;E Corp</t>
  </si>
  <si>
    <t>581,320</t>
  </si>
  <si>
    <t>$15,216,813</t>
  </si>
  <si>
    <t>421,850</t>
  </si>
  <si>
    <t>$15,200,883</t>
  </si>
  <si>
    <t>104,071</t>
  </si>
  <si>
    <t>$15,165,951</t>
  </si>
  <si>
    <t>Mitsubishi Electric Corp</t>
  </si>
  <si>
    <t>749,020</t>
  </si>
  <si>
    <t>$15,068,781</t>
  </si>
  <si>
    <t>Casinos &amp; Gaming</t>
  </si>
  <si>
    <t>49,617</t>
  </si>
  <si>
    <t>$14,929,428</t>
  </si>
  <si>
    <t>Corning Inc</t>
  </si>
  <si>
    <t>313,052</t>
  </si>
  <si>
    <t>$14,904,013</t>
  </si>
  <si>
    <t>West Pharmaceutical Services Inc</t>
  </si>
  <si>
    <t>28,810</t>
  </si>
  <si>
    <t>$14,897,150</t>
  </si>
  <si>
    <t>United Overseas Bank Ltd</t>
  </si>
  <si>
    <t>466,892</t>
  </si>
  <si>
    <t>$14,883,397</t>
  </si>
  <si>
    <t>Martin Marietta Materials Inc</t>
  </si>
  <si>
    <t>24,098</t>
  </si>
  <si>
    <t>$14,821,862</t>
  </si>
  <si>
    <t>Palantir Technologies Inc Class A</t>
  </si>
  <si>
    <t>650,964</t>
  </si>
  <si>
    <t>$14,796,694</t>
  </si>
  <si>
    <t>Canon Inc</t>
  </si>
  <si>
    <t>384,177</t>
  </si>
  <si>
    <t>$14,705,675</t>
  </si>
  <si>
    <t>132,636</t>
  </si>
  <si>
    <t>$14,673,822</t>
  </si>
  <si>
    <t>371,057</t>
  </si>
  <si>
    <t>$14,600,622</t>
  </si>
  <si>
    <t>AvalonBay Communities Inc</t>
  </si>
  <si>
    <t>Multi-Family Residential REITs</t>
  </si>
  <si>
    <t>54,061</t>
  </si>
  <si>
    <t>$14,533,775</t>
  </si>
  <si>
    <t>71,677</t>
  </si>
  <si>
    <t>$14,507,747</t>
  </si>
  <si>
    <t>Keurig Dr Pepper Inc</t>
  </si>
  <si>
    <t>301,346</t>
  </si>
  <si>
    <t>$14,491,057</t>
  </si>
  <si>
    <t>135,365</t>
  </si>
  <si>
    <t>$14,480,907</t>
  </si>
  <si>
    <t>105,758</t>
  </si>
  <si>
    <t>$14,394,135</t>
  </si>
  <si>
    <t>HubSpot Inc</t>
  </si>
  <si>
    <t>17,940</t>
  </si>
  <si>
    <t>$14,359,485</t>
  </si>
  <si>
    <t>State Street Corp</t>
  </si>
  <si>
    <t>136,579</t>
  </si>
  <si>
    <t>$14,355,410</t>
  </si>
  <si>
    <t>T. Rowe Price Group Inc</t>
  </si>
  <si>
    <t>86,681</t>
  </si>
  <si>
    <t>$14,353,297</t>
  </si>
  <si>
    <t>CBRE Group Inc Class A</t>
  </si>
  <si>
    <t>123,750</t>
  </si>
  <si>
    <t>$14,326,431</t>
  </si>
  <si>
    <t>2,865,534</t>
  </si>
  <si>
    <t>$14,312,638</t>
  </si>
  <si>
    <t>42,265</t>
  </si>
  <si>
    <t>$14,292,970</t>
  </si>
  <si>
    <t>Enphase Energy Inc</t>
  </si>
  <si>
    <t>53,015</t>
  </si>
  <si>
    <t>$14,244,376</t>
  </si>
  <si>
    <t>379,383</t>
  </si>
  <si>
    <t>$14,208,303</t>
  </si>
  <si>
    <t>Agnico Eagle Mines Ltd</t>
  </si>
  <si>
    <t>180,413</t>
  </si>
  <si>
    <t>$14,167,717</t>
  </si>
  <si>
    <t>Advantest Corp</t>
  </si>
  <si>
    <t>71,100</t>
  </si>
  <si>
    <t>$14,083,714</t>
  </si>
  <si>
    <t>Datadog Inc Class A</t>
  </si>
  <si>
    <t>95,997</t>
  </si>
  <si>
    <t>$14,078,769</t>
  </si>
  <si>
    <t>Ingersoll Rand Inc</t>
  </si>
  <si>
    <t>160,479</t>
  </si>
  <si>
    <t>$14,050,437</t>
  </si>
  <si>
    <t>United Rentals Inc</t>
  </si>
  <si>
    <t>27,216</t>
  </si>
  <si>
    <t>$14,037,594</t>
  </si>
  <si>
    <t>Veeva Systems Inc Class A</t>
  </si>
  <si>
    <t>Health Care Technology</t>
  </si>
  <si>
    <t>54,675</t>
  </si>
  <si>
    <t>$13,999,301</t>
  </si>
  <si>
    <t>CDW Corp/DE</t>
  </si>
  <si>
    <t>Technology Distributors</t>
  </si>
  <si>
    <t>52,731</t>
  </si>
  <si>
    <t>$13,989,624</t>
  </si>
  <si>
    <t>SBA Communications Corp Class A</t>
  </si>
  <si>
    <t>40,637</t>
  </si>
  <si>
    <t>$13,926,406</t>
  </si>
  <si>
    <t>Bridgestone Corp</t>
  </si>
  <si>
    <t>Tires &amp; Rubber</t>
  </si>
  <si>
    <t>221,635</t>
  </si>
  <si>
    <t>$13,918,286</t>
  </si>
  <si>
    <t>Fujitsu Ltd</t>
  </si>
  <si>
    <t>70,843</t>
  </si>
  <si>
    <t>$13,883,938</t>
  </si>
  <si>
    <t>Tractor Supply Co</t>
  </si>
  <si>
    <t>Other Specialty Retail</t>
  </si>
  <si>
    <t>42,776</t>
  </si>
  <si>
    <t>$13,853,700</t>
  </si>
  <si>
    <t>eBay Inc</t>
  </si>
  <si>
    <t>210,617</t>
  </si>
  <si>
    <t>$13,844,777</t>
  </si>
  <si>
    <t>Panasonic Holdings Corp</t>
  </si>
  <si>
    <t>856,113</t>
  </si>
  <si>
    <t>$13,828,805</t>
  </si>
  <si>
    <t>Take-Two Interactive Software Inc</t>
  </si>
  <si>
    <t>64,952</t>
  </si>
  <si>
    <t>$13,823,440</t>
  </si>
  <si>
    <t>Albemarle Corp</t>
  </si>
  <si>
    <t>45,784</t>
  </si>
  <si>
    <t>$13,691,691</t>
  </si>
  <si>
    <t>Church &amp; Dwight Co Inc</t>
  </si>
  <si>
    <t>95,535</t>
  </si>
  <si>
    <t>$13,647,857</t>
  </si>
  <si>
    <t>Hexagon AB Class B</t>
  </si>
  <si>
    <t>760,542</t>
  </si>
  <si>
    <t>$13,583,958</t>
  </si>
  <si>
    <t>Cenovus Energy Inc</t>
  </si>
  <si>
    <t>549,341</t>
  </si>
  <si>
    <t>$13,545,071</t>
  </si>
  <si>
    <t>50,506</t>
  </si>
  <si>
    <t>$13,541,194</t>
  </si>
  <si>
    <t>Alnylam Pharmaceuticals Inc</t>
  </si>
  <si>
    <t>47,182</t>
  </si>
  <si>
    <t>$13,488,591</t>
  </si>
  <si>
    <t>Fortive Corp</t>
  </si>
  <si>
    <t>133,905</t>
  </si>
  <si>
    <t>$13,472,231</t>
  </si>
  <si>
    <t>Walgreens Boots Alliance Inc</t>
  </si>
  <si>
    <t>Drug Retail</t>
  </si>
  <si>
    <t>286,085</t>
  </si>
  <si>
    <t>$13,425,638</t>
  </si>
  <si>
    <t>LyondellBasell Industries NV Class A</t>
  </si>
  <si>
    <t>101,543</t>
  </si>
  <si>
    <t>$13,421,909</t>
  </si>
  <si>
    <t>Assa Abloy AB Class B</t>
  </si>
  <si>
    <t>391,275</t>
  </si>
  <si>
    <t>$13,377,072</t>
  </si>
  <si>
    <t>2,041,919</t>
  </si>
  <si>
    <t>$13,354,327</t>
  </si>
  <si>
    <t>Volkswagen AG Preference Shares</t>
  </si>
  <si>
    <t>69,426</t>
  </si>
  <si>
    <t>$13,333,347</t>
  </si>
  <si>
    <t>Komatsu Ltd</t>
  </si>
  <si>
    <t>365,207</t>
  </si>
  <si>
    <t>$13,296,916</t>
  </si>
  <si>
    <t>CGI Inc</t>
  </si>
  <si>
    <t>83,180</t>
  </si>
  <si>
    <t>$13,294,866</t>
  </si>
  <si>
    <t>212,857</t>
  </si>
  <si>
    <t>$13,293,358</t>
  </si>
  <si>
    <t>Marubeni Corp</t>
  </si>
  <si>
    <t>602,631</t>
  </si>
  <si>
    <t>$13,276,782</t>
  </si>
  <si>
    <t>141,176</t>
  </si>
  <si>
    <t>$13,263,541</t>
  </si>
  <si>
    <t>Monolithic Power Systems Inc</t>
  </si>
  <si>
    <t>17,370</t>
  </si>
  <si>
    <t>$13,149,558</t>
  </si>
  <si>
    <t>2,100,153</t>
  </si>
  <si>
    <t>$13,129,727</t>
  </si>
  <si>
    <t>FUJIFILM Holdings Corp</t>
  </si>
  <si>
    <t>138,863</t>
  </si>
  <si>
    <t>$13,105,099</t>
  </si>
  <si>
    <t>Cardinal Health Inc</t>
  </si>
  <si>
    <t>102,887</t>
  </si>
  <si>
    <t>$13,084,447</t>
  </si>
  <si>
    <t>Hartford Financial Services Group Inc</t>
  </si>
  <si>
    <t>123,577</t>
  </si>
  <si>
    <t>$13,084,287</t>
  </si>
  <si>
    <t>8,937,069</t>
  </si>
  <si>
    <t>$13,071,470</t>
  </si>
  <si>
    <t>Thomson Reuters Corp</t>
  </si>
  <si>
    <t>66,336</t>
  </si>
  <si>
    <t>$13,017,276</t>
  </si>
  <si>
    <t>21,656</t>
  </si>
  <si>
    <t>$13,007,322</t>
  </si>
  <si>
    <t>84,096</t>
  </si>
  <si>
    <t>$12,998,722</t>
  </si>
  <si>
    <t>Sumitomo Corp</t>
  </si>
  <si>
    <t>445,082</t>
  </si>
  <si>
    <t>$12,978,360</t>
  </si>
  <si>
    <t>NIDEC Corp</t>
  </si>
  <si>
    <t>168,922</t>
  </si>
  <si>
    <t>$12,965,752</t>
  </si>
  <si>
    <t>554,420</t>
  </si>
  <si>
    <t>$12,952,970</t>
  </si>
  <si>
    <t>McCormick &amp; Co Inc/MD</t>
  </si>
  <si>
    <t>97,431</t>
  </si>
  <si>
    <t>$12,906,992</t>
  </si>
  <si>
    <t>Diamondback Energy Inc</t>
  </si>
  <si>
    <t>65,419</t>
  </si>
  <si>
    <t>$12,853,320</t>
  </si>
  <si>
    <t>695,240</t>
  </si>
  <si>
    <t>$12,795,541</t>
  </si>
  <si>
    <t>Restaurant Brands International Inc</t>
  </si>
  <si>
    <t>113,867</t>
  </si>
  <si>
    <t>$12,757,874</t>
  </si>
  <si>
    <t>Sampo Oyj Class A</t>
  </si>
  <si>
    <t>179,738</t>
  </si>
  <si>
    <t>$12,738,060</t>
  </si>
  <si>
    <t>VeriSign Inc</t>
  </si>
  <si>
    <t>36,912</t>
  </si>
  <si>
    <t>$12,737,677</t>
  </si>
  <si>
    <t>Weyerhaeuser Co</t>
  </si>
  <si>
    <t>285,670</t>
  </si>
  <si>
    <t>$12,651,321</t>
  </si>
  <si>
    <t>Ulta Beauty Inc</t>
  </si>
  <si>
    <t>19,968</t>
  </si>
  <si>
    <t>$12,645,423</t>
  </si>
  <si>
    <t>Genuine Parts Co</t>
  </si>
  <si>
    <t>Distributors</t>
  </si>
  <si>
    <t>54,827</t>
  </si>
  <si>
    <t>$12,617,454</t>
  </si>
  <si>
    <t>Wheaton Precious Metals Corp</t>
  </si>
  <si>
    <t>180,140</t>
  </si>
  <si>
    <t>$12,598,134</t>
  </si>
  <si>
    <t>Sea Ltd ADR</t>
  </si>
  <si>
    <t>141,475</t>
  </si>
  <si>
    <t>$12,550,537</t>
  </si>
  <si>
    <t>Ameren Corp</t>
  </si>
  <si>
    <t>99,969</t>
  </si>
  <si>
    <t>$12,523,351</t>
  </si>
  <si>
    <t>Align Technology Inc</t>
  </si>
  <si>
    <t>28,591</t>
  </si>
  <si>
    <t>$12,487,881</t>
  </si>
  <si>
    <t>18,974</t>
  </si>
  <si>
    <t>$12,471,675</t>
  </si>
  <si>
    <t>Invitation Homes Inc</t>
  </si>
  <si>
    <t>Single-Family Residential REITs</t>
  </si>
  <si>
    <t>237,323</t>
  </si>
  <si>
    <t>$12,424,482</t>
  </si>
  <si>
    <t>M&amp;T Bank Corp</t>
  </si>
  <si>
    <t>67,290</t>
  </si>
  <si>
    <t>$12,390,136</t>
  </si>
  <si>
    <t>DTE Energy Co</t>
  </si>
  <si>
    <t>74,374</t>
  </si>
  <si>
    <t>$12,365,978</t>
  </si>
  <si>
    <t>Fortis Inc/Canada</t>
  </si>
  <si>
    <t>188,983</t>
  </si>
  <si>
    <t>$12,267,006</t>
  </si>
  <si>
    <t>Baxter International Inc</t>
  </si>
  <si>
    <t>194,848</t>
  </si>
  <si>
    <t>$12,260,234</t>
  </si>
  <si>
    <t>FirstEnergy Corp</t>
  </si>
  <si>
    <t>211,255</t>
  </si>
  <si>
    <t>$12,205,554</t>
  </si>
  <si>
    <t>ORIX Corp</t>
  </si>
  <si>
    <t>464,373</t>
  </si>
  <si>
    <t>$12,200,398</t>
  </si>
  <si>
    <t>8,788</t>
  </si>
  <si>
    <t>$12,192,843</t>
  </si>
  <si>
    <t>18,223</t>
  </si>
  <si>
    <t>$12,170,169</t>
  </si>
  <si>
    <t>1,982,987</t>
  </si>
  <si>
    <t>$12,084,441</t>
  </si>
  <si>
    <t>MongoDB Inc Class A</t>
  </si>
  <si>
    <t>26,596</t>
  </si>
  <si>
    <t>$12,073,922</t>
  </si>
  <si>
    <t>Atlas Copco AB Class B</t>
  </si>
  <si>
    <t>620,426</t>
  </si>
  <si>
    <t>$12,032,702</t>
  </si>
  <si>
    <t>766,121</t>
  </si>
  <si>
    <t>$11,959,566</t>
  </si>
  <si>
    <t>976,273</t>
  </si>
  <si>
    <t>$11,940,066</t>
  </si>
  <si>
    <t>Entergy Corp</t>
  </si>
  <si>
    <t>78,634</t>
  </si>
  <si>
    <t>$11,932,100</t>
  </si>
  <si>
    <t>38,561</t>
  </si>
  <si>
    <t>$11,915,388</t>
  </si>
  <si>
    <t>Clorox Co</t>
  </si>
  <si>
    <t>48,660</t>
  </si>
  <si>
    <t>$11,893,748</t>
  </si>
  <si>
    <t>Fair Isaac Corp</t>
  </si>
  <si>
    <t>9,732</t>
  </si>
  <si>
    <t>$11,845,174</t>
  </si>
  <si>
    <t>Darden Restaurants Inc</t>
  </si>
  <si>
    <t>48,344</t>
  </si>
  <si>
    <t>$11,841,908</t>
  </si>
  <si>
    <t>International Flavors &amp; Fragrances Inc</t>
  </si>
  <si>
    <t>99,122</t>
  </si>
  <si>
    <t>$11,838,275</t>
  </si>
  <si>
    <t>Terumo Corp</t>
  </si>
  <si>
    <t>252,060</t>
  </si>
  <si>
    <t>$11,836,844</t>
  </si>
  <si>
    <t>PPL Corp</t>
  </si>
  <si>
    <t>290,254</t>
  </si>
  <si>
    <t>$11,750,993</t>
  </si>
  <si>
    <t>Renesas Electronics Corp</t>
  </si>
  <si>
    <t>462,785</t>
  </si>
  <si>
    <t>$11,721,057</t>
  </si>
  <si>
    <t>257,616</t>
  </si>
  <si>
    <t>$11,687,719</t>
  </si>
  <si>
    <t>Hologic Inc</t>
  </si>
  <si>
    <t>95,805</t>
  </si>
  <si>
    <t>$11,678,987</t>
  </si>
  <si>
    <t>First Solar Inc</t>
  </si>
  <si>
    <t>37,222</t>
  </si>
  <si>
    <t>$11,673,611</t>
  </si>
  <si>
    <t>68,044</t>
  </si>
  <si>
    <t>$11,662,272</t>
  </si>
  <si>
    <t>Extra Space Storage Inc</t>
  </si>
  <si>
    <t>52,021</t>
  </si>
  <si>
    <t>$11,597,110</t>
  </si>
  <si>
    <t>Brown-Forman Corp Class B</t>
  </si>
  <si>
    <t>121,143</t>
  </si>
  <si>
    <t>$11,563,012</t>
  </si>
  <si>
    <t>952,016</t>
  </si>
  <si>
    <t>$11,552,233</t>
  </si>
  <si>
    <t>Dover Corp</t>
  </si>
  <si>
    <t>55,705</t>
  </si>
  <si>
    <t>$11,476,702</t>
  </si>
  <si>
    <t>Las Vegas Sands Corp</t>
  </si>
  <si>
    <t>134,640</t>
  </si>
  <si>
    <t>$11,469,834</t>
  </si>
  <si>
    <t>Laboratory Corp of America Holdings</t>
  </si>
  <si>
    <t>34,867</t>
  </si>
  <si>
    <t>$11,450,643</t>
  </si>
  <si>
    <t>Insulet Corp</t>
  </si>
  <si>
    <t>27,016</t>
  </si>
  <si>
    <t>$11,448,873</t>
  </si>
  <si>
    <t>Nasdaq Inc</t>
  </si>
  <si>
    <t>133,415</t>
  </si>
  <si>
    <t>$11,410,833</t>
  </si>
  <si>
    <t>351,030</t>
  </si>
  <si>
    <t>$11,395,161</t>
  </si>
  <si>
    <t>13,960</t>
  </si>
  <si>
    <t>$11,383,355</t>
  </si>
  <si>
    <t>259,116</t>
  </si>
  <si>
    <t>$11,337,448</t>
  </si>
  <si>
    <t>Royal Caribbean Cruises Ltd</t>
  </si>
  <si>
    <t>90,307</t>
  </si>
  <si>
    <t>$11,299,015</t>
  </si>
  <si>
    <t>415,994</t>
  </si>
  <si>
    <t>$11,260,206</t>
  </si>
  <si>
    <t>Hewlett Packard Enterprise Co</t>
  </si>
  <si>
    <t>502,460</t>
  </si>
  <si>
    <t>$11,195,972</t>
  </si>
  <si>
    <t>Coterra Energy Inc</t>
  </si>
  <si>
    <t>309,526</t>
  </si>
  <si>
    <t>$11,120,265</t>
  </si>
  <si>
    <t>Olympus Corp</t>
  </si>
  <si>
    <t>473,732</t>
  </si>
  <si>
    <t>$11,094,511</t>
  </si>
  <si>
    <t>Sun Hung Kai Properties Ltd</t>
  </si>
  <si>
    <t>Diversified Real Estate Activities</t>
  </si>
  <si>
    <t>563,476</t>
  </si>
  <si>
    <t>$11,089,218</t>
  </si>
  <si>
    <t>Kyocera Corp</t>
  </si>
  <si>
    <t>125,971</t>
  </si>
  <si>
    <t>$11,042,735</t>
  </si>
  <si>
    <t>Teledyne Technologies Inc</t>
  </si>
  <si>
    <t>18,249</t>
  </si>
  <si>
    <t>$10,959,552</t>
  </si>
  <si>
    <t>Cooper Cos. Inc</t>
  </si>
  <si>
    <t>19,085</t>
  </si>
  <si>
    <t>$10,956,733</t>
  </si>
  <si>
    <t>Shiseido Co Ltd</t>
  </si>
  <si>
    <t>155,359</t>
  </si>
  <si>
    <t>$10,902,348</t>
  </si>
  <si>
    <t>42,082</t>
  </si>
  <si>
    <t>$10,859,055</t>
  </si>
  <si>
    <t>Omnicom Group Inc</t>
  </si>
  <si>
    <t>79,675</t>
  </si>
  <si>
    <t>$10,857,666</t>
  </si>
  <si>
    <t>Ajinomoto Co Inc</t>
  </si>
  <si>
    <t>180,559</t>
  </si>
  <si>
    <t>$10,825,565</t>
  </si>
  <si>
    <t>ROBLOX Corp</t>
  </si>
  <si>
    <t>167,028</t>
  </si>
  <si>
    <t>$10,803,974</t>
  </si>
  <si>
    <t>515,902</t>
  </si>
  <si>
    <t>$10,785,042</t>
  </si>
  <si>
    <t>Chugai Pharmaceutical Co Ltd</t>
  </si>
  <si>
    <t>259,168</t>
  </si>
  <si>
    <t>$10,763,248</t>
  </si>
  <si>
    <t>Teck Resources Ltd Class B</t>
  </si>
  <si>
    <t>178,562</t>
  </si>
  <si>
    <t>$10,756,295</t>
  </si>
  <si>
    <t>Alexandria Real Estate Equities Inc</t>
  </si>
  <si>
    <t>61,143</t>
  </si>
  <si>
    <t>$10,719,748</t>
  </si>
  <si>
    <t>Cloudflare Inc Class A</t>
  </si>
  <si>
    <t>100,270</t>
  </si>
  <si>
    <t>$10,715,712</t>
  </si>
  <si>
    <t>CenterPoint Energy Inc</t>
  </si>
  <si>
    <t>244,677</t>
  </si>
  <si>
    <t>$10,665,747</t>
  </si>
  <si>
    <t>11,918</t>
  </si>
  <si>
    <t>$10,596,604</t>
  </si>
  <si>
    <t>457,486</t>
  </si>
  <si>
    <t>$10,582,780</t>
  </si>
  <si>
    <t>Expeditors International of Washington Inc</t>
  </si>
  <si>
    <t>61,998</t>
  </si>
  <si>
    <t>$10,567,874</t>
  </si>
  <si>
    <t>Raymond James Financial Inc</t>
  </si>
  <si>
    <t>75,552</t>
  </si>
  <si>
    <t>$10,547,977</t>
  </si>
  <si>
    <t>Asahi Group Holdings Ltd</t>
  </si>
  <si>
    <t>175,199</t>
  </si>
  <si>
    <t>$10,480,949</t>
  </si>
  <si>
    <t>Central Japan Railway Co</t>
  </si>
  <si>
    <t>55,758</t>
  </si>
  <si>
    <t>$10,474,294</t>
  </si>
  <si>
    <t>Broadridge Financial Solutions Inc</t>
  </si>
  <si>
    <t>Data Processing &amp; Outsourced Services</t>
  </si>
  <si>
    <t>46,068</t>
  </si>
  <si>
    <t>$10,444,405</t>
  </si>
  <si>
    <t>Mitsui Fudosan Co Ltd</t>
  </si>
  <si>
    <t>354,193</t>
  </si>
  <si>
    <t>$10,429,935</t>
  </si>
  <si>
    <t>358,034</t>
  </si>
  <si>
    <t>$10,407,910</t>
  </si>
  <si>
    <t>Kone Oyj Class B</t>
  </si>
  <si>
    <t>132,220</t>
  </si>
  <si>
    <t>$10,339,734</t>
  </si>
  <si>
    <t>Ventas Inc</t>
  </si>
  <si>
    <t>155,011</t>
  </si>
  <si>
    <t>$10,333,268</t>
  </si>
  <si>
    <t>352,527</t>
  </si>
  <si>
    <t>$10,287,895</t>
  </si>
  <si>
    <t>Kellogg Co</t>
  </si>
  <si>
    <t>99,662</t>
  </si>
  <si>
    <t>$10,282,673</t>
  </si>
  <si>
    <t>2,061,290</t>
  </si>
  <si>
    <t>$10,248,264</t>
  </si>
  <si>
    <t>CMS Energy Corp</t>
  </si>
  <si>
    <t>114,224</t>
  </si>
  <si>
    <t>$10,233,651</t>
  </si>
  <si>
    <t>89,418</t>
  </si>
  <si>
    <t>$10,211,193</t>
  </si>
  <si>
    <t>Markel Group Inc</t>
  </si>
  <si>
    <t>5,020</t>
  </si>
  <si>
    <t>$10,198,477</t>
  </si>
  <si>
    <t>Conagra Brands Inc</t>
  </si>
  <si>
    <t>188,938</t>
  </si>
  <si>
    <t>$10,180,434</t>
  </si>
  <si>
    <t>Mid-America Apartment Communities Inc</t>
  </si>
  <si>
    <t>44,743</t>
  </si>
  <si>
    <t>$10,167,512</t>
  </si>
  <si>
    <t>NVR Inc</t>
  </si>
  <si>
    <t>1,183</t>
  </si>
  <si>
    <t>$10,153,198</t>
  </si>
  <si>
    <t>Dollarama Inc</t>
  </si>
  <si>
    <t>107,874</t>
  </si>
  <si>
    <t>$10,126,780</t>
  </si>
  <si>
    <t>Skandinaviska Enskilda Banken AB Class A</t>
  </si>
  <si>
    <t>627,767</t>
  </si>
  <si>
    <t>$10,111,730</t>
  </si>
  <si>
    <t>Pembina Pipeline Corp</t>
  </si>
  <si>
    <t>216,281</t>
  </si>
  <si>
    <t>$10,105,084</t>
  </si>
  <si>
    <t>2,283,786</t>
  </si>
  <si>
    <t>$9,976,707</t>
  </si>
  <si>
    <t>Dai-ichi Life Holdings Inc</t>
  </si>
  <si>
    <t>376,603</t>
  </si>
  <si>
    <t>$9,973,570</t>
  </si>
  <si>
    <t>Skyworks Solutions Inc</t>
  </si>
  <si>
    <t>62,309</t>
  </si>
  <si>
    <t>$9,966,166</t>
  </si>
  <si>
    <t>265,645</t>
  </si>
  <si>
    <t>$9,962,457</t>
  </si>
  <si>
    <t>East Japan Railway Co</t>
  </si>
  <si>
    <t>117,108</t>
  </si>
  <si>
    <t>$9,957,537</t>
  </si>
  <si>
    <t>Fairfax Financial Holdings Ltd</t>
  </si>
  <si>
    <t>8,983</t>
  </si>
  <si>
    <t>$9,950,147</t>
  </si>
  <si>
    <t>73,691</t>
  </si>
  <si>
    <t>$9,943,986</t>
  </si>
  <si>
    <t>43,995</t>
  </si>
  <si>
    <t>$9,898,262</t>
  </si>
  <si>
    <t>Tyler Technologies Inc</t>
  </si>
  <si>
    <t>16,125</t>
  </si>
  <si>
    <t>$9,891,030</t>
  </si>
  <si>
    <t>1,746,311</t>
  </si>
  <si>
    <t>$9,858,905</t>
  </si>
  <si>
    <t>BioMarin Pharmaceutical Inc</t>
  </si>
  <si>
    <t>73,256</t>
  </si>
  <si>
    <t>$9,841,423</t>
  </si>
  <si>
    <t>Atmos Energy Corp</t>
  </si>
  <si>
    <t>Gas Utilities</t>
  </si>
  <si>
    <t>55,178</t>
  </si>
  <si>
    <t>$9,829,127</t>
  </si>
  <si>
    <t>10,063</t>
  </si>
  <si>
    <t>$9,811,385</t>
  </si>
  <si>
    <t>97,165</t>
  </si>
  <si>
    <t>$9,792,922</t>
  </si>
  <si>
    <t>Essity AB Class B</t>
  </si>
  <si>
    <t>239,015</t>
  </si>
  <si>
    <t>$9,786,849</t>
  </si>
  <si>
    <t>Wabtec Corp</t>
  </si>
  <si>
    <t>68,340</t>
  </si>
  <si>
    <t>$9,781,865</t>
  </si>
  <si>
    <t>Howmet Aerospace Inc</t>
  </si>
  <si>
    <t>147,735</t>
  </si>
  <si>
    <t>$9,759,208</t>
  </si>
  <si>
    <t>Regions Financial Corp</t>
  </si>
  <si>
    <t>365,466</t>
  </si>
  <si>
    <t>$9,752,913</t>
  </si>
  <si>
    <t>273,691</t>
  </si>
  <si>
    <t>$9,752,367</t>
  </si>
  <si>
    <t>Eisai Co Ltd</t>
  </si>
  <si>
    <t>99,200</t>
  </si>
  <si>
    <t>$9,729,474</t>
  </si>
  <si>
    <t>Molina Healthcare Inc</t>
  </si>
  <si>
    <t>22,983</t>
  </si>
  <si>
    <t>$9,727,333</t>
  </si>
  <si>
    <t>Kao Corp</t>
  </si>
  <si>
    <t>180,173</t>
  </si>
  <si>
    <t>$9,718,393</t>
  </si>
  <si>
    <t>98,172</t>
  </si>
  <si>
    <t>$9,716,516</t>
  </si>
  <si>
    <t>FleetCor Technologies Inc</t>
  </si>
  <si>
    <t>27,690</t>
  </si>
  <si>
    <t>$9,693,532</t>
  </si>
  <si>
    <t>Lamb Weston Holdings Inc</t>
  </si>
  <si>
    <t>56,226</t>
  </si>
  <si>
    <t>$9,661,332</t>
  </si>
  <si>
    <t>Principal Financial Group Inc</t>
  </si>
  <si>
    <t>95,302</t>
  </si>
  <si>
    <t>$9,639,912</t>
  </si>
  <si>
    <t>Splunk Inc</t>
  </si>
  <si>
    <t>62,758</t>
  </si>
  <si>
    <t>$9,628,744</t>
  </si>
  <si>
    <t>Steel Dynamics Inc</t>
  </si>
  <si>
    <t>67,789</t>
  </si>
  <si>
    <t>$9,626,530</t>
  </si>
  <si>
    <t>Paper Products</t>
  </si>
  <si>
    <t>207,745</t>
  </si>
  <si>
    <t>$9,606,518</t>
  </si>
  <si>
    <t>Ball Corp</t>
  </si>
  <si>
    <t>Metal, Glass &amp; Plastic Containers</t>
  </si>
  <si>
    <t>120,930</t>
  </si>
  <si>
    <t>$9,560,038</t>
  </si>
  <si>
    <t>163,992</t>
  </si>
  <si>
    <t>$9,555,440</t>
  </si>
  <si>
    <t>Nippon Steel Corp</t>
  </si>
  <si>
    <t>317,469</t>
  </si>
  <si>
    <t>$9,534,615</t>
  </si>
  <si>
    <t>109,358</t>
  </si>
  <si>
    <t>$9,530,139</t>
  </si>
  <si>
    <t>SolarEdge Technologies Inc</t>
  </si>
  <si>
    <t>21,585</t>
  </si>
  <si>
    <t>$9,500,202</t>
  </si>
  <si>
    <t>Daiwa House Industry Co Ltd</t>
  </si>
  <si>
    <t>235,189</t>
  </si>
  <si>
    <t>$9,473,467</t>
  </si>
  <si>
    <t>Entegris Inc</t>
  </si>
  <si>
    <t>58,241</t>
  </si>
  <si>
    <t>$9,472,093</t>
  </si>
  <si>
    <t>Sun Communities Inc</t>
  </si>
  <si>
    <t>48,381</t>
  </si>
  <si>
    <t>$9,466,872</t>
  </si>
  <si>
    <t>Rogers Communications Inc Class B</t>
  </si>
  <si>
    <t>138,995</t>
  </si>
  <si>
    <t>$9,456,775</t>
  </si>
  <si>
    <t>J M Smucker Co</t>
  </si>
  <si>
    <t>41,698</t>
  </si>
  <si>
    <t>$9,445,275</t>
  </si>
  <si>
    <t>WSP Global Inc</t>
  </si>
  <si>
    <t>49,241</t>
  </si>
  <si>
    <t>$9,416,945</t>
  </si>
  <si>
    <t>LPL Financial Holdings Inc</t>
  </si>
  <si>
    <t>31,261</t>
  </si>
  <si>
    <t>$9,408,974</t>
  </si>
  <si>
    <t>Teradyne Inc</t>
  </si>
  <si>
    <t>60,365</t>
  </si>
  <si>
    <t>$9,345,545</t>
  </si>
  <si>
    <t>CK Hutchison Holdings Ltd</t>
  </si>
  <si>
    <t>999,316</t>
  </si>
  <si>
    <t>$9,340,136</t>
  </si>
  <si>
    <t>Iron Mountain Inc</t>
  </si>
  <si>
    <t>113,078</t>
  </si>
  <si>
    <t>$9,334,199</t>
  </si>
  <si>
    <t>Garmin Ltd</t>
  </si>
  <si>
    <t>58,340</t>
  </si>
  <si>
    <t>$9,298,881</t>
  </si>
  <si>
    <t>360,394</t>
  </si>
  <si>
    <t>$9,285,774</t>
  </si>
  <si>
    <t>Singapore Telecommunications Ltd</t>
  </si>
  <si>
    <t>3,270,151</t>
  </si>
  <si>
    <t>$9,286,905</t>
  </si>
  <si>
    <t>Hubbell Inc Class B</t>
  </si>
  <si>
    <t>21,157</t>
  </si>
  <si>
    <t>$9,234,345</t>
  </si>
  <si>
    <t>Quest Diagnostics Inc</t>
  </si>
  <si>
    <t>44,979</t>
  </si>
  <si>
    <t>$9,219,600</t>
  </si>
  <si>
    <t>Kerry Group plc Class A</t>
  </si>
  <si>
    <t>61,324</t>
  </si>
  <si>
    <t>$9,211,345</t>
  </si>
  <si>
    <t>Unicharm Corp</t>
  </si>
  <si>
    <t>156,781</t>
  </si>
  <si>
    <t>$9,205,729</t>
  </si>
  <si>
    <t>20,931</t>
  </si>
  <si>
    <t>$9,167,163</t>
  </si>
  <si>
    <t>DoorDash Inc Class A</t>
  </si>
  <si>
    <t>90,648</t>
  </si>
  <si>
    <t>$9,145,342</t>
  </si>
  <si>
    <t>IDEX Corp</t>
  </si>
  <si>
    <t>29,661</t>
  </si>
  <si>
    <t>$9,128,154</t>
  </si>
  <si>
    <t>TDK Corp</t>
  </si>
  <si>
    <t>154,464</t>
  </si>
  <si>
    <t>$9,122,640</t>
  </si>
  <si>
    <t>PTC Inc</t>
  </si>
  <si>
    <t>43,842</t>
  </si>
  <si>
    <t>$9,105,099</t>
  </si>
  <si>
    <t>PulteGroup Inc</t>
  </si>
  <si>
    <t>88,980</t>
  </si>
  <si>
    <t>$9,085,681</t>
  </si>
  <si>
    <t>Brown &amp; Brown Inc</t>
  </si>
  <si>
    <t>94,336</t>
  </si>
  <si>
    <t>$9,085,935</t>
  </si>
  <si>
    <t>190,389</t>
  </si>
  <si>
    <t>$9,079,949</t>
  </si>
  <si>
    <t>Coloplast A/S Class B</t>
  </si>
  <si>
    <t>46,477</t>
  </si>
  <si>
    <t>$9,016,830</t>
  </si>
  <si>
    <t>Zoom Video Communications Inc Class A</t>
  </si>
  <si>
    <t>86,831</t>
  </si>
  <si>
    <t>$9,007,131</t>
  </si>
  <si>
    <t>Telefonaktiebolaget LM Ericsson Class B</t>
  </si>
  <si>
    <t>1,127,926</t>
  </si>
  <si>
    <t>$8,987,124</t>
  </si>
  <si>
    <t>EPAM Systems Inc</t>
  </si>
  <si>
    <t>22,548</t>
  </si>
  <si>
    <t>$8,941,154</t>
  </si>
  <si>
    <t>41,605</t>
  </si>
  <si>
    <t>$8,930,647</t>
  </si>
  <si>
    <t>Waters Corp</t>
  </si>
  <si>
    <t>22,992</t>
  </si>
  <si>
    <t>$8,925,365</t>
  </si>
  <si>
    <t>FactSet Research Systems Inc</t>
  </si>
  <si>
    <t>15,002</t>
  </si>
  <si>
    <t>$8,922,382</t>
  </si>
  <si>
    <t>3,250,056</t>
  </si>
  <si>
    <t>$8,919,563</t>
  </si>
  <si>
    <t>Huntington Bancshares Inc/OH</t>
  </si>
  <si>
    <t>558,751</t>
  </si>
  <si>
    <t>$8,901,681</t>
  </si>
  <si>
    <t>Carlsberg AS Class B</t>
  </si>
  <si>
    <t>38,315</t>
  </si>
  <si>
    <t>$8,895,441</t>
  </si>
  <si>
    <t>Targa Resources Corp</t>
  </si>
  <si>
    <t>84,063</t>
  </si>
  <si>
    <t>$8,839,507</t>
  </si>
  <si>
    <t>Interpublic Group of Cos. Inc</t>
  </si>
  <si>
    <t>153,134</t>
  </si>
  <si>
    <t>$8,800,206</t>
  </si>
  <si>
    <t>Best Buy Co Inc</t>
  </si>
  <si>
    <t>Computer &amp; Electronics Retail</t>
  </si>
  <si>
    <t>78,326</t>
  </si>
  <si>
    <t>$8,795,411</t>
  </si>
  <si>
    <t>MS&amp;AD Insurance Group Holdings Inc</t>
  </si>
  <si>
    <t>165,713</t>
  </si>
  <si>
    <t>$8,793,643</t>
  </si>
  <si>
    <t>975,006</t>
  </si>
  <si>
    <t>$8,756,873</t>
  </si>
  <si>
    <t>Expedia Group Inc</t>
  </si>
  <si>
    <t>59,051</t>
  </si>
  <si>
    <t>$8,733,325</t>
  </si>
  <si>
    <t>Tyson Foods Inc Class A</t>
  </si>
  <si>
    <t>111,613</t>
  </si>
  <si>
    <t>$8,733,806</t>
  </si>
  <si>
    <t>Paper &amp; Plastic Packaging Products &amp; Mat</t>
  </si>
  <si>
    <t>585,280</t>
  </si>
  <si>
    <t>$8,718,379</t>
  </si>
  <si>
    <t>Exact Sciences Corp</t>
  </si>
  <si>
    <t>$8,713,044</t>
  </si>
  <si>
    <t>Cincinnati Financial Corp</t>
  </si>
  <si>
    <t>58,395</t>
  </si>
  <si>
    <t>$8,707,591</t>
  </si>
  <si>
    <t>NetApp Inc</t>
  </si>
  <si>
    <t>84,922</t>
  </si>
  <si>
    <t>$8,706,752</t>
  </si>
  <si>
    <t>Paycom Software Inc</t>
  </si>
  <si>
    <t>20,045</t>
  </si>
  <si>
    <t>$8,676,823</t>
  </si>
  <si>
    <t>284,226</t>
  </si>
  <si>
    <t>$8,662,206</t>
  </si>
  <si>
    <t>Otsuka Holdings Co Ltd</t>
  </si>
  <si>
    <t>150,890</t>
  </si>
  <si>
    <t>$8,632,865</t>
  </si>
  <si>
    <t>Northern Trust Corp</t>
  </si>
  <si>
    <t>77,637</t>
  </si>
  <si>
    <t>$8,628,066</t>
  </si>
  <si>
    <t>Nibe Industrier AB Class B</t>
  </si>
  <si>
    <t>586,501</t>
  </si>
  <si>
    <t>$8,622,661</t>
  </si>
  <si>
    <t>Akamai Technologies Inc</t>
  </si>
  <si>
    <t>60,499</t>
  </si>
  <si>
    <t>$8,611,864</t>
  </si>
  <si>
    <t>Henkel AG &amp; Co KGaA Preference Shares</t>
  </si>
  <si>
    <t>69,991</t>
  </si>
  <si>
    <t>$8,594,578</t>
  </si>
  <si>
    <t>Loblaw Cos. Ltd</t>
  </si>
  <si>
    <t>63,626</t>
  </si>
  <si>
    <t>$8,584,766</t>
  </si>
  <si>
    <t>Japan Post Holdings Co Ltd</t>
  </si>
  <si>
    <t>787,886</t>
  </si>
  <si>
    <t>$8,578,890</t>
  </si>
  <si>
    <t>Symrise AG Class A</t>
  </si>
  <si>
    <t>52,014</t>
  </si>
  <si>
    <t>$8,566,953</t>
  </si>
  <si>
    <t>Pinterest Inc Class A</t>
  </si>
  <si>
    <t>230,902</t>
  </si>
  <si>
    <t>$8,541,751</t>
  </si>
  <si>
    <t>Power Corp of Canada</t>
  </si>
  <si>
    <t>212,880</t>
  </si>
  <si>
    <t>$8,503,865</t>
  </si>
  <si>
    <t>Marathon Oil Corp</t>
  </si>
  <si>
    <t>247,347</t>
  </si>
  <si>
    <t>$8,469,767</t>
  </si>
  <si>
    <t>Dr Ing hc F Porsche AG Preference shares</t>
  </si>
  <si>
    <t>44,052</t>
  </si>
  <si>
    <t>$8,429,035</t>
  </si>
  <si>
    <t>Cboe Global Markets Inc</t>
  </si>
  <si>
    <t>41,173</t>
  </si>
  <si>
    <t>$8,424,830</t>
  </si>
  <si>
    <t>JB Hunt Transport Services Inc</t>
  </si>
  <si>
    <t>32,592</t>
  </si>
  <si>
    <t>$8,409,003</t>
  </si>
  <si>
    <t>61,403</t>
  </si>
  <si>
    <t>$8,390,609</t>
  </si>
  <si>
    <t>Bandai Namco Holdings Inc</t>
  </si>
  <si>
    <t>Leisure Products</t>
  </si>
  <si>
    <t>231,943</t>
  </si>
  <si>
    <t>$8,391,002</t>
  </si>
  <si>
    <t>Liberty Media Corp-Liberty Formula One Class C</t>
  </si>
  <si>
    <t>76,925</t>
  </si>
  <si>
    <t>$8,368,261</t>
  </si>
  <si>
    <t>80,035</t>
  </si>
  <si>
    <t>$8,348,604</t>
  </si>
  <si>
    <t>Swedbank AB Class A</t>
  </si>
  <si>
    <t>353,727</t>
  </si>
  <si>
    <t>$8,339,299</t>
  </si>
  <si>
    <t>265,752</t>
  </si>
  <si>
    <t>$8,330,337</t>
  </si>
  <si>
    <t>Jacobs Solutions Inc</t>
  </si>
  <si>
    <t>49,139</t>
  </si>
  <si>
    <t>$8,322,081</t>
  </si>
  <si>
    <t>Bunge Ltd</t>
  </si>
  <si>
    <t>58,106</t>
  </si>
  <si>
    <t>$8,317,917</t>
  </si>
  <si>
    <t>74,767</t>
  </si>
  <si>
    <t>$8,316,045</t>
  </si>
  <si>
    <t>1,101,477</t>
  </si>
  <si>
    <t>$8,315,696</t>
  </si>
  <si>
    <t>Mitsubishi Heavy Industries Ltd</t>
  </si>
  <si>
    <t>126,933</t>
  </si>
  <si>
    <t>$8,291,250</t>
  </si>
  <si>
    <t>Essex Property Trust Inc</t>
  </si>
  <si>
    <t>24,783</t>
  </si>
  <si>
    <t>$8,274,148</t>
  </si>
  <si>
    <t>1,100,089</t>
  </si>
  <si>
    <t>$8,267,536</t>
  </si>
  <si>
    <t>Okta Inc</t>
  </si>
  <si>
    <t>58,844</t>
  </si>
  <si>
    <t>$8,265,347</t>
  </si>
  <si>
    <t>71,185</t>
  </si>
  <si>
    <t>$8,260,395</t>
  </si>
  <si>
    <t>172,403</t>
  </si>
  <si>
    <t>$8,247,851</t>
  </si>
  <si>
    <t>466,852</t>
  </si>
  <si>
    <t>$8,223,016</t>
  </si>
  <si>
    <t>Ares Management Corp Class A</t>
  </si>
  <si>
    <t>60,946</t>
  </si>
  <si>
    <t>$8,201,788</t>
  </si>
  <si>
    <t>Avantor Inc</t>
  </si>
  <si>
    <t>266,132</t>
  </si>
  <si>
    <t>$8,200,065</t>
  </si>
  <si>
    <t>Secom Co Ltd</t>
  </si>
  <si>
    <t>Security &amp; Alarm Services</t>
  </si>
  <si>
    <t>80,790</t>
  </si>
  <si>
    <t>$8,163,299</t>
  </si>
  <si>
    <t>Galaxy Entertainment Group Ltd</t>
  </si>
  <si>
    <t>851,989</t>
  </si>
  <si>
    <t>$8,164,951</t>
  </si>
  <si>
    <t>443</t>
  </si>
  <si>
    <t>$8,154,723</t>
  </si>
  <si>
    <t>Tourmaline Oil Corp</t>
  </si>
  <si>
    <t>126,275</t>
  </si>
  <si>
    <t>$8,146,348</t>
  </si>
  <si>
    <t>Zebra Technologies Corp</t>
  </si>
  <si>
    <t>20,072</t>
  </si>
  <si>
    <t>$8,143,869</t>
  </si>
  <si>
    <t>WP Carey Inc</t>
  </si>
  <si>
    <t>75,935</t>
  </si>
  <si>
    <t>$8,138,533</t>
  </si>
  <si>
    <t>Booz Allen Hamilton Holding Corp Class A</t>
  </si>
  <si>
    <t>52,348</t>
  </si>
  <si>
    <t>$8,135,922</t>
  </si>
  <si>
    <t>RE</t>
  </si>
  <si>
    <t>Everest Re Group Ltd</t>
  </si>
  <si>
    <t>15,439</t>
  </si>
  <si>
    <t>$8,111,827</t>
  </si>
  <si>
    <t>Live Nation Entertainment Inc</t>
  </si>
  <si>
    <t>65,453</t>
  </si>
  <si>
    <t>$8,085,162</t>
  </si>
  <si>
    <t>First Citizens BancShares Inc/NC Class A</t>
  </si>
  <si>
    <t>4,184</t>
  </si>
  <si>
    <t>$8,063,486</t>
  </si>
  <si>
    <t>Snap-on Inc</t>
  </si>
  <si>
    <t>20,923</t>
  </si>
  <si>
    <t>$8,045,890</t>
  </si>
  <si>
    <t>132,797</t>
  </si>
  <si>
    <t>$7,996,084</t>
  </si>
  <si>
    <t>FMC Corp</t>
  </si>
  <si>
    <t>49,686</t>
  </si>
  <si>
    <t>$7,990,912</t>
  </si>
  <si>
    <t>Evergy Inc</t>
  </si>
  <si>
    <t>89,343</t>
  </si>
  <si>
    <t>$7,986,545</t>
  </si>
  <si>
    <t>Textron Inc</t>
  </si>
  <si>
    <t>83,417</t>
  </si>
  <si>
    <t>$7,974,982</t>
  </si>
  <si>
    <t>Revvity Inc</t>
  </si>
  <si>
    <t>44,758</t>
  </si>
  <si>
    <t>$7,975,728</t>
  </si>
  <si>
    <t>LKQ Corp</t>
  </si>
  <si>
    <t>97,824</t>
  </si>
  <si>
    <t>$7,973,756</t>
  </si>
  <si>
    <t>20,189</t>
  </si>
  <si>
    <t>$7,965,137</t>
  </si>
  <si>
    <t>Julius Baer Group Ltd</t>
  </si>
  <si>
    <t>84,548</t>
  </si>
  <si>
    <t>$7,951,847</t>
  </si>
  <si>
    <t>AES Corp</t>
  </si>
  <si>
    <t>260,500</t>
  </si>
  <si>
    <t>$7,946,025</t>
  </si>
  <si>
    <t>Real Estate Operating Companies</t>
  </si>
  <si>
    <t>281,059</t>
  </si>
  <si>
    <t>$7,945,254</t>
  </si>
  <si>
    <t>207,164</t>
  </si>
  <si>
    <t>$7,927,869</t>
  </si>
  <si>
    <t>Magna International Inc</t>
  </si>
  <si>
    <t>106,107</t>
  </si>
  <si>
    <t>$7,922,403</t>
  </si>
  <si>
    <t>400,648</t>
  </si>
  <si>
    <t>$7,887,219</t>
  </si>
  <si>
    <t>Alliant Energy Corp</t>
  </si>
  <si>
    <t>99,175</t>
  </si>
  <si>
    <t>$7,886,186</t>
  </si>
  <si>
    <t>Nice Ltd</t>
  </si>
  <si>
    <t>25,330</t>
  </si>
  <si>
    <t>$7,866,001</t>
  </si>
  <si>
    <t>Kubota Corp</t>
  </si>
  <si>
    <t>368,267</t>
  </si>
  <si>
    <t>$7,848,678</t>
  </si>
  <si>
    <t>UDR Inc</t>
  </si>
  <si>
    <t>127,871</t>
  </si>
  <si>
    <t>$7,838,434</t>
  </si>
  <si>
    <t>39,919</t>
  </si>
  <si>
    <t>$7,835,500</t>
  </si>
  <si>
    <t>Builders FirstSource Inc</t>
  </si>
  <si>
    <t>43,532</t>
  </si>
  <si>
    <t>$7,799,637</t>
  </si>
  <si>
    <t>Avery Dennison Corp</t>
  </si>
  <si>
    <t>31,312</t>
  </si>
  <si>
    <t>$7,796,187</t>
  </si>
  <si>
    <t>Aeon Co Ltd</t>
  </si>
  <si>
    <t>254,160</t>
  </si>
  <si>
    <t>$7,758,331</t>
  </si>
  <si>
    <t>Bio-Techne Corp</t>
  </si>
  <si>
    <t>60,922</t>
  </si>
  <si>
    <t>$7,699,622</t>
  </si>
  <si>
    <t>79,571</t>
  </si>
  <si>
    <t>$7,671,227</t>
  </si>
  <si>
    <t>Metro Inc/CN</t>
  </si>
  <si>
    <t>94,431</t>
  </si>
  <si>
    <t>$7,665,727</t>
  </si>
  <si>
    <t>Sompo Holdings Inc</t>
  </si>
  <si>
    <t>121,803</t>
  </si>
  <si>
    <t>$7,665,178</t>
  </si>
  <si>
    <t>332,785</t>
  </si>
  <si>
    <t>$7,660,811</t>
  </si>
  <si>
    <t>23,234</t>
  </si>
  <si>
    <t>$7,662,686</t>
  </si>
  <si>
    <t>Check Point Software Technologies Ltd</t>
  </si>
  <si>
    <t>39,736</t>
  </si>
  <si>
    <t>$7,663,525</t>
  </si>
  <si>
    <t>Techtronic Industries Co Ltd</t>
  </si>
  <si>
    <t>531,202</t>
  </si>
  <si>
    <t>$7,617,732</t>
  </si>
  <si>
    <t>SS&amp;C Technologies Holdings Inc</t>
  </si>
  <si>
    <t>89,701</t>
  </si>
  <si>
    <t>$7,617,966</t>
  </si>
  <si>
    <t>Mitsubishi Estate Co Ltd</t>
  </si>
  <si>
    <t>429,396</t>
  </si>
  <si>
    <t>$7,612,784</t>
  </si>
  <si>
    <t>2,705,923</t>
  </si>
  <si>
    <t>$7,610,197</t>
  </si>
  <si>
    <t>Toshiba Corp</t>
  </si>
  <si>
    <t>152,439</t>
  </si>
  <si>
    <t>$7,585,149</t>
  </si>
  <si>
    <t>Citizens Financial Group Inc</t>
  </si>
  <si>
    <t>190,435</t>
  </si>
  <si>
    <t>$7,586,208</t>
  </si>
  <si>
    <t>Disco Corp</t>
  </si>
  <si>
    <t>33,600</t>
  </si>
  <si>
    <t>$7,562,331</t>
  </si>
  <si>
    <t>Gaming and Leisure Properties Inc</t>
  </si>
  <si>
    <t>101,296</t>
  </si>
  <si>
    <t>$7,535,176</t>
  </si>
  <si>
    <t>21,139</t>
  </si>
  <si>
    <t>$7,514,998</t>
  </si>
  <si>
    <t>Pool Corp</t>
  </si>
  <si>
    <t>15,327</t>
  </si>
  <si>
    <t>$7,489,542</t>
  </si>
  <si>
    <t>Kirin Holdings Co Ltd</t>
  </si>
  <si>
    <t>324,820</t>
  </si>
  <si>
    <t>$7,470,569</t>
  </si>
  <si>
    <t>First Quantum Minerals Ltd</t>
  </si>
  <si>
    <t>230,987</t>
  </si>
  <si>
    <t>$7,467,872</t>
  </si>
  <si>
    <t>Twilio Inc Class A</t>
  </si>
  <si>
    <t>69,164</t>
  </si>
  <si>
    <t>$7,440,621</t>
  </si>
  <si>
    <t>Western Digital Corp</t>
  </si>
  <si>
    <t>123,899</t>
  </si>
  <si>
    <t>$7,414,986</t>
  </si>
  <si>
    <t>121,616</t>
  </si>
  <si>
    <t>$7,383,594</t>
  </si>
  <si>
    <t>315,490</t>
  </si>
  <si>
    <t>$7,374,982</t>
  </si>
  <si>
    <t>551,009</t>
  </si>
  <si>
    <t>$7,355,260</t>
  </si>
  <si>
    <t>Suzuki Motor Corp</t>
  </si>
  <si>
    <t>143,802</t>
  </si>
  <si>
    <t>$7,319,199</t>
  </si>
  <si>
    <t>CLP Holdings Ltd</t>
  </si>
  <si>
    <t>647,841</t>
  </si>
  <si>
    <t>$7,295,490</t>
  </si>
  <si>
    <t>Sekisui House Ltd</t>
  </si>
  <si>
    <t>241,778</t>
  </si>
  <si>
    <t>$7,282,763</t>
  </si>
  <si>
    <t>CF Industries Holdings Inc</t>
  </si>
  <si>
    <t>76,523</t>
  </si>
  <si>
    <t>$7,273,321</t>
  </si>
  <si>
    <t>475,821</t>
  </si>
  <si>
    <t>$7,268,341</t>
  </si>
  <si>
    <t>Molson Coors Beverage Co Class B</t>
  </si>
  <si>
    <t>75,687</t>
  </si>
  <si>
    <t>$7,233,626</t>
  </si>
  <si>
    <t>59,621</t>
  </si>
  <si>
    <t>$7,207,256</t>
  </si>
  <si>
    <t>Host Hotels &amp; Resorts Inc</t>
  </si>
  <si>
    <t>Hotel &amp; Resort REITs</t>
  </si>
  <si>
    <t>279,490</t>
  </si>
  <si>
    <t>$7,169,179</t>
  </si>
  <si>
    <t>Dell Technologies Inc</t>
  </si>
  <si>
    <t>103,113</t>
  </si>
  <si>
    <t>$7,139,757</t>
  </si>
  <si>
    <t>Airport Services</t>
  </si>
  <si>
    <t>29,638</t>
  </si>
  <si>
    <t>$7,138,209</t>
  </si>
  <si>
    <t>Zscaler Inc</t>
  </si>
  <si>
    <t>34,042</t>
  </si>
  <si>
    <t>$7,126,648</t>
  </si>
  <si>
    <t>Cameco Corp</t>
  </si>
  <si>
    <t>Coal &amp; Consumable Fuels</t>
  </si>
  <si>
    <t>165,779</t>
  </si>
  <si>
    <t>$7,121,740</t>
  </si>
  <si>
    <t>Incyte Corp</t>
  </si>
  <si>
    <t>74,667</t>
  </si>
  <si>
    <t>$7,101,528</t>
  </si>
  <si>
    <t>Shionogi &amp; Co Ltd</t>
  </si>
  <si>
    <t>102,217</t>
  </si>
  <si>
    <t>$7,095,093</t>
  </si>
  <si>
    <t>Lasertec Corp</t>
  </si>
  <si>
    <t>29,600</t>
  </si>
  <si>
    <t>$7,087,640</t>
  </si>
  <si>
    <t>38</t>
  </si>
  <si>
    <t>$7,078,525</t>
  </si>
  <si>
    <t>76,168</t>
  </si>
  <si>
    <t>$7,073,626</t>
  </si>
  <si>
    <t>180,546</t>
  </si>
  <si>
    <t>$7,060,925</t>
  </si>
  <si>
    <t>EQT Corp</t>
  </si>
  <si>
    <t>130,932</t>
  </si>
  <si>
    <t>$7,034,699</t>
  </si>
  <si>
    <t>W R Berkley Corp</t>
  </si>
  <si>
    <t>81,726</t>
  </si>
  <si>
    <t>$7,031,606</t>
  </si>
  <si>
    <t>Trimble Inc</t>
  </si>
  <si>
    <t>97,381</t>
  </si>
  <si>
    <t>$7,022,748</t>
  </si>
  <si>
    <t>542,339</t>
  </si>
  <si>
    <t>$6,997,397</t>
  </si>
  <si>
    <t>149,841</t>
  </si>
  <si>
    <t>$6,985,702</t>
  </si>
  <si>
    <t>CarMax Inc</t>
  </si>
  <si>
    <t>62,620</t>
  </si>
  <si>
    <t>$6,987,237</t>
  </si>
  <si>
    <t>Royalty Pharma plc Class A</t>
  </si>
  <si>
    <t>137,184</t>
  </si>
  <si>
    <t>$6,940,283</t>
  </si>
  <si>
    <t>Epiroc AB Class A</t>
  </si>
  <si>
    <t>257,117</t>
  </si>
  <si>
    <t>$6,935,965</t>
  </si>
  <si>
    <t>Svenska Handelsbanken AB Class A</t>
  </si>
  <si>
    <t>569,793</t>
  </si>
  <si>
    <t>$6,936,223</t>
  </si>
  <si>
    <t>Sumitomo Mitsui Trust Holdings Inc</t>
  </si>
  <si>
    <t>127,786</t>
  </si>
  <si>
    <t>$6,932,251</t>
  </si>
  <si>
    <t>GoDaddy Inc Class A</t>
  </si>
  <si>
    <t>61,071</t>
  </si>
  <si>
    <t>$6,924,809</t>
  </si>
  <si>
    <t>$6,907,097</t>
  </si>
  <si>
    <t>Packaging Corp of America</t>
  </si>
  <si>
    <t>35,969</t>
  </si>
  <si>
    <t>$6,893,665</t>
  </si>
  <si>
    <t>Hormel Foods Corp</t>
  </si>
  <si>
    <t>116,607</t>
  </si>
  <si>
    <t>$6,892,093</t>
  </si>
  <si>
    <t>Kimco Realty Corp</t>
  </si>
  <si>
    <t>242,695</t>
  </si>
  <si>
    <t>$6,892,891</t>
  </si>
  <si>
    <t>Celanese Corp Class A</t>
  </si>
  <si>
    <t>42,793</t>
  </si>
  <si>
    <t>$6,878,356</t>
  </si>
  <si>
    <t>Fresenius SE &amp; Co KGaA</t>
  </si>
  <si>
    <t>163,222</t>
  </si>
  <si>
    <t>$6,880,848</t>
  </si>
  <si>
    <t>Obic Co Ltd</t>
  </si>
  <si>
    <t>27,459</t>
  </si>
  <si>
    <t>$6,860,456</t>
  </si>
  <si>
    <t>419,608</t>
  </si>
  <si>
    <t>$6,861,301</t>
  </si>
  <si>
    <t>NEC Corp</t>
  </si>
  <si>
    <t>94,666</t>
  </si>
  <si>
    <t>$6,857,840</t>
  </si>
  <si>
    <t>Omron Corp</t>
  </si>
  <si>
    <t>73,543</t>
  </si>
  <si>
    <t>$6,852,724</t>
  </si>
  <si>
    <t>DocuSign Inc Class A</t>
  </si>
  <si>
    <t>78,545</t>
  </si>
  <si>
    <t>$6,845,303</t>
  </si>
  <si>
    <t>Open Text Corp</t>
  </si>
  <si>
    <t>106,463</t>
  </si>
  <si>
    <t>$6,830,703</t>
  </si>
  <si>
    <t>1,285,534</t>
  </si>
  <si>
    <t>$6,814,949</t>
  </si>
  <si>
    <t>Equity LifeStyle Properties Inc</t>
  </si>
  <si>
    <t>69,734</t>
  </si>
  <si>
    <t>$6,806,918</t>
  </si>
  <si>
    <t>10,722</t>
  </si>
  <si>
    <t>$6,801,927</t>
  </si>
  <si>
    <t>Carnival Corp</t>
  </si>
  <si>
    <t>391,938</t>
  </si>
  <si>
    <t>$6,801,304</t>
  </si>
  <si>
    <t>Stanley Black &amp; Decker Inc</t>
  </si>
  <si>
    <t>58,571</t>
  </si>
  <si>
    <t>$6,785,240</t>
  </si>
  <si>
    <t>Viatris Inc</t>
  </si>
  <si>
    <t>479,941</t>
  </si>
  <si>
    <t>$6,785,846</t>
  </si>
  <si>
    <t>Shimano Inc</t>
  </si>
  <si>
    <t>27,980</t>
  </si>
  <si>
    <t>$6,780,194</t>
  </si>
  <si>
    <t>Jack Henry &amp; Associates Inc</t>
  </si>
  <si>
    <t>28,654</t>
  </si>
  <si>
    <t>$6,769,543</t>
  </si>
  <si>
    <t>Investor AB Class A</t>
  </si>
  <si>
    <t>213,572</t>
  </si>
  <si>
    <t>$6,764,978</t>
  </si>
  <si>
    <t>Nordson Corp</t>
  </si>
  <si>
    <t>20,005</t>
  </si>
  <si>
    <t>$6,736,753</t>
  </si>
  <si>
    <t>146,012</t>
  </si>
  <si>
    <t>$6,736,462</t>
  </si>
  <si>
    <t>17,220</t>
  </si>
  <si>
    <t>$6,706,155</t>
  </si>
  <si>
    <t>Ucb SA</t>
  </si>
  <si>
    <t>49,854</t>
  </si>
  <si>
    <t>$6,695,102</t>
  </si>
  <si>
    <t>Emera Inc</t>
  </si>
  <si>
    <t>104,605</t>
  </si>
  <si>
    <t>$6,655,604</t>
  </si>
  <si>
    <t>CH Robinson Worldwide Inc</t>
  </si>
  <si>
    <t>45,482</t>
  </si>
  <si>
    <t>$6,644,315</t>
  </si>
  <si>
    <t>398,223</t>
  </si>
  <si>
    <t>$6,642,798</t>
  </si>
  <si>
    <t>Loews Corp</t>
  </si>
  <si>
    <t>76,632</t>
  </si>
  <si>
    <t>$6,631,217</t>
  </si>
  <si>
    <t>Masco Corp</t>
  </si>
  <si>
    <t>88,633</t>
  </si>
  <si>
    <t>$6,617,858</t>
  </si>
  <si>
    <t>Brookfield Asset Management Ltd Class A</t>
  </si>
  <si>
    <t>139,755</t>
  </si>
  <si>
    <t>$6,593,184</t>
  </si>
  <si>
    <t>131,878</t>
  </si>
  <si>
    <t>$6,576,242</t>
  </si>
  <si>
    <t>Teleflex Inc</t>
  </si>
  <si>
    <t>18,117</t>
  </si>
  <si>
    <t>$6,571,839</t>
  </si>
  <si>
    <t>66,628</t>
  </si>
  <si>
    <t>$6,572,788</t>
  </si>
  <si>
    <t>Healthpeak Properties Inc</t>
  </si>
  <si>
    <t>212,634</t>
  </si>
  <si>
    <t>$6,558,255</t>
  </si>
  <si>
    <t>NiSource Inc</t>
  </si>
  <si>
    <t>157,780</t>
  </si>
  <si>
    <t>$6,555,983</t>
  </si>
  <si>
    <t>Carlisle Cos. Inc</t>
  </si>
  <si>
    <t>19,918</t>
  </si>
  <si>
    <t>$6,538,484</t>
  </si>
  <si>
    <t>Wynn Resorts Ltd</t>
  </si>
  <si>
    <t>42,684</t>
  </si>
  <si>
    <t>$6,509,945</t>
  </si>
  <si>
    <t>Sysmex Corp</t>
  </si>
  <si>
    <t>64,439</t>
  </si>
  <si>
    <t>$6,506,149</t>
  </si>
  <si>
    <t>Mosaic Co</t>
  </si>
  <si>
    <t>131,510</t>
  </si>
  <si>
    <t>$6,494,722</t>
  </si>
  <si>
    <t>229,417</t>
  </si>
  <si>
    <t>$6,494,835</t>
  </si>
  <si>
    <t>418,509</t>
  </si>
  <si>
    <t>$6,480,756</t>
  </si>
  <si>
    <t>55,206</t>
  </si>
  <si>
    <t>$6,449,450</t>
  </si>
  <si>
    <t>Subaru Corp</t>
  </si>
  <si>
    <t>242,991</t>
  </si>
  <si>
    <t>$6,447,219</t>
  </si>
  <si>
    <t>Japan Post Bank Co Ltd</t>
  </si>
  <si>
    <t>559,919</t>
  </si>
  <si>
    <t>$6,446,559</t>
  </si>
  <si>
    <t>39,915</t>
  </si>
  <si>
    <t>$6,443,514</t>
  </si>
  <si>
    <t>American Homes 4 Rent Class A</t>
  </si>
  <si>
    <t>121,617</t>
  </si>
  <si>
    <t>$6,442,140</t>
  </si>
  <si>
    <t>Snap Inc</t>
  </si>
  <si>
    <t>408,190</t>
  </si>
  <si>
    <t>$6,433,652</t>
  </si>
  <si>
    <t>BorgWarner Inc</t>
  </si>
  <si>
    <t>93,620</t>
  </si>
  <si>
    <t>$6,413,003</t>
  </si>
  <si>
    <t>592,158</t>
  </si>
  <si>
    <t>$6,406,481</t>
  </si>
  <si>
    <t>Axon Enterprise Inc</t>
  </si>
  <si>
    <t>21,452</t>
  </si>
  <si>
    <t>$6,394,662</t>
  </si>
  <si>
    <t>Inpex Corp</t>
  </si>
  <si>
    <t>388,285</t>
  </si>
  <si>
    <t>$6,355,714</t>
  </si>
  <si>
    <t>Campbell Soup Co</t>
  </si>
  <si>
    <t>81,225</t>
  </si>
  <si>
    <t>$6,344,625</t>
  </si>
  <si>
    <t>BOC Hong Kong Holdings Ltd</t>
  </si>
  <si>
    <t>1,382,033</t>
  </si>
  <si>
    <t>$6,342,664</t>
  </si>
  <si>
    <t>114,521</t>
  </si>
  <si>
    <t>$6,337,959</t>
  </si>
  <si>
    <t>RPM International Inc</t>
  </si>
  <si>
    <t>51,235</t>
  </si>
  <si>
    <t>$6,316,991</t>
  </si>
  <si>
    <t>57,281</t>
  </si>
  <si>
    <t>$6,311,024</t>
  </si>
  <si>
    <t>Reliance Steel &amp; Aluminum Co</t>
  </si>
  <si>
    <t>17,379</t>
  </si>
  <si>
    <t>$6,302,254</t>
  </si>
  <si>
    <t>Coinbase Global Inc Class A</t>
  </si>
  <si>
    <t>65,388</t>
  </si>
  <si>
    <t>$6,284,685</t>
  </si>
  <si>
    <t>191,001</t>
  </si>
  <si>
    <t>$6,279,275</t>
  </si>
  <si>
    <t>151,715</t>
  </si>
  <si>
    <t>$6,258,651</t>
  </si>
  <si>
    <t>MarketAxess Holdings Inc</t>
  </si>
  <si>
    <t>14,869</t>
  </si>
  <si>
    <t>$6,258,927</t>
  </si>
  <si>
    <t>Gen Digital Inc</t>
  </si>
  <si>
    <t>230,731</t>
  </si>
  <si>
    <t>$6,253,607</t>
  </si>
  <si>
    <t>Nomura Holdings Inc</t>
  </si>
  <si>
    <t>1,155,697</t>
  </si>
  <si>
    <t>$6,250,357</t>
  </si>
  <si>
    <t>Graco Inc</t>
  </si>
  <si>
    <t>52,842</t>
  </si>
  <si>
    <t>$6,245,669</t>
  </si>
  <si>
    <t>773,310</t>
  </si>
  <si>
    <t>$6,229,533</t>
  </si>
  <si>
    <t>Darling Ingredients Inc</t>
  </si>
  <si>
    <t>63,497</t>
  </si>
  <si>
    <t>$6,218,713</t>
  </si>
  <si>
    <t>Domino's Pizza Inc</t>
  </si>
  <si>
    <t>13,868</t>
  </si>
  <si>
    <t>$6,211,295</t>
  </si>
  <si>
    <t>51,067</t>
  </si>
  <si>
    <t>$6,206,503</t>
  </si>
  <si>
    <t>499,584</t>
  </si>
  <si>
    <t>$6,204,824</t>
  </si>
  <si>
    <t>Hong Kong &amp; China Gas Co Ltd</t>
  </si>
  <si>
    <t>4,437,524</t>
  </si>
  <si>
    <t>$6,184,090</t>
  </si>
  <si>
    <t>Essential Utilities Inc</t>
  </si>
  <si>
    <t>98,241</t>
  </si>
  <si>
    <t>$6,184,561</t>
  </si>
  <si>
    <t>CK Asset Holdings Ltd</t>
  </si>
  <si>
    <t>Real Estate Development</t>
  </si>
  <si>
    <t>742,006</t>
  </si>
  <si>
    <t>$6,180,879</t>
  </si>
  <si>
    <t>Etsy Inc</t>
  </si>
  <si>
    <t>49,303</t>
  </si>
  <si>
    <t>$6,174,779</t>
  </si>
  <si>
    <t>60,249</t>
  </si>
  <si>
    <t>$6,161,615</t>
  </si>
  <si>
    <t>APA Corp</t>
  </si>
  <si>
    <t>125,046</t>
  </si>
  <si>
    <t>$6,140,712</t>
  </si>
  <si>
    <t>Dynatrace Inc</t>
  </si>
  <si>
    <t>77,822</t>
  </si>
  <si>
    <t>$6,131,722</t>
  </si>
  <si>
    <t>422,813</t>
  </si>
  <si>
    <t>$6,125,306</t>
  </si>
  <si>
    <t>Nitto Denko Corp</t>
  </si>
  <si>
    <t>55,468</t>
  </si>
  <si>
    <t>$6,091,774</t>
  </si>
  <si>
    <t>Qiagen Nv</t>
  </si>
  <si>
    <t>87,411</t>
  </si>
  <si>
    <t>$6,078,192</t>
  </si>
  <si>
    <t>Fox Corp Class A</t>
  </si>
  <si>
    <t>Broadcasting</t>
  </si>
  <si>
    <t>126,013</t>
  </si>
  <si>
    <t>$6,075,262</t>
  </si>
  <si>
    <t>ENEOS Holdings Inc</t>
  </si>
  <si>
    <t>1,182,561</t>
  </si>
  <si>
    <t>$6,066,054</t>
  </si>
  <si>
    <t>Yaskawa Electric Corp</t>
  </si>
  <si>
    <t>92,761</t>
  </si>
  <si>
    <t>$6,052,983</t>
  </si>
  <si>
    <t>36,773</t>
  </si>
  <si>
    <t>$6,041,989</t>
  </si>
  <si>
    <t>Leidos Holdings Inc</t>
  </si>
  <si>
    <t>50,033</t>
  </si>
  <si>
    <t>$6,035,040</t>
  </si>
  <si>
    <t>Henry Schein Inc</t>
  </si>
  <si>
    <t>52,827</t>
  </si>
  <si>
    <t>$6,032,474</t>
  </si>
  <si>
    <t>M3 Inc</t>
  </si>
  <si>
    <t>175,454</t>
  </si>
  <si>
    <t>$6,031,097</t>
  </si>
  <si>
    <t>International Paper Co</t>
  </si>
  <si>
    <t>132,523</t>
  </si>
  <si>
    <t>$6,028,706</t>
  </si>
  <si>
    <t>28,801</t>
  </si>
  <si>
    <t>$6,026,089</t>
  </si>
  <si>
    <t>Vail Resorts Inc</t>
  </si>
  <si>
    <t>16,033</t>
  </si>
  <si>
    <t>$6,025,227</t>
  </si>
  <si>
    <t>Burlington Stores Inc</t>
  </si>
  <si>
    <t>25,735</t>
  </si>
  <si>
    <t>$5,983,293</t>
  </si>
  <si>
    <t>Resona Holdings Inc</t>
  </si>
  <si>
    <t>854,338</t>
  </si>
  <si>
    <t>$5,985,885</t>
  </si>
  <si>
    <t>Nitori Holdings Co Ltd</t>
  </si>
  <si>
    <t>Homefurnishing Retail</t>
  </si>
  <si>
    <t>31,753</t>
  </si>
  <si>
    <t>$5,968,400</t>
  </si>
  <si>
    <t>Qorvo Inc</t>
  </si>
  <si>
    <t>39,650</t>
  </si>
  <si>
    <t>$5,958,988</t>
  </si>
  <si>
    <t>Juniper Networks Inc</t>
  </si>
  <si>
    <t>126,804</t>
  </si>
  <si>
    <t>$5,950,765</t>
  </si>
  <si>
    <t>Hang Seng Bank Ltd</t>
  </si>
  <si>
    <t>287,289</t>
  </si>
  <si>
    <t>$5,937,396</t>
  </si>
  <si>
    <t>Charles River Laboratories International Inc</t>
  </si>
  <si>
    <t>19,797</t>
  </si>
  <si>
    <t>$5,915,698</t>
  </si>
  <si>
    <t>Nomura Research Institute Ltd</t>
  </si>
  <si>
    <t>152,245</t>
  </si>
  <si>
    <t>$5,910,200</t>
  </si>
  <si>
    <t>BILL Holdings Inc</t>
  </si>
  <si>
    <t>36,772</t>
  </si>
  <si>
    <t>$5,885,566</t>
  </si>
  <si>
    <t>78,587</t>
  </si>
  <si>
    <t>$5,836,040</t>
  </si>
  <si>
    <t>230,958</t>
  </si>
  <si>
    <t>$5,834,241</t>
  </si>
  <si>
    <t>Imperial Oil Ltd</t>
  </si>
  <si>
    <t>82,560</t>
  </si>
  <si>
    <t>$5,783,239</t>
  </si>
  <si>
    <t>Hydro One Ltd</t>
  </si>
  <si>
    <t>131,408</t>
  </si>
  <si>
    <t>$5,779,633</t>
  </si>
  <si>
    <t>Cognex Corp</t>
  </si>
  <si>
    <t>67,907</t>
  </si>
  <si>
    <t>$5,767,084</t>
  </si>
  <si>
    <t>Bentley Systems Inc Class B</t>
  </si>
  <si>
    <t>76,363</t>
  </si>
  <si>
    <t>$5,755,987</t>
  </si>
  <si>
    <t>Globe Life Inc</t>
  </si>
  <si>
    <t>36,052</t>
  </si>
  <si>
    <t>$5,748,042</t>
  </si>
  <si>
    <t>Match Group Inc</t>
  </si>
  <si>
    <t>107,834</t>
  </si>
  <si>
    <t>$5,748,703</t>
  </si>
  <si>
    <t>99,289</t>
  </si>
  <si>
    <t>$5,670,847</t>
  </si>
  <si>
    <t>Bayerische Motoren Werke AG Preference Shares</t>
  </si>
  <si>
    <t>35,595</t>
  </si>
  <si>
    <t>$5,638,081</t>
  </si>
  <si>
    <t>100,698</t>
  </si>
  <si>
    <t>$5,593,729</t>
  </si>
  <si>
    <t>93,266</t>
  </si>
  <si>
    <t>$5,584,969</t>
  </si>
  <si>
    <t>Equitable Holdings Inc</t>
  </si>
  <si>
    <t>146,926</t>
  </si>
  <si>
    <t>$5,571,450</t>
  </si>
  <si>
    <t>91,160</t>
  </si>
  <si>
    <t>$5,561,302</t>
  </si>
  <si>
    <t>64,704</t>
  </si>
  <si>
    <t>$5,546,057</t>
  </si>
  <si>
    <t>Eastman Chemical Co</t>
  </si>
  <si>
    <t>46,446</t>
  </si>
  <si>
    <t>$5,532,755</t>
  </si>
  <si>
    <t>West Japan Railway Co</t>
  </si>
  <si>
    <t>85,421</t>
  </si>
  <si>
    <t>$5,518,282</t>
  </si>
  <si>
    <t>33,871</t>
  </si>
  <si>
    <t>$5,481,957</t>
  </si>
  <si>
    <t>Toyota Tsusho Corp</t>
  </si>
  <si>
    <t>80,516</t>
  </si>
  <si>
    <t>$5,467,673</t>
  </si>
  <si>
    <t>Black Knight Inc</t>
  </si>
  <si>
    <t>60,830</t>
  </si>
  <si>
    <t>$5,431,133</t>
  </si>
  <si>
    <t>Crown Holdings Inc</t>
  </si>
  <si>
    <t>46,079</t>
  </si>
  <si>
    <t>$5,427,802</t>
  </si>
  <si>
    <t>53,417</t>
  </si>
  <si>
    <t>$5,424,193</t>
  </si>
  <si>
    <t>Repligen Corp</t>
  </si>
  <si>
    <t>20,911</t>
  </si>
  <si>
    <t>$5,425,906</t>
  </si>
  <si>
    <t>Liberty Broadband Corp</t>
  </si>
  <si>
    <t>47,365</t>
  </si>
  <si>
    <t>$5,423,389</t>
  </si>
  <si>
    <t>42,276</t>
  </si>
  <si>
    <t>$5,408,593</t>
  </si>
  <si>
    <t>H &amp; M Hennes &amp; Mauritz AB Class B</t>
  </si>
  <si>
    <t>280,165</t>
  </si>
  <si>
    <t>$5,387,451</t>
  </si>
  <si>
    <t>Fidelity National Financial Inc</t>
  </si>
  <si>
    <t>101,855</t>
  </si>
  <si>
    <t>$5,373,298</t>
  </si>
  <si>
    <t>NTT Data Corp</t>
  </si>
  <si>
    <t>243,170</t>
  </si>
  <si>
    <t>$5,370,813</t>
  </si>
  <si>
    <t>AP Moller - Maersk A/S Class B</t>
  </si>
  <si>
    <t>2,072</t>
  </si>
  <si>
    <t>$5,369,678</t>
  </si>
  <si>
    <t>F5 Inc</t>
  </si>
  <si>
    <t>23,522</t>
  </si>
  <si>
    <t>$5,364,099</t>
  </si>
  <si>
    <t>Caesars Entertainment Inc</t>
  </si>
  <si>
    <t>84,317</t>
  </si>
  <si>
    <t>$5,343,182</t>
  </si>
  <si>
    <t>Nissan Motor Co Ltd</t>
  </si>
  <si>
    <t>923,559</t>
  </si>
  <si>
    <t>$5,341,156</t>
  </si>
  <si>
    <t>Toyota Industries Corp</t>
  </si>
  <si>
    <t>55,628</t>
  </si>
  <si>
    <t>$5,303,380</t>
  </si>
  <si>
    <t>Regency Centers Corp</t>
  </si>
  <si>
    <t>60,995</t>
  </si>
  <si>
    <t>$5,303,544</t>
  </si>
  <si>
    <t>Lennox International Inc</t>
  </si>
  <si>
    <t>12,451</t>
  </si>
  <si>
    <t>$5,300,742</t>
  </si>
  <si>
    <t>366,662</t>
  </si>
  <si>
    <t>$5,291,854</t>
  </si>
  <si>
    <t>Vistra Corp</t>
  </si>
  <si>
    <t>142,844</t>
  </si>
  <si>
    <t>$5,290,846</t>
  </si>
  <si>
    <t>124,601</t>
  </si>
  <si>
    <t>$5,283,516</t>
  </si>
  <si>
    <t>22,914</t>
  </si>
  <si>
    <t>$5,280,945</t>
  </si>
  <si>
    <t>Lattice Semiconductor Corp</t>
  </si>
  <si>
    <t>41,981</t>
  </si>
  <si>
    <t>$5,274,627</t>
  </si>
  <si>
    <t>Asahi Kasei Corp</t>
  </si>
  <si>
    <t>501,394</t>
  </si>
  <si>
    <t>$5,259,791</t>
  </si>
  <si>
    <t>Annaly Capital Management Inc</t>
  </si>
  <si>
    <t>Mortgage REITs</t>
  </si>
  <si>
    <t>180,183</t>
  </si>
  <si>
    <t>$5,256,672</t>
  </si>
  <si>
    <t>Nexon Co Ltd</t>
  </si>
  <si>
    <t>166,748</t>
  </si>
  <si>
    <t>$5,248,649</t>
  </si>
  <si>
    <t>40,036</t>
  </si>
  <si>
    <t>$5,246,671</t>
  </si>
  <si>
    <t>270,593</t>
  </si>
  <si>
    <t>$5,247,085</t>
  </si>
  <si>
    <t>Rollins Inc</t>
  </si>
  <si>
    <t>86,011</t>
  </si>
  <si>
    <t>$5,225,918</t>
  </si>
  <si>
    <t>Fresenius Medical Care AG &amp; Co KGaA</t>
  </si>
  <si>
    <t>79,414</t>
  </si>
  <si>
    <t>$5,226,451</t>
  </si>
  <si>
    <t>95,291</t>
  </si>
  <si>
    <t>$5,216,452</t>
  </si>
  <si>
    <t>Ceridian HCM Holding Inc</t>
  </si>
  <si>
    <t>54,574</t>
  </si>
  <si>
    <t>$5,215,795</t>
  </si>
  <si>
    <t>Sumitomo Electric Industries Ltd</t>
  </si>
  <si>
    <t>285,081</t>
  </si>
  <si>
    <t>$5,215,018</t>
  </si>
  <si>
    <t>58,904</t>
  </si>
  <si>
    <t>$5,195,458</t>
  </si>
  <si>
    <t>Neurocrine Biosciences Inc</t>
  </si>
  <si>
    <t>37,546</t>
  </si>
  <si>
    <t>$5,194,303</t>
  </si>
  <si>
    <t>7,894</t>
  </si>
  <si>
    <t>$5,188,753</t>
  </si>
  <si>
    <t>Porsche Automobil Holding SE Preference Shares</t>
  </si>
  <si>
    <t>60,664</t>
  </si>
  <si>
    <t>$5,186,703</t>
  </si>
  <si>
    <t>Kikkoman Corp</t>
  </si>
  <si>
    <t>56,910</t>
  </si>
  <si>
    <t>$5,180,127</t>
  </si>
  <si>
    <t>Universal Health Services Inc Class B</t>
  </si>
  <si>
    <t>25,371</t>
  </si>
  <si>
    <t>$5,180,051</t>
  </si>
  <si>
    <t>Imcd Nv</t>
  </si>
  <si>
    <t>22,320</t>
  </si>
  <si>
    <t>$5,167,947</t>
  </si>
  <si>
    <t>97,123</t>
  </si>
  <si>
    <t>$5,157,966</t>
  </si>
  <si>
    <t>Rivian Automotive Inc Class A</t>
  </si>
  <si>
    <t>226,321</t>
  </si>
  <si>
    <t>$5,151,369</t>
  </si>
  <si>
    <t>31,083</t>
  </si>
  <si>
    <t>$5,101,084</t>
  </si>
  <si>
    <t>Knight-Swift Transportation Holdings Inc</t>
  </si>
  <si>
    <t>60,014</t>
  </si>
  <si>
    <t>$5,099,544</t>
  </si>
  <si>
    <t>Yakult Honsha Co Ltd</t>
  </si>
  <si>
    <t>50,652</t>
  </si>
  <si>
    <t>$5,069,874</t>
  </si>
  <si>
    <t>120,071</t>
  </si>
  <si>
    <t>$5,041,587</t>
  </si>
  <si>
    <t>63,290</t>
  </si>
  <si>
    <t>$5,035,100</t>
  </si>
  <si>
    <t>Japan Exchange Group Inc</t>
  </si>
  <si>
    <t>198,690</t>
  </si>
  <si>
    <t>$5,011,389</t>
  </si>
  <si>
    <t>Bio-Rad Laboratories Inc Class A</t>
  </si>
  <si>
    <t>8,664</t>
  </si>
  <si>
    <t>$4,998,384</t>
  </si>
  <si>
    <t>106,487</t>
  </si>
  <si>
    <t>$4,996,028</t>
  </si>
  <si>
    <t>George Weston Ltd</t>
  </si>
  <si>
    <t>27,504</t>
  </si>
  <si>
    <t>$4,992,592</t>
  </si>
  <si>
    <t>Wharf Real Estate Investment Co Ltd</t>
  </si>
  <si>
    <t>654,264</t>
  </si>
  <si>
    <t>$4,991,521</t>
  </si>
  <si>
    <t>Ovintiv Inc</t>
  </si>
  <si>
    <t>97,437</t>
  </si>
  <si>
    <t>$4,979,126</t>
  </si>
  <si>
    <t>HEICO Corp Class A</t>
  </si>
  <si>
    <t>26,383</t>
  </si>
  <si>
    <t>$4,967,579</t>
  </si>
  <si>
    <t>TFI International Inc</t>
  </si>
  <si>
    <t>30,528</t>
  </si>
  <si>
    <t>$4,962,655</t>
  </si>
  <si>
    <t>American Financial Group Inc/OH</t>
  </si>
  <si>
    <t>28,520</t>
  </si>
  <si>
    <t>$4,947,756</t>
  </si>
  <si>
    <t>141,133</t>
  </si>
  <si>
    <t>$4,948,505</t>
  </si>
  <si>
    <t>Aecom</t>
  </si>
  <si>
    <t>40,893</t>
  </si>
  <si>
    <t>$4,931,930</t>
  </si>
  <si>
    <t>Huntington Ingalls Industries Inc</t>
  </si>
  <si>
    <t>15,843</t>
  </si>
  <si>
    <t>$4,930,021</t>
  </si>
  <si>
    <t>Fisher &amp; Paykel Healthcare Corp Ltd</t>
  </si>
  <si>
    <t>228,788</t>
  </si>
  <si>
    <t>$4,926,424</t>
  </si>
  <si>
    <t>240,631</t>
  </si>
  <si>
    <t>$4,919,448</t>
  </si>
  <si>
    <t>Texas Pacific Land Corp</t>
  </si>
  <si>
    <t>2,440</t>
  </si>
  <si>
    <t>$4,915,442</t>
  </si>
  <si>
    <t>Tokyo Gas Co Ltd</t>
  </si>
  <si>
    <t>149,569</t>
  </si>
  <si>
    <t>$4,911,383</t>
  </si>
  <si>
    <t>527,677</t>
  </si>
  <si>
    <t>$4,908,582</t>
  </si>
  <si>
    <t>TELUS Corp</t>
  </si>
  <si>
    <t>166,610</t>
  </si>
  <si>
    <t>$4,906,416</t>
  </si>
  <si>
    <t>Toro Co</t>
  </si>
  <si>
    <t>32,397</t>
  </si>
  <si>
    <t>$4,897,471</t>
  </si>
  <si>
    <t>56,598</t>
  </si>
  <si>
    <t>$4,885,684</t>
  </si>
  <si>
    <t>Masimo Corp</t>
  </si>
  <si>
    <t>19,461</t>
  </si>
  <si>
    <t>$4,866,829</t>
  </si>
  <si>
    <t>77,281</t>
  </si>
  <si>
    <t>$4,863,477</t>
  </si>
  <si>
    <t>Teva Pharmaceutical Industries Ltd ADR</t>
  </si>
  <si>
    <t>437,137</t>
  </si>
  <si>
    <t>$4,863,457</t>
  </si>
  <si>
    <t>A O Smith Corp</t>
  </si>
  <si>
    <t>49,052</t>
  </si>
  <si>
    <t>$4,846,457</t>
  </si>
  <si>
    <t>24,461</t>
  </si>
  <si>
    <t>$4,844,196</t>
  </si>
  <si>
    <t>Bath &amp; Body Works Inc</t>
  </si>
  <si>
    <t>88,916</t>
  </si>
  <si>
    <t>$4,841,845</t>
  </si>
  <si>
    <t>Sartorius AG Preference Shares</t>
  </si>
  <si>
    <t>9,376</t>
  </si>
  <si>
    <t>$4,842,260</t>
  </si>
  <si>
    <t>Great-West Lifeco Inc</t>
  </si>
  <si>
    <t>110,717</t>
  </si>
  <si>
    <t>$4,836,870</t>
  </si>
  <si>
    <t>712,851</t>
  </si>
  <si>
    <t>$4,832,386</t>
  </si>
  <si>
    <t>Mitsui OSK Lines Ltd</t>
  </si>
  <si>
    <t>137,200</t>
  </si>
  <si>
    <t>$4,817,812</t>
  </si>
  <si>
    <t>137,716</t>
  </si>
  <si>
    <t>$4,814,739</t>
  </si>
  <si>
    <t>Swatch Group AG (Bearer)</t>
  </si>
  <si>
    <t>10,511</t>
  </si>
  <si>
    <t>$4,807,833</t>
  </si>
  <si>
    <t>Svenska Cellulosa AB SCA Class B</t>
  </si>
  <si>
    <t>Forest Products</t>
  </si>
  <si>
    <t>234,512</t>
  </si>
  <si>
    <t>$4,791,245</t>
  </si>
  <si>
    <t>Ally Financial Inc</t>
  </si>
  <si>
    <t>116,139</t>
  </si>
  <si>
    <t>$4,786,258</t>
  </si>
  <si>
    <t>14,883</t>
  </si>
  <si>
    <t>$4,744,711</t>
  </si>
  <si>
    <t>Kansai Electric Power Co Inc</t>
  </si>
  <si>
    <t>268,820</t>
  </si>
  <si>
    <t>$4,745,112</t>
  </si>
  <si>
    <t>Chesapeake Energy Corp</t>
  </si>
  <si>
    <t>40,713</t>
  </si>
  <si>
    <t>$4,734,070</t>
  </si>
  <si>
    <t>Fortune Brands Innovations Inc</t>
  </si>
  <si>
    <t>50,629</t>
  </si>
  <si>
    <t>$4,729,233</t>
  </si>
  <si>
    <t>Paramount Global Class B</t>
  </si>
  <si>
    <t>201,164</t>
  </si>
  <si>
    <t>$4,727,968</t>
  </si>
  <si>
    <t>Chubu Electric Power Co Inc</t>
  </si>
  <si>
    <t>256,550</t>
  </si>
  <si>
    <t>$4,718,634</t>
  </si>
  <si>
    <t>2,067,105</t>
  </si>
  <si>
    <t>$4,715,159</t>
  </si>
  <si>
    <t>Solvay SA Class A</t>
  </si>
  <si>
    <t>29,274</t>
  </si>
  <si>
    <t>$4,709,684</t>
  </si>
  <si>
    <t>15,617</t>
  </si>
  <si>
    <t>$4,706,206</t>
  </si>
  <si>
    <t>Jardine Matheson Holdings Ltd</t>
  </si>
  <si>
    <t>63,294</t>
  </si>
  <si>
    <t>$4,695,581</t>
  </si>
  <si>
    <t>Sands China Ltd</t>
  </si>
  <si>
    <t>936,522</t>
  </si>
  <si>
    <t>$4,686,259</t>
  </si>
  <si>
    <t>Arrow Electronics Inc</t>
  </si>
  <si>
    <t>23,898</t>
  </si>
  <si>
    <t>$4,676,571</t>
  </si>
  <si>
    <t>Hasbro Inc</t>
  </si>
  <si>
    <t>50,887</t>
  </si>
  <si>
    <t>$4,666,837</t>
  </si>
  <si>
    <t>39,306</t>
  </si>
  <si>
    <t>$4,667,310</t>
  </si>
  <si>
    <t>NRG Energy Inc</t>
  </si>
  <si>
    <t>88,475</t>
  </si>
  <si>
    <t>$4,619,594</t>
  </si>
  <si>
    <t>Dentsply Sirona Inc</t>
  </si>
  <si>
    <t>82,693</t>
  </si>
  <si>
    <t>$4,615,423</t>
  </si>
  <si>
    <t>Power Assets Holdings Ltd</t>
  </si>
  <si>
    <t>553,814</t>
  </si>
  <si>
    <t>$4,607,781</t>
  </si>
  <si>
    <t>ARC Resources Ltd</t>
  </si>
  <si>
    <t>246,431</t>
  </si>
  <si>
    <t>$4,583,090</t>
  </si>
  <si>
    <t>Sumitomo Metal Mining Co Ltd</t>
  </si>
  <si>
    <t>97,728</t>
  </si>
  <si>
    <t>$4,572,054</t>
  </si>
  <si>
    <t>40,872</t>
  </si>
  <si>
    <t>$4,567,783</t>
  </si>
  <si>
    <t>76,685</t>
  </si>
  <si>
    <t>$4,555,427</t>
  </si>
  <si>
    <t>Rohm Co Ltd</t>
  </si>
  <si>
    <t>34,657</t>
  </si>
  <si>
    <t>$4,526,816</t>
  </si>
  <si>
    <t>Toray Industries Inc</t>
  </si>
  <si>
    <t>554,708</t>
  </si>
  <si>
    <t>$4,522,742</t>
  </si>
  <si>
    <t>Yamaha Motor Co Ltd</t>
  </si>
  <si>
    <t>Motorcycle Manufacturers</t>
  </si>
  <si>
    <t>118,921</t>
  </si>
  <si>
    <t>$4,524,483</t>
  </si>
  <si>
    <t>HEICO Corp</t>
  </si>
  <si>
    <t>18,914</t>
  </si>
  <si>
    <t>$4,517,849</t>
  </si>
  <si>
    <t>189,275</t>
  </si>
  <si>
    <t>$4,513,040</t>
  </si>
  <si>
    <t>209,916</t>
  </si>
  <si>
    <t>$4,482,569</t>
  </si>
  <si>
    <t>43,665</t>
  </si>
  <si>
    <t>$4,479,969</t>
  </si>
  <si>
    <t>Hankyu Hanshin Holdings Inc</t>
  </si>
  <si>
    <t>90,603</t>
  </si>
  <si>
    <t>$4,444,145</t>
  </si>
  <si>
    <t>Sumitomo Realty &amp; Development Co Ltd</t>
  </si>
  <si>
    <t>119,216</t>
  </si>
  <si>
    <t>$4,442,092</t>
  </si>
  <si>
    <t>Henkel AG &amp; Co KGaA</t>
  </si>
  <si>
    <t>40,008</t>
  </si>
  <si>
    <t>$4,423,762</t>
  </si>
  <si>
    <t>Boston Properties Inc</t>
  </si>
  <si>
    <t>58,680</t>
  </si>
  <si>
    <t>$4,413,128</t>
  </si>
  <si>
    <t>T&amp;D Holdings Inc</t>
  </si>
  <si>
    <t>209,640</t>
  </si>
  <si>
    <t>$4,409,981</t>
  </si>
  <si>
    <t>Paylocity Holding Corp</t>
  </si>
  <si>
    <t>16,493</t>
  </si>
  <si>
    <t>$4,402,636</t>
  </si>
  <si>
    <t>35,815</t>
  </si>
  <si>
    <t>$4,397,179</t>
  </si>
  <si>
    <t>Cleveland-Cliffs Inc</t>
  </si>
  <si>
    <t>204,945</t>
  </si>
  <si>
    <t>$4,395,637</t>
  </si>
  <si>
    <t>277,942</t>
  </si>
  <si>
    <t>$4,393,938</t>
  </si>
  <si>
    <t>1,410</t>
  </si>
  <si>
    <t>$4,387,837</t>
  </si>
  <si>
    <t>85,522</t>
  </si>
  <si>
    <t>$4,384,403</t>
  </si>
  <si>
    <t>United Therapeutics Corp</t>
  </si>
  <si>
    <t>13,535</t>
  </si>
  <si>
    <t>$4,386,666</t>
  </si>
  <si>
    <t>142,460</t>
  </si>
  <si>
    <t>$4,381,724</t>
  </si>
  <si>
    <t>Lear Corp</t>
  </si>
  <si>
    <t>23,053</t>
  </si>
  <si>
    <t>$4,369,437</t>
  </si>
  <si>
    <t>10,797</t>
  </si>
  <si>
    <t>$4,368,421</t>
  </si>
  <si>
    <t>Robert Half International Inc</t>
  </si>
  <si>
    <t>43,352</t>
  </si>
  <si>
    <t>$4,355,632</t>
  </si>
  <si>
    <t>111,293</t>
  </si>
  <si>
    <t>$4,350,694</t>
  </si>
  <si>
    <t>Tradeweb Markets Inc Class A</t>
  </si>
  <si>
    <t>41,995</t>
  </si>
  <si>
    <t>$4,344,534</t>
  </si>
  <si>
    <t>1,410,796</t>
  </si>
  <si>
    <t>$4,344,420</t>
  </si>
  <si>
    <t>Franklin Resources Inc</t>
  </si>
  <si>
    <t>116,710</t>
  </si>
  <si>
    <t>$4,330,074</t>
  </si>
  <si>
    <t>News Corp Class A</t>
  </si>
  <si>
    <t>152,816</t>
  </si>
  <si>
    <t>$4,323,667</t>
  </si>
  <si>
    <t>357,318</t>
  </si>
  <si>
    <t>$4,311,238</t>
  </si>
  <si>
    <t>Shimadzu Corp</t>
  </si>
  <si>
    <t>90,177</t>
  </si>
  <si>
    <t>$4,308,554</t>
  </si>
  <si>
    <t>Mitsubishi Chemical Group Corp</t>
  </si>
  <si>
    <t>496,278</t>
  </si>
  <si>
    <t>$4,299,373</t>
  </si>
  <si>
    <t>MINEBEA MITSUMI Inc</t>
  </si>
  <si>
    <t>144,065</t>
  </si>
  <si>
    <t>$4,284,511</t>
  </si>
  <si>
    <t>Whirlpool Corp</t>
  </si>
  <si>
    <t>Household Appliances</t>
  </si>
  <si>
    <t>21,442</t>
  </si>
  <si>
    <t>$4,283,761</t>
  </si>
  <si>
    <t>Roche Holding AG (Bearer)</t>
  </si>
  <si>
    <t>8,256</t>
  </si>
  <si>
    <t>$4,284,357</t>
  </si>
  <si>
    <t>54,446</t>
  </si>
  <si>
    <t>$4,281,418</t>
  </si>
  <si>
    <t>AGC Inc</t>
  </si>
  <si>
    <t>75,987</t>
  </si>
  <si>
    <t>$4,277,688</t>
  </si>
  <si>
    <t>18,092</t>
  </si>
  <si>
    <t>$4,278,405</t>
  </si>
  <si>
    <t>Unity Software Inc</t>
  </si>
  <si>
    <t>92,650</t>
  </si>
  <si>
    <t>$4,254,899</t>
  </si>
  <si>
    <t>Healthcare Trust of America Inc Class A</t>
  </si>
  <si>
    <t>147,445</t>
  </si>
  <si>
    <t>$4,240,055</t>
  </si>
  <si>
    <t>Tokyu Corp</t>
  </si>
  <si>
    <t>211,868</t>
  </si>
  <si>
    <t>$4,222,524</t>
  </si>
  <si>
    <t>Generac Holdings Inc</t>
  </si>
  <si>
    <t>25,033</t>
  </si>
  <si>
    <t>$4,213,234</t>
  </si>
  <si>
    <t>113,293</t>
  </si>
  <si>
    <t>$4,214,247</t>
  </si>
  <si>
    <t>Zillow Group Inc Class C</t>
  </si>
  <si>
    <t>59,695</t>
  </si>
  <si>
    <t>$4,207,199</t>
  </si>
  <si>
    <t>Isuzu Motors Ltd</t>
  </si>
  <si>
    <t>234,041</t>
  </si>
  <si>
    <t>$4,203,683</t>
  </si>
  <si>
    <t>Westrock Co</t>
  </si>
  <si>
    <t>97,061</t>
  </si>
  <si>
    <t>$4,201,002</t>
  </si>
  <si>
    <t>84,990</t>
  </si>
  <si>
    <t>$4,194,717</t>
  </si>
  <si>
    <t>MTR Corp Ltd</t>
  </si>
  <si>
    <t>589,414</t>
  </si>
  <si>
    <t>$4,194,267</t>
  </si>
  <si>
    <t>158,585</t>
  </si>
  <si>
    <t>$4,189,401</t>
  </si>
  <si>
    <t>214,373</t>
  </si>
  <si>
    <t>$4,183,099</t>
  </si>
  <si>
    <t>Roku Inc</t>
  </si>
  <si>
    <t>46,459</t>
  </si>
  <si>
    <t>$4,178,187</t>
  </si>
  <si>
    <t>124,683</t>
  </si>
  <si>
    <t>$4,170,416</t>
  </si>
  <si>
    <t>Deckers Outdoor Corp</t>
  </si>
  <si>
    <t>5,677</t>
  </si>
  <si>
    <t>$4,166,847</t>
  </si>
  <si>
    <t>Novocure Ltd</t>
  </si>
  <si>
    <t>37,246</t>
  </si>
  <si>
    <t>$4,132,945</t>
  </si>
  <si>
    <t>Capcom Co Ltd</t>
  </si>
  <si>
    <t>68,400</t>
  </si>
  <si>
    <t>$4,115,352</t>
  </si>
  <si>
    <t>123,499</t>
  </si>
  <si>
    <t>$4,115,782</t>
  </si>
  <si>
    <t>204,413</t>
  </si>
  <si>
    <t>$4,111,660</t>
  </si>
  <si>
    <t>CCL Industries Inc Class B</t>
  </si>
  <si>
    <t>56,982</t>
  </si>
  <si>
    <t>$4,097,113</t>
  </si>
  <si>
    <t>Keppel Corp Ltd</t>
  </si>
  <si>
    <t>568,200</t>
  </si>
  <si>
    <t>$4,089,163</t>
  </si>
  <si>
    <t>GFL Environmental Inc</t>
  </si>
  <si>
    <t>73,246</t>
  </si>
  <si>
    <t>$4,079,996</t>
  </si>
  <si>
    <t>Ono Pharmaceutical Co Ltd</t>
  </si>
  <si>
    <t>140,784</t>
  </si>
  <si>
    <t>$4,061,591</t>
  </si>
  <si>
    <t>158,196</t>
  </si>
  <si>
    <t>$4,052,246</t>
  </si>
  <si>
    <t>Auckland International Airport Ltd</t>
  </si>
  <si>
    <t>489,462</t>
  </si>
  <si>
    <t>$4,023,119</t>
  </si>
  <si>
    <t>iA Financial Corp Inc</t>
  </si>
  <si>
    <t>40,818</t>
  </si>
  <si>
    <t>$4,014,653</t>
  </si>
  <si>
    <t>Saputo Inc</t>
  </si>
  <si>
    <t>99,980</t>
  </si>
  <si>
    <t>$3,991,603</t>
  </si>
  <si>
    <t>SEI Investments Co</t>
  </si>
  <si>
    <t>45,646</t>
  </si>
  <si>
    <t>$3,990,807</t>
  </si>
  <si>
    <t>Red Electrica Corp SA</t>
  </si>
  <si>
    <t>152,521</t>
  </si>
  <si>
    <t>$3,981,208</t>
  </si>
  <si>
    <t>61,209</t>
  </si>
  <si>
    <t>$3,961,780</t>
  </si>
  <si>
    <t>Canadian Tire Corp Ltd Class A</t>
  </si>
  <si>
    <t>21,375</t>
  </si>
  <si>
    <t>$3,962,172</t>
  </si>
  <si>
    <t>Dentsu Group Inc</t>
  </si>
  <si>
    <t>79,955</t>
  </si>
  <si>
    <t>$3,961,646</t>
  </si>
  <si>
    <t>61,659</t>
  </si>
  <si>
    <t>$3,955,932</t>
  </si>
  <si>
    <t>109,156</t>
  </si>
  <si>
    <t>$3,955,039</t>
  </si>
  <si>
    <t>64,045</t>
  </si>
  <si>
    <t>$3,938,549</t>
  </si>
  <si>
    <t>Toromont Industries Ltd</t>
  </si>
  <si>
    <t>32,893</t>
  </si>
  <si>
    <t>$3,926,201</t>
  </si>
  <si>
    <t>Highways &amp; Railtracks</t>
  </si>
  <si>
    <t>150,089</t>
  </si>
  <si>
    <t>$3,926,380</t>
  </si>
  <si>
    <t>TIS Inc</t>
  </si>
  <si>
    <t>90,800</t>
  </si>
  <si>
    <t>$3,926,581</t>
  </si>
  <si>
    <t>Z Holdings Corp</t>
  </si>
  <si>
    <t>1,022,400</t>
  </si>
  <si>
    <t>$3,924,890</t>
  </si>
  <si>
    <t>76,015</t>
  </si>
  <si>
    <t>$3,917,675</t>
  </si>
  <si>
    <t>Industrivarden AB Class C</t>
  </si>
  <si>
    <t>95,095</t>
  </si>
  <si>
    <t>$3,916,768</t>
  </si>
  <si>
    <t>ZoomInfo Technologies Inc Class A</t>
  </si>
  <si>
    <t>102,514</t>
  </si>
  <si>
    <t>$3,917,440</t>
  </si>
  <si>
    <t>Pan Pacific International Holdings Corp</t>
  </si>
  <si>
    <t>148,388</t>
  </si>
  <si>
    <t>$3,904,318</t>
  </si>
  <si>
    <t>CAE Inc</t>
  </si>
  <si>
    <t>123,168</t>
  </si>
  <si>
    <t>$3,886,844</t>
  </si>
  <si>
    <t>Dai Nippon Printing Co Ltd</t>
  </si>
  <si>
    <t>Commercial Printing</t>
  </si>
  <si>
    <t>88,414</t>
  </si>
  <si>
    <t>$3,886,961</t>
  </si>
  <si>
    <t>87,205</t>
  </si>
  <si>
    <t>$3,884,553</t>
  </si>
  <si>
    <t>Ibiden Co Ltd</t>
  </si>
  <si>
    <t>46,100</t>
  </si>
  <si>
    <t>$3,885,151</t>
  </si>
  <si>
    <t>67,339</t>
  </si>
  <si>
    <t>$3,882,645</t>
  </si>
  <si>
    <t>Descartes Systems Group Inc</t>
  </si>
  <si>
    <t>32,500</t>
  </si>
  <si>
    <t>$3,877,813</t>
  </si>
  <si>
    <t>CyberArk Software Ltd</t>
  </si>
  <si>
    <t>16,199</t>
  </si>
  <si>
    <t>$3,873,092</t>
  </si>
  <si>
    <t>CapitaLand Investment Ltd/Singapore</t>
  </si>
  <si>
    <t>1,023,273</t>
  </si>
  <si>
    <t>$3,862,988</t>
  </si>
  <si>
    <t>Daifuku Co Ltd</t>
  </si>
  <si>
    <t>123,300</t>
  </si>
  <si>
    <t>$3,857,874</t>
  </si>
  <si>
    <t>Trend Micro Inc/Japan</t>
  </si>
  <si>
    <t>52,533</t>
  </si>
  <si>
    <t>$3,857,912</t>
  </si>
  <si>
    <t>251,234</t>
  </si>
  <si>
    <t>$3,840,579</t>
  </si>
  <si>
    <t>66,784</t>
  </si>
  <si>
    <t>$3,835,989</t>
  </si>
  <si>
    <t>Catalent Inc</t>
  </si>
  <si>
    <t>66,664</t>
  </si>
  <si>
    <t>$3,835,124</t>
  </si>
  <si>
    <t>Nippon Paint Holdings Co Ltd</t>
  </si>
  <si>
    <t>322,090</t>
  </si>
  <si>
    <t>$3,815,212</t>
  </si>
  <si>
    <t>279,189</t>
  </si>
  <si>
    <t>$3,812,816</t>
  </si>
  <si>
    <t>55,380</t>
  </si>
  <si>
    <t>$3,802,539</t>
  </si>
  <si>
    <t>82,448</t>
  </si>
  <si>
    <t>$3,770,691</t>
  </si>
  <si>
    <t>28,999</t>
  </si>
  <si>
    <t>$3,767,077</t>
  </si>
  <si>
    <t>Webster Financial Corp</t>
  </si>
  <si>
    <t>68,369</t>
  </si>
  <si>
    <t>$3,755,726</t>
  </si>
  <si>
    <t>222,528</t>
  </si>
  <si>
    <t>$3,752,023</t>
  </si>
  <si>
    <t>MISUMI Group Inc</t>
  </si>
  <si>
    <t>111,145</t>
  </si>
  <si>
    <t>$3,749,227</t>
  </si>
  <si>
    <t>HF Sinclair Corp</t>
  </si>
  <si>
    <t>58,491</t>
  </si>
  <si>
    <t>$3,745,449</t>
  </si>
  <si>
    <t>Assurant Inc</t>
  </si>
  <si>
    <t>20,158</t>
  </si>
  <si>
    <t>$3,737,555</t>
  </si>
  <si>
    <t>TMX Group Ltd</t>
  </si>
  <si>
    <t>22,223</t>
  </si>
  <si>
    <t>$3,732,839</t>
  </si>
  <si>
    <t>Dropbox Inc Class A</t>
  </si>
  <si>
    <t>104,941</t>
  </si>
  <si>
    <t>$3,732,893</t>
  </si>
  <si>
    <t>Skf Ab</t>
  </si>
  <si>
    <t>152,515</t>
  </si>
  <si>
    <t>$3,722,296</t>
  </si>
  <si>
    <t>Singapore Airlines Ltd</t>
  </si>
  <si>
    <t>Passenger Airlines</t>
  </si>
  <si>
    <t>507,905</t>
  </si>
  <si>
    <t>$3,713,166</t>
  </si>
  <si>
    <t>Makita Corp</t>
  </si>
  <si>
    <t>88,655</t>
  </si>
  <si>
    <t>$3,706,355</t>
  </si>
  <si>
    <t>Element Fleet Management Corp</t>
  </si>
  <si>
    <t>Specialized Finance</t>
  </si>
  <si>
    <t>157,666</t>
  </si>
  <si>
    <t>$3,690,406</t>
  </si>
  <si>
    <t>JFE Holdings Inc</t>
  </si>
  <si>
    <t>193,265</t>
  </si>
  <si>
    <t>$3,685,042</t>
  </si>
  <si>
    <t>Telia Co AB</t>
  </si>
  <si>
    <t>1,026,790</t>
  </si>
  <si>
    <t>$3,683,913</t>
  </si>
  <si>
    <t>Daiwa Securities Group Inc</t>
  </si>
  <si>
    <t>524,445</t>
  </si>
  <si>
    <t>$3,671,603</t>
  </si>
  <si>
    <t>216,096</t>
  </si>
  <si>
    <t>$3,664,933</t>
  </si>
  <si>
    <t>Wolfspeed Inc</t>
  </si>
  <si>
    <t>49,360</t>
  </si>
  <si>
    <t>$3,664,150</t>
  </si>
  <si>
    <t>704,374</t>
  </si>
  <si>
    <t>$3,650,376</t>
  </si>
  <si>
    <t>Kinross Gold Corp</t>
  </si>
  <si>
    <t>496,207</t>
  </si>
  <si>
    <t>$3,610,128</t>
  </si>
  <si>
    <t>Nippon Building Fund Inc</t>
  </si>
  <si>
    <t>584</t>
  </si>
  <si>
    <t>$3,604,118</t>
  </si>
  <si>
    <t>Epiroc AB Class B</t>
  </si>
  <si>
    <t>154,500</t>
  </si>
  <si>
    <t>$3,595,257</t>
  </si>
  <si>
    <t>Israel Discount Bank Ltd Class A</t>
  </si>
  <si>
    <t>482,983</t>
  </si>
  <si>
    <t>$3,590,791</t>
  </si>
  <si>
    <t>Singapore Exchange Ltd</t>
  </si>
  <si>
    <t>338,846</t>
  </si>
  <si>
    <t>$3,586,362</t>
  </si>
  <si>
    <t>Daito Trust Construction Co Ltd</t>
  </si>
  <si>
    <t>24,451</t>
  </si>
  <si>
    <t>$3,583,146</t>
  </si>
  <si>
    <t>174,762</t>
  </si>
  <si>
    <t>$3,578,583</t>
  </si>
  <si>
    <t>186,036</t>
  </si>
  <si>
    <t>$3,576,521</t>
  </si>
  <si>
    <t>236,656</t>
  </si>
  <si>
    <t>$3,571,133</t>
  </si>
  <si>
    <t>122,364</t>
  </si>
  <si>
    <t>$3,563,213</t>
  </si>
  <si>
    <t>UGI Corp</t>
  </si>
  <si>
    <t>82,408</t>
  </si>
  <si>
    <t>$3,561,696</t>
  </si>
  <si>
    <t>82,932</t>
  </si>
  <si>
    <t>$3,552,127</t>
  </si>
  <si>
    <t>158,253</t>
  </si>
  <si>
    <t>$3,546,855</t>
  </si>
  <si>
    <t>46,917</t>
  </si>
  <si>
    <t>$3,544,519</t>
  </si>
  <si>
    <t>Osaka Gas Co Ltd</t>
  </si>
  <si>
    <t>145,051</t>
  </si>
  <si>
    <t>$3,543,794</t>
  </si>
  <si>
    <t>Kajima Corp</t>
  </si>
  <si>
    <t>163,616</t>
  </si>
  <si>
    <t>$3,537,729</t>
  </si>
  <si>
    <t>RB Global Inc</t>
  </si>
  <si>
    <t>43,549</t>
  </si>
  <si>
    <t>$3,510,471</t>
  </si>
  <si>
    <t>395,902</t>
  </si>
  <si>
    <t>$3,509,034</t>
  </si>
  <si>
    <t>Yamaha Corp</t>
  </si>
  <si>
    <t>57,093</t>
  </si>
  <si>
    <t>$3,491,886</t>
  </si>
  <si>
    <t>Algonquin Power &amp; Utilities Corp</t>
  </si>
  <si>
    <t>267,736</t>
  </si>
  <si>
    <t>$3,481,870</t>
  </si>
  <si>
    <t>33,895</t>
  </si>
  <si>
    <t>$3,470,322</t>
  </si>
  <si>
    <t>Spark New Zealand Ltd</t>
  </si>
  <si>
    <t>726,106</t>
  </si>
  <si>
    <t>$3,469,967</t>
  </si>
  <si>
    <t>778,390</t>
  </si>
  <si>
    <t>$3,443,624</t>
  </si>
  <si>
    <t>Alcoa Corp</t>
  </si>
  <si>
    <t>70,178</t>
  </si>
  <si>
    <t>$3,439,768</t>
  </si>
  <si>
    <t>FirstService Corp</t>
  </si>
  <si>
    <t>15,310</t>
  </si>
  <si>
    <t>$3,432,115</t>
  </si>
  <si>
    <t>Taisei Corp</t>
  </si>
  <si>
    <t>69,693</t>
  </si>
  <si>
    <t>$3,418,494</t>
  </si>
  <si>
    <t>Kintetsu Group Holdings Co Ltd</t>
  </si>
  <si>
    <t>66,703</t>
  </si>
  <si>
    <t>$3,404,623</t>
  </si>
  <si>
    <t>890,527</t>
  </si>
  <si>
    <t>$3,380,316</t>
  </si>
  <si>
    <t>VF Corp</t>
  </si>
  <si>
    <t>126,579</t>
  </si>
  <si>
    <t>$3,368,138</t>
  </si>
  <si>
    <t>65,946</t>
  </si>
  <si>
    <t>$3,364,516</t>
  </si>
  <si>
    <t>Elbit Systems Ltd</t>
  </si>
  <si>
    <t>10,641</t>
  </si>
  <si>
    <t>$3,355,974</t>
  </si>
  <si>
    <t>Wilmar International Ltd</t>
  </si>
  <si>
    <t>752,214</t>
  </si>
  <si>
    <t>$3,354,455</t>
  </si>
  <si>
    <t>340,081</t>
  </si>
  <si>
    <t>$3,355,847</t>
  </si>
  <si>
    <t>191,468</t>
  </si>
  <si>
    <t>$3,340,298</t>
  </si>
  <si>
    <t>TOPPAN Inc</t>
  </si>
  <si>
    <t>101,056</t>
  </si>
  <si>
    <t>$3,334,014</t>
  </si>
  <si>
    <t>143,242</t>
  </si>
  <si>
    <t>$3,313,541</t>
  </si>
  <si>
    <t>298,870</t>
  </si>
  <si>
    <t>$3,309,836</t>
  </si>
  <si>
    <t>25,470</t>
  </si>
  <si>
    <t>$3,303,911</t>
  </si>
  <si>
    <t>Liberty Global plc Class C</t>
  </si>
  <si>
    <t>Alternative Carriers</t>
  </si>
  <si>
    <t>125,664</t>
  </si>
  <si>
    <t>$3,304,954</t>
  </si>
  <si>
    <t>Nissan Chemical Corp</t>
  </si>
  <si>
    <t>49,220</t>
  </si>
  <si>
    <t>$3,298,878</t>
  </si>
  <si>
    <t>First Horizon Corp</t>
  </si>
  <si>
    <t>206,781</t>
  </si>
  <si>
    <t>$3,294,309</t>
  </si>
  <si>
    <t>37,403</t>
  </si>
  <si>
    <t>$3,292,968</t>
  </si>
  <si>
    <t>Carlyle Group Inc</t>
  </si>
  <si>
    <t>77,550</t>
  </si>
  <si>
    <t>$3,284,626</t>
  </si>
  <si>
    <t>Watsco Inc</t>
  </si>
  <si>
    <t>6,530</t>
  </si>
  <si>
    <t>$3,273,022</t>
  </si>
  <si>
    <t>283,467</t>
  </si>
  <si>
    <t>$3,268,177</t>
  </si>
  <si>
    <t>Schindler Holding AG (Registered)</t>
  </si>
  <si>
    <t>10,552</t>
  </si>
  <si>
    <t>$3,256,965</t>
  </si>
  <si>
    <t>Erie Indemnity Co Class A</t>
  </si>
  <si>
    <t>9,827</t>
  </si>
  <si>
    <t>$3,251,118</t>
  </si>
  <si>
    <t>2,716</t>
  </si>
  <si>
    <t>$3,236,655</t>
  </si>
  <si>
    <t>Sealed Air Corp</t>
  </si>
  <si>
    <t>55,253</t>
  </si>
  <si>
    <t>$3,231,594</t>
  </si>
  <si>
    <t>19,416</t>
  </si>
  <si>
    <t>$3,232,132</t>
  </si>
  <si>
    <t>Toast Inc Class A</t>
  </si>
  <si>
    <t>99,700</t>
  </si>
  <si>
    <t>$3,230,641</t>
  </si>
  <si>
    <t>Nissin Foods Holdings Co Ltd</t>
  </si>
  <si>
    <t>24,545</t>
  </si>
  <si>
    <t>$3,227,728</t>
  </si>
  <si>
    <t>Renewable Electricity</t>
  </si>
  <si>
    <t>104,791</t>
  </si>
  <si>
    <t>$3,207,471</t>
  </si>
  <si>
    <t>Kyowa Kirin Co Ltd</t>
  </si>
  <si>
    <t>108,059</t>
  </si>
  <si>
    <t>$3,202,932</t>
  </si>
  <si>
    <t>Kesko Oyj Class B</t>
  </si>
  <si>
    <t>109,591</t>
  </si>
  <si>
    <t>$3,192,809</t>
  </si>
  <si>
    <t>Yamato Holdings Co Ltd</t>
  </si>
  <si>
    <t>112,792</t>
  </si>
  <si>
    <t>$3,184,792</t>
  </si>
  <si>
    <t>Obayashi Corp</t>
  </si>
  <si>
    <t>255,873</t>
  </si>
  <si>
    <t>$3,180,847</t>
  </si>
  <si>
    <t>71,428</t>
  </si>
  <si>
    <t>$3,180,519</t>
  </si>
  <si>
    <t>Fuji Electric Co Ltd</t>
  </si>
  <si>
    <t>48,900</t>
  </si>
  <si>
    <t>$3,174,673</t>
  </si>
  <si>
    <t>Tokyo Electric Power Co Holdings Inc</t>
  </si>
  <si>
    <t>596,968</t>
  </si>
  <si>
    <t>$3,175,763</t>
  </si>
  <si>
    <t>299,162</t>
  </si>
  <si>
    <t>$3,164,948</t>
  </si>
  <si>
    <t>44,826</t>
  </si>
  <si>
    <t>$3,160,580</t>
  </si>
  <si>
    <t>88,948</t>
  </si>
  <si>
    <t>$3,150,861</t>
  </si>
  <si>
    <t>192,622</t>
  </si>
  <si>
    <t>$3,140,209</t>
  </si>
  <si>
    <t>27,004</t>
  </si>
  <si>
    <t>$3,138,471</t>
  </si>
  <si>
    <t>195,802</t>
  </si>
  <si>
    <t>$3,127,539</t>
  </si>
  <si>
    <t>13,511</t>
  </si>
  <si>
    <t>$3,124,983</t>
  </si>
  <si>
    <t>DaVita Inc</t>
  </si>
  <si>
    <t>21,602</t>
  </si>
  <si>
    <t>$3,126,724</t>
  </si>
  <si>
    <t>Keisei Electric Railway Co Ltd</t>
  </si>
  <si>
    <t>52,800</t>
  </si>
  <si>
    <t>$3,124,206</t>
  </si>
  <si>
    <t>23,123</t>
  </si>
  <si>
    <t>$3,104,522</t>
  </si>
  <si>
    <t>41,291</t>
  </si>
  <si>
    <t>$3,104,647</t>
  </si>
  <si>
    <t>42,246</t>
  </si>
  <si>
    <t>$3,098,373</t>
  </si>
  <si>
    <t>Mizrahi Tefahot Bank Ltd</t>
  </si>
  <si>
    <t>62,322</t>
  </si>
  <si>
    <t>$3,086,354</t>
  </si>
  <si>
    <t>809,579</t>
  </si>
  <si>
    <t>$3,077,700</t>
  </si>
  <si>
    <t>Northland Power Inc</t>
  </si>
  <si>
    <t>90,341</t>
  </si>
  <si>
    <t>$3,058,365</t>
  </si>
  <si>
    <t>SUMCO Corp</t>
  </si>
  <si>
    <t>138,500</t>
  </si>
  <si>
    <t>$3,049,812</t>
  </si>
  <si>
    <t>Nomura Real Estate Master Fund Inc</t>
  </si>
  <si>
    <t>1,680</t>
  </si>
  <si>
    <t>$3,045,371</t>
  </si>
  <si>
    <t>Sekisui Chemical Co Ltd</t>
  </si>
  <si>
    <t>142,517</t>
  </si>
  <si>
    <t>$3,034,236</t>
  </si>
  <si>
    <t>216,692</t>
  </si>
  <si>
    <t>$3,033,488</t>
  </si>
  <si>
    <t>MEIJI Holdings Co Ltd</t>
  </si>
  <si>
    <t>87,592</t>
  </si>
  <si>
    <t>$3,027,377</t>
  </si>
  <si>
    <t>30,518</t>
  </si>
  <si>
    <t>$3,016,479</t>
  </si>
  <si>
    <t>1,370,381</t>
  </si>
  <si>
    <t>$2,997,188</t>
  </si>
  <si>
    <t>Lifco AB Class B</t>
  </si>
  <si>
    <t>91,862</t>
  </si>
  <si>
    <t>$2,988,020</t>
  </si>
  <si>
    <t>28,309</t>
  </si>
  <si>
    <t>$2,983,745</t>
  </si>
  <si>
    <t>Suntory Beverage &amp; Food Ltd</t>
  </si>
  <si>
    <t>52,612</t>
  </si>
  <si>
    <t>$2,985,068</t>
  </si>
  <si>
    <t>Invesco Ltd</t>
  </si>
  <si>
    <t>133,970</t>
  </si>
  <si>
    <t>$2,976,881</t>
  </si>
  <si>
    <t>AltaGas Ltd</t>
  </si>
  <si>
    <t>113,401</t>
  </si>
  <si>
    <t>$2,967,577</t>
  </si>
  <si>
    <t>Aspen Technology Inc</t>
  </si>
  <si>
    <t>11,664</t>
  </si>
  <si>
    <t>$2,954,435</t>
  </si>
  <si>
    <t>UiPath Inc Class A</t>
  </si>
  <si>
    <t>106,869</t>
  </si>
  <si>
    <t>$2,954,317</t>
  </si>
  <si>
    <t>2,703</t>
  </si>
  <si>
    <t>$2,947,644</t>
  </si>
  <si>
    <t>HKT Trust &amp; HKT Ltd</t>
  </si>
  <si>
    <t>1,473,458</t>
  </si>
  <si>
    <t>$2,908,494</t>
  </si>
  <si>
    <t>Hongkong Land Holdings Ltd</t>
  </si>
  <si>
    <t>438,954</t>
  </si>
  <si>
    <t>$2,909,855</t>
  </si>
  <si>
    <t>Japan Real Estate Investment Corp</t>
  </si>
  <si>
    <t>496</t>
  </si>
  <si>
    <t>$2,907,432</t>
  </si>
  <si>
    <t>125,951</t>
  </si>
  <si>
    <t>$2,898,224</t>
  </si>
  <si>
    <t>82,936</t>
  </si>
  <si>
    <t>$2,893,757</t>
  </si>
  <si>
    <t>993,275</t>
  </si>
  <si>
    <t>$2,891,476</t>
  </si>
  <si>
    <t>Gildan Activewear Inc</t>
  </si>
  <si>
    <t>68,525</t>
  </si>
  <si>
    <t>$2,883,800</t>
  </si>
  <si>
    <t>98,006</t>
  </si>
  <si>
    <t>$2,882,740</t>
  </si>
  <si>
    <t>Tobu Railway Co Ltd</t>
  </si>
  <si>
    <t>71,197</t>
  </si>
  <si>
    <t>$2,874,131</t>
  </si>
  <si>
    <t>Ricoh Co Ltd</t>
  </si>
  <si>
    <t>222,551</t>
  </si>
  <si>
    <t>$2,869,988</t>
  </si>
  <si>
    <t>236,577</t>
  </si>
  <si>
    <t>$2,855,952</t>
  </si>
  <si>
    <t>AP Moller - Maersk A/S Class A</t>
  </si>
  <si>
    <t>1,097</t>
  </si>
  <si>
    <t>$2,836,856</t>
  </si>
  <si>
    <t>Konami Group Corp</t>
  </si>
  <si>
    <t>34,700</t>
  </si>
  <si>
    <t>$2,836,129</t>
  </si>
  <si>
    <t>17,964</t>
  </si>
  <si>
    <t>$2,833,576</t>
  </si>
  <si>
    <t>Lundin Mining Corp</t>
  </si>
  <si>
    <t>261,375</t>
  </si>
  <si>
    <t>$2,819,746</t>
  </si>
  <si>
    <t>Genting Singapore Ltd</t>
  </si>
  <si>
    <t>2,437,325</t>
  </si>
  <si>
    <t>$2,807,622</t>
  </si>
  <si>
    <t>Sino Land Co Ltd</t>
  </si>
  <si>
    <t>1,395,618</t>
  </si>
  <si>
    <t>$2,804,431</t>
  </si>
  <si>
    <t>61,026</t>
  </si>
  <si>
    <t>$2,801,704</t>
  </si>
  <si>
    <t>Mitsui Chemicals Inc</t>
  </si>
  <si>
    <t>71,789</t>
  </si>
  <si>
    <t>$2,798,782</t>
  </si>
  <si>
    <t>64,657</t>
  </si>
  <si>
    <t>$2,794,939</t>
  </si>
  <si>
    <t>16,164</t>
  </si>
  <si>
    <t>$2,791,967</t>
  </si>
  <si>
    <t>SBI Holdings Inc</t>
  </si>
  <si>
    <t>96,690</t>
  </si>
  <si>
    <t>$2,791,092</t>
  </si>
  <si>
    <t>Delta Air Lines Inc</t>
  </si>
  <si>
    <t>49,611</t>
  </si>
  <si>
    <t>$2,785,085</t>
  </si>
  <si>
    <t>Mohawk Industries Inc</t>
  </si>
  <si>
    <t>Home Furnishings</t>
  </si>
  <si>
    <t>19,515</t>
  </si>
  <si>
    <t>$2,775,493</t>
  </si>
  <si>
    <t>Skanska AB Class B</t>
  </si>
  <si>
    <t>136,257</t>
  </si>
  <si>
    <t>$2,766,415</t>
  </si>
  <si>
    <t>22,923</t>
  </si>
  <si>
    <t>$2,765,749</t>
  </si>
  <si>
    <t>Henderson Land Development Co Ltd</t>
  </si>
  <si>
    <t>562,425</t>
  </si>
  <si>
    <t>$2,758,807</t>
  </si>
  <si>
    <t>41,070</t>
  </si>
  <si>
    <t>$2,748,259</t>
  </si>
  <si>
    <t>Liberty Media Corp-Liberty SiriusXM Class C</t>
  </si>
  <si>
    <t>63,512</t>
  </si>
  <si>
    <t>$2,744,025</t>
  </si>
  <si>
    <t>Daiwa House REIT Investment Corp</t>
  </si>
  <si>
    <t>848</t>
  </si>
  <si>
    <t>$2,743,303</t>
  </si>
  <si>
    <t>Ivanhoe Mines Ltd</t>
  </si>
  <si>
    <t>242,325</t>
  </si>
  <si>
    <t>$2,738,195</t>
  </si>
  <si>
    <t>Volvo AB Class A</t>
  </si>
  <si>
    <t>91,536</t>
  </si>
  <si>
    <t>$2,718,793</t>
  </si>
  <si>
    <t>429,045</t>
  </si>
  <si>
    <t>$2,708,453</t>
  </si>
  <si>
    <t>Tower Semiconductor Ltd</t>
  </si>
  <si>
    <t>42,371</t>
  </si>
  <si>
    <t>$2,706,614</t>
  </si>
  <si>
    <t>Southwest Airlines Co</t>
  </si>
  <si>
    <t>58,239</t>
  </si>
  <si>
    <t>$2,688,092</t>
  </si>
  <si>
    <t>1,646</t>
  </si>
  <si>
    <t>$2,690,644</t>
  </si>
  <si>
    <t>Toho Co Ltd/Tokyo</t>
  </si>
  <si>
    <t>44,141</t>
  </si>
  <si>
    <t>$2,680,196</t>
  </si>
  <si>
    <t>11,426</t>
  </si>
  <si>
    <t>$2,674,738</t>
  </si>
  <si>
    <t>Orion Oyj Class B</t>
  </si>
  <si>
    <t>40,995</t>
  </si>
  <si>
    <t>$2,673,680</t>
  </si>
  <si>
    <t>49,902</t>
  </si>
  <si>
    <t>$2,653,655</t>
  </si>
  <si>
    <t>Budweiser Brewing Co APAC Ltd</t>
  </si>
  <si>
    <t>682,000</t>
  </si>
  <si>
    <t>$2,649,353</t>
  </si>
  <si>
    <t>Otsuka Corp</t>
  </si>
  <si>
    <t>45,500</t>
  </si>
  <si>
    <t>$2,646,971</t>
  </si>
  <si>
    <t>Sumitomo Chemical Co Ltd</t>
  </si>
  <si>
    <t>574,991</t>
  </si>
  <si>
    <t>$2,645,492</t>
  </si>
  <si>
    <t>14,801</t>
  </si>
  <si>
    <t>$2,635,784</t>
  </si>
  <si>
    <t>NIPPON EXPRESS HOLDINGS Inc</t>
  </si>
  <si>
    <t>30,409</t>
  </si>
  <si>
    <t>$2,633,394</t>
  </si>
  <si>
    <t>Singapore Technologies Engineering Ltd</t>
  </si>
  <si>
    <t>625,526</t>
  </si>
  <si>
    <t>$2,611,141</t>
  </si>
  <si>
    <t>Nippon Prologis REIT Inc</t>
  </si>
  <si>
    <t>808</t>
  </si>
  <si>
    <t>$2,611,221</t>
  </si>
  <si>
    <t>1,374,827</t>
  </si>
  <si>
    <t>$2,602,915</t>
  </si>
  <si>
    <t>Wix.com Ltd</t>
  </si>
  <si>
    <t>22,054</t>
  </si>
  <si>
    <t>$2,597,475</t>
  </si>
  <si>
    <t>Kurita Water Industries Ltd</t>
  </si>
  <si>
    <t>41,100</t>
  </si>
  <si>
    <t>$2,595,553</t>
  </si>
  <si>
    <t>Concordia Financial Group Ltd</t>
  </si>
  <si>
    <t>434,128</t>
  </si>
  <si>
    <t>$2,592,767</t>
  </si>
  <si>
    <t>SG Holdings Co Ltd</t>
  </si>
  <si>
    <t>114,100</t>
  </si>
  <si>
    <t>$2,584,447</t>
  </si>
  <si>
    <t>9,705</t>
  </si>
  <si>
    <t>$2,585,226</t>
  </si>
  <si>
    <t>Brookfield Renewable Corp Class A</t>
  </si>
  <si>
    <t>49,769</t>
  </si>
  <si>
    <t>$2,577,641</t>
  </si>
  <si>
    <t>9,861</t>
  </si>
  <si>
    <t>$2,569,925</t>
  </si>
  <si>
    <t>Mazda Motor Corp</t>
  </si>
  <si>
    <t>194,686</t>
  </si>
  <si>
    <t>$2,570,935</t>
  </si>
  <si>
    <t>Kobe Bussan Co Ltd</t>
  </si>
  <si>
    <t>60,400</t>
  </si>
  <si>
    <t>$2,568,534</t>
  </si>
  <si>
    <t>Advance Auto Parts Inc</t>
  </si>
  <si>
    <t>22,791</t>
  </si>
  <si>
    <t>$2,567,003</t>
  </si>
  <si>
    <t>Aisin Corp</t>
  </si>
  <si>
    <t>57,678</t>
  </si>
  <si>
    <t>$2,558,036</t>
  </si>
  <si>
    <t>JSR Corp</t>
  </si>
  <si>
    <t>68,567</t>
  </si>
  <si>
    <t>$2,551,833</t>
  </si>
  <si>
    <t>Keyera Corp</t>
  </si>
  <si>
    <t>73,912</t>
  </si>
  <si>
    <t>$2,545,876</t>
  </si>
  <si>
    <t>Yokogawa Electric Corp</t>
  </si>
  <si>
    <t>87,368</t>
  </si>
  <si>
    <t>$2,543,257</t>
  </si>
  <si>
    <t>BayCurrent Consulting Inc</t>
  </si>
  <si>
    <t>44,800</t>
  </si>
  <si>
    <t>$2,531,926</t>
  </si>
  <si>
    <t>128,816</t>
  </si>
  <si>
    <t>$2,525,281</t>
  </si>
  <si>
    <t>Empire Co Ltd</t>
  </si>
  <si>
    <t>63,634</t>
  </si>
  <si>
    <t>$2,504,356</t>
  </si>
  <si>
    <t>Westlake Corp</t>
  </si>
  <si>
    <t>15,502</t>
  </si>
  <si>
    <t>$2,490,045</t>
  </si>
  <si>
    <t>16,129</t>
  </si>
  <si>
    <t>$2,488,066</t>
  </si>
  <si>
    <t>74,979</t>
  </si>
  <si>
    <t>$2,484,233</t>
  </si>
  <si>
    <t>TOTO Ltd</t>
  </si>
  <si>
    <t>53,017</t>
  </si>
  <si>
    <t>$2,483,251</t>
  </si>
  <si>
    <t>83,836</t>
  </si>
  <si>
    <t>$2,480,447</t>
  </si>
  <si>
    <t>Seiko Epson Corp</t>
  </si>
  <si>
    <t>105,943</t>
  </si>
  <si>
    <t>$2,482,877</t>
  </si>
  <si>
    <t>West Fraser Timber Co Ltd</t>
  </si>
  <si>
    <t>23,638</t>
  </si>
  <si>
    <t>$2,461,690</t>
  </si>
  <si>
    <t>Meridian Energy Ltd</t>
  </si>
  <si>
    <t>498,854</t>
  </si>
  <si>
    <t>$2,453,260</t>
  </si>
  <si>
    <t>U-Haul Holding Co</t>
  </si>
  <si>
    <t>34,263</t>
  </si>
  <si>
    <t>$2,450,799</t>
  </si>
  <si>
    <t>79,267</t>
  </si>
  <si>
    <t>$2,447,771</t>
  </si>
  <si>
    <t>Odakyu Electric Railway Co Ltd</t>
  </si>
  <si>
    <t>108,859</t>
  </si>
  <si>
    <t>$2,446,471</t>
  </si>
  <si>
    <t>Asahi Intecc Co Ltd</t>
  </si>
  <si>
    <t>82,860</t>
  </si>
  <si>
    <t>$2,433,108</t>
  </si>
  <si>
    <t>Dick's Sporting Goods Inc</t>
  </si>
  <si>
    <t>12,332</t>
  </si>
  <si>
    <t>$2,429,813</t>
  </si>
  <si>
    <t>66,222</t>
  </si>
  <si>
    <t>$2,425,128</t>
  </si>
  <si>
    <t>40,740</t>
  </si>
  <si>
    <t>$2,420,136</t>
  </si>
  <si>
    <t>Grab Holdings Ltd</t>
  </si>
  <si>
    <t>524,653</t>
  </si>
  <si>
    <t>$2,415,925</t>
  </si>
  <si>
    <t>Square Enix Holdings Co Ltd</t>
  </si>
  <si>
    <t>34,900</t>
  </si>
  <si>
    <t>$2,412,445</t>
  </si>
  <si>
    <t>Bkw AG</t>
  </si>
  <si>
    <t>8,681</t>
  </si>
  <si>
    <t>$2,396,258</t>
  </si>
  <si>
    <t>Rakuten Group Inc</t>
  </si>
  <si>
    <t>372,851</t>
  </si>
  <si>
    <t>$2,375,253</t>
  </si>
  <si>
    <t>Hirose Electric Co Ltd</t>
  </si>
  <si>
    <t>11,323</t>
  </si>
  <si>
    <t>$2,369,380</t>
  </si>
  <si>
    <t>Hoshizaki Corp</t>
  </si>
  <si>
    <t>42,548</t>
  </si>
  <si>
    <t>$2,362,299</t>
  </si>
  <si>
    <t>9,438</t>
  </si>
  <si>
    <t>$2,352,404</t>
  </si>
  <si>
    <t>12,578</t>
  </si>
  <si>
    <t>$2,343,512</t>
  </si>
  <si>
    <t>ICL Group Ltd</t>
  </si>
  <si>
    <t>277,104</t>
  </si>
  <si>
    <t>$2,329,575</t>
  </si>
  <si>
    <t>Sagax AB Class B</t>
  </si>
  <si>
    <t>76,469</t>
  </si>
  <si>
    <t>$2,321,216</t>
  </si>
  <si>
    <t>Koito Manufacturing Co Ltd</t>
  </si>
  <si>
    <t>79,468</t>
  </si>
  <si>
    <t>$2,304,501</t>
  </si>
  <si>
    <t>Quebecor Inc Class B</t>
  </si>
  <si>
    <t>62,390</t>
  </si>
  <si>
    <t>$2,295,818</t>
  </si>
  <si>
    <t>28,620</t>
  </si>
  <si>
    <t>$2,287,146</t>
  </si>
  <si>
    <t>46,343</t>
  </si>
  <si>
    <t>$2,212,460</t>
  </si>
  <si>
    <t>Lixil Corp</t>
  </si>
  <si>
    <t>110,832</t>
  </si>
  <si>
    <t>$2,206,428</t>
  </si>
  <si>
    <t>Mitsubishi HC Capital Inc</t>
  </si>
  <si>
    <t>263,450</t>
  </si>
  <si>
    <t>$2,205,698</t>
  </si>
  <si>
    <t>Parkland Corp</t>
  </si>
  <si>
    <t>56,849</t>
  </si>
  <si>
    <t>$2,188,213</t>
  </si>
  <si>
    <t>WH Group Ltd</t>
  </si>
  <si>
    <t>2,713,412</t>
  </si>
  <si>
    <t>$2,190,632</t>
  </si>
  <si>
    <t>Keio Corp</t>
  </si>
  <si>
    <t>40,222</t>
  </si>
  <si>
    <t>$2,184,224</t>
  </si>
  <si>
    <t>ANA Holdings Inc</t>
  </si>
  <si>
    <t>63,717</t>
  </si>
  <si>
    <t>$2,181,062</t>
  </si>
  <si>
    <t>13,465</t>
  </si>
  <si>
    <t>$2,175,915</t>
  </si>
  <si>
    <t>9,177</t>
  </si>
  <si>
    <t>$2,173,209</t>
  </si>
  <si>
    <t>36,965</t>
  </si>
  <si>
    <t>$2,165,334</t>
  </si>
  <si>
    <t>Securitas AB Class B</t>
  </si>
  <si>
    <t>190,102</t>
  </si>
  <si>
    <t>$2,157,072</t>
  </si>
  <si>
    <t>120,028</t>
  </si>
  <si>
    <t>$2,144,397</t>
  </si>
  <si>
    <t>48,962</t>
  </si>
  <si>
    <t>$2,147,139</t>
  </si>
  <si>
    <t>New World Development Co Ltd</t>
  </si>
  <si>
    <t>581,683</t>
  </si>
  <si>
    <t>$2,147,130</t>
  </si>
  <si>
    <t>2,067</t>
  </si>
  <si>
    <t>$2,136,718</t>
  </si>
  <si>
    <t>62,238</t>
  </si>
  <si>
    <t>$2,135,399</t>
  </si>
  <si>
    <t>McDonald's Holdings Co Japan Ltd</t>
  </si>
  <si>
    <t>$2,129,344</t>
  </si>
  <si>
    <t>138,645</t>
  </si>
  <si>
    <t>$2,130,068</t>
  </si>
  <si>
    <t>36,468</t>
  </si>
  <si>
    <t>$2,124,916</t>
  </si>
  <si>
    <t>USS Co Ltd</t>
  </si>
  <si>
    <t>84,363</t>
  </si>
  <si>
    <t>$2,117,086</t>
  </si>
  <si>
    <t>CK Infrastructure Holdings Ltd</t>
  </si>
  <si>
    <t>247,257</t>
  </si>
  <si>
    <t>$2,113,328</t>
  </si>
  <si>
    <t>Azbil Corp</t>
  </si>
  <si>
    <t>43,200</t>
  </si>
  <si>
    <t>$2,109,437</t>
  </si>
  <si>
    <t>67,920</t>
  </si>
  <si>
    <t>$2,102,213</t>
  </si>
  <si>
    <t>Swatch Group AG (Registered)</t>
  </si>
  <si>
    <t>24,248</t>
  </si>
  <si>
    <t>$2,094,471</t>
  </si>
  <si>
    <t>33,767</t>
  </si>
  <si>
    <t>$2,081,885</t>
  </si>
  <si>
    <t>MonotaRO Co Ltd</t>
  </si>
  <si>
    <t>96,700</t>
  </si>
  <si>
    <t>$2,074,819</t>
  </si>
  <si>
    <t>Persol Holdings Co Ltd</t>
  </si>
  <si>
    <t>$2,072,846</t>
  </si>
  <si>
    <t>23,938</t>
  </si>
  <si>
    <t>$2,074,276</t>
  </si>
  <si>
    <t>93,490</t>
  </si>
  <si>
    <t>$2,067,358</t>
  </si>
  <si>
    <t>Shimizu Corp</t>
  </si>
  <si>
    <t>220,261</t>
  </si>
  <si>
    <t>$2,060,915</t>
  </si>
  <si>
    <t>7,980</t>
  </si>
  <si>
    <t>$2,059,200</t>
  </si>
  <si>
    <t>Canadian Utilities Ltd Class A</t>
  </si>
  <si>
    <t>49,589</t>
  </si>
  <si>
    <t>$2,054,767</t>
  </si>
  <si>
    <t>Fox Corp Class B</t>
  </si>
  <si>
    <t>45,434</t>
  </si>
  <si>
    <t>$2,050,726</t>
  </si>
  <si>
    <t>Onex Corp</t>
  </si>
  <si>
    <t>29,211</t>
  </si>
  <si>
    <t>$2,041,218</t>
  </si>
  <si>
    <t>Nippon Sanso Holdings Corp</t>
  </si>
  <si>
    <t>64,300</t>
  </si>
  <si>
    <t>$2,033,897</t>
  </si>
  <si>
    <t>Chiba Bank Ltd</t>
  </si>
  <si>
    <t>210,969</t>
  </si>
  <si>
    <t>$2,032,305</t>
  </si>
  <si>
    <t>232,933</t>
  </si>
  <si>
    <t>$2,032,457</t>
  </si>
  <si>
    <t>Brother Industries Ltd</t>
  </si>
  <si>
    <t>90,451</t>
  </si>
  <si>
    <t>$2,024,771</t>
  </si>
  <si>
    <t>GMO Payment Gateway Inc</t>
  </si>
  <si>
    <t>16,600</t>
  </si>
  <si>
    <t>$2,023,213</t>
  </si>
  <si>
    <t>78,116</t>
  </si>
  <si>
    <t>$2,020,290</t>
  </si>
  <si>
    <t>BCE Inc</t>
  </si>
  <si>
    <t>28,596</t>
  </si>
  <si>
    <t>$1,990,766</t>
  </si>
  <si>
    <t>Pan American Silver Corp</t>
  </si>
  <si>
    <t>Silver</t>
  </si>
  <si>
    <t>84,498</t>
  </si>
  <si>
    <t>$1,987,406</t>
  </si>
  <si>
    <t>11,877</t>
  </si>
  <si>
    <t>$1,977,134</t>
  </si>
  <si>
    <t>Kose Corp</t>
  </si>
  <si>
    <t>12,700</t>
  </si>
  <si>
    <t>$1,966,454</t>
  </si>
  <si>
    <t>2,966</t>
  </si>
  <si>
    <t>$1,949,562</t>
  </si>
  <si>
    <t>Oji Holdings Corp</t>
  </si>
  <si>
    <t>327,600</t>
  </si>
  <si>
    <t>$1,945,675</t>
  </si>
  <si>
    <t>32,115</t>
  </si>
  <si>
    <t>$1,940,574</t>
  </si>
  <si>
    <t>170,121</t>
  </si>
  <si>
    <t>$1,934,697</t>
  </si>
  <si>
    <t>6,074</t>
  </si>
  <si>
    <t>$1,931,190</t>
  </si>
  <si>
    <t>Shizuoka Bank Ltd</t>
  </si>
  <si>
    <t>169,414</t>
  </si>
  <si>
    <t>$1,922,422</t>
  </si>
  <si>
    <t>Hang Lung Properties Ltd</t>
  </si>
  <si>
    <t>784,191</t>
  </si>
  <si>
    <t>$1,919,437</t>
  </si>
  <si>
    <t>CyberAgent Inc</t>
  </si>
  <si>
    <t>174,400</t>
  </si>
  <si>
    <t>$1,905,704</t>
  </si>
  <si>
    <t>Swire Pacific Ltd Class A</t>
  </si>
  <si>
    <t>183,833</t>
  </si>
  <si>
    <t>$1,897,822</t>
  </si>
  <si>
    <t>L E Lundbergforetagen AB Class B</t>
  </si>
  <si>
    <t>29,448</t>
  </si>
  <si>
    <t>$1,887,295</t>
  </si>
  <si>
    <t>Lucid Group Inc</t>
  </si>
  <si>
    <t>156,558</t>
  </si>
  <si>
    <t>$1,877,293</t>
  </si>
  <si>
    <t>33,719</t>
  </si>
  <si>
    <t>$1,880,154</t>
  </si>
  <si>
    <t>Open House Group Co Ltd</t>
  </si>
  <si>
    <t>31,400</t>
  </si>
  <si>
    <t>$1,861,429</t>
  </si>
  <si>
    <t>83,486</t>
  </si>
  <si>
    <t>$1,852,917</t>
  </si>
  <si>
    <t>ESR Cayman Ltd</t>
  </si>
  <si>
    <t>807,014</t>
  </si>
  <si>
    <t>$1,841,490</t>
  </si>
  <si>
    <t>Japan Post Insurance Co Ltd</t>
  </si>
  <si>
    <t>79,000</t>
  </si>
  <si>
    <t>$1,832,220</t>
  </si>
  <si>
    <t>Tosoh Corp</t>
  </si>
  <si>
    <t>103,000</t>
  </si>
  <si>
    <t>$1,828,371</t>
  </si>
  <si>
    <t>NGK Insulators Ltd</t>
  </si>
  <si>
    <t>98,068</t>
  </si>
  <si>
    <t>$1,825,423</t>
  </si>
  <si>
    <t>Venture Corp Ltd</t>
  </si>
  <si>
    <t>105,500</t>
  </si>
  <si>
    <t>$1,825,332</t>
  </si>
  <si>
    <t>40,426</t>
  </si>
  <si>
    <t>$1,810,103</t>
  </si>
  <si>
    <t>Monday.com Ltd</t>
  </si>
  <si>
    <t>6,502</t>
  </si>
  <si>
    <t>$1,810,493</t>
  </si>
  <si>
    <t>Kobayashi Pharmaceutical Co Ltd</t>
  </si>
  <si>
    <t>20,400</t>
  </si>
  <si>
    <t>$1,777,904</t>
  </si>
  <si>
    <t>Swire Properties Ltd</t>
  </si>
  <si>
    <t>482,509</t>
  </si>
  <si>
    <t>$1,777,245</t>
  </si>
  <si>
    <t>Hulic Co Ltd</t>
  </si>
  <si>
    <t>138,068</t>
  </si>
  <si>
    <t>$1,775,926</t>
  </si>
  <si>
    <t>941,100</t>
  </si>
  <si>
    <t>$1,771,020</t>
  </si>
  <si>
    <t>26,096</t>
  </si>
  <si>
    <t>$1,769,610</t>
  </si>
  <si>
    <t>Nomura Real Estate Holdings Inc</t>
  </si>
  <si>
    <t>47,285</t>
  </si>
  <si>
    <t>$1,765,018</t>
  </si>
  <si>
    <t>Hikari Tsushin Inc</t>
  </si>
  <si>
    <t>7,900</t>
  </si>
  <si>
    <t>$1,762,321</t>
  </si>
  <si>
    <t>405,827</t>
  </si>
  <si>
    <t>$1,761,629</t>
  </si>
  <si>
    <t>Oracle Corp Japan</t>
  </si>
  <si>
    <t>14,900</t>
  </si>
  <si>
    <t>$1,759,987</t>
  </si>
  <si>
    <t>British Land Co plc</t>
  </si>
  <si>
    <t>261,808</t>
  </si>
  <si>
    <t>$1,719,822</t>
  </si>
  <si>
    <t>Investment AB Latour Class B</t>
  </si>
  <si>
    <t>56,090</t>
  </si>
  <si>
    <t>$1,711,372</t>
  </si>
  <si>
    <t>73,811</t>
  </si>
  <si>
    <t>$1,710,592</t>
  </si>
  <si>
    <t>11,036</t>
  </si>
  <si>
    <t>$1,709,707</t>
  </si>
  <si>
    <t>Sirius XM Holdings Inc</t>
  </si>
  <si>
    <t>307,119</t>
  </si>
  <si>
    <t>$1,689,475</t>
  </si>
  <si>
    <t>Chewy Inc Class A</t>
  </si>
  <si>
    <t>36,926</t>
  </si>
  <si>
    <t>$1,682,682</t>
  </si>
  <si>
    <t>10,346</t>
  </si>
  <si>
    <t>$1,675,402</t>
  </si>
  <si>
    <t>Telecom Italia SPA (Registered)</t>
  </si>
  <si>
    <t>4,055,145</t>
  </si>
  <si>
    <t>$1,655,391</t>
  </si>
  <si>
    <t>Mercury NZ Ltd</t>
  </si>
  <si>
    <t>272,112</t>
  </si>
  <si>
    <t>$1,653,206</t>
  </si>
  <si>
    <t>66,300</t>
  </si>
  <si>
    <t>$1,615,160</t>
  </si>
  <si>
    <t>Albertsons Cos. Inc Class A</t>
  </si>
  <si>
    <t>51,215</t>
  </si>
  <si>
    <t>$1,611,276</t>
  </si>
  <si>
    <t>Nisshin Seifun Group Inc</t>
  </si>
  <si>
    <t>$1,597,024</t>
  </si>
  <si>
    <t>Xinyi Glass Holdings Ltd</t>
  </si>
  <si>
    <t>691,000</t>
  </si>
  <si>
    <t>$1,579,490</t>
  </si>
  <si>
    <t>Japan Airlines Co Ltd</t>
  </si>
  <si>
    <t>53,496</t>
  </si>
  <si>
    <t>$1,577,370</t>
  </si>
  <si>
    <t>Bezeq The Israeli Telecommunication Corp Ltd</t>
  </si>
  <si>
    <t>815,000</t>
  </si>
  <si>
    <t>$1,574,653</t>
  </si>
  <si>
    <t>7,167</t>
  </si>
  <si>
    <t>$1,566,439</t>
  </si>
  <si>
    <t>221,249</t>
  </si>
  <si>
    <t>$1,563,559</t>
  </si>
  <si>
    <t>BRP Inc</t>
  </si>
  <si>
    <t>14,231</t>
  </si>
  <si>
    <t>$1,561,304</t>
  </si>
  <si>
    <t>Wise plc Class A</t>
  </si>
  <si>
    <t>139,540</t>
  </si>
  <si>
    <t>$1,551,075</t>
  </si>
  <si>
    <t>Hitachi Construction Machinery Co Ltd</t>
  </si>
  <si>
    <t>40,600</t>
  </si>
  <si>
    <t>$1,549,163</t>
  </si>
  <si>
    <t>9,614</t>
  </si>
  <si>
    <t>$1,523,604</t>
  </si>
  <si>
    <t>Seatrium Ltd</t>
  </si>
  <si>
    <t>10,844,116</t>
  </si>
  <si>
    <t>$1,521,259</t>
  </si>
  <si>
    <t>IGM Financial Inc</t>
  </si>
  <si>
    <t>33,062</t>
  </si>
  <si>
    <t>$1,498,870</t>
  </si>
  <si>
    <t>Itochu Techno-Solutions Corp</t>
  </si>
  <si>
    <t>37,300</t>
  </si>
  <si>
    <t>$1,497,502</t>
  </si>
  <si>
    <t>Hakuhodo DY Holdings Inc</t>
  </si>
  <si>
    <t>92,430</t>
  </si>
  <si>
    <t>$1,494,556</t>
  </si>
  <si>
    <t>ZOZO Inc</t>
  </si>
  <si>
    <t>46,304</t>
  </si>
  <si>
    <t>$1,456,465</t>
  </si>
  <si>
    <t>SCSK Corp</t>
  </si>
  <si>
    <t>58,800</t>
  </si>
  <si>
    <t>$1,435,914</t>
  </si>
  <si>
    <t>SITC International Holdings Co Ltd</t>
  </si>
  <si>
    <t>532,000</t>
  </si>
  <si>
    <t>$1,428,173</t>
  </si>
  <si>
    <t>Azrieli Group Ltd</t>
  </si>
  <si>
    <t>17,528</t>
  </si>
  <si>
    <t>$1,422,793</t>
  </si>
  <si>
    <t>18,796</t>
  </si>
  <si>
    <t>$1,416,298</t>
  </si>
  <si>
    <t>115,881</t>
  </si>
  <si>
    <t>$1,396,696</t>
  </si>
  <si>
    <t>Oci Nv</t>
  </si>
  <si>
    <t>39,805</t>
  </si>
  <si>
    <t>$1,363,280</t>
  </si>
  <si>
    <t>RioCan REIT</t>
  </si>
  <si>
    <t>59,760</t>
  </si>
  <si>
    <t>$1,360,048</t>
  </si>
  <si>
    <t>Iida Group Holdings Co Ltd</t>
  </si>
  <si>
    <t>53,200</t>
  </si>
  <si>
    <t>$1,355,645</t>
  </si>
  <si>
    <t>Jardine Cycle &amp; Carriage Ltd</t>
  </si>
  <si>
    <t>36,700</t>
  </si>
  <si>
    <t>$1,353,242</t>
  </si>
  <si>
    <t>26,108</t>
  </si>
  <si>
    <t>$1,338,462</t>
  </si>
  <si>
    <t>Fastighets AB Balder Class B</t>
  </si>
  <si>
    <t>256,319</t>
  </si>
  <si>
    <t>$1,326,116</t>
  </si>
  <si>
    <t>MatsukiyoCocokara &amp; Co</t>
  </si>
  <si>
    <t>16,000</t>
  </si>
  <si>
    <t>$1,321,882</t>
  </si>
  <si>
    <t>Volvo Car AB Class B</t>
  </si>
  <si>
    <t>244,575</t>
  </si>
  <si>
    <t>$1,294,525</t>
  </si>
  <si>
    <t>Futu Holdings Ltd ADR</t>
  </si>
  <si>
    <t>22,530</t>
  </si>
  <si>
    <t>$1,283,251</t>
  </si>
  <si>
    <t>City Developments Ltd</t>
  </si>
  <si>
    <t>166,379</t>
  </si>
  <si>
    <t>$1,280,873</t>
  </si>
  <si>
    <t>Nippon Shinyaku Co Ltd</t>
  </si>
  <si>
    <t>18,100</t>
  </si>
  <si>
    <t>$1,277,178</t>
  </si>
  <si>
    <t>Adevinta ASA Class B</t>
  </si>
  <si>
    <t>117,506</t>
  </si>
  <si>
    <t>$1,266,123</t>
  </si>
  <si>
    <t>ROCKWOOL A/S Class B</t>
  </si>
  <si>
    <t>3,440</t>
  </si>
  <si>
    <t>$1,263,992</t>
  </si>
  <si>
    <t>54,654</t>
  </si>
  <si>
    <t>$1,264,282</t>
  </si>
  <si>
    <t>Koei Tecmo Holdings Co Ltd</t>
  </si>
  <si>
    <t>48,540</t>
  </si>
  <si>
    <t>$1,259,984</t>
  </si>
  <si>
    <t>54,074</t>
  </si>
  <si>
    <t>$1,250,865</t>
  </si>
  <si>
    <t>Welcia Holdings Co Ltd</t>
  </si>
  <si>
    <t>37,900</t>
  </si>
  <si>
    <t>$1,235,716</t>
  </si>
  <si>
    <t>Nuvei Corp</t>
  </si>
  <si>
    <t>25,346</t>
  </si>
  <si>
    <t>$1,227,148</t>
  </si>
  <si>
    <t>UOL Group Ltd</t>
  </si>
  <si>
    <t>168,266</t>
  </si>
  <si>
    <t>$1,218,636</t>
  </si>
  <si>
    <t>Liberty Global plc Class A</t>
  </si>
  <si>
    <t>42,168</t>
  </si>
  <si>
    <t>$1,062,101</t>
  </si>
  <si>
    <t>9,237</t>
  </si>
  <si>
    <t>$972,355</t>
  </si>
  <si>
    <t>Idemitsu Kosan Co Ltd</t>
  </si>
  <si>
    <t>29,858</t>
  </si>
  <si>
    <t>$894,255</t>
  </si>
  <si>
    <t>Embracer Group AB Class B</t>
  </si>
  <si>
    <t>243,153</t>
  </si>
  <si>
    <t>$861,509</t>
  </si>
  <si>
    <t>SEB SA (Loyalty Line 1)</t>
  </si>
  <si>
    <t>5,789</t>
  </si>
  <si>
    <t>$837,319</t>
  </si>
  <si>
    <t>Sharp Corp/Japan</t>
  </si>
  <si>
    <t>94,289</t>
  </si>
  <si>
    <t>$834,263</t>
  </si>
  <si>
    <t>EBOS Group Ltd</t>
  </si>
  <si>
    <t>20,187</t>
  </si>
  <si>
    <t>$786,725</t>
  </si>
  <si>
    <t>AT1</t>
  </si>
  <si>
    <t>Aroundtown SA</t>
  </si>
  <si>
    <t>408,435</t>
  </si>
  <si>
    <t>$659,389</t>
  </si>
  <si>
    <t>28,599</t>
  </si>
  <si>
    <t>$633,203</t>
  </si>
  <si>
    <t>Industrivarden AB Class A</t>
  </si>
  <si>
    <t>14,011</t>
  </si>
  <si>
    <t>$580,864</t>
  </si>
  <si>
    <t>3,055</t>
  </si>
  <si>
    <t>$441,874</t>
  </si>
  <si>
    <t>3,864</t>
  </si>
  <si>
    <t>$406,753</t>
  </si>
  <si>
    <t>13,755</t>
  </si>
  <si>
    <t>$402,172</t>
  </si>
  <si>
    <t>3,275</t>
  </si>
  <si>
    <t>$344,751</t>
  </si>
  <si>
    <t>CCJ</t>
  </si>
  <si>
    <t>4,490</t>
  </si>
  <si>
    <t>$193,157</t>
  </si>
  <si>
    <t>880</t>
  </si>
  <si>
    <t>$146,491</t>
  </si>
  <si>
    <t>895</t>
  </si>
  <si>
    <t>$148,988</t>
  </si>
  <si>
    <t>Sodexo SA - French Loyalty Line</t>
  </si>
  <si>
    <t>769</t>
  </si>
  <si>
    <t>$128,013</t>
  </si>
  <si>
    <t>598</t>
  </si>
  <si>
    <t>$86,495</t>
  </si>
  <si>
    <t>360</t>
  </si>
  <si>
    <t>$52,070</t>
  </si>
  <si>
    <t>SMCI</t>
  </si>
  <si>
    <t>Super Micro Computer Inc.</t>
  </si>
  <si>
    <t>JBL</t>
  </si>
  <si>
    <t>Jabil Inc.</t>
  </si>
  <si>
    <t>DKNG</t>
  </si>
  <si>
    <t>DraftKings Inc.</t>
  </si>
  <si>
    <t>FND</t>
  </si>
  <si>
    <t>Floor &amp; Decor Holdings Inc.</t>
  </si>
  <si>
    <t>MANH</t>
  </si>
  <si>
    <t>Manhattan Associates Inc.</t>
  </si>
  <si>
    <t>FIVE</t>
  </si>
  <si>
    <t>Five Below Inc.</t>
  </si>
  <si>
    <t>SAIA</t>
  </si>
  <si>
    <t>Saia Inc.</t>
  </si>
  <si>
    <t>LECO</t>
  </si>
  <si>
    <t>Lincoln Electric Holdings Inc.</t>
  </si>
  <si>
    <t>Tapestry Inc.</t>
  </si>
  <si>
    <t>PEN</t>
  </si>
  <si>
    <t>Penumbra Inc.</t>
  </si>
  <si>
    <t>REXR</t>
  </si>
  <si>
    <t>Rexford Industrial Realty Inc.</t>
  </si>
  <si>
    <t>PSTG</t>
  </si>
  <si>
    <t>Pure Storage Inc.</t>
  </si>
  <si>
    <t>RRX</t>
  </si>
  <si>
    <t>Regal Rexnord Corp.</t>
  </si>
  <si>
    <t>EME</t>
  </si>
  <si>
    <t>EMCOR Group Inc.</t>
  </si>
  <si>
    <t>SCI</t>
  </si>
  <si>
    <t>Service Corp. International/US</t>
  </si>
  <si>
    <t>CUBE</t>
  </si>
  <si>
    <t>CubeSmart</t>
  </si>
  <si>
    <t>UNM</t>
  </si>
  <si>
    <t>Unum Group</t>
  </si>
  <si>
    <t>NYCB</t>
  </si>
  <si>
    <t>New York Community Bancorp Inc.</t>
  </si>
  <si>
    <t>WSC</t>
  </si>
  <si>
    <t>WillScot Mobile Mini Holdings Corp.</t>
  </si>
  <si>
    <t>SWAV</t>
  </si>
  <si>
    <t>Shockwave Medical Inc.</t>
  </si>
  <si>
    <t>CASY</t>
  </si>
  <si>
    <t>Casey's General Stores Inc.</t>
  </si>
  <si>
    <t>Pinnacle West Capital Corp.</t>
  </si>
  <si>
    <t>Norwegian Cruise Line Holdings Ltd.</t>
  </si>
  <si>
    <t>RGA</t>
  </si>
  <si>
    <t>Reinsurance Group of America Inc.</t>
  </si>
  <si>
    <t>Melrose Industries plc</t>
  </si>
  <si>
    <t>WSM</t>
  </si>
  <si>
    <t>Williams-Sonoma Inc.</t>
  </si>
  <si>
    <t>TopBuild Corp.</t>
  </si>
  <si>
    <t>PFGC</t>
  </si>
  <si>
    <t>Performance Food Group Co.</t>
  </si>
  <si>
    <t>TTEK</t>
  </si>
  <si>
    <t>Tetra Tech Inc.</t>
  </si>
  <si>
    <t>SOFI</t>
  </si>
  <si>
    <t>SoFi Technologies Inc.</t>
  </si>
  <si>
    <t>BJ</t>
  </si>
  <si>
    <t>BJ's Wholesale Club Holdings Inc.</t>
  </si>
  <si>
    <t>EWBC</t>
  </si>
  <si>
    <t>East West Bancorp Inc.</t>
  </si>
  <si>
    <t>COLD</t>
  </si>
  <si>
    <t>Americold Realty Trust Inc.</t>
  </si>
  <si>
    <t>LAMR</t>
  </si>
  <si>
    <t>Lamar Advertising Co.</t>
  </si>
  <si>
    <t>USFD</t>
  </si>
  <si>
    <t>US Foods Holding Corp.</t>
  </si>
  <si>
    <t>IBKR</t>
  </si>
  <si>
    <t>Interactive Brokers Group Inc.</t>
  </si>
  <si>
    <t>AGCO</t>
  </si>
  <si>
    <t>AGCO Corp.</t>
  </si>
  <si>
    <t>SRPT</t>
  </si>
  <si>
    <t>Sarepta Therapeutics Inc.</t>
  </si>
  <si>
    <t>CLH</t>
  </si>
  <si>
    <t>Clean Harbors Inc.</t>
  </si>
  <si>
    <t>TOL</t>
  </si>
  <si>
    <t>Toll Brothers Inc.</t>
  </si>
  <si>
    <t>VRT</t>
  </si>
  <si>
    <t>Vertiv Holdings Co.</t>
  </si>
  <si>
    <t>NVT</t>
  </si>
  <si>
    <t>nVent Electric plc</t>
  </si>
  <si>
    <t>LAD</t>
  </si>
  <si>
    <t>Lithia Motors Inc.</t>
  </si>
  <si>
    <t>EGP</t>
  </si>
  <si>
    <t>EastGroup Properties Inc.</t>
  </si>
  <si>
    <t>INSP</t>
  </si>
  <si>
    <t>Inspire Medical Systems Inc.</t>
  </si>
  <si>
    <t>PII</t>
  </si>
  <si>
    <t>Polaris Inc.</t>
  </si>
  <si>
    <t>ATR</t>
  </si>
  <si>
    <t>AptarGroup Inc.</t>
  </si>
  <si>
    <t>KNSL</t>
  </si>
  <si>
    <t>Kinsale Capital Group Inc.</t>
  </si>
  <si>
    <t>ITT</t>
  </si>
  <si>
    <t>ITT Inc.</t>
  </si>
  <si>
    <t>FTI</t>
  </si>
  <si>
    <t>TechnipFMC plc</t>
  </si>
  <si>
    <t>WEX</t>
  </si>
  <si>
    <t>WEX Inc.</t>
  </si>
  <si>
    <t>CACI</t>
  </si>
  <si>
    <t>CACI International Inc.</t>
  </si>
  <si>
    <t>KBR</t>
  </si>
  <si>
    <t>KBR Inc.</t>
  </si>
  <si>
    <t>WMS</t>
  </si>
  <si>
    <t>Advanced Drainage Systems Inc.</t>
  </si>
  <si>
    <t>BERY</t>
  </si>
  <si>
    <t>Berry Global Group Inc.</t>
  </si>
  <si>
    <t>LFUS</t>
  </si>
  <si>
    <t>Littelfuse Inc.</t>
  </si>
  <si>
    <t>RRC</t>
  </si>
  <si>
    <t>Range Resources Corp.</t>
  </si>
  <si>
    <t>STN</t>
  </si>
  <si>
    <t>Stantec Inc.</t>
  </si>
  <si>
    <t>CHDN</t>
  </si>
  <si>
    <t>Churchill Downs Inc.</t>
  </si>
  <si>
    <t>XPO</t>
  </si>
  <si>
    <t>XPO Inc.</t>
  </si>
  <si>
    <t>WCC</t>
  </si>
  <si>
    <t>WESCO International Inc.</t>
  </si>
  <si>
    <t>NATI</t>
  </si>
  <si>
    <t>National Instruments Corp.</t>
  </si>
  <si>
    <t>SITE</t>
  </si>
  <si>
    <t>SiteOne Landscape Supply Inc.</t>
  </si>
  <si>
    <t>JLL</t>
  </si>
  <si>
    <t>Jones Lang LaSalle Inc.</t>
  </si>
  <si>
    <t>RGLD</t>
  </si>
  <si>
    <t>Royal Gold Inc.</t>
  </si>
  <si>
    <t>NOV</t>
  </si>
  <si>
    <t>NOV Inc.</t>
  </si>
  <si>
    <t>TREX</t>
  </si>
  <si>
    <t>Trex Co. Inc.</t>
  </si>
  <si>
    <t>GPK</t>
  </si>
  <si>
    <t>Graphic Packaging Holding Co.</t>
  </si>
  <si>
    <t>GXO</t>
  </si>
  <si>
    <t>GXO Logistics Inc.</t>
  </si>
  <si>
    <t>MIDD</t>
  </si>
  <si>
    <t>Middleby Corp.</t>
  </si>
  <si>
    <t>Old Republic International Corp.</t>
  </si>
  <si>
    <t>OLN</t>
  </si>
  <si>
    <t>Olin Corp.</t>
  </si>
  <si>
    <t>First Industrial Realty Trust Inc.</t>
  </si>
  <si>
    <t>CHE</t>
  </si>
  <si>
    <t>Chemed Corp.</t>
  </si>
  <si>
    <t>PRI</t>
  </si>
  <si>
    <t>Primerica Inc.</t>
  </si>
  <si>
    <t>WH</t>
  </si>
  <si>
    <t>Wyndham Hotels &amp; Resorts Inc.</t>
  </si>
  <si>
    <t>GTLS</t>
  </si>
  <si>
    <t>Chart Industries Inc.</t>
  </si>
  <si>
    <t>NNN</t>
  </si>
  <si>
    <t>NNN REIT Inc.</t>
  </si>
  <si>
    <t>AXTA</t>
  </si>
  <si>
    <t>Axalta Coating Systems Ltd.</t>
  </si>
  <si>
    <t>DCI</t>
  </si>
  <si>
    <t>Donaldson Co. Inc.</t>
  </si>
  <si>
    <t>THC</t>
  </si>
  <si>
    <t>Tenet Healthcare Corp.</t>
  </si>
  <si>
    <t>MTZ</t>
  </si>
  <si>
    <t>MasTec Inc.</t>
  </si>
  <si>
    <t>TPX</t>
  </si>
  <si>
    <t>Tempur Sealy International Inc.</t>
  </si>
  <si>
    <t>MAT</t>
  </si>
  <si>
    <t>Mattel Inc.</t>
  </si>
  <si>
    <t>PDCE</t>
  </si>
  <si>
    <t>PDC Energy Inc.</t>
  </si>
  <si>
    <t>OHI</t>
  </si>
  <si>
    <t>Omega Healthcare Investors Inc.</t>
  </si>
  <si>
    <t>BRX</t>
  </si>
  <si>
    <t>Brixmor Property Group Inc.</t>
  </si>
  <si>
    <t>ACHC</t>
  </si>
  <si>
    <t>Acadia Healthcare Co. Inc.</t>
  </si>
  <si>
    <t>SKX</t>
  </si>
  <si>
    <t>Skechers USA Inc.</t>
  </si>
  <si>
    <t>LSTR</t>
  </si>
  <si>
    <t>Landstar System Inc.</t>
  </si>
  <si>
    <t>GWRE</t>
  </si>
  <si>
    <t>Guidewire Software Inc.</t>
  </si>
  <si>
    <t>RH</t>
  </si>
  <si>
    <t>TXRH</t>
  </si>
  <si>
    <t>Texas Roadhouse Inc.</t>
  </si>
  <si>
    <t>AR</t>
  </si>
  <si>
    <t>Antero Resources Corp.</t>
  </si>
  <si>
    <t>SSD</t>
  </si>
  <si>
    <t>Simpson Manufacturing Co. Inc.</t>
  </si>
  <si>
    <t>INGR</t>
  </si>
  <si>
    <t>Ingredion Inc.</t>
  </si>
  <si>
    <t>SAIC</t>
  </si>
  <si>
    <t>Science Applications International Corp.</t>
  </si>
  <si>
    <t>BRKR</t>
  </si>
  <si>
    <t>Bruker Corp.</t>
  </si>
  <si>
    <t>CHRD</t>
  </si>
  <si>
    <t>Oasis Petroleum Inc.</t>
  </si>
  <si>
    <t>Curtiss-Wright Corp.</t>
  </si>
  <si>
    <t>OGE</t>
  </si>
  <si>
    <t>OGE Energy Corp.</t>
  </si>
  <si>
    <t>OLED</t>
  </si>
  <si>
    <t>Universal Display Corp.</t>
  </si>
  <si>
    <t>SAB</t>
  </si>
  <si>
    <t>Banco de Sabadell SA</t>
  </si>
  <si>
    <t>NXST</t>
  </si>
  <si>
    <t>Nexstar Media Group Inc.</t>
  </si>
  <si>
    <t>BC</t>
  </si>
  <si>
    <t>Brunswick Corp./DE</t>
  </si>
  <si>
    <t>NTNX</t>
  </si>
  <si>
    <t>Nutanix Inc.</t>
  </si>
  <si>
    <t>SF</t>
  </si>
  <si>
    <t>Stifel Financial Corp.</t>
  </si>
  <si>
    <t>NYT</t>
  </si>
  <si>
    <t>New York Times Co.</t>
  </si>
  <si>
    <t>SWN</t>
  </si>
  <si>
    <t>Southwestern Energy Co.</t>
  </si>
  <si>
    <t>CHX</t>
  </si>
  <si>
    <t>ChampionX Corp.</t>
  </si>
  <si>
    <t>FAF</t>
  </si>
  <si>
    <t>First American Financial Corp.</t>
  </si>
  <si>
    <t>COHR</t>
  </si>
  <si>
    <t>Coherent Corp.</t>
  </si>
  <si>
    <t>WWD</t>
  </si>
  <si>
    <t>Woodward Inc.</t>
  </si>
  <si>
    <t>RMBS</t>
  </si>
  <si>
    <t>Rambus Inc.</t>
  </si>
  <si>
    <t>STAG</t>
  </si>
  <si>
    <t>STAG Industrial Inc.</t>
  </si>
  <si>
    <t>JEF</t>
  </si>
  <si>
    <t>Jefferies Financial Group Inc.</t>
  </si>
  <si>
    <t>Cullen/Frost Bankers Inc.</t>
  </si>
  <si>
    <t>EXP</t>
  </si>
  <si>
    <t>Eagle Materials Inc.</t>
  </si>
  <si>
    <t>CROX</t>
  </si>
  <si>
    <t>Crocs Inc.</t>
  </si>
  <si>
    <t>EXEL</t>
  </si>
  <si>
    <t>Exelixis Inc.</t>
  </si>
  <si>
    <t>MKSI</t>
  </si>
  <si>
    <t>MKS Instruments Inc.</t>
  </si>
  <si>
    <t>EHC</t>
  </si>
  <si>
    <t>Encompass Health Corp.</t>
  </si>
  <si>
    <t>MORN</t>
  </si>
  <si>
    <t>Morningstar Inc.</t>
  </si>
  <si>
    <t>OSK</t>
  </si>
  <si>
    <t>Oshkosh Corp.</t>
  </si>
  <si>
    <t>WEIR</t>
  </si>
  <si>
    <t>Weir Group plc</t>
  </si>
  <si>
    <t>MUSA</t>
  </si>
  <si>
    <t>Murphy USA Inc.</t>
  </si>
  <si>
    <t>NOVT</t>
  </si>
  <si>
    <t>Novanta Inc.</t>
  </si>
  <si>
    <t>THO</t>
  </si>
  <si>
    <t>Thor Industries Inc.</t>
  </si>
  <si>
    <t>CMC</t>
  </si>
  <si>
    <t>Commercial Metals Co.</t>
  </si>
  <si>
    <t>SPSC</t>
  </si>
  <si>
    <t>SPS Commerce Inc.</t>
  </si>
  <si>
    <t>RBC</t>
  </si>
  <si>
    <t>RBC Bearings Inc.</t>
  </si>
  <si>
    <t>STWD</t>
  </si>
  <si>
    <t>Starwood Property Trust Inc.</t>
  </si>
  <si>
    <t>MEDP</t>
  </si>
  <si>
    <t>Medpace Holdings Inc.</t>
  </si>
  <si>
    <t>TDC</t>
  </si>
  <si>
    <t>Teradata Corp.</t>
  </si>
  <si>
    <t>Ralph Lauren Corp.</t>
  </si>
  <si>
    <t>ATKR</t>
  </si>
  <si>
    <t>Atkore Inc.</t>
  </si>
  <si>
    <t>ACLS</t>
  </si>
  <si>
    <t>Axcelis Technologies Inc.</t>
  </si>
  <si>
    <t>TKR</t>
  </si>
  <si>
    <t>Timken Co.</t>
  </si>
  <si>
    <t>FIX</t>
  </si>
  <si>
    <t>Comfort Systems USA Inc.</t>
  </si>
  <si>
    <t>MTDR</t>
  </si>
  <si>
    <t>Matador Resources Co.</t>
  </si>
  <si>
    <t>MSA</t>
  </si>
  <si>
    <t>MSA Safety Inc.</t>
  </si>
  <si>
    <t>LNW</t>
  </si>
  <si>
    <t>Light &amp; Wonder Inc.</t>
  </si>
  <si>
    <t>ATI</t>
  </si>
  <si>
    <t>ATI Inc.</t>
  </si>
  <si>
    <t>UFPI</t>
  </si>
  <si>
    <t>UFP Industries Inc.</t>
  </si>
  <si>
    <t>MUR</t>
  </si>
  <si>
    <t>Murphy Oil Corp.</t>
  </si>
  <si>
    <t>CIEN</t>
  </si>
  <si>
    <t>Ciena Corp.</t>
  </si>
  <si>
    <t>BWXT</t>
  </si>
  <si>
    <t>BWX Technologies Inc.</t>
  </si>
  <si>
    <t>DXC Technology Co.</t>
  </si>
  <si>
    <t>CELH</t>
  </si>
  <si>
    <t>Celsius Holdings Inc.</t>
  </si>
  <si>
    <t>FIVN</t>
  </si>
  <si>
    <t>Five9 Inc.</t>
  </si>
  <si>
    <t>United States Steel Corp.</t>
  </si>
  <si>
    <t>FCN</t>
  </si>
  <si>
    <t>FTI Consulting Inc.</t>
  </si>
  <si>
    <t>IAC</t>
  </si>
  <si>
    <t>IAC Inc.</t>
  </si>
  <si>
    <t>ONTO</t>
  </si>
  <si>
    <t>Onto Innovation Inc.</t>
  </si>
  <si>
    <t>PNFP</t>
  </si>
  <si>
    <t>Pinnacle Financial Partners Inc.</t>
  </si>
  <si>
    <t>ELF</t>
  </si>
  <si>
    <t>elf Beauty Inc.</t>
  </si>
  <si>
    <t>POWI</t>
  </si>
  <si>
    <t>Power Integrations Inc.</t>
  </si>
  <si>
    <t>SIGI</t>
  </si>
  <si>
    <t>Selective Insurance Group Inc.</t>
  </si>
  <si>
    <t>LNTH</t>
  </si>
  <si>
    <t>Lantheus Holdings Inc.</t>
  </si>
  <si>
    <t>AIRC</t>
  </si>
  <si>
    <t>Apartment Income REIT Corp.</t>
  </si>
  <si>
    <t>LPX</t>
  </si>
  <si>
    <t>Louisiana-Pacific Corp.</t>
  </si>
  <si>
    <t>DTM</t>
  </si>
  <si>
    <t>DT Midstream Inc.</t>
  </si>
  <si>
    <t>SSB</t>
  </si>
  <si>
    <t>SouthState Corp.</t>
  </si>
  <si>
    <t>SNC</t>
  </si>
  <si>
    <t>SNC-Lavalin Group Inc.</t>
  </si>
  <si>
    <t>MKS</t>
  </si>
  <si>
    <t>Marks &amp; Spencer Group plc</t>
  </si>
  <si>
    <t>ESNT</t>
  </si>
  <si>
    <t>Essent Group Ltd.</t>
  </si>
  <si>
    <t>BFAM</t>
  </si>
  <si>
    <t>Bright Horizons Family Solutions Inc.</t>
  </si>
  <si>
    <t>IRDM</t>
  </si>
  <si>
    <t>Iridium Communications Inc.</t>
  </si>
  <si>
    <t>GME</t>
  </si>
  <si>
    <t>GameStop Corp.</t>
  </si>
  <si>
    <t>agilon health Inc.</t>
  </si>
  <si>
    <t>RIG</t>
  </si>
  <si>
    <t>Transocean Ltd.</t>
  </si>
  <si>
    <t>HXL</t>
  </si>
  <si>
    <t>Hexcel Corp.</t>
  </si>
  <si>
    <t>BYD</t>
  </si>
  <si>
    <t>Boyd Gaming Corp.</t>
  </si>
  <si>
    <t>AN</t>
  </si>
  <si>
    <t>AutoNation Inc.</t>
  </si>
  <si>
    <t>HALO</t>
  </si>
  <si>
    <t>Halozyme Therapeutics Inc.</t>
  </si>
  <si>
    <t>KRTX</t>
  </si>
  <si>
    <t>Karuna Therapeutics Inc.</t>
  </si>
  <si>
    <t>WAL</t>
  </si>
  <si>
    <t>Western Alliance Bancorp</t>
  </si>
  <si>
    <t>NVST</t>
  </si>
  <si>
    <t>Envista Holdings Corp.</t>
  </si>
  <si>
    <t>EVR</t>
  </si>
  <si>
    <t>Evercore Inc.</t>
  </si>
  <si>
    <t>MPW</t>
  </si>
  <si>
    <t>Medical Properties Trust Inc.</t>
  </si>
  <si>
    <t>Univar Solutions Inc.</t>
  </si>
  <si>
    <t>PVH</t>
  </si>
  <si>
    <t>PVH Corp.</t>
  </si>
  <si>
    <t>SMAR</t>
  </si>
  <si>
    <t>Smartsheet Inc.</t>
  </si>
  <si>
    <t>HQY</t>
  </si>
  <si>
    <t>HealthEquity Inc.</t>
  </si>
  <si>
    <t>ZWS</t>
  </si>
  <si>
    <t>Zurn Elkay Water Solutions Corp.</t>
  </si>
  <si>
    <t>GAW</t>
  </si>
  <si>
    <t>Games Workshop Group plc</t>
  </si>
  <si>
    <t>ADC</t>
  </si>
  <si>
    <t>Agree Realty Corp.</t>
  </si>
  <si>
    <t>W</t>
  </si>
  <si>
    <t>Wayfair Inc.</t>
  </si>
  <si>
    <t>PB</t>
  </si>
  <si>
    <t>Prosperity Bancshares Inc.</t>
  </si>
  <si>
    <t>PLNT</t>
  </si>
  <si>
    <t>Planet Fitness Inc.</t>
  </si>
  <si>
    <t>PCOR</t>
  </si>
  <si>
    <t>Procore Technologies Inc.</t>
  </si>
  <si>
    <t>SRC</t>
  </si>
  <si>
    <t>Spirit Realty Capital Inc.</t>
  </si>
  <si>
    <t>LDO</t>
  </si>
  <si>
    <t>Leonardo SPA</t>
  </si>
  <si>
    <t>IONS</t>
  </si>
  <si>
    <t>Ionis Pharmaceuticals Inc.</t>
  </si>
  <si>
    <t>SON</t>
  </si>
  <si>
    <t>Sonoco Products Co.</t>
  </si>
  <si>
    <t>AEIS</t>
  </si>
  <si>
    <t>Advanced Energy Industries Inc.</t>
  </si>
  <si>
    <t>DPLM</t>
  </si>
  <si>
    <t>Diploma plc</t>
  </si>
  <si>
    <t>AYI</t>
  </si>
  <si>
    <t>Acuity Brands Inc.</t>
  </si>
  <si>
    <t>VMI</t>
  </si>
  <si>
    <t>Valmont Industries Inc.</t>
  </si>
  <si>
    <t>AIT</t>
  </si>
  <si>
    <t>Applied Industrial Technologies Inc.</t>
  </si>
  <si>
    <t>DLB</t>
  </si>
  <si>
    <t>Dolby Laboratories Inc.</t>
  </si>
  <si>
    <t>ADDT B</t>
  </si>
  <si>
    <t>AddTech AB</t>
  </si>
  <si>
    <t>TENB</t>
  </si>
  <si>
    <t>Tenable Holdings Inc.</t>
  </si>
  <si>
    <t>OPCH</t>
  </si>
  <si>
    <t>Option Care Health Inc.</t>
  </si>
  <si>
    <t>AMG</t>
  </si>
  <si>
    <t>Affiliated Managers Group Inc.</t>
  </si>
  <si>
    <t>TXG</t>
  </si>
  <si>
    <t>10X Genomics Inc.</t>
  </si>
  <si>
    <t>MTH</t>
  </si>
  <si>
    <t>Meritage Homes Corp.</t>
  </si>
  <si>
    <t>ITCI</t>
  </si>
  <si>
    <t>Intra-Cellular Therapies Inc.</t>
  </si>
  <si>
    <t>RLI</t>
  </si>
  <si>
    <t>RLI Corp.</t>
  </si>
  <si>
    <t>WFRD</t>
  </si>
  <si>
    <t>Weatherford International plc</t>
  </si>
  <si>
    <t>CC</t>
  </si>
  <si>
    <t>Chemours Co.</t>
  </si>
  <si>
    <t>ESTC</t>
  </si>
  <si>
    <t>Elastic NV</t>
  </si>
  <si>
    <t>ALSN</t>
  </si>
  <si>
    <t>Allison Transmission Holdings Inc.</t>
  </si>
  <si>
    <t>IMI</t>
  </si>
  <si>
    <t>IMI plc</t>
  </si>
  <si>
    <t>PBF</t>
  </si>
  <si>
    <t>PBF Energy Inc.</t>
  </si>
  <si>
    <t>HRB</t>
  </si>
  <si>
    <t>H&amp;R Block Inc.</t>
  </si>
  <si>
    <t>WK</t>
  </si>
  <si>
    <t>Workiva Inc.</t>
  </si>
  <si>
    <t>BPOP</t>
  </si>
  <si>
    <t>Popular Inc.</t>
  </si>
  <si>
    <t>PR</t>
  </si>
  <si>
    <t>2768</t>
  </si>
  <si>
    <t>Sojitz Corp.</t>
  </si>
  <si>
    <t>GMED</t>
  </si>
  <si>
    <t>Globus Medical Inc.</t>
  </si>
  <si>
    <t>SLAB</t>
  </si>
  <si>
    <t>Silicon Laboratories Inc.</t>
  </si>
  <si>
    <t>OZK</t>
  </si>
  <si>
    <t>Bank OZK</t>
  </si>
  <si>
    <t>AL</t>
  </si>
  <si>
    <t>Air Lease Corp.</t>
  </si>
  <si>
    <t>NFG</t>
  </si>
  <si>
    <t>National Fuel Gas Co.</t>
  </si>
  <si>
    <t>AVT</t>
  </si>
  <si>
    <t>Avnet Inc.</t>
  </si>
  <si>
    <t>WTFC</t>
  </si>
  <si>
    <t>Wintrust Financial Corp.</t>
  </si>
  <si>
    <t>Avis Budget Group Inc.</t>
  </si>
  <si>
    <t>PRGO</t>
  </si>
  <si>
    <t>Perrigo Co. plc</t>
  </si>
  <si>
    <t>ENS</t>
  </si>
  <si>
    <t>EnerSys</t>
  </si>
  <si>
    <t>FTT</t>
  </si>
  <si>
    <t>Finning International Inc.</t>
  </si>
  <si>
    <t>Crescent Point Energy Corp.</t>
  </si>
  <si>
    <t>NEOG</t>
  </si>
  <si>
    <t>Neogen Corp.</t>
  </si>
  <si>
    <t>BMI</t>
  </si>
  <si>
    <t>Badger Meter Inc.</t>
  </si>
  <si>
    <t>HOG</t>
  </si>
  <si>
    <t>Harley-Davidson Inc.</t>
  </si>
  <si>
    <t>TMHC</t>
  </si>
  <si>
    <t>Taylor Morrison Home Corp.</t>
  </si>
  <si>
    <t>UPST</t>
  </si>
  <si>
    <t>Upstart Holdings Inc.</t>
  </si>
  <si>
    <t>ENSG</t>
  </si>
  <si>
    <t>Ensign Group Inc.</t>
  </si>
  <si>
    <t>OMF</t>
  </si>
  <si>
    <t>OneMain Holdings Inc.</t>
  </si>
  <si>
    <t>EXLS</t>
  </si>
  <si>
    <t>ExlService Holdings Inc.</t>
  </si>
  <si>
    <t>Houlihan Lokey Inc.</t>
  </si>
  <si>
    <t>NEWR</t>
  </si>
  <si>
    <t>New Relic Inc.</t>
  </si>
  <si>
    <t>IDA</t>
  </si>
  <si>
    <t>IDACORP Inc.</t>
  </si>
  <si>
    <t>TDOC</t>
  </si>
  <si>
    <t>Teladoc Health Inc.</t>
  </si>
  <si>
    <t>VVV</t>
  </si>
  <si>
    <t>Valvoline Inc.</t>
  </si>
  <si>
    <t>R</t>
  </si>
  <si>
    <t>Ryder System Inc.</t>
  </si>
  <si>
    <t>KRG</t>
  </si>
  <si>
    <t>Kite Realty Group Trust</t>
  </si>
  <si>
    <t>BIPC</t>
  </si>
  <si>
    <t>Brookfield Infrastructure Corp.</t>
  </si>
  <si>
    <t>NSIT</t>
  </si>
  <si>
    <t>Insight Enterprises Inc.</t>
  </si>
  <si>
    <t>HUN</t>
  </si>
  <si>
    <t>Huntsman Corp.</t>
  </si>
  <si>
    <t>Maximus Inc.</t>
  </si>
  <si>
    <t>VAC</t>
  </si>
  <si>
    <t>Marriott Vacations Worldwide Corp.</t>
  </si>
  <si>
    <t>WTS</t>
  </si>
  <si>
    <t>Watts Water Technologies Inc.</t>
  </si>
  <si>
    <t>FLS</t>
  </si>
  <si>
    <t>Flowserve Corp.</t>
  </si>
  <si>
    <t>BRBR</t>
  </si>
  <si>
    <t>BellRing Brands Inc.</t>
  </si>
  <si>
    <t>ALKS</t>
  </si>
  <si>
    <t>Alkermes plc</t>
  </si>
  <si>
    <t>FUL</t>
  </si>
  <si>
    <t>HB Fuller Co.</t>
  </si>
  <si>
    <t>KBH</t>
  </si>
  <si>
    <t>KB Home</t>
  </si>
  <si>
    <t>WU</t>
  </si>
  <si>
    <t>Western Union Co.</t>
  </si>
  <si>
    <t>ONB</t>
  </si>
  <si>
    <t>Old National Bancorp/IN</t>
  </si>
  <si>
    <t>TRNO</t>
  </si>
  <si>
    <t>Terreno Realty Corp.</t>
  </si>
  <si>
    <t>TRTN</t>
  </si>
  <si>
    <t>Triton International Ltd.</t>
  </si>
  <si>
    <t>WCP</t>
  </si>
  <si>
    <t>Whitecap Resources Inc.</t>
  </si>
  <si>
    <t>RHP</t>
  </si>
  <si>
    <t>Ryman Hospitality Properties Inc.</t>
  </si>
  <si>
    <t>NEP</t>
  </si>
  <si>
    <t>NextEra Energy Partners LP</t>
  </si>
  <si>
    <t>CPRI</t>
  </si>
  <si>
    <t>Capri Holdings Ltd.</t>
  </si>
  <si>
    <t>VG</t>
  </si>
  <si>
    <t>ATE</t>
  </si>
  <si>
    <t>Alten SA</t>
  </si>
  <si>
    <t>MSTR</t>
  </si>
  <si>
    <t>MicroStrategy Inc.</t>
  </si>
  <si>
    <t>GT</t>
  </si>
  <si>
    <t>Goodyear Tire &amp; Rubber Co.</t>
  </si>
  <si>
    <t>SNV</t>
  </si>
  <si>
    <t>Synovus Financial Corp.</t>
  </si>
  <si>
    <t>WING</t>
  </si>
  <si>
    <t>Wingstop Inc.</t>
  </si>
  <si>
    <t>AGI</t>
  </si>
  <si>
    <t>Alamos Gold Inc.</t>
  </si>
  <si>
    <t>LNC</t>
  </si>
  <si>
    <t>Lincoln National Corp.</t>
  </si>
  <si>
    <t>QLYS</t>
  </si>
  <si>
    <t>Qualys Inc.</t>
  </si>
  <si>
    <t>FLO</t>
  </si>
  <si>
    <t>Flowers Foods Inc.</t>
  </si>
  <si>
    <t>VAL</t>
  </si>
  <si>
    <t>Valaris Ltd.</t>
  </si>
  <si>
    <t>SXS</t>
  </si>
  <si>
    <t>Spectris plc</t>
  </si>
  <si>
    <t>Vontier Corp.</t>
  </si>
  <si>
    <t>HOMB</t>
  </si>
  <si>
    <t>Home BancShares Inc./AR</t>
  </si>
  <si>
    <t>AXS</t>
  </si>
  <si>
    <t>Axis Capital Holdings Ltd.</t>
  </si>
  <si>
    <t>BCPC</t>
  </si>
  <si>
    <t>Balchem Corp.</t>
  </si>
  <si>
    <t>MSM</t>
  </si>
  <si>
    <t>MSC Industrial Direct Co. Inc.</t>
  </si>
  <si>
    <t>NTRA</t>
  </si>
  <si>
    <t>Natera Inc.</t>
  </si>
  <si>
    <t>RITM</t>
  </si>
  <si>
    <t>Rithm Capital Corp.</t>
  </si>
  <si>
    <t>ESI</t>
  </si>
  <si>
    <t>Element Solutions Inc.</t>
  </si>
  <si>
    <t>SHLS</t>
  </si>
  <si>
    <t>Shoals Technologies Group Inc.</t>
  </si>
  <si>
    <t>FN</t>
  </si>
  <si>
    <t>Fabrinet</t>
  </si>
  <si>
    <t>EEFT</t>
  </si>
  <si>
    <t>Euronet Worldwide Inc.</t>
  </si>
  <si>
    <t>APP</t>
  </si>
  <si>
    <t>AppLovin Corp.</t>
  </si>
  <si>
    <t>MTG</t>
  </si>
  <si>
    <t>MGIC Investment Corp.</t>
  </si>
  <si>
    <t>RYN</t>
  </si>
  <si>
    <t>Rayonier Inc.</t>
  </si>
  <si>
    <t>COLB</t>
  </si>
  <si>
    <t>Columbia Banking System Inc.</t>
  </si>
  <si>
    <t>DIOD</t>
  </si>
  <si>
    <t>Diodes Inc.</t>
  </si>
  <si>
    <t>VLY</t>
  </si>
  <si>
    <t>Valley National Bancorp</t>
  </si>
  <si>
    <t>RETA</t>
  </si>
  <si>
    <t>Reata Pharmaceuticals Inc.</t>
  </si>
  <si>
    <t>ASO</t>
  </si>
  <si>
    <t>Academy Sports &amp; Outdoors Inc.</t>
  </si>
  <si>
    <t>ALTR</t>
  </si>
  <si>
    <t>Altair Engineering Inc.</t>
  </si>
  <si>
    <t>AALB</t>
  </si>
  <si>
    <t>Aalberts NV</t>
  </si>
  <si>
    <t>MEG</t>
  </si>
  <si>
    <t>MEG Energy Corp.</t>
  </si>
  <si>
    <t>HAE</t>
  </si>
  <si>
    <t>Haemonetics Corp.</t>
  </si>
  <si>
    <t>Asbury Automotive Group Inc.</t>
  </si>
  <si>
    <t>FOXF</t>
  </si>
  <si>
    <t>Fox Factory Holding Corp.</t>
  </si>
  <si>
    <t>APG</t>
  </si>
  <si>
    <t>API Group Corp.</t>
  </si>
  <si>
    <t>BCC</t>
  </si>
  <si>
    <t>Boise Cascade Co.</t>
  </si>
  <si>
    <t>AAON</t>
  </si>
  <si>
    <t>AAON Inc.</t>
  </si>
  <si>
    <t>ASH</t>
  </si>
  <si>
    <t>Ashland Inc.</t>
  </si>
  <si>
    <t>TEX</t>
  </si>
  <si>
    <t>Terex Corp.</t>
  </si>
  <si>
    <t>POST</t>
  </si>
  <si>
    <t>Post Holdings Inc.</t>
  </si>
  <si>
    <t>INVP</t>
  </si>
  <si>
    <t>Investec plc</t>
  </si>
  <si>
    <t>SWX</t>
  </si>
  <si>
    <t>Southwest Gas Holdings Inc.</t>
  </si>
  <si>
    <t>M</t>
  </si>
  <si>
    <t>Macy's Inc.</t>
  </si>
  <si>
    <t>CADE</t>
  </si>
  <si>
    <t>Cadence Bank</t>
  </si>
  <si>
    <t>NCR</t>
  </si>
  <si>
    <t>NCR Corp.</t>
  </si>
  <si>
    <t>PENN</t>
  </si>
  <si>
    <t>Penn Entertainment Inc.</t>
  </si>
  <si>
    <t>WWE</t>
  </si>
  <si>
    <t>World Wrestling Entertainment Inc.</t>
  </si>
  <si>
    <t>CRSP</t>
  </si>
  <si>
    <t>CRISPR Therapeutics AG</t>
  </si>
  <si>
    <t>PCH</t>
  </si>
  <si>
    <t>PotlatchDeltic Corp.</t>
  </si>
  <si>
    <t>LTHM</t>
  </si>
  <si>
    <t>Livent Corp.</t>
  </si>
  <si>
    <t>BOX</t>
  </si>
  <si>
    <t>Box Inc.</t>
  </si>
  <si>
    <t>HP</t>
  </si>
  <si>
    <t>Helmerich &amp; Payne Inc.</t>
  </si>
  <si>
    <t>SIM</t>
  </si>
  <si>
    <t>SimCorp A/S</t>
  </si>
  <si>
    <t>SM Energy Co.</t>
  </si>
  <si>
    <t>AMN</t>
  </si>
  <si>
    <t>AMN Healthcare Services Inc.</t>
  </si>
  <si>
    <t>AIXA</t>
  </si>
  <si>
    <t>AIXTRON SE</t>
  </si>
  <si>
    <t>FNB</t>
  </si>
  <si>
    <t>FNB Corp./PA</t>
  </si>
  <si>
    <t>BOSS</t>
  </si>
  <si>
    <t>HUGO BOSS AG</t>
  </si>
  <si>
    <t>EXPO</t>
  </si>
  <si>
    <t>Exponent Inc.</t>
  </si>
  <si>
    <t>CRUS</t>
  </si>
  <si>
    <t>Cirrus Logic Inc.</t>
  </si>
  <si>
    <t>UBSI</t>
  </si>
  <si>
    <t>United Bankshares Inc./WV</t>
  </si>
  <si>
    <t>SLM Corp.</t>
  </si>
  <si>
    <t>CR</t>
  </si>
  <si>
    <t>Crane Co.</t>
  </si>
  <si>
    <t>FFIN</t>
  </si>
  <si>
    <t>First Financial Bankshares Inc.</t>
  </si>
  <si>
    <t>COTY</t>
  </si>
  <si>
    <t>Coty Inc.</t>
  </si>
  <si>
    <t>BBD.B</t>
  </si>
  <si>
    <t>Bombardier Inc.</t>
  </si>
  <si>
    <t>GXI</t>
  </si>
  <si>
    <t>Gerresheimer AG</t>
  </si>
  <si>
    <t>CNMD</t>
  </si>
  <si>
    <t>CONMED Corp.</t>
  </si>
  <si>
    <t>SNX</t>
  </si>
  <si>
    <t>TD SYNNEX Corp.</t>
  </si>
  <si>
    <t>ADNT</t>
  </si>
  <si>
    <t>Adient plc</t>
  </si>
  <si>
    <t>BECN</t>
  </si>
  <si>
    <t>Beacon Roofing Supply Inc.</t>
  </si>
  <si>
    <t>SYNH</t>
  </si>
  <si>
    <t>Syneos Health Inc.</t>
  </si>
  <si>
    <t>IPGP</t>
  </si>
  <si>
    <t>IPG Photonics Corp.</t>
  </si>
  <si>
    <t>BTO</t>
  </si>
  <si>
    <t>B2Gold Corp.</t>
  </si>
  <si>
    <t>DEN</t>
  </si>
  <si>
    <t>Denbury Inc.</t>
  </si>
  <si>
    <t>CHH</t>
  </si>
  <si>
    <t>Choice Hotels International Inc.</t>
  </si>
  <si>
    <t>GH</t>
  </si>
  <si>
    <t>Guardant Health Inc.</t>
  </si>
  <si>
    <t>QDEL</t>
  </si>
  <si>
    <t>QuidelOrtho Corp.</t>
  </si>
  <si>
    <t>NE</t>
  </si>
  <si>
    <t>Noble Corp. plc</t>
  </si>
  <si>
    <t>NJR</t>
  </si>
  <si>
    <t>New Jersey Resources Corp.</t>
  </si>
  <si>
    <t>RDN</t>
  </si>
  <si>
    <t>Radian Group Inc.</t>
  </si>
  <si>
    <t>CEN</t>
  </si>
  <si>
    <t>Contact Energy Ltd.</t>
  </si>
  <si>
    <t>FLR</t>
  </si>
  <si>
    <t>Fluor Corp.</t>
  </si>
  <si>
    <t>RBREW</t>
  </si>
  <si>
    <t>Royal Unibrew A/S</t>
  </si>
  <si>
    <t>MLI</t>
  </si>
  <si>
    <t>Mueller Industries Inc.</t>
  </si>
  <si>
    <t>6361</t>
  </si>
  <si>
    <t>Ebara Corp.</t>
  </si>
  <si>
    <t>IRT</t>
  </si>
  <si>
    <t>Independence Realty Trust Inc.</t>
  </si>
  <si>
    <t>MDU</t>
  </si>
  <si>
    <t>MDU Resources Group Inc.</t>
  </si>
  <si>
    <t>U96</t>
  </si>
  <si>
    <t>Sembcorp Industries Ltd.</t>
  </si>
  <si>
    <t>ELIS</t>
  </si>
  <si>
    <t>Elis SA</t>
  </si>
  <si>
    <t>SUM</t>
  </si>
  <si>
    <t>Summit Materials Inc.</t>
  </si>
  <si>
    <t>DV</t>
  </si>
  <si>
    <t>DoubleVerify Holdings Inc.</t>
  </si>
  <si>
    <t>JBT</t>
  </si>
  <si>
    <t>John Bean Technologies Corp.</t>
  </si>
  <si>
    <t>OLLI</t>
  </si>
  <si>
    <t>Ollie's Bargain Outlet Holdings Inc.</t>
  </si>
  <si>
    <t>CWST</t>
  </si>
  <si>
    <t>Casella Waste Systems Inc.</t>
  </si>
  <si>
    <t>BWY</t>
  </si>
  <si>
    <t>Bellway plc</t>
  </si>
  <si>
    <t>OGS</t>
  </si>
  <si>
    <t>ONE Gas Inc.</t>
  </si>
  <si>
    <t>GATX</t>
  </si>
  <si>
    <t>GATX Corp.</t>
  </si>
  <si>
    <t>PAG</t>
  </si>
  <si>
    <t>Penske Automotive Group Inc.</t>
  </si>
  <si>
    <t>PECO</t>
  </si>
  <si>
    <t>Phillips Edison &amp; Co. Inc.</t>
  </si>
  <si>
    <t>BAWAG Group AG</t>
  </si>
  <si>
    <t>WTM</t>
  </si>
  <si>
    <t>White Mountains Insurance Group Ltd.</t>
  </si>
  <si>
    <t>BDC</t>
  </si>
  <si>
    <t>Belden Inc.</t>
  </si>
  <si>
    <t>KXS</t>
  </si>
  <si>
    <t>Kinaxis Inc.</t>
  </si>
  <si>
    <t>Ormat Technologies Inc.</t>
  </si>
  <si>
    <t>GALE</t>
  </si>
  <si>
    <t>Galenica AG</t>
  </si>
  <si>
    <t>TNET</t>
  </si>
  <si>
    <t>TriNet Group Inc.</t>
  </si>
  <si>
    <t>POR</t>
  </si>
  <si>
    <t>Portland General Electric Co.</t>
  </si>
  <si>
    <t>TUI</t>
  </si>
  <si>
    <t>TUI AG</t>
  </si>
  <si>
    <t>Enerplus Corp.</t>
  </si>
  <si>
    <t>VC</t>
  </si>
  <si>
    <t>Visteon Corp.</t>
  </si>
  <si>
    <t>CIVI</t>
  </si>
  <si>
    <t>Civitas Resources Inc.</t>
  </si>
  <si>
    <t>NSP</t>
  </si>
  <si>
    <t>Insperity Inc.</t>
  </si>
  <si>
    <t>RUN</t>
  </si>
  <si>
    <t>Sunrun Inc.</t>
  </si>
  <si>
    <t>PSK</t>
  </si>
  <si>
    <t>PrairieSky Royalty Ltd.</t>
  </si>
  <si>
    <t>HWC</t>
  </si>
  <si>
    <t>Hancock Whitney Corp.</t>
  </si>
  <si>
    <t>AED</t>
  </si>
  <si>
    <t>Aedifica SA</t>
  </si>
  <si>
    <t>STB</t>
  </si>
  <si>
    <t>Storebrand ASA</t>
  </si>
  <si>
    <t>MMSI</t>
  </si>
  <si>
    <t>Merit Medical Systems Inc.</t>
  </si>
  <si>
    <t>GN</t>
  </si>
  <si>
    <t>GN Store Nord AS</t>
  </si>
  <si>
    <t>LYFT</t>
  </si>
  <si>
    <t>Lyft Inc.</t>
  </si>
  <si>
    <t>OWL</t>
  </si>
  <si>
    <t>Blue Owl Capital Inc.</t>
  </si>
  <si>
    <t>Open End and Miscellaneous Investment Ve</t>
  </si>
  <si>
    <t>ETRN</t>
  </si>
  <si>
    <t>Equitrans Midstream Corp.</t>
  </si>
  <si>
    <t>ROIV</t>
  </si>
  <si>
    <t>Roivant Sciences Ltd.</t>
  </si>
  <si>
    <t>Newell Brands Inc.</t>
  </si>
  <si>
    <t>EMG</t>
  </si>
  <si>
    <t>Man Group PLC/Jersey</t>
  </si>
  <si>
    <t>SPIE</t>
  </si>
  <si>
    <t>SPIE SA</t>
  </si>
  <si>
    <t>AFRM</t>
  </si>
  <si>
    <t>Affirm Holdings Inc.</t>
  </si>
  <si>
    <t>EO</t>
  </si>
  <si>
    <t>Forvia</t>
  </si>
  <si>
    <t>KLIC</t>
  </si>
  <si>
    <t>Kulicke &amp; Soffa Industries Inc.</t>
  </si>
  <si>
    <t>Evotec SE</t>
  </si>
  <si>
    <t>VNO</t>
  </si>
  <si>
    <t>Vornado Realty Trust</t>
  </si>
  <si>
    <t>PAGP</t>
  </si>
  <si>
    <t>Plains GP Holdings LP</t>
  </si>
  <si>
    <t>RILBA</t>
  </si>
  <si>
    <t>Ringkjoebing Landbobank A/S</t>
  </si>
  <si>
    <t>KRC</t>
  </si>
  <si>
    <t>Kilroy Realty Corp.</t>
  </si>
  <si>
    <t>CBT</t>
  </si>
  <si>
    <t>Cabot Corp.</t>
  </si>
  <si>
    <t>ICUI</t>
  </si>
  <si>
    <t>ICU Medical Inc.</t>
  </si>
  <si>
    <t>ENOV</t>
  </si>
  <si>
    <t>Enovis Corp.</t>
  </si>
  <si>
    <t>WEN</t>
  </si>
  <si>
    <t>Wendy's Co.</t>
  </si>
  <si>
    <t>C3.ai Inc.</t>
  </si>
  <si>
    <t>THULE</t>
  </si>
  <si>
    <t>Thule Group AB</t>
  </si>
  <si>
    <t>Boyd Group Services Inc.</t>
  </si>
  <si>
    <t>SFM</t>
  </si>
  <si>
    <t>Sprouts Farmers Market Inc.</t>
  </si>
  <si>
    <t>Antero Midstream Corp.</t>
  </si>
  <si>
    <t>HE</t>
  </si>
  <si>
    <t>Hawaiian Electric Industries Inc.</t>
  </si>
  <si>
    <t>FSS</t>
  </si>
  <si>
    <t>Federal Signal Corp.</t>
  </si>
  <si>
    <t>AVNT</t>
  </si>
  <si>
    <t>Avient Corp.</t>
  </si>
  <si>
    <t>INCH</t>
  </si>
  <si>
    <t>Inchcape plc</t>
  </si>
  <si>
    <t>HGV</t>
  </si>
  <si>
    <t>Hilton Grand Vacations Inc.</t>
  </si>
  <si>
    <t>CVNA</t>
  </si>
  <si>
    <t>Carvana Co.</t>
  </si>
  <si>
    <t>S</t>
  </si>
  <si>
    <t>SentinelOne Inc.</t>
  </si>
  <si>
    <t>CABO</t>
  </si>
  <si>
    <t>Cable One Inc.</t>
  </si>
  <si>
    <t>THG</t>
  </si>
  <si>
    <t>Hanover Insurance Group Inc.</t>
  </si>
  <si>
    <t>DUOL</t>
  </si>
  <si>
    <t>Duolingo Inc.</t>
  </si>
  <si>
    <t>CNX</t>
  </si>
  <si>
    <t>CNX Resources Corp.</t>
  </si>
  <si>
    <t>FCFS</t>
  </si>
  <si>
    <t>FirstCash Holdings Inc.</t>
  </si>
  <si>
    <t>CACC</t>
  </si>
  <si>
    <t>Credit Acceptance Corp.</t>
  </si>
  <si>
    <t>MGY</t>
  </si>
  <si>
    <t>Magnolia Oil &amp; Gas Corp.</t>
  </si>
  <si>
    <t>IMGN</t>
  </si>
  <si>
    <t>ImmunoGen Inc.</t>
  </si>
  <si>
    <t>DOCS</t>
  </si>
  <si>
    <t>Doximity Inc.</t>
  </si>
  <si>
    <t>MAN</t>
  </si>
  <si>
    <t>ManpowerGroup Inc.</t>
  </si>
  <si>
    <t>ITRI</t>
  </si>
  <si>
    <t>Itron Inc.</t>
  </si>
  <si>
    <t>SRCL</t>
  </si>
  <si>
    <t>Stericycle Inc.</t>
  </si>
  <si>
    <t>BPMC</t>
  </si>
  <si>
    <t>Blueprint Medicines Corp.</t>
  </si>
  <si>
    <t>TNL</t>
  </si>
  <si>
    <t>Travel + Leisure Co.</t>
  </si>
  <si>
    <t>CNXC</t>
  </si>
  <si>
    <t>Concentrix Corp.</t>
  </si>
  <si>
    <t>ARWR</t>
  </si>
  <si>
    <t>Arrowhead Pharmaceuticals Inc.</t>
  </si>
  <si>
    <t>AEL</t>
  </si>
  <si>
    <t>American Equity Investment Life Holding Co.</t>
  </si>
  <si>
    <t>SPXC</t>
  </si>
  <si>
    <t>SPX Technologies Inc.</t>
  </si>
  <si>
    <t>thyssenkrupp AG</t>
  </si>
  <si>
    <t>FELE</t>
  </si>
  <si>
    <t>Franklin Electric Co. Inc.</t>
  </si>
  <si>
    <t>GPI</t>
  </si>
  <si>
    <t>Group 1 Automotive Inc.</t>
  </si>
  <si>
    <t>SKY</t>
  </si>
  <si>
    <t>Skyline Champion Corp.</t>
  </si>
  <si>
    <t>PNM</t>
  </si>
  <si>
    <t>PNM Resources Inc.</t>
  </si>
  <si>
    <t>CPX</t>
  </si>
  <si>
    <t>Capital Power Corp.</t>
  </si>
  <si>
    <t>BKH</t>
  </si>
  <si>
    <t>Black Hills Corp.</t>
  </si>
  <si>
    <t>RYAN</t>
  </si>
  <si>
    <t>Ryan Specialty Holdings Inc.</t>
  </si>
  <si>
    <t>SLGN</t>
  </si>
  <si>
    <t>Silgan Holdings Inc.</t>
  </si>
  <si>
    <t>ZD</t>
  </si>
  <si>
    <t>Ziff Davis Inc.</t>
  </si>
  <si>
    <t>Signet Jewelers Ltd.</t>
  </si>
  <si>
    <t>FOUR</t>
  </si>
  <si>
    <t>Shift4 Payments Inc.</t>
  </si>
  <si>
    <t>IBP</t>
  </si>
  <si>
    <t>Installed Building Products Inc.</t>
  </si>
  <si>
    <t>GTT</t>
  </si>
  <si>
    <t>Gaztransport Et Technigaz SA</t>
  </si>
  <si>
    <t>ATS</t>
  </si>
  <si>
    <t>ATS Corp.</t>
  </si>
  <si>
    <t>7012</t>
  </si>
  <si>
    <t>Kawasaki Heavy Industries Ltd.</t>
  </si>
  <si>
    <t>Leggett &amp; Platt Inc.</t>
  </si>
  <si>
    <t>K+S AG</t>
  </si>
  <si>
    <t>5406</t>
  </si>
  <si>
    <t>Kobe Steel Ltd.</t>
  </si>
  <si>
    <t>Arcosa Inc.</t>
  </si>
  <si>
    <t>MTSI</t>
  </si>
  <si>
    <t>MACOM Technology Solutions Holdings Inc.</t>
  </si>
  <si>
    <t>QS</t>
  </si>
  <si>
    <t>QuantumScape Corp.</t>
  </si>
  <si>
    <t>HELE</t>
  </si>
  <si>
    <t>Helen of Troy Ltd.</t>
  </si>
  <si>
    <t>BPE</t>
  </si>
  <si>
    <t>BPER Banca</t>
  </si>
  <si>
    <t>ASGN</t>
  </si>
  <si>
    <t>ASGN Inc.</t>
  </si>
  <si>
    <t>VTY</t>
  </si>
  <si>
    <t>Vistry Group plc</t>
  </si>
  <si>
    <t>HLNE</t>
  </si>
  <si>
    <t>Hamilton Lane Inc.</t>
  </si>
  <si>
    <t>COOP</t>
  </si>
  <si>
    <t>Mr Cooper Group Inc.</t>
  </si>
  <si>
    <t>BHF</t>
  </si>
  <si>
    <t>Brighthouse Financial Inc.</t>
  </si>
  <si>
    <t>IART</t>
  </si>
  <si>
    <t>Integra LifeSciences Holdings Corp.</t>
  </si>
  <si>
    <t>ALGM</t>
  </si>
  <si>
    <t>Allegro MicroSystems Inc.</t>
  </si>
  <si>
    <t>SANM</t>
  </si>
  <si>
    <t>Sanmina Corp.</t>
  </si>
  <si>
    <t>JYSK</t>
  </si>
  <si>
    <t>Jyske Bank A/S</t>
  </si>
  <si>
    <t>SFZN</t>
  </si>
  <si>
    <t>Siegfried Holding AG</t>
  </si>
  <si>
    <t>SITC</t>
  </si>
  <si>
    <t>SITE Centers Corp.</t>
  </si>
  <si>
    <t>Premium Brands Holdings Corp.</t>
  </si>
  <si>
    <t>GBCI</t>
  </si>
  <si>
    <t>Glacier Bancorp Inc.</t>
  </si>
  <si>
    <t>HHC</t>
  </si>
  <si>
    <t>Howard Hughes Corp.</t>
  </si>
  <si>
    <t>ALLETE Inc.</t>
  </si>
  <si>
    <t>WD</t>
  </si>
  <si>
    <t>Walker &amp; Dunlop Inc.</t>
  </si>
  <si>
    <t>VSH</t>
  </si>
  <si>
    <t>Vishay Intertechnology Inc.</t>
  </si>
  <si>
    <t>HI</t>
  </si>
  <si>
    <t>Hillenbrand Inc.</t>
  </si>
  <si>
    <t>ESAB</t>
  </si>
  <si>
    <t>Esab Corp.</t>
  </si>
  <si>
    <t>AZEK</t>
  </si>
  <si>
    <t>AZEK Co. Inc.</t>
  </si>
  <si>
    <t>YETI</t>
  </si>
  <si>
    <t>YETI Holdings Inc.</t>
  </si>
  <si>
    <t>OI</t>
  </si>
  <si>
    <t>O-I Glass Inc.</t>
  </si>
  <si>
    <t>FRPT</t>
  </si>
  <si>
    <t>Freshpet Inc.</t>
  </si>
  <si>
    <t>IGG</t>
  </si>
  <si>
    <t>IG Group Holdings plc</t>
  </si>
  <si>
    <t>TGNA</t>
  </si>
  <si>
    <t>TEGNA Inc.</t>
  </si>
  <si>
    <t>FYBR</t>
  </si>
  <si>
    <t>Frontier Communications Parent Inc.</t>
  </si>
  <si>
    <t>KSS</t>
  </si>
  <si>
    <t>Kohl's Corp.</t>
  </si>
  <si>
    <t>LANC</t>
  </si>
  <si>
    <t>Lancaster Colony Corp.</t>
  </si>
  <si>
    <t>CUZ</t>
  </si>
  <si>
    <t>Cousins Properties Inc.</t>
  </si>
  <si>
    <t>RNG</t>
  </si>
  <si>
    <t>RingCentral Inc.</t>
  </si>
  <si>
    <t>BLKB</t>
  </si>
  <si>
    <t>Blackbaud Inc.</t>
  </si>
  <si>
    <t>AZTA</t>
  </si>
  <si>
    <t>Azenta Inc.</t>
  </si>
  <si>
    <t>Rogers Corp.</t>
  </si>
  <si>
    <t>NSA</t>
  </si>
  <si>
    <t>National Storage Affiliates Trust</t>
  </si>
  <si>
    <t>CIGI</t>
  </si>
  <si>
    <t>Colliers International Group Inc.</t>
  </si>
  <si>
    <t>SAM</t>
  </si>
  <si>
    <t>Boston Beer Co. Inc.</t>
  </si>
  <si>
    <t>GRG</t>
  </si>
  <si>
    <t>Greggs plc</t>
  </si>
  <si>
    <t>GKOS</t>
  </si>
  <si>
    <t>Glaukos Corp.</t>
  </si>
  <si>
    <t>AGO</t>
  </si>
  <si>
    <t>Assured Guaranty Ltd.</t>
  </si>
  <si>
    <t>EDR</t>
  </si>
  <si>
    <t>Endeavor Group Holdings Inc.</t>
  </si>
  <si>
    <t>LOPE</t>
  </si>
  <si>
    <t>Grand Canyon Education Inc.</t>
  </si>
  <si>
    <t>Moelis &amp; Co.</t>
  </si>
  <si>
    <t>BCO</t>
  </si>
  <si>
    <t>Brink's Co.</t>
  </si>
  <si>
    <t>EPRT</t>
  </si>
  <si>
    <t>Essential Properties Realty Trust Inc.</t>
  </si>
  <si>
    <t>WIE</t>
  </si>
  <si>
    <t>Wienerberger AG</t>
  </si>
  <si>
    <t>BBOX</t>
  </si>
  <si>
    <t>Tritax Big Box REIT plc</t>
  </si>
  <si>
    <t>EXTR</t>
  </si>
  <si>
    <t>Extreme Networks Inc.</t>
  </si>
  <si>
    <t>LITE</t>
  </si>
  <si>
    <t>Lumentum Holdings Inc.</t>
  </si>
  <si>
    <t>BXMT</t>
  </si>
  <si>
    <t>Blackstone Mortgage Trust Inc.</t>
  </si>
  <si>
    <t>Mortgage REITs: Commercial</t>
  </si>
  <si>
    <t>HL</t>
  </si>
  <si>
    <t>Hecla Mining Co.</t>
  </si>
  <si>
    <t>APLE</t>
  </si>
  <si>
    <t>Apple Hospitality REIT Inc.</t>
  </si>
  <si>
    <t>AAK</t>
  </si>
  <si>
    <t>SR</t>
  </si>
  <si>
    <t>Spire Inc.</t>
  </si>
  <si>
    <t>SMPL</t>
  </si>
  <si>
    <t>Simply Good Foods Co.</t>
  </si>
  <si>
    <t>GTLB</t>
  </si>
  <si>
    <t>Gitlab Inc.</t>
  </si>
  <si>
    <t>PINC</t>
  </si>
  <si>
    <t>Premier Inc.</t>
  </si>
  <si>
    <t>BL</t>
  </si>
  <si>
    <t>BlackLine Inc.</t>
  </si>
  <si>
    <t>PFSI</t>
  </si>
  <si>
    <t>PennyMac Financial Services Inc.</t>
  </si>
  <si>
    <t>TWNK</t>
  </si>
  <si>
    <t>Hostess Brands Inc.</t>
  </si>
  <si>
    <t>PGNY</t>
  </si>
  <si>
    <t>Progyny Inc.</t>
  </si>
  <si>
    <t>PTEN</t>
  </si>
  <si>
    <t>Patterson-UTI Energy Inc.</t>
  </si>
  <si>
    <t>INMD</t>
  </si>
  <si>
    <t>Inmode Ltd.</t>
  </si>
  <si>
    <t>LIVN</t>
  </si>
  <si>
    <t>LivaNova plc</t>
  </si>
  <si>
    <t>VRNT</t>
  </si>
  <si>
    <t>Verint Systems Inc.</t>
  </si>
  <si>
    <t>DOC</t>
  </si>
  <si>
    <t>Physicians Realty Trust</t>
  </si>
  <si>
    <t>NTLA</t>
  </si>
  <si>
    <t>Intellia Therapeutics Inc.</t>
  </si>
  <si>
    <t>FWRD</t>
  </si>
  <si>
    <t>Forward Air Corp.</t>
  </si>
  <si>
    <t>KOS</t>
  </si>
  <si>
    <t>Kosmos Energy Ltd.</t>
  </si>
  <si>
    <t>AWI</t>
  </si>
  <si>
    <t>Armstrong World Industries Inc.</t>
  </si>
  <si>
    <t>BB</t>
  </si>
  <si>
    <t>BlackBerry Ltd.</t>
  </si>
  <si>
    <t>9506</t>
  </si>
  <si>
    <t>Tohoku Electric Power Co. Inc.</t>
  </si>
  <si>
    <t>Prestige Consumer Healthcare Inc.</t>
  </si>
  <si>
    <t>SRBNK</t>
  </si>
  <si>
    <t>SpareBank 1 SR-Bank ASA</t>
  </si>
  <si>
    <t>NKT</t>
  </si>
  <si>
    <t>NKT A/S</t>
  </si>
  <si>
    <t>HOT</t>
  </si>
  <si>
    <t>HOCHTIEF AG</t>
  </si>
  <si>
    <t>7013</t>
  </si>
  <si>
    <t>IHI Corp.</t>
  </si>
  <si>
    <t>FTAI</t>
  </si>
  <si>
    <t>FTAI Aviation Ltd.</t>
  </si>
  <si>
    <t>EPR</t>
  </si>
  <si>
    <t>EPR Properties</t>
  </si>
  <si>
    <t>SUBC</t>
  </si>
  <si>
    <t>Subsea 7 SA</t>
  </si>
  <si>
    <t>SDGR</t>
  </si>
  <si>
    <t>Schrodinger Inc./United States</t>
  </si>
  <si>
    <t>ABCB</t>
  </si>
  <si>
    <t>Ameris Bancorp</t>
  </si>
  <si>
    <t>KMPR</t>
  </si>
  <si>
    <t>Kemper Corp.</t>
  </si>
  <si>
    <t>KMT</t>
  </si>
  <si>
    <t>Kennametal Inc.</t>
  </si>
  <si>
    <t>SPR</t>
  </si>
  <si>
    <t>Spirit AeroSystems Holdings Inc.</t>
  </si>
  <si>
    <t>SYNA</t>
  </si>
  <si>
    <t>Synaptics Inc.</t>
  </si>
  <si>
    <t>AZM</t>
  </si>
  <si>
    <t>Azimut Holding SPA</t>
  </si>
  <si>
    <t>YELP</t>
  </si>
  <si>
    <t>Yelp Inc.</t>
  </si>
  <si>
    <t>ROR</t>
  </si>
  <si>
    <t>Rotork plc</t>
  </si>
  <si>
    <t>APPF</t>
  </si>
  <si>
    <t>Appfolio Inc.</t>
  </si>
  <si>
    <t>TCBI</t>
  </si>
  <si>
    <t>Texas Capital Bancshares Inc.</t>
  </si>
  <si>
    <t>CVLT</t>
  </si>
  <si>
    <t>CommVault Systems Inc.</t>
  </si>
  <si>
    <t>LCII</t>
  </si>
  <si>
    <t>LCI Industries</t>
  </si>
  <si>
    <t>DY</t>
  </si>
  <si>
    <t>Dycom Industries Inc.</t>
  </si>
  <si>
    <t>NWE</t>
  </si>
  <si>
    <t>NorthWestern Corp.</t>
  </si>
  <si>
    <t>6460</t>
  </si>
  <si>
    <t>Sega Sammy Holdings Inc.</t>
  </si>
  <si>
    <t>CRS</t>
  </si>
  <si>
    <t>Carpenter Technology Corp.</t>
  </si>
  <si>
    <t>SFBS</t>
  </si>
  <si>
    <t>ServisFirst Bancshares Inc.</t>
  </si>
  <si>
    <t>BUCN</t>
  </si>
  <si>
    <t>Bucher Industries AG</t>
  </si>
  <si>
    <t>PACB</t>
  </si>
  <si>
    <t>Pacific Biosciences of California Inc.</t>
  </si>
  <si>
    <t>VMUK</t>
  </si>
  <si>
    <t>UCBI</t>
  </si>
  <si>
    <t>United Community Banks Inc./GA</t>
  </si>
  <si>
    <t>SSRM</t>
  </si>
  <si>
    <t>INSM</t>
  </si>
  <si>
    <t>Insmed Inc.</t>
  </si>
  <si>
    <t>HRI</t>
  </si>
  <si>
    <t>Herc Holdings Inc.</t>
  </si>
  <si>
    <t>VRLA</t>
  </si>
  <si>
    <t>Verallia SA</t>
  </si>
  <si>
    <t>OMCL</t>
  </si>
  <si>
    <t>Omnicell Inc.</t>
  </si>
  <si>
    <t>SEM</t>
  </si>
  <si>
    <t>Select Medical Holdings Corp.</t>
  </si>
  <si>
    <t>WHD</t>
  </si>
  <si>
    <t>Cactus Inc.</t>
  </si>
  <si>
    <t>TE</t>
  </si>
  <si>
    <t>Technip Energies NV</t>
  </si>
  <si>
    <t>Bloom Energy Corp.</t>
  </si>
  <si>
    <t>ARCAD</t>
  </si>
  <si>
    <t>Arcadis NV</t>
  </si>
  <si>
    <t>A2A</t>
  </si>
  <si>
    <t>A2A SPA</t>
  </si>
  <si>
    <t>RIOT</t>
  </si>
  <si>
    <t>Riot Platforms Inc.</t>
  </si>
  <si>
    <t>ITGR</t>
  </si>
  <si>
    <t>Integer Holdings Corp.</t>
  </si>
  <si>
    <t>AMED</t>
  </si>
  <si>
    <t>Amedisys Inc.</t>
  </si>
  <si>
    <t>BBIO</t>
  </si>
  <si>
    <t>Bridgebio Pharma Inc.</t>
  </si>
  <si>
    <t>ACAD</t>
  </si>
  <si>
    <t>ACADIA Pharmaceuticals Inc.</t>
  </si>
  <si>
    <t>GO</t>
  </si>
  <si>
    <t>Grocery Outlet Holding Corp.</t>
  </si>
  <si>
    <t>CYTK</t>
  </si>
  <si>
    <t>Cytokinetics Inc.</t>
  </si>
  <si>
    <t>SOP</t>
  </si>
  <si>
    <t>Sopra Steria Group SACA</t>
  </si>
  <si>
    <t>CIX</t>
  </si>
  <si>
    <t>CI Financial Corp.</t>
  </si>
  <si>
    <t>FOCS</t>
  </si>
  <si>
    <t>Focus Financial Partners Inc.</t>
  </si>
  <si>
    <t>SBRA</t>
  </si>
  <si>
    <t>Sabra Health Care REIT Inc.</t>
  </si>
  <si>
    <t>OTTR</t>
  </si>
  <si>
    <t>Otter Tail Corp.</t>
  </si>
  <si>
    <t>PRVA</t>
  </si>
  <si>
    <t>Privia Health Group Inc.</t>
  </si>
  <si>
    <t>PCVX</t>
  </si>
  <si>
    <t>Vaxcyte Inc.</t>
  </si>
  <si>
    <t>IDCC</t>
  </si>
  <si>
    <t>InterDigital Inc.</t>
  </si>
  <si>
    <t>AWR</t>
  </si>
  <si>
    <t>American States Water Co.</t>
  </si>
  <si>
    <t>AMBA</t>
  </si>
  <si>
    <t>Ambarella Inc.</t>
  </si>
  <si>
    <t>BNL</t>
  </si>
  <si>
    <t>Broadstone Net Lease Inc.</t>
  </si>
  <si>
    <t>MOG.A</t>
  </si>
  <si>
    <t>Moog Inc.</t>
  </si>
  <si>
    <t>DEI</t>
  </si>
  <si>
    <t>Douglas Emmett Inc.</t>
  </si>
  <si>
    <t>HTZ</t>
  </si>
  <si>
    <t>Hertz Global Holdings Inc.</t>
  </si>
  <si>
    <t>MSGS</t>
  </si>
  <si>
    <t>Madison Square Garden Sports Corp.</t>
  </si>
  <si>
    <t>IOT</t>
  </si>
  <si>
    <t>Samsara Inc.</t>
  </si>
  <si>
    <t>COKE</t>
  </si>
  <si>
    <t>Coca-Cola Consolidated Inc.</t>
  </si>
  <si>
    <t>UMBF</t>
  </si>
  <si>
    <t>UMB Financial Corp.</t>
  </si>
  <si>
    <t>PTON</t>
  </si>
  <si>
    <t>Peloton Interactive Inc.</t>
  </si>
  <si>
    <t>3197</t>
  </si>
  <si>
    <t>Skylark Holdings Co. Ltd.</t>
  </si>
  <si>
    <t>ISS</t>
  </si>
  <si>
    <t>ISS A/S</t>
  </si>
  <si>
    <t>NewMarket Corp.</t>
  </si>
  <si>
    <t>PRGS</t>
  </si>
  <si>
    <t>Progress Software Corp.</t>
  </si>
  <si>
    <t>FORM</t>
  </si>
  <si>
    <t>FormFactor Inc.</t>
  </si>
  <si>
    <t>DRX</t>
  </si>
  <si>
    <t>Drax Group plc</t>
  </si>
  <si>
    <t>PK</t>
  </si>
  <si>
    <t>Park Hotels &amp; Resorts Inc.</t>
  </si>
  <si>
    <t>AMKR</t>
  </si>
  <si>
    <t>Amkor Technology Inc.</t>
  </si>
  <si>
    <t>IRTC</t>
  </si>
  <si>
    <t>iRhythm Technologies Inc.</t>
  </si>
  <si>
    <t>PZZA</t>
  </si>
  <si>
    <t>Papa John's International Inc.</t>
  </si>
  <si>
    <t>VRNS</t>
  </si>
  <si>
    <t>Varonis Systems Inc.</t>
  </si>
  <si>
    <t>BAKKA</t>
  </si>
  <si>
    <t>Bakkafrost P/F</t>
  </si>
  <si>
    <t>FO</t>
  </si>
  <si>
    <t>MARA</t>
  </si>
  <si>
    <t>Marathon Digital Holdings Inc.</t>
  </si>
  <si>
    <t>SMG</t>
  </si>
  <si>
    <t>Scotts Miracle-Gro Co.</t>
  </si>
  <si>
    <t>GEI</t>
  </si>
  <si>
    <t>Gibson Energy Inc.</t>
  </si>
  <si>
    <t>ARCB</t>
  </si>
  <si>
    <t>ArcBest Corp.</t>
  </si>
  <si>
    <t>9508</t>
  </si>
  <si>
    <t>Kyushu Electric Power Co. Inc.</t>
  </si>
  <si>
    <t>GFTU</t>
  </si>
  <si>
    <t>Grafton Group plc</t>
  </si>
  <si>
    <t>TMDX</t>
  </si>
  <si>
    <t>TransMedics Group Inc.</t>
  </si>
  <si>
    <t>BOOT</t>
  </si>
  <si>
    <t>Boot Barn Holdings Inc.</t>
  </si>
  <si>
    <t>IONQ</t>
  </si>
  <si>
    <t>IonQ Inc.</t>
  </si>
  <si>
    <t>WDFC</t>
  </si>
  <si>
    <t>WD-40 Co.</t>
  </si>
  <si>
    <t>GMS</t>
  </si>
  <si>
    <t>GMS Inc.</t>
  </si>
  <si>
    <t>TPH</t>
  </si>
  <si>
    <t>Tri Pointe Homes Inc.</t>
  </si>
  <si>
    <t>SHAK</t>
  </si>
  <si>
    <t>Shake Shack Inc.</t>
  </si>
  <si>
    <t>IPAR</t>
  </si>
  <si>
    <t>Inter Parfums Inc.</t>
  </si>
  <si>
    <t>AVA</t>
  </si>
  <si>
    <t>Avista Corp.</t>
  </si>
  <si>
    <t>TWEKA</t>
  </si>
  <si>
    <t>TKH Group NV</t>
  </si>
  <si>
    <t>Osisko Gold Royalties Ltd.</t>
  </si>
  <si>
    <t>TGTX</t>
  </si>
  <si>
    <t>TG Therapeutics Inc.</t>
  </si>
  <si>
    <t>SYDB</t>
  </si>
  <si>
    <t>Sydbank AS</t>
  </si>
  <si>
    <t>COLM</t>
  </si>
  <si>
    <t>Columbia Sportswear Co.</t>
  </si>
  <si>
    <t>WIRE</t>
  </si>
  <si>
    <t>Encore Wire Corp.</t>
  </si>
  <si>
    <t>SPB</t>
  </si>
  <si>
    <t>Spectrum Brands Holdings Inc.</t>
  </si>
  <si>
    <t>MODG</t>
  </si>
  <si>
    <t>Topgolf Callaway Brands Corp.</t>
  </si>
  <si>
    <t>BHC</t>
  </si>
  <si>
    <t>Bausch Health Cos. Inc.</t>
  </si>
  <si>
    <t>RARE</t>
  </si>
  <si>
    <t>Ultragenyx Pharmaceutical Inc.</t>
  </si>
  <si>
    <t>MLCO</t>
  </si>
  <si>
    <t>Melco Resorts &amp; Entertainment Ltd.</t>
  </si>
  <si>
    <t>Associated Banc-Corp</t>
  </si>
  <si>
    <t>HUBG</t>
  </si>
  <si>
    <t>Hub Group Inc.</t>
  </si>
  <si>
    <t>DBRG</t>
  </si>
  <si>
    <t>DigitalBridge Group Inc.</t>
  </si>
  <si>
    <t>ENLC</t>
  </si>
  <si>
    <t>EnLink Midstream LLC</t>
  </si>
  <si>
    <t>ABM</t>
  </si>
  <si>
    <t>ABM Industries Inc.</t>
  </si>
  <si>
    <t>INDV</t>
  </si>
  <si>
    <t>Indivior plc</t>
  </si>
  <si>
    <t>EVH</t>
  </si>
  <si>
    <t>Evolent Health Inc.</t>
  </si>
  <si>
    <t>KD</t>
  </si>
  <si>
    <t>Kyndryl Holdings Inc.</t>
  </si>
  <si>
    <t>AXNX</t>
  </si>
  <si>
    <t>Axonics Inc.</t>
  </si>
  <si>
    <t>FOLD</t>
  </si>
  <si>
    <t>Amicus Therapeutics Inc.</t>
  </si>
  <si>
    <t>ARNC</t>
  </si>
  <si>
    <t>Arconic Corp.</t>
  </si>
  <si>
    <t>Methanex Corp.</t>
  </si>
  <si>
    <t>SGRY</t>
  </si>
  <si>
    <t>Surgery Partners Inc.</t>
  </si>
  <si>
    <t>DNLI</t>
  </si>
  <si>
    <t>Denali Therapeutics Inc.</t>
  </si>
  <si>
    <t>CRI</t>
  </si>
  <si>
    <t>Carter's Inc.</t>
  </si>
  <si>
    <t>LGIH</t>
  </si>
  <si>
    <t>LGI Homes Inc.</t>
  </si>
  <si>
    <t>OFC</t>
  </si>
  <si>
    <t>Corporate Office Properties Trust</t>
  </si>
  <si>
    <t>ARRY</t>
  </si>
  <si>
    <t>Array Technologies Inc.</t>
  </si>
  <si>
    <t>BS6</t>
  </si>
  <si>
    <t>Yangzijiang Shipbuilding Holdings Ltd.</t>
  </si>
  <si>
    <t>NAVI</t>
  </si>
  <si>
    <t>Navient Corp.</t>
  </si>
  <si>
    <t>Brunello Cucinelli SPA</t>
  </si>
  <si>
    <t>SPT</t>
  </si>
  <si>
    <t>Sprout Social Inc.</t>
  </si>
  <si>
    <t>Minerals Technologies Inc.</t>
  </si>
  <si>
    <t>KFY</t>
  </si>
  <si>
    <t>Korn Ferry</t>
  </si>
  <si>
    <t>4403</t>
  </si>
  <si>
    <t>NOF Corp.</t>
  </si>
  <si>
    <t>FTDR</t>
  </si>
  <si>
    <t>Frontdoor Inc.</t>
  </si>
  <si>
    <t>FRSH</t>
  </si>
  <si>
    <t>Freshworks Inc.</t>
  </si>
  <si>
    <t>1963</t>
  </si>
  <si>
    <t>JGC Holdings Corp.</t>
  </si>
  <si>
    <t>FABG</t>
  </si>
  <si>
    <t>Fabege AB</t>
  </si>
  <si>
    <t>FNOX</t>
  </si>
  <si>
    <t>Fortnox AB</t>
  </si>
  <si>
    <t>CWT</t>
  </si>
  <si>
    <t>California Water Service Group</t>
  </si>
  <si>
    <t>EKTA B</t>
  </si>
  <si>
    <t>Elekta AB</t>
  </si>
  <si>
    <t>PLXS</t>
  </si>
  <si>
    <t>Plexus Corp.</t>
  </si>
  <si>
    <t>ESGR</t>
  </si>
  <si>
    <t>Enstar Group Ltd.</t>
  </si>
  <si>
    <t>Permian Resources Corp.</t>
  </si>
  <si>
    <t>DOM</t>
  </si>
  <si>
    <t>Dometic Group AB</t>
  </si>
  <si>
    <t>WSFS</t>
  </si>
  <si>
    <t>WSFS Financial Corp.</t>
  </si>
  <si>
    <t>CXT</t>
  </si>
  <si>
    <t>Crane NXT Co.</t>
  </si>
  <si>
    <t>CCC</t>
  </si>
  <si>
    <t>Computacenter plc</t>
  </si>
  <si>
    <t>VIAV</t>
  </si>
  <si>
    <t>Viavi Solutions Inc.</t>
  </si>
  <si>
    <t>Alpha Metallurgical Resources Inc.</t>
  </si>
  <si>
    <t>FHI</t>
  </si>
  <si>
    <t>Federated Hermes Inc.</t>
  </si>
  <si>
    <t>FNTN</t>
  </si>
  <si>
    <t>Freenet AG</t>
  </si>
  <si>
    <t>LXP</t>
  </si>
  <si>
    <t>LXP Industrial Trust</t>
  </si>
  <si>
    <t>MAC</t>
  </si>
  <si>
    <t>Macerich Co.</t>
  </si>
  <si>
    <t>TIGO SDB</t>
  </si>
  <si>
    <t>Millicom International Cellular SA</t>
  </si>
  <si>
    <t>WERN</t>
  </si>
  <si>
    <t>Werner Enterprises Inc.</t>
  </si>
  <si>
    <t>BGN</t>
  </si>
  <si>
    <t>Banca Generali SPA</t>
  </si>
  <si>
    <t>RPD</t>
  </si>
  <si>
    <t>Rapid7 Inc.</t>
  </si>
  <si>
    <t>AIN</t>
  </si>
  <si>
    <t>Albany International Corp.</t>
  </si>
  <si>
    <t>CBU</t>
  </si>
  <si>
    <t>Community Bank System Inc.</t>
  </si>
  <si>
    <t>GNW</t>
  </si>
  <si>
    <t>Genworth Financial Inc.</t>
  </si>
  <si>
    <t>BTU</t>
  </si>
  <si>
    <t>Peabody Energy Corp.</t>
  </si>
  <si>
    <t>ABR</t>
  </si>
  <si>
    <t>Arbor Realty Trust Inc.</t>
  </si>
  <si>
    <t>CNO</t>
  </si>
  <si>
    <t>CNO Financial Group Inc.</t>
  </si>
  <si>
    <t>NDA</t>
  </si>
  <si>
    <t>Aurubis AG</t>
  </si>
  <si>
    <t>UAA</t>
  </si>
  <si>
    <t>Under Armour Inc.</t>
  </si>
  <si>
    <t>BOKF</t>
  </si>
  <si>
    <t>BOK Financial Corp.</t>
  </si>
  <si>
    <t>NOG</t>
  </si>
  <si>
    <t>Northern Oil and Gas Inc.</t>
  </si>
  <si>
    <t>SECT B</t>
  </si>
  <si>
    <t>Sectra AB</t>
  </si>
  <si>
    <t>VRRM</t>
  </si>
  <si>
    <t>Verra Mobility Corp.</t>
  </si>
  <si>
    <t>Balfour Beatty plc</t>
  </si>
  <si>
    <t>KWR</t>
  </si>
  <si>
    <t>Quaker Chemical Corp.</t>
  </si>
  <si>
    <t>DOCN</t>
  </si>
  <si>
    <t>DigitalOcean Holdings Inc.</t>
  </si>
  <si>
    <t>AMBU B</t>
  </si>
  <si>
    <t>Ambu A/S</t>
  </si>
  <si>
    <t>FBP</t>
  </si>
  <si>
    <t>First BanCorp/Puerto Rico</t>
  </si>
  <si>
    <t>MGRC</t>
  </si>
  <si>
    <t>McGrath RentCorp</t>
  </si>
  <si>
    <t>ALLN</t>
  </si>
  <si>
    <t>Allreal Holding AG</t>
  </si>
  <si>
    <t>NPO</t>
  </si>
  <si>
    <t>EnPro Industries Inc.</t>
  </si>
  <si>
    <t>INDB</t>
  </si>
  <si>
    <t>Independent Bank Corp.</t>
  </si>
  <si>
    <t>CCOI</t>
  </si>
  <si>
    <t>Cogent Communications Holdings Inc.</t>
  </si>
  <si>
    <t>BUR</t>
  </si>
  <si>
    <t>Burford Capital Ltd.</t>
  </si>
  <si>
    <t>MGEE</t>
  </si>
  <si>
    <t>MGE Energy Inc.</t>
  </si>
  <si>
    <t>CORT</t>
  </si>
  <si>
    <t>Corcept Therapeutics Inc.</t>
  </si>
  <si>
    <t>VIS</t>
  </si>
  <si>
    <t>Viscofan SA</t>
  </si>
  <si>
    <t>BCP</t>
  </si>
  <si>
    <t>Banco Comercial Portugues SA</t>
  </si>
  <si>
    <t>ams-OSRAM AG</t>
  </si>
  <si>
    <t>ESE</t>
  </si>
  <si>
    <t>ESCO Technologies Inc.</t>
  </si>
  <si>
    <t>KAI</t>
  </si>
  <si>
    <t>Kadant Inc.</t>
  </si>
  <si>
    <t>KIND SDB</t>
  </si>
  <si>
    <t>Kindred Group plc</t>
  </si>
  <si>
    <t>HER</t>
  </si>
  <si>
    <t>Hera SPA</t>
  </si>
  <si>
    <t>OPEN</t>
  </si>
  <si>
    <t>Opendoor Technologies Inc.</t>
  </si>
  <si>
    <t>JBGS</t>
  </si>
  <si>
    <t>JBG SMITH Properties</t>
  </si>
  <si>
    <t>LMP</t>
  </si>
  <si>
    <t>LondonMetric Property plc</t>
  </si>
  <si>
    <t>RCM</t>
  </si>
  <si>
    <t>R1 RCM Inc.</t>
  </si>
  <si>
    <t>EURN</t>
  </si>
  <si>
    <t>Euronav NV</t>
  </si>
  <si>
    <t>HPOL B</t>
  </si>
  <si>
    <t>Hexpol AB</t>
  </si>
  <si>
    <t>EVTC</t>
  </si>
  <si>
    <t>EVERTEC Inc.</t>
  </si>
  <si>
    <t>FLYW</t>
  </si>
  <si>
    <t>Flywire Corp.</t>
  </si>
  <si>
    <t>AXSM</t>
  </si>
  <si>
    <t>Axsome Therapeutics Inc.</t>
  </si>
  <si>
    <t>BVIC</t>
  </si>
  <si>
    <t>Britvic plc</t>
  </si>
  <si>
    <t>UNF</t>
  </si>
  <si>
    <t>UniFirst Corp./MA</t>
  </si>
  <si>
    <t>APAM</t>
  </si>
  <si>
    <t>Artisan Partners Asset Management Inc.</t>
  </si>
  <si>
    <t>LSPD</t>
  </si>
  <si>
    <t>Lightspeed Commerce Inc.</t>
  </si>
  <si>
    <t>AZA</t>
  </si>
  <si>
    <t>Avanza Bank Holding AB</t>
  </si>
  <si>
    <t>PXT</t>
  </si>
  <si>
    <t>Parex Resources Inc.</t>
  </si>
  <si>
    <t>SHOO</t>
  </si>
  <si>
    <t>Steven Madden Ltd.</t>
  </si>
  <si>
    <t>LNR</t>
  </si>
  <si>
    <t>Linamar Corp.</t>
  </si>
  <si>
    <t>PTCT</t>
  </si>
  <si>
    <t>PTC Therapeutics Inc.</t>
  </si>
  <si>
    <t>WOSG</t>
  </si>
  <si>
    <t>Watches of Switzerland Group plc</t>
  </si>
  <si>
    <t>AEO</t>
  </si>
  <si>
    <t>American Eagle Outfitters Inc.</t>
  </si>
  <si>
    <t>SJ</t>
  </si>
  <si>
    <t>Stella-Jones Inc.</t>
  </si>
  <si>
    <t>AX</t>
  </si>
  <si>
    <t>Axos Financial Inc.</t>
  </si>
  <si>
    <t>PDCO</t>
  </si>
  <si>
    <t>Patterson Cos. Inc.</t>
  </si>
  <si>
    <t>SFNC</t>
  </si>
  <si>
    <t>Simmons First National Corp.</t>
  </si>
  <si>
    <t>AMPH</t>
  </si>
  <si>
    <t>Amphastar Pharmaceuticals Inc.</t>
  </si>
  <si>
    <t>HIW</t>
  </si>
  <si>
    <t>Highwoods Properties Inc.</t>
  </si>
  <si>
    <t>MDGL</t>
  </si>
  <si>
    <t>Madrigal Pharmaceuticals Inc.</t>
  </si>
  <si>
    <t>LXI</t>
  </si>
  <si>
    <t>LXI REIT plc</t>
  </si>
  <si>
    <t>NARI</t>
  </si>
  <si>
    <t>Inari Medical Inc.</t>
  </si>
  <si>
    <t>IOSP</t>
  </si>
  <si>
    <t>Innospec Inc.</t>
  </si>
  <si>
    <t>IBOC</t>
  </si>
  <si>
    <t>International Bancshares Corp.</t>
  </si>
  <si>
    <t>6302</t>
  </si>
  <si>
    <t>Sumitomo Heavy Industries Ltd.</t>
  </si>
  <si>
    <t>COTN</t>
  </si>
  <si>
    <t>Comet Holding AG</t>
  </si>
  <si>
    <t>REZI</t>
  </si>
  <si>
    <t>Resideo Technologies Inc.</t>
  </si>
  <si>
    <t>PETS</t>
  </si>
  <si>
    <t>Pets at Home Group plc</t>
  </si>
  <si>
    <t>JJSF</t>
  </si>
  <si>
    <t>J&amp;J Snack Foods Corp.</t>
  </si>
  <si>
    <t>ALRM</t>
  </si>
  <si>
    <t>Alarm.com Holdings Inc.</t>
  </si>
  <si>
    <t>ENV</t>
  </si>
  <si>
    <t>Envestnet Inc.</t>
  </si>
  <si>
    <t>ENVX</t>
  </si>
  <si>
    <t>Enovix Corp.</t>
  </si>
  <si>
    <t>Dun &amp; Bradstreet Holdings Inc.</t>
  </si>
  <si>
    <t>ALIT</t>
  </si>
  <si>
    <t>Alight Inc.</t>
  </si>
  <si>
    <t>LOOMIS</t>
  </si>
  <si>
    <t>Loomis AB</t>
  </si>
  <si>
    <t>PIPR</t>
  </si>
  <si>
    <t>Piper Sandler Cos.</t>
  </si>
  <si>
    <t>CALX</t>
  </si>
  <si>
    <t>Calix Inc.</t>
  </si>
  <si>
    <t>SQN</t>
  </si>
  <si>
    <t>Swissquote Group Holding SA</t>
  </si>
  <si>
    <t>SESG</t>
  </si>
  <si>
    <t>SES SA</t>
  </si>
  <si>
    <t>FIBK</t>
  </si>
  <si>
    <t>First Interstate BancSystem Inc.</t>
  </si>
  <si>
    <t>FLSmidth &amp; Co. A/S</t>
  </si>
  <si>
    <t>AYX</t>
  </si>
  <si>
    <t>Alteryx Inc.</t>
  </si>
  <si>
    <t>BOY</t>
  </si>
  <si>
    <t>Bodycote plc</t>
  </si>
  <si>
    <t>QTWO</t>
  </si>
  <si>
    <t>Q2 Holdings Inc.</t>
  </si>
  <si>
    <t>CRC</t>
  </si>
  <si>
    <t>California Resources Corp.</t>
  </si>
  <si>
    <t>JWN</t>
  </si>
  <si>
    <t>Nordstrom Inc.</t>
  </si>
  <si>
    <t>LBRT</t>
  </si>
  <si>
    <t>Liberty Energy Inc.</t>
  </si>
  <si>
    <t>KCR</t>
  </si>
  <si>
    <t>Konecranes Oyj</t>
  </si>
  <si>
    <t>RRR</t>
  </si>
  <si>
    <t>Red Rock Resorts Inc.</t>
  </si>
  <si>
    <t>SITM</t>
  </si>
  <si>
    <t>SiTime Corp.</t>
  </si>
  <si>
    <t>Energizer Holdings Inc.</t>
  </si>
  <si>
    <t>COFB</t>
  </si>
  <si>
    <t>Cofinimmo SA</t>
  </si>
  <si>
    <t>AROC</t>
  </si>
  <si>
    <t>Archrock Inc.</t>
  </si>
  <si>
    <t>SXT</t>
  </si>
  <si>
    <t>Sensient Technologies Corp.</t>
  </si>
  <si>
    <t>VCT</t>
  </si>
  <si>
    <t>Victrex plc</t>
  </si>
  <si>
    <t>PPBI</t>
  </si>
  <si>
    <t>Pacific Premier Bancorp Inc.</t>
  </si>
  <si>
    <t>4088</t>
  </si>
  <si>
    <t>Air Water Inc.</t>
  </si>
  <si>
    <t>AVAV</t>
  </si>
  <si>
    <t>AeroVironment Inc.</t>
  </si>
  <si>
    <t>RUI</t>
  </si>
  <si>
    <t>Rubis SCA</t>
  </si>
  <si>
    <t>CSWI</t>
  </si>
  <si>
    <t>CSW Industrials Inc.</t>
  </si>
  <si>
    <t>CNS</t>
  </si>
  <si>
    <t>Cohen &amp; Steers Inc.</t>
  </si>
  <si>
    <t>ALG</t>
  </si>
  <si>
    <t>Alamo Group Inc.</t>
  </si>
  <si>
    <t>NETW</t>
  </si>
  <si>
    <t>Network International Holdings plc</t>
  </si>
  <si>
    <t>CBZ</t>
  </si>
  <si>
    <t>CBIZ Inc.</t>
  </si>
  <si>
    <t>DAN</t>
  </si>
  <si>
    <t>Dana Inc.</t>
  </si>
  <si>
    <t>BYG</t>
  </si>
  <si>
    <t>Big Yellow Group plc</t>
  </si>
  <si>
    <t>CATY</t>
  </si>
  <si>
    <t>Cathay General Bancorp</t>
  </si>
  <si>
    <t>IPS</t>
  </si>
  <si>
    <t>IPSOS</t>
  </si>
  <si>
    <t>PRTA</t>
  </si>
  <si>
    <t>Prothena Corp. plc</t>
  </si>
  <si>
    <t>SWON</t>
  </si>
  <si>
    <t>Softwareone Holding AG</t>
  </si>
  <si>
    <t>CVBF</t>
  </si>
  <si>
    <t>CVB Financial Corp.</t>
  </si>
  <si>
    <t>RXO</t>
  </si>
  <si>
    <t>RXO Inc.</t>
  </si>
  <si>
    <t>THS</t>
  </si>
  <si>
    <t>TreeHouse Foods Inc.</t>
  </si>
  <si>
    <t>VID</t>
  </si>
  <si>
    <t>Vidrala SA</t>
  </si>
  <si>
    <t>NGVT</t>
  </si>
  <si>
    <t>Ingevity Corp.</t>
  </si>
  <si>
    <t>MP</t>
  </si>
  <si>
    <t>MP Materials Corp.</t>
  </si>
  <si>
    <t>NEX</t>
  </si>
  <si>
    <t>NexTier Oilfield Solutions Inc.</t>
  </si>
  <si>
    <t>IDS</t>
  </si>
  <si>
    <t>International Distributions Services plc</t>
  </si>
  <si>
    <t>HCP</t>
  </si>
  <si>
    <t>HashiCorp Inc.</t>
  </si>
  <si>
    <t>FHB</t>
  </si>
  <si>
    <t>First Hawaiian Inc.</t>
  </si>
  <si>
    <t>MDC</t>
  </si>
  <si>
    <t>MDC Holdings Inc.</t>
  </si>
  <si>
    <t>KRYS</t>
  </si>
  <si>
    <t>Krystal Biotech Inc.</t>
  </si>
  <si>
    <t>STRL</t>
  </si>
  <si>
    <t>Sterling Infrastructure Inc.</t>
  </si>
  <si>
    <t>STAA</t>
  </si>
  <si>
    <t>STAAR Surgical Co.</t>
  </si>
  <si>
    <t>PD</t>
  </si>
  <si>
    <t>PagerDuty Inc.</t>
  </si>
  <si>
    <t>CNM</t>
  </si>
  <si>
    <t>Core &amp; Main Inc.</t>
  </si>
  <si>
    <t>6707</t>
  </si>
  <si>
    <t>Sanken Electric Co. Ltd.</t>
  </si>
  <si>
    <t>HCC</t>
  </si>
  <si>
    <t>Warrior Met Coal Inc.</t>
  </si>
  <si>
    <t>AMC Entertainment Holdings Inc.</t>
  </si>
  <si>
    <t>SMWH</t>
  </si>
  <si>
    <t>WH Smith plc</t>
  </si>
  <si>
    <t>MYRG</t>
  </si>
  <si>
    <t>MYR Group Inc.</t>
  </si>
  <si>
    <t>FULT</t>
  </si>
  <si>
    <t>Fulton Financial Corp.</t>
  </si>
  <si>
    <t>BRC</t>
  </si>
  <si>
    <t>Brady Corp.</t>
  </si>
  <si>
    <t>SSPG</t>
  </si>
  <si>
    <t>SSP Group plc</t>
  </si>
  <si>
    <t>PEB</t>
  </si>
  <si>
    <t>Pebblebrook Hotel Trust</t>
  </si>
  <si>
    <t>IRWD</t>
  </si>
  <si>
    <t>Ironwood Pharmaceuticals Inc.</t>
  </si>
  <si>
    <t>GPRE</t>
  </si>
  <si>
    <t>Green Plains Inc.</t>
  </si>
  <si>
    <t>TMV</t>
  </si>
  <si>
    <t>TeamViewer SE</t>
  </si>
  <si>
    <t>DOOR</t>
  </si>
  <si>
    <t>Masonite International Corp.</t>
  </si>
  <si>
    <t>SGH</t>
  </si>
  <si>
    <t>SMART Global Holdings Inc.</t>
  </si>
  <si>
    <t>Worthington Industries Inc.</t>
  </si>
  <si>
    <t>FL</t>
  </si>
  <si>
    <t>Foot Locker Inc.</t>
  </si>
  <si>
    <t>KTB</t>
  </si>
  <si>
    <t>Kontoor Brands Inc.</t>
  </si>
  <si>
    <t>CEIX</t>
  </si>
  <si>
    <t>CONSOL Energy Inc.</t>
  </si>
  <si>
    <t>SEAS</t>
  </si>
  <si>
    <t>SeaWorld Entertainment Inc.</t>
  </si>
  <si>
    <t>SCT</t>
  </si>
  <si>
    <t>Softcat plc</t>
  </si>
  <si>
    <t>ATRC</t>
  </si>
  <si>
    <t>AtriCure Inc.</t>
  </si>
  <si>
    <t>MRCY</t>
  </si>
  <si>
    <t>Mercury Systems Inc.</t>
  </si>
  <si>
    <t>4182</t>
  </si>
  <si>
    <t>Mitsubishi Gas Chemical Co. Inc.</t>
  </si>
  <si>
    <t>JET2</t>
  </si>
  <si>
    <t>JET2 plc</t>
  </si>
  <si>
    <t>CVCO</t>
  </si>
  <si>
    <t>Cavco Industries Inc.</t>
  </si>
  <si>
    <t>OII</t>
  </si>
  <si>
    <t>Oceaneering International Inc.</t>
  </si>
  <si>
    <t>ACIW</t>
  </si>
  <si>
    <t>ACI Worldwide Inc.</t>
  </si>
  <si>
    <t>TNDM</t>
  </si>
  <si>
    <t>Tandem Diabetes Care Inc.</t>
  </si>
  <si>
    <t>PNN</t>
  </si>
  <si>
    <t>Pennon Group plc</t>
  </si>
  <si>
    <t>CERT</t>
  </si>
  <si>
    <t>Certara Inc.</t>
  </si>
  <si>
    <t>GTES</t>
  </si>
  <si>
    <t>Gates Industrial Corp. plc</t>
  </si>
  <si>
    <t>TA</t>
  </si>
  <si>
    <t>TransAlta Corp.</t>
  </si>
  <si>
    <t>PRG</t>
  </si>
  <si>
    <t>PROG Holdings Inc.</t>
  </si>
  <si>
    <t>Siltronic AG</t>
  </si>
  <si>
    <t>SWEC B</t>
  </si>
  <si>
    <t>Sweco AB</t>
  </si>
  <si>
    <t>BOH</t>
  </si>
  <si>
    <t>Bank of Hawaii Corp.</t>
  </si>
  <si>
    <t>PEGA</t>
  </si>
  <si>
    <t>Pegasystems Inc.</t>
  </si>
  <si>
    <t>JACK</t>
  </si>
  <si>
    <t>Jack in the Box Inc.</t>
  </si>
  <si>
    <t>APLS</t>
  </si>
  <si>
    <t>Apellis Pharmaceuticals Inc.</t>
  </si>
  <si>
    <t>FRO</t>
  </si>
  <si>
    <t>Frontline plc</t>
  </si>
  <si>
    <t>CY</t>
  </si>
  <si>
    <t>5021</t>
  </si>
  <si>
    <t>Cosmo Energy Holdings Co. Ltd.</t>
  </si>
  <si>
    <t>GLPG</t>
  </si>
  <si>
    <t>Galapagos NV</t>
  </si>
  <si>
    <t>HLIO</t>
  </si>
  <si>
    <t>Helios Technologies Inc.</t>
  </si>
  <si>
    <t>DNA</t>
  </si>
  <si>
    <t>Ginkgo Bioworks Holdings Inc.</t>
  </si>
  <si>
    <t>SFSN</t>
  </si>
  <si>
    <t>SFS Group AG</t>
  </si>
  <si>
    <t>BMBL</t>
  </si>
  <si>
    <t>Bumble Inc.</t>
  </si>
  <si>
    <t>SAGE</t>
  </si>
  <si>
    <t>Sage Therapeutics Inc.</t>
  </si>
  <si>
    <t>MTRN</t>
  </si>
  <si>
    <t>Materion Corp.</t>
  </si>
  <si>
    <t>MQ</t>
  </si>
  <si>
    <t>Marqeta Inc.</t>
  </si>
  <si>
    <t>BTE</t>
  </si>
  <si>
    <t>Baytex Energy Corp.</t>
  </si>
  <si>
    <t>SBCF</t>
  </si>
  <si>
    <t>Seacoast Banking Corp. of Florida</t>
  </si>
  <si>
    <t>9513</t>
  </si>
  <si>
    <t>Electric Power Development Co. Ltd.</t>
  </si>
  <si>
    <t>BLX</t>
  </si>
  <si>
    <t>Boralex Inc.</t>
  </si>
  <si>
    <t>NHI</t>
  </si>
  <si>
    <t>National Health Investors Inc.</t>
  </si>
  <si>
    <t>CHPT</t>
  </si>
  <si>
    <t>ChargePoint Holdings Inc.</t>
  </si>
  <si>
    <t>SKT</t>
  </si>
  <si>
    <t>Tanger Factory Outlet Centers Inc.</t>
  </si>
  <si>
    <t>QQ.</t>
  </si>
  <si>
    <t>QinetiQ Group plc</t>
  </si>
  <si>
    <t>MHO</t>
  </si>
  <si>
    <t>M/I Homes Inc.</t>
  </si>
  <si>
    <t>IIPR</t>
  </si>
  <si>
    <t>Innovative Industrial Properties Inc.</t>
  </si>
  <si>
    <t>VECO</t>
  </si>
  <si>
    <t>Veeco Instruments Inc.</t>
  </si>
  <si>
    <t>HASI</t>
  </si>
  <si>
    <t>Hannon Armstrong Sustainable Infrastructure Capital Inc.</t>
  </si>
  <si>
    <t>MWA</t>
  </si>
  <si>
    <t>Mueller Water Products Inc.</t>
  </si>
  <si>
    <t>ACO.X</t>
  </si>
  <si>
    <t>Atco Ltd./Canada</t>
  </si>
  <si>
    <t>SAFE</t>
  </si>
  <si>
    <t>Safestore Holdings plc</t>
  </si>
  <si>
    <t>Carnival plc</t>
  </si>
  <si>
    <t>ARCH</t>
  </si>
  <si>
    <t>Arch Resources Inc.</t>
  </si>
  <si>
    <t>ODP</t>
  </si>
  <si>
    <t>ODP Corp.</t>
  </si>
  <si>
    <t>SRP</t>
  </si>
  <si>
    <t>Serco Group plc</t>
  </si>
  <si>
    <t>PRMW</t>
  </si>
  <si>
    <t>Primo Water Corp.</t>
  </si>
  <si>
    <t>EBC</t>
  </si>
  <si>
    <t>Eastern Bankshares Inc.</t>
  </si>
  <si>
    <t>ICFI</t>
  </si>
  <si>
    <t>ICF International Inc.</t>
  </si>
  <si>
    <t>CCS</t>
  </si>
  <si>
    <t>Century Communities Inc.</t>
  </si>
  <si>
    <t>Atlantic Union Bankshares Corp.</t>
  </si>
  <si>
    <t>9003</t>
  </si>
  <si>
    <t>Sotetsu Holdings Inc.</t>
  </si>
  <si>
    <t>Outfront Media Inc.</t>
  </si>
  <si>
    <t>Capstone Copper Corp.</t>
  </si>
  <si>
    <t>INRN</t>
  </si>
  <si>
    <t>Interroll Holding AG</t>
  </si>
  <si>
    <t>TIETO</t>
  </si>
  <si>
    <t>TietoEVRY Oyj</t>
  </si>
  <si>
    <t>BKU</t>
  </si>
  <si>
    <t>BankUnited Inc.</t>
  </si>
  <si>
    <t>NEO</t>
  </si>
  <si>
    <t>NeoGenomics Inc.</t>
  </si>
  <si>
    <t>Hays plc</t>
  </si>
  <si>
    <t>7729</t>
  </si>
  <si>
    <t>Tokyo Seimitsu Co. Ltd.</t>
  </si>
  <si>
    <t>ROCK</t>
  </si>
  <si>
    <t>Gibraltar Industries Inc.</t>
  </si>
  <si>
    <t>BLMN</t>
  </si>
  <si>
    <t>Bloomin' Brands Inc.</t>
  </si>
  <si>
    <t>TCN</t>
  </si>
  <si>
    <t>Tricon Residential Inc.</t>
  </si>
  <si>
    <t>3132</t>
  </si>
  <si>
    <t>Macnica Holdings Inc.</t>
  </si>
  <si>
    <t>SLG</t>
  </si>
  <si>
    <t>SL Green Realty Corp.</t>
  </si>
  <si>
    <t>BRE</t>
  </si>
  <si>
    <t>Brembo SPA</t>
  </si>
  <si>
    <t>AML</t>
  </si>
  <si>
    <t>Aston Martin Lagonda Global Holdings plc</t>
  </si>
  <si>
    <t>NEL</t>
  </si>
  <si>
    <t>NEL ASA</t>
  </si>
  <si>
    <t>CMBN</t>
  </si>
  <si>
    <t>Cembra Money Bank AG</t>
  </si>
  <si>
    <t>AF</t>
  </si>
  <si>
    <t>Air France-KLM</t>
  </si>
  <si>
    <t>FCPT</t>
  </si>
  <si>
    <t>Four Corners Property Trust Inc.</t>
  </si>
  <si>
    <t>KRN</t>
  </si>
  <si>
    <t>Krones AG</t>
  </si>
  <si>
    <t>GRI</t>
  </si>
  <si>
    <t>Grainger plc</t>
  </si>
  <si>
    <t>PSM</t>
  </si>
  <si>
    <t>ProSiebenSat.1 Media SE</t>
  </si>
  <si>
    <t>CPK</t>
  </si>
  <si>
    <t>Chesapeake Utilities Corp.</t>
  </si>
  <si>
    <t>ACVA</t>
  </si>
  <si>
    <t>ACV Auctions Inc.</t>
  </si>
  <si>
    <t>BRAV</t>
  </si>
  <si>
    <t>Bravida Holding AB</t>
  </si>
  <si>
    <t>DWL</t>
  </si>
  <si>
    <t>Dowlais Group plc</t>
  </si>
  <si>
    <t>ATGE</t>
  </si>
  <si>
    <t>Adtalem Global Education Inc.</t>
  </si>
  <si>
    <t>DORM</t>
  </si>
  <si>
    <t>Dorman Products Inc.</t>
  </si>
  <si>
    <t>HUFV A</t>
  </si>
  <si>
    <t>Hufvudstaden AB</t>
  </si>
  <si>
    <t>MELE</t>
  </si>
  <si>
    <t>Melexis NV</t>
  </si>
  <si>
    <t>FSLY</t>
  </si>
  <si>
    <t>Fastly Inc.</t>
  </si>
  <si>
    <t>BPSO</t>
  </si>
  <si>
    <t>Banca Popolare di Sondrio SPA</t>
  </si>
  <si>
    <t>NUVA</t>
  </si>
  <si>
    <t>NuVasive Inc.</t>
  </si>
  <si>
    <t>SONO</t>
  </si>
  <si>
    <t>Sonos Inc.</t>
  </si>
  <si>
    <t>SRAIL</t>
  </si>
  <si>
    <t>Stadler Rail AG</t>
  </si>
  <si>
    <t>KTOS</t>
  </si>
  <si>
    <t>Kratos Defense &amp; Security Solutions Inc.</t>
  </si>
  <si>
    <t>COHU</t>
  </si>
  <si>
    <t>Cohu Inc.</t>
  </si>
  <si>
    <t>TPK</t>
  </si>
  <si>
    <t>Travis Perkins plc</t>
  </si>
  <si>
    <t>DRH</t>
  </si>
  <si>
    <t>DiamondRock Hospitality Co.</t>
  </si>
  <si>
    <t>TBBK</t>
  </si>
  <si>
    <t>Bancorp Inc.</t>
  </si>
  <si>
    <t>NDX1</t>
  </si>
  <si>
    <t>Nordex SE</t>
  </si>
  <si>
    <t>2651</t>
  </si>
  <si>
    <t>Lawson Inc.</t>
  </si>
  <si>
    <t>THRM</t>
  </si>
  <si>
    <t>Gentherm Inc.</t>
  </si>
  <si>
    <t>6134</t>
  </si>
  <si>
    <t>Fuji Corp./Aichi</t>
  </si>
  <si>
    <t>SCL</t>
  </si>
  <si>
    <t>Stepan Co.</t>
  </si>
  <si>
    <t>JOE</t>
  </si>
  <si>
    <t>St. Joe Co.</t>
  </si>
  <si>
    <t>6856</t>
  </si>
  <si>
    <t>Horiba Ltd.</t>
  </si>
  <si>
    <t>ANF</t>
  </si>
  <si>
    <t>Abercrombie &amp; Fitch Co.</t>
  </si>
  <si>
    <t>SHC</t>
  </si>
  <si>
    <t>Shaftesbury Capital plc</t>
  </si>
  <si>
    <t>WGO</t>
  </si>
  <si>
    <t>Winnebago Industries Inc.</t>
  </si>
  <si>
    <t>EQC</t>
  </si>
  <si>
    <t>Equity Commonwealth</t>
  </si>
  <si>
    <t>PRFT</t>
  </si>
  <si>
    <t>Perficient Inc.</t>
  </si>
  <si>
    <t>GHC</t>
  </si>
  <si>
    <t>Graham Holdings Co.</t>
  </si>
  <si>
    <t>KNF</t>
  </si>
  <si>
    <t>Knife River Corp.</t>
  </si>
  <si>
    <t>UPONOR</t>
  </si>
  <si>
    <t>Uponor Oyj</t>
  </si>
  <si>
    <t>UPBD</t>
  </si>
  <si>
    <t>Upbound Group Inc.</t>
  </si>
  <si>
    <t>WIHL</t>
  </si>
  <si>
    <t>Wihlborgs Fastigheter AB</t>
  </si>
  <si>
    <t>GNS</t>
  </si>
  <si>
    <t>Genus plc</t>
  </si>
  <si>
    <t>AAR Corp.</t>
  </si>
  <si>
    <t>OSIS</t>
  </si>
  <si>
    <t>OSI Systems Inc.</t>
  </si>
  <si>
    <t>3563</t>
  </si>
  <si>
    <t>Food &amp; Life Cos. Ltd.</t>
  </si>
  <si>
    <t>RDW</t>
  </si>
  <si>
    <t>Redrow plc</t>
  </si>
  <si>
    <t>JXN</t>
  </si>
  <si>
    <t>Jackson Financial Inc.</t>
  </si>
  <si>
    <t>VET</t>
  </si>
  <si>
    <t>Vermilion Energy Inc.</t>
  </si>
  <si>
    <t>NEXTracker Inc.</t>
  </si>
  <si>
    <t>RCH</t>
  </si>
  <si>
    <t>Richelieu Hardware Ltd.</t>
  </si>
  <si>
    <t>CERE</t>
  </si>
  <si>
    <t>Cerevel Therapeutics Holdings Inc.</t>
  </si>
  <si>
    <t>HBI</t>
  </si>
  <si>
    <t>Hanesbrands Inc.</t>
  </si>
  <si>
    <t>FUR</t>
  </si>
  <si>
    <t>Fugro NV</t>
  </si>
  <si>
    <t>Nexans SA</t>
  </si>
  <si>
    <t>PRK</t>
  </si>
  <si>
    <t>Park National Corp.</t>
  </si>
  <si>
    <t>Trinity Industries Inc.</t>
  </si>
  <si>
    <t>IFCN</t>
  </si>
  <si>
    <t>Inficon Holding AG</t>
  </si>
  <si>
    <t>URBN</t>
  </si>
  <si>
    <t>Urban Outfitters Inc.</t>
  </si>
  <si>
    <t>RELY</t>
  </si>
  <si>
    <t>Remitly Global Inc.</t>
  </si>
  <si>
    <t>Parsons Corp.</t>
  </si>
  <si>
    <t>BFH</t>
  </si>
  <si>
    <t>Bread Financial Holdings Inc.</t>
  </si>
  <si>
    <t>ASAN</t>
  </si>
  <si>
    <t>Asana Inc.</t>
  </si>
  <si>
    <t>GOLF</t>
  </si>
  <si>
    <t>Acushnet Holdings Corp.</t>
  </si>
  <si>
    <t>EPC</t>
  </si>
  <si>
    <t>Edgewell Personal Care Co.</t>
  </si>
  <si>
    <t>SSAB A</t>
  </si>
  <si>
    <t>SVS</t>
  </si>
  <si>
    <t>Savills plc</t>
  </si>
  <si>
    <t>CWK</t>
  </si>
  <si>
    <t>Cranswick plc</t>
  </si>
  <si>
    <t>DUE</t>
  </si>
  <si>
    <t>Duerr AG</t>
  </si>
  <si>
    <t>ERG</t>
  </si>
  <si>
    <t>ERG SPA</t>
  </si>
  <si>
    <t>CRVL</t>
  </si>
  <si>
    <t>CorVel Corp.</t>
  </si>
  <si>
    <t>VK</t>
  </si>
  <si>
    <t>Vallourec SA</t>
  </si>
  <si>
    <t>MOBN</t>
  </si>
  <si>
    <t>Mobimo Holding AG</t>
  </si>
  <si>
    <t>CTRE</t>
  </si>
  <si>
    <t>CareTrust REIT Inc.</t>
  </si>
  <si>
    <t>Celestica Inc.</t>
  </si>
  <si>
    <t>Eldorado Gold Corp.</t>
  </si>
  <si>
    <t>LRE</t>
  </si>
  <si>
    <t>Lancashire Holdings Ltd.</t>
  </si>
  <si>
    <t>LIF</t>
  </si>
  <si>
    <t>Labrador Iron Ore Royalty Corp.</t>
  </si>
  <si>
    <t>SBMO</t>
  </si>
  <si>
    <t>SBM Offshore NV</t>
  </si>
  <si>
    <t>ACLN</t>
  </si>
  <si>
    <t>Accelleron Industries AG</t>
  </si>
  <si>
    <t>CBRL</t>
  </si>
  <si>
    <t>Cracker Barrel Old Country Store Inc.</t>
  </si>
  <si>
    <t>PAGE</t>
  </si>
  <si>
    <t>Pagegroup plc</t>
  </si>
  <si>
    <t>Sotera Health Co.</t>
  </si>
  <si>
    <t>LAC</t>
  </si>
  <si>
    <t>Lithium Americas Corp.</t>
  </si>
  <si>
    <t>GPS</t>
  </si>
  <si>
    <t>Gap Inc.</t>
  </si>
  <si>
    <t>TOP</t>
  </si>
  <si>
    <t>Topdanmark AS</t>
  </si>
  <si>
    <t>FRU</t>
  </si>
  <si>
    <t>Freehold Royalties Ltd.</t>
  </si>
  <si>
    <t>SHO</t>
  </si>
  <si>
    <t>Sunstone Hotel Investors Inc.</t>
  </si>
  <si>
    <t>FDR</t>
  </si>
  <si>
    <t>Fluidra SA</t>
  </si>
  <si>
    <t>TOWN</t>
  </si>
  <si>
    <t>Towne Bank/Portsmouth VA</t>
  </si>
  <si>
    <t>SIX</t>
  </si>
  <si>
    <t>Six Flags Entertainment Corp.</t>
  </si>
  <si>
    <t>AMOT</t>
  </si>
  <si>
    <t>Amot Investments Ltd.</t>
  </si>
  <si>
    <t>FROG</t>
  </si>
  <si>
    <t>JFrog Ltd.</t>
  </si>
  <si>
    <t>VIT B</t>
  </si>
  <si>
    <t>Vitec Software Group AB</t>
  </si>
  <si>
    <t>MBTN</t>
  </si>
  <si>
    <t>Meyer Burger Technology AG</t>
  </si>
  <si>
    <t>KARN</t>
  </si>
  <si>
    <t>Kardex Holding AG</t>
  </si>
  <si>
    <t>RVMD</t>
  </si>
  <si>
    <t>REVOLUTION Medicines Inc.</t>
  </si>
  <si>
    <t>OSB</t>
  </si>
  <si>
    <t>OSB Group plc</t>
  </si>
  <si>
    <t>HUBN</t>
  </si>
  <si>
    <t>Huber + Suhner AG</t>
  </si>
  <si>
    <t>FFBC</t>
  </si>
  <si>
    <t>First Financial Bancorp</t>
  </si>
  <si>
    <t>XPRO</t>
  </si>
  <si>
    <t>Expro Group Holdings NV</t>
  </si>
  <si>
    <t>VNOM</t>
  </si>
  <si>
    <t>Viper Energy Partners LP</t>
  </si>
  <si>
    <t>IVG</t>
  </si>
  <si>
    <t>Iveco Group NV</t>
  </si>
  <si>
    <t>NMIH</t>
  </si>
  <si>
    <t>NMI Holdings Inc.</t>
  </si>
  <si>
    <t>AGYS</t>
  </si>
  <si>
    <t>Agilysys Inc.</t>
  </si>
  <si>
    <t>SJW</t>
  </si>
  <si>
    <t>SJW Group</t>
  </si>
  <si>
    <t>UNI</t>
  </si>
  <si>
    <t>Unipol Gruppo SPA</t>
  </si>
  <si>
    <t>HURN</t>
  </si>
  <si>
    <t>Huron Consulting Group Inc.</t>
  </si>
  <si>
    <t>5301</t>
  </si>
  <si>
    <t>Tokai Carbon Co. Ltd.</t>
  </si>
  <si>
    <t>JUN3</t>
  </si>
  <si>
    <t>Jungheinrich AG</t>
  </si>
  <si>
    <t>MGPI</t>
  </si>
  <si>
    <t>MGP Ingredients Inc.</t>
  </si>
  <si>
    <t>EZJ</t>
  </si>
  <si>
    <t>easyJet plc</t>
  </si>
  <si>
    <t>NTCT</t>
  </si>
  <si>
    <t>NetScout Systems Inc.</t>
  </si>
  <si>
    <t>ECV</t>
  </si>
  <si>
    <t>Encavis AG</t>
  </si>
  <si>
    <t>WAFD</t>
  </si>
  <si>
    <t>Washington Federal Inc.</t>
  </si>
  <si>
    <t>5711</t>
  </si>
  <si>
    <t>Mitsubishi Materials Corp.</t>
  </si>
  <si>
    <t>ACX</t>
  </si>
  <si>
    <t>Acerinox SA</t>
  </si>
  <si>
    <t>CPE</t>
  </si>
  <si>
    <t>Callon Petroleum Co.</t>
  </si>
  <si>
    <t>VCYT</t>
  </si>
  <si>
    <t>Veracyte Inc.</t>
  </si>
  <si>
    <t>NETC</t>
  </si>
  <si>
    <t>Netcompany Group A/S</t>
  </si>
  <si>
    <t>MYGN</t>
  </si>
  <si>
    <t>Myriad Genetics Inc.</t>
  </si>
  <si>
    <t>B</t>
  </si>
  <si>
    <t>Barnes Group Inc.</t>
  </si>
  <si>
    <t>JOBY</t>
  </si>
  <si>
    <t>Joby Aviation Inc.</t>
  </si>
  <si>
    <t>9759</t>
  </si>
  <si>
    <t>NSD Co. Ltd.</t>
  </si>
  <si>
    <t>BANF</t>
  </si>
  <si>
    <t>BancFirst Corp.</t>
  </si>
  <si>
    <t>OUT1V</t>
  </si>
  <si>
    <t>Outokumpu Oyj</t>
  </si>
  <si>
    <t>SAX</t>
  </si>
  <si>
    <t>Stroeer SE &amp; Co. KGaA</t>
  </si>
  <si>
    <t>Billerud AB</t>
  </si>
  <si>
    <t>IDR</t>
  </si>
  <si>
    <t>Indra Sistemas SA</t>
  </si>
  <si>
    <t>XRX</t>
  </si>
  <si>
    <t>Xerox Holdings Corp.</t>
  </si>
  <si>
    <t>CARG</t>
  </si>
  <si>
    <t>Cargurus Inc.</t>
  </si>
  <si>
    <t>Kennedy-Wilson Holdings Inc.</t>
  </si>
  <si>
    <t>AIF</t>
  </si>
  <si>
    <t>Altus Group Ltd./Canada</t>
  </si>
  <si>
    <t>GEF</t>
  </si>
  <si>
    <t>Greif Inc.</t>
  </si>
  <si>
    <t>DFY</t>
  </si>
  <si>
    <t>Definity Financial Corp.</t>
  </si>
  <si>
    <t>RDFN</t>
  </si>
  <si>
    <t>Redfin Corp.</t>
  </si>
  <si>
    <t>COLR</t>
  </si>
  <si>
    <t>Etablissements Franz Colruyt NV</t>
  </si>
  <si>
    <t>SMTC</t>
  </si>
  <si>
    <t>Semtech Corp.</t>
  </si>
  <si>
    <t>CNK</t>
  </si>
  <si>
    <t>Cinemark Holdings Inc.</t>
  </si>
  <si>
    <t>2501</t>
  </si>
  <si>
    <t>Sapporo Holdings Ltd.</t>
  </si>
  <si>
    <t>RUS</t>
  </si>
  <si>
    <t>Russel Metals Inc.</t>
  </si>
  <si>
    <t>CALM</t>
  </si>
  <si>
    <t>Cal-Maine Foods Inc.</t>
  </si>
  <si>
    <t>ALSO Holding AG</t>
  </si>
  <si>
    <t>POU</t>
  </si>
  <si>
    <t>Paramount Resources Ltd.</t>
  </si>
  <si>
    <t>J69U</t>
  </si>
  <si>
    <t>Frasers Centrepoint Trust</t>
  </si>
  <si>
    <t>RUSHA</t>
  </si>
  <si>
    <t>Rush Enterprises Inc.</t>
  </si>
  <si>
    <t>CAKE</t>
  </si>
  <si>
    <t>Cheesecake Factory Inc.</t>
  </si>
  <si>
    <t>LB</t>
  </si>
  <si>
    <t>Laurentian Bank of Canada</t>
  </si>
  <si>
    <t>TEG</t>
  </si>
  <si>
    <t>TAG Immobilien AG</t>
  </si>
  <si>
    <t>DDS</t>
  </si>
  <si>
    <t>Dillard's Inc.</t>
  </si>
  <si>
    <t>RDNT</t>
  </si>
  <si>
    <t>RadNet Inc.</t>
  </si>
  <si>
    <t>VICR</t>
  </si>
  <si>
    <t>Vicor Corp.</t>
  </si>
  <si>
    <t>SLVM</t>
  </si>
  <si>
    <t>Sylvamo Corp.</t>
  </si>
  <si>
    <t>C52</t>
  </si>
  <si>
    <t>ComfortDelGro Corp. Ltd.</t>
  </si>
  <si>
    <t>APOG</t>
  </si>
  <si>
    <t>Apogee Enterprises Inc.</t>
  </si>
  <si>
    <t>9793</t>
  </si>
  <si>
    <t>Daiseki Co. Ltd.</t>
  </si>
  <si>
    <t>CWEN</t>
  </si>
  <si>
    <t>Clearway Energy Inc.</t>
  </si>
  <si>
    <t>RC</t>
  </si>
  <si>
    <t>Ready Capital Corp.</t>
  </si>
  <si>
    <t>Societe BIC SA</t>
  </si>
  <si>
    <t>CGCBV</t>
  </si>
  <si>
    <t>Cargotec Oyj</t>
  </si>
  <si>
    <t>UCTT</t>
  </si>
  <si>
    <t>Ultra Clean Holdings Inc.</t>
  </si>
  <si>
    <t>9504</t>
  </si>
  <si>
    <t>Chugoku Electric Power Co. Inc.</t>
  </si>
  <si>
    <t>LAUR</t>
  </si>
  <si>
    <t>Laureate Education Inc.</t>
  </si>
  <si>
    <t>RXRX</t>
  </si>
  <si>
    <t>Recursion Pharmaceuticals Inc.</t>
  </si>
  <si>
    <t>OXIG</t>
  </si>
  <si>
    <t>Oxford Instruments plc</t>
  </si>
  <si>
    <t>AGIO</t>
  </si>
  <si>
    <t>Agios Pharmaceuticals Inc.</t>
  </si>
  <si>
    <t>CWB</t>
  </si>
  <si>
    <t>Canadian Western Bank</t>
  </si>
  <si>
    <t>SAVE</t>
  </si>
  <si>
    <t>Nordnet AB publ</t>
  </si>
  <si>
    <t>PJT</t>
  </si>
  <si>
    <t>PJT Partners Inc.</t>
  </si>
  <si>
    <t>DEA</t>
  </si>
  <si>
    <t>Easterly Government Properties Inc.</t>
  </si>
  <si>
    <t>Delek US Holdings Inc.</t>
  </si>
  <si>
    <t>ZEAL</t>
  </si>
  <si>
    <t>Zealand Pharma A/S</t>
  </si>
  <si>
    <t>SCHA</t>
  </si>
  <si>
    <t>INSW</t>
  </si>
  <si>
    <t>International Seaways Inc.</t>
  </si>
  <si>
    <t>MH</t>
  </si>
  <si>
    <t>BYIT</t>
  </si>
  <si>
    <t>Bytes Technology Group plc</t>
  </si>
  <si>
    <t>STR</t>
  </si>
  <si>
    <t>Sitio Royalties Corp.</t>
  </si>
  <si>
    <t>NBTB</t>
  </si>
  <si>
    <t>NBT Bancorp Inc.</t>
  </si>
  <si>
    <t>MGNI</t>
  </si>
  <si>
    <t>Magnite Inc.</t>
  </si>
  <si>
    <t>UE</t>
  </si>
  <si>
    <t>Urban Edge Properties</t>
  </si>
  <si>
    <t>RVNC</t>
  </si>
  <si>
    <t>Revance Therapeutics Inc.</t>
  </si>
  <si>
    <t>GSHD</t>
  </si>
  <si>
    <t>Goosehead Insurance Inc.</t>
  </si>
  <si>
    <t>AKRO</t>
  </si>
  <si>
    <t>Akero Therapeutics Inc.</t>
  </si>
  <si>
    <t>FRME</t>
  </si>
  <si>
    <t>First Merchants Corp.</t>
  </si>
  <si>
    <t>DGII</t>
  </si>
  <si>
    <t>Digi International Inc.</t>
  </si>
  <si>
    <t>ENVA</t>
  </si>
  <si>
    <t>Enova International Inc.</t>
  </si>
  <si>
    <t>HBR</t>
  </si>
  <si>
    <t>Harbour Energy plc</t>
  </si>
  <si>
    <t>ITP</t>
  </si>
  <si>
    <t>Interparfums SA</t>
  </si>
  <si>
    <t>Sulzer AG</t>
  </si>
  <si>
    <t>8129</t>
  </si>
  <si>
    <t>Toho Holdings Co. Ltd.</t>
  </si>
  <si>
    <t>HEES</t>
  </si>
  <si>
    <t>H&amp;E Equipment Services Inc.</t>
  </si>
  <si>
    <t>MYCR</t>
  </si>
  <si>
    <t>Mycronic AB</t>
  </si>
  <si>
    <t>1332</t>
  </si>
  <si>
    <t>Nissui Corp.</t>
  </si>
  <si>
    <t>PLUS</t>
  </si>
  <si>
    <t>Plus500 Ltd.</t>
  </si>
  <si>
    <t>WLY</t>
  </si>
  <si>
    <t>John Wiley &amp; Sons Inc.</t>
  </si>
  <si>
    <t>Landis+Gyr Group AG</t>
  </si>
  <si>
    <t>TALO</t>
  </si>
  <si>
    <t>Talos Energy Inc.</t>
  </si>
  <si>
    <t>BFF</t>
  </si>
  <si>
    <t>BFF Bank SPA</t>
  </si>
  <si>
    <t>JEN</t>
  </si>
  <si>
    <t>Jenoptik AG</t>
  </si>
  <si>
    <t>CVSG</t>
  </si>
  <si>
    <t>CVS Group plc</t>
  </si>
  <si>
    <t>First Majestic Silver Corp.</t>
  </si>
  <si>
    <t>CLIS</t>
  </si>
  <si>
    <t>Clal Insurance Enterprises Holdings Ltd.</t>
  </si>
  <si>
    <t>PSMT</t>
  </si>
  <si>
    <t>PriceSmart Inc.</t>
  </si>
  <si>
    <t>MONY</t>
  </si>
  <si>
    <t>Moneysupermarket.com Group plc</t>
  </si>
  <si>
    <t>LIAB</t>
  </si>
  <si>
    <t>Lindab International AB</t>
  </si>
  <si>
    <t>RNST</t>
  </si>
  <si>
    <t>Renasant Corp.</t>
  </si>
  <si>
    <t>LOG</t>
  </si>
  <si>
    <t>Cia de Distribucion Integral Logista Holdings SA</t>
  </si>
  <si>
    <t>TGS</t>
  </si>
  <si>
    <t>TGS ASA</t>
  </si>
  <si>
    <t>659</t>
  </si>
  <si>
    <t>NWS Holdings Ltd.</t>
  </si>
  <si>
    <t>LUMN</t>
  </si>
  <si>
    <t>Lumen Technologies Inc.</t>
  </si>
  <si>
    <t>ARYN</t>
  </si>
  <si>
    <t>Aryzta AG</t>
  </si>
  <si>
    <t>ERO</t>
  </si>
  <si>
    <t>ERO Copper Corp.</t>
  </si>
  <si>
    <t>ENOG</t>
  </si>
  <si>
    <t>Energean plc</t>
  </si>
  <si>
    <t>PHR</t>
  </si>
  <si>
    <t>Phreesia Inc.</t>
  </si>
  <si>
    <t>TPZ</t>
  </si>
  <si>
    <t>Topaz Energy Corp.</t>
  </si>
  <si>
    <t>XHR</t>
  </si>
  <si>
    <t>Xenia Hotels &amp; Resorts Inc.</t>
  </si>
  <si>
    <t>FCF</t>
  </si>
  <si>
    <t>First Commonwealth Financial Corp.</t>
  </si>
  <si>
    <t>VSCO</t>
  </si>
  <si>
    <t>Victoria's Secret &amp; Co.</t>
  </si>
  <si>
    <t>NOVA</t>
  </si>
  <si>
    <t>Sunnova Energy International Inc.</t>
  </si>
  <si>
    <t>BFIT</t>
  </si>
  <si>
    <t>Basic-Fit NV</t>
  </si>
  <si>
    <t>KRNT</t>
  </si>
  <si>
    <t>Kornit Digital Ltd.</t>
  </si>
  <si>
    <t>ROIC</t>
  </si>
  <si>
    <t>Retail Opportunity Investments Corp.</t>
  </si>
  <si>
    <t>TRIP</t>
  </si>
  <si>
    <t>TripAdvisor Inc.</t>
  </si>
  <si>
    <t>4681</t>
  </si>
  <si>
    <t>Resorttrust Inc.</t>
  </si>
  <si>
    <t>SSL</t>
  </si>
  <si>
    <t>Sandstorm Gold Ltd.</t>
  </si>
  <si>
    <t>3295</t>
  </si>
  <si>
    <t>Hulic Reit Inc.</t>
  </si>
  <si>
    <t>VTSC</t>
  </si>
  <si>
    <t>Vitesco Technologies Group AG</t>
  </si>
  <si>
    <t>NXE</t>
  </si>
  <si>
    <t>NexGen Energy Ltd.</t>
  </si>
  <si>
    <t>SPM</t>
  </si>
  <si>
    <t>Saipem SPA</t>
  </si>
  <si>
    <t>BRZE</t>
  </si>
  <si>
    <t>Braze Inc.</t>
  </si>
  <si>
    <t>BORR</t>
  </si>
  <si>
    <t>Borr Drilling Ltd.</t>
  </si>
  <si>
    <t>DARK</t>
  </si>
  <si>
    <t>Darktrace plc</t>
  </si>
  <si>
    <t>ATZ</t>
  </si>
  <si>
    <t>Aritzia Inc.</t>
  </si>
  <si>
    <t>KEMIRA</t>
  </si>
  <si>
    <t>Kemira Oyj</t>
  </si>
  <si>
    <t>CBG</t>
  </si>
  <si>
    <t>Close Brothers Group plc</t>
  </si>
  <si>
    <t>PLYM</t>
  </si>
  <si>
    <t>Plymouth Industrial REIT Inc.</t>
  </si>
  <si>
    <t>TROX</t>
  </si>
  <si>
    <t>Tronox Holdings plc</t>
  </si>
  <si>
    <t>3107</t>
  </si>
  <si>
    <t>Daiwabo Holdings Co. Ltd.</t>
  </si>
  <si>
    <t>VATN</t>
  </si>
  <si>
    <t>Valiant Holding AG</t>
  </si>
  <si>
    <t>OPENLANE Inc.</t>
  </si>
  <si>
    <t>EXPI</t>
  </si>
  <si>
    <t>eXp World Holdings Inc.</t>
  </si>
  <si>
    <t>DPM</t>
  </si>
  <si>
    <t>Dundee Precious Metals Inc.</t>
  </si>
  <si>
    <t>SES</t>
  </si>
  <si>
    <t>Secure Energy Services Inc.</t>
  </si>
  <si>
    <t>PERI</t>
  </si>
  <si>
    <t>Perion Network Ltd.</t>
  </si>
  <si>
    <t>Domino's Pizza Group plc</t>
  </si>
  <si>
    <t>AGR</t>
  </si>
  <si>
    <t>Assura plc</t>
  </si>
  <si>
    <t>GFF</t>
  </si>
  <si>
    <t>Griffon Corp.</t>
  </si>
  <si>
    <t>FRAS</t>
  </si>
  <si>
    <t>Frasers Group plc</t>
  </si>
  <si>
    <t>VSAT</t>
  </si>
  <si>
    <t>Viasat Inc.</t>
  </si>
  <si>
    <t>REYN</t>
  </si>
  <si>
    <t>Reynolds Consumer Products Inc.</t>
  </si>
  <si>
    <t>FIL</t>
  </si>
  <si>
    <t>Filo Corp.</t>
  </si>
  <si>
    <t>AMRC</t>
  </si>
  <si>
    <t>Ameresco Inc.</t>
  </si>
  <si>
    <t>PLAY</t>
  </si>
  <si>
    <t>Dave &amp; Buster's Entertainment Inc.</t>
  </si>
  <si>
    <t>SUPN</t>
  </si>
  <si>
    <t>Supernus Pharmaceuticals Inc.</t>
  </si>
  <si>
    <t>BCHN</t>
  </si>
  <si>
    <t>Burckhardt Compression Holding AG</t>
  </si>
  <si>
    <t>XPEL</t>
  </si>
  <si>
    <t>XPEL Inc.</t>
  </si>
  <si>
    <t>VRTV</t>
  </si>
  <si>
    <t>Veritiv Corp.</t>
  </si>
  <si>
    <t>NFE</t>
  </si>
  <si>
    <t>New Fortress Energy Inc.</t>
  </si>
  <si>
    <t>4208</t>
  </si>
  <si>
    <t>UBE Corp.</t>
  </si>
  <si>
    <t>A7RU</t>
  </si>
  <si>
    <t>Keppel Infrastructure Trust</t>
  </si>
  <si>
    <t>2343</t>
  </si>
  <si>
    <t>Pacific Basin Shipping Ltd.</t>
  </si>
  <si>
    <t>DISH</t>
  </si>
  <si>
    <t>DISH Network Corp.</t>
  </si>
  <si>
    <t>RAMP</t>
  </si>
  <si>
    <t>LiveRamp Holdings Inc.</t>
  </si>
  <si>
    <t>8334</t>
  </si>
  <si>
    <t>Gunma Bank Ltd.</t>
  </si>
  <si>
    <t>EQB</t>
  </si>
  <si>
    <t>EQB Inc.</t>
  </si>
  <si>
    <t>GVA</t>
  </si>
  <si>
    <t>Granite Construction Inc.</t>
  </si>
  <si>
    <t>FEVR</t>
  </si>
  <si>
    <t>Fevertree Drinks plc</t>
  </si>
  <si>
    <t>YOU</t>
  </si>
  <si>
    <t>Clear Secure Inc.</t>
  </si>
  <si>
    <t>6432</t>
  </si>
  <si>
    <t>Takeuchi Manufacturing Co. Ltd.</t>
  </si>
  <si>
    <t>DFDS</t>
  </si>
  <si>
    <t>Dfds A/S</t>
  </si>
  <si>
    <t>EYE</t>
  </si>
  <si>
    <t>National Vision Holdings Inc.</t>
  </si>
  <si>
    <t>VONN</t>
  </si>
  <si>
    <t>Vontobel Holding AG</t>
  </si>
  <si>
    <t>PATK</t>
  </si>
  <si>
    <t>Patrick Industries Inc.</t>
  </si>
  <si>
    <t>KN</t>
  </si>
  <si>
    <t>Knowles Corp.</t>
  </si>
  <si>
    <t>VGR</t>
  </si>
  <si>
    <t>Vector Group Ltd.</t>
  </si>
  <si>
    <t>CHP.UN</t>
  </si>
  <si>
    <t>Choice Properties Real Estate Investment Trust</t>
  </si>
  <si>
    <t>CRK</t>
  </si>
  <si>
    <t>Comstock Resources Inc.</t>
  </si>
  <si>
    <t>ERII</t>
  </si>
  <si>
    <t>Energy Recovery Inc.</t>
  </si>
  <si>
    <t>XENE</t>
  </si>
  <si>
    <t>Xenon Pharmaceuticals Inc.</t>
  </si>
  <si>
    <t>HEM</t>
  </si>
  <si>
    <t>Hemnet Group AB</t>
  </si>
  <si>
    <t>IBTX</t>
  </si>
  <si>
    <t>Independent Bank Group Inc.</t>
  </si>
  <si>
    <t>MXL</t>
  </si>
  <si>
    <t>MaxLinear Inc.</t>
  </si>
  <si>
    <t>PCRX</t>
  </si>
  <si>
    <t>Pacira BioSciences Inc.</t>
  </si>
  <si>
    <t>SOW0</t>
  </si>
  <si>
    <t>Software AG</t>
  </si>
  <si>
    <t>CWAN</t>
  </si>
  <si>
    <t>Clearwater Analytics Holdings Inc.</t>
  </si>
  <si>
    <t>ATH</t>
  </si>
  <si>
    <t>Athabasca Oil Corp.</t>
  </si>
  <si>
    <t>EPAC</t>
  </si>
  <si>
    <t>Enerpac Tool Group Corp.</t>
  </si>
  <si>
    <t>Trainline plc</t>
  </si>
  <si>
    <t>LEHN</t>
  </si>
  <si>
    <t>LEM Holding SA</t>
  </si>
  <si>
    <t>RDC</t>
  </si>
  <si>
    <t>Redcare Pharmacy NV</t>
  </si>
  <si>
    <t>SHUR</t>
  </si>
  <si>
    <t>Shurgard Self Storage Ltd.</t>
  </si>
  <si>
    <t>Storage Facilities</t>
  </si>
  <si>
    <t>SGKN</t>
  </si>
  <si>
    <t>St. Galler Kantonalbank AG</t>
  </si>
  <si>
    <t>OXM</t>
  </si>
  <si>
    <t>Oxford Industries Inc.</t>
  </si>
  <si>
    <t>HLMN</t>
  </si>
  <si>
    <t>Hillman Solutions Corp.</t>
  </si>
  <si>
    <t>6406</t>
  </si>
  <si>
    <t>Fujitec Co. Ltd.</t>
  </si>
  <si>
    <t>CUBI</t>
  </si>
  <si>
    <t>Customers Bancorp Inc.</t>
  </si>
  <si>
    <t>NVA</t>
  </si>
  <si>
    <t>NuVista Energy Ltd.</t>
  </si>
  <si>
    <t>CSGS</t>
  </si>
  <si>
    <t>CSG Systems International Inc.</t>
  </si>
  <si>
    <t>MLKN</t>
  </si>
  <si>
    <t>MillerKnoll Inc.</t>
  </si>
  <si>
    <t>TCAP</t>
  </si>
  <si>
    <t>TP ICAP Group plc</t>
  </si>
  <si>
    <t>Telecom Plus plc</t>
  </si>
  <si>
    <t>ZUO</t>
  </si>
  <si>
    <t>Zuora Inc.</t>
  </si>
  <si>
    <t>KWS</t>
  </si>
  <si>
    <t>Keywords Studios plc</t>
  </si>
  <si>
    <t>BREE</t>
  </si>
  <si>
    <t>Breedon Group plc</t>
  </si>
  <si>
    <t>SINCH</t>
  </si>
  <si>
    <t>Sinch AB</t>
  </si>
  <si>
    <t>BATRA</t>
  </si>
  <si>
    <t>Atlanta Braves Holdings Inc.</t>
  </si>
  <si>
    <t>SXI</t>
  </si>
  <si>
    <t>Standex International Corp.</t>
  </si>
  <si>
    <t>RLJ</t>
  </si>
  <si>
    <t>RLJ Lodging Trust</t>
  </si>
  <si>
    <t>BEAM</t>
  </si>
  <si>
    <t>Beam Therapeutics Inc.</t>
  </si>
  <si>
    <t>DNLM</t>
  </si>
  <si>
    <t>Dunelm Group plc</t>
  </si>
  <si>
    <t>Unicaja Banco SA</t>
  </si>
  <si>
    <t>Paragon Banking Group plc</t>
  </si>
  <si>
    <t>HMSO</t>
  </si>
  <si>
    <t>Hammerson plc</t>
  </si>
  <si>
    <t>STRA</t>
  </si>
  <si>
    <t>Strategic Education Inc.</t>
  </si>
  <si>
    <t>MTO</t>
  </si>
  <si>
    <t>Mitie Group plc</t>
  </si>
  <si>
    <t>LNN</t>
  </si>
  <si>
    <t>Lindsay Corp.</t>
  </si>
  <si>
    <t>DAE</t>
  </si>
  <si>
    <t>Daetwyler Holding AG</t>
  </si>
  <si>
    <t>DO</t>
  </si>
  <si>
    <t>Diamond Offshore Drilling Inc.</t>
  </si>
  <si>
    <t>MING</t>
  </si>
  <si>
    <t>SpareBank 1 SMN</t>
  </si>
  <si>
    <t>ADUS</t>
  </si>
  <si>
    <t>Addus HomeCare Corp.</t>
  </si>
  <si>
    <t>MFI</t>
  </si>
  <si>
    <t>Maple Leaf Foods Inc.</t>
  </si>
  <si>
    <t>WSBC</t>
  </si>
  <si>
    <t>WesBanco Inc.</t>
  </si>
  <si>
    <t>VIRT</t>
  </si>
  <si>
    <t>Virtu Financial Inc.</t>
  </si>
  <si>
    <t>BAVA</t>
  </si>
  <si>
    <t>Bavarian Nordic A/S</t>
  </si>
  <si>
    <t>ANDE</t>
  </si>
  <si>
    <t>Andersons Inc.</t>
  </si>
  <si>
    <t>DVAX</t>
  </si>
  <si>
    <t>Dynavax Technologies Corp.</t>
  </si>
  <si>
    <t>APPN</t>
  </si>
  <si>
    <t>Appian Corp.</t>
  </si>
  <si>
    <t>LAZR</t>
  </si>
  <si>
    <t>Luminar Technologies Inc.</t>
  </si>
  <si>
    <t>AUPH</t>
  </si>
  <si>
    <t>Aurinia Pharmaceuticals Inc.</t>
  </si>
  <si>
    <t>WG.</t>
  </si>
  <si>
    <t>John Wood Group plc</t>
  </si>
  <si>
    <t>GRT.UN</t>
  </si>
  <si>
    <t>Granite Real Estate Investment Trust</t>
  </si>
  <si>
    <t>MTRS</t>
  </si>
  <si>
    <t>Munters Group AB</t>
  </si>
  <si>
    <t>MORF</t>
  </si>
  <si>
    <t>Morphic Holding Inc.</t>
  </si>
  <si>
    <t>7762</t>
  </si>
  <si>
    <t>Citizen Watch Co. Ltd.</t>
  </si>
  <si>
    <t>LEVI</t>
  </si>
  <si>
    <t>Levi Strauss &amp; Co.</t>
  </si>
  <si>
    <t>J91U</t>
  </si>
  <si>
    <t>ESR-LOGOS REIT</t>
  </si>
  <si>
    <t>LZB</t>
  </si>
  <si>
    <t>La-Z-Boy Inc.</t>
  </si>
  <si>
    <t>TFIN</t>
  </si>
  <si>
    <t>Triumph Financial Inc.</t>
  </si>
  <si>
    <t>HESM</t>
  </si>
  <si>
    <t>Hess Midstream LP</t>
  </si>
  <si>
    <t>PTEC</t>
  </si>
  <si>
    <t>Playtech plc</t>
  </si>
  <si>
    <t>CompuGroup Medical SE &amp; Co. KgaA</t>
  </si>
  <si>
    <t>MBC</t>
  </si>
  <si>
    <t>Masterbrand Inc.</t>
  </si>
  <si>
    <t>CRDO</t>
  </si>
  <si>
    <t>Credo Technology Group Holding Ltd.</t>
  </si>
  <si>
    <t>HLIT</t>
  </si>
  <si>
    <t>Harmonic Inc.</t>
  </si>
  <si>
    <t>KDNY</t>
  </si>
  <si>
    <t>Chinook Therapeutics Inc.</t>
  </si>
  <si>
    <t>6417</t>
  </si>
  <si>
    <t>Sankyo Co. Ltd.</t>
  </si>
  <si>
    <t>EAT</t>
  </si>
  <si>
    <t>Brinker International Inc.</t>
  </si>
  <si>
    <t>CIR</t>
  </si>
  <si>
    <t>CIRCOR International Inc.</t>
  </si>
  <si>
    <t>TWO</t>
  </si>
  <si>
    <t>Two Harbors Investment Corp.</t>
  </si>
  <si>
    <t>RSW</t>
  </si>
  <si>
    <t>Renishaw plc</t>
  </si>
  <si>
    <t>SNEX</t>
  </si>
  <si>
    <t>StoneX Group Inc.</t>
  </si>
  <si>
    <t>BEKB</t>
  </si>
  <si>
    <t>Bekaert SA</t>
  </si>
  <si>
    <t>BMPS</t>
  </si>
  <si>
    <t>Banca Monte dei Paschi di Siena SPA</t>
  </si>
  <si>
    <t>CENTA</t>
  </si>
  <si>
    <t>Central Garden &amp; Pet Co.</t>
  </si>
  <si>
    <t>ALK B</t>
  </si>
  <si>
    <t>ALK-Abello A/S</t>
  </si>
  <si>
    <t>AGM</t>
  </si>
  <si>
    <t>Federal Agricultural Mortgage Corp.</t>
  </si>
  <si>
    <t>PGTI</t>
  </si>
  <si>
    <t>PGT Innovations Inc.</t>
  </si>
  <si>
    <t>Summerset Group Holdings Ltd.</t>
  </si>
  <si>
    <t>EMBC</t>
  </si>
  <si>
    <t>Embecta Corp.</t>
  </si>
  <si>
    <t>GBX</t>
  </si>
  <si>
    <t>Greenbrier Cos. Inc.</t>
  </si>
  <si>
    <t>DIR.UN</t>
  </si>
  <si>
    <t>Dream Industrial Real Estate Investment Trust</t>
  </si>
  <si>
    <t>PRIM</t>
  </si>
  <si>
    <t>Primoris Services Corp.</t>
  </si>
  <si>
    <t>CIE</t>
  </si>
  <si>
    <t>CIE Automotive SA</t>
  </si>
  <si>
    <t>BRSP</t>
  </si>
  <si>
    <t>BrightSpire Capital Inc.</t>
  </si>
  <si>
    <t>MOD</t>
  </si>
  <si>
    <t>Modine Manufacturing Co.</t>
  </si>
  <si>
    <t>BIR</t>
  </si>
  <si>
    <t>Birchcliff Energy Ltd.</t>
  </si>
  <si>
    <t>PARR</t>
  </si>
  <si>
    <t>Par Pacific Holdings Inc.</t>
  </si>
  <si>
    <t>3282</t>
  </si>
  <si>
    <t>Comforia Residential REIT Inc.</t>
  </si>
  <si>
    <t>DRVN</t>
  </si>
  <si>
    <t>Driven Brands Holdings Inc.</t>
  </si>
  <si>
    <t>7716</t>
  </si>
  <si>
    <t>Nakanishi Inc.</t>
  </si>
  <si>
    <t>ZIM</t>
  </si>
  <si>
    <t>ZIM Integrated Shipping Services Ltd.</t>
  </si>
  <si>
    <t>1944</t>
  </si>
  <si>
    <t>Kinden Corp.</t>
  </si>
  <si>
    <t>8956</t>
  </si>
  <si>
    <t>NTT UD REIT Investment Corp.</t>
  </si>
  <si>
    <t>MRTN</t>
  </si>
  <si>
    <t>Marten Transport Ltd.</t>
  </si>
  <si>
    <t>MSEX</t>
  </si>
  <si>
    <t>Middlesex Water Co.</t>
  </si>
  <si>
    <t>HAG</t>
  </si>
  <si>
    <t>Hensoldt AG</t>
  </si>
  <si>
    <t>DICE</t>
  </si>
  <si>
    <t>DICE Therapeutics Inc.</t>
  </si>
  <si>
    <t>4401</t>
  </si>
  <si>
    <t>ADEKA Corp.</t>
  </si>
  <si>
    <t>AZZ</t>
  </si>
  <si>
    <t>AZZ Inc.</t>
  </si>
  <si>
    <t>PLMR</t>
  </si>
  <si>
    <t>Palomar Holdings Inc.</t>
  </si>
  <si>
    <t>BAR</t>
  </si>
  <si>
    <t>Barco NV</t>
  </si>
  <si>
    <t>TLRY</t>
  </si>
  <si>
    <t>Tilray Brands Inc.</t>
  </si>
  <si>
    <t>Cannabis Producers</t>
  </si>
  <si>
    <t>PI</t>
  </si>
  <si>
    <t>Impinj Inc.</t>
  </si>
  <si>
    <t>3278</t>
  </si>
  <si>
    <t>Kenedix Residential Next Investment Corp.</t>
  </si>
  <si>
    <t>TGYM</t>
  </si>
  <si>
    <t>Technogym SPA</t>
  </si>
  <si>
    <t>SVC</t>
  </si>
  <si>
    <t>Service Properties Trust</t>
  </si>
  <si>
    <t>AEHR</t>
  </si>
  <si>
    <t>Aehr Test Systems</t>
  </si>
  <si>
    <t>AJB</t>
  </si>
  <si>
    <t>AJ Bell plc</t>
  </si>
  <si>
    <t>CRBN</t>
  </si>
  <si>
    <t>Corbion NV</t>
  </si>
  <si>
    <t>VSTO</t>
  </si>
  <si>
    <t>Vista Outdoor Inc.</t>
  </si>
  <si>
    <t>SNDR</t>
  </si>
  <si>
    <t>Schneider National Inc.</t>
  </si>
  <si>
    <t>PHP</t>
  </si>
  <si>
    <t>Primary Health Properties plc</t>
  </si>
  <si>
    <t>BANR</t>
  </si>
  <si>
    <t>Banner Corp.</t>
  </si>
  <si>
    <t>STLC</t>
  </si>
  <si>
    <t>Stelco Holdings Inc.</t>
  </si>
  <si>
    <t>NK</t>
  </si>
  <si>
    <t>Imerys SA</t>
  </si>
  <si>
    <t>CLDX</t>
  </si>
  <si>
    <t>Celldex Therapeutics Inc.</t>
  </si>
  <si>
    <t>EPRO B</t>
  </si>
  <si>
    <t>Electrolux Professional AB</t>
  </si>
  <si>
    <t>NWN</t>
  </si>
  <si>
    <t>Northwest Natural Holding Co.</t>
  </si>
  <si>
    <t>APPS</t>
  </si>
  <si>
    <t>Applus Services SA</t>
  </si>
  <si>
    <t>9749</t>
  </si>
  <si>
    <t>Fuji Soft Inc.</t>
  </si>
  <si>
    <t>TRMK</t>
  </si>
  <si>
    <t>Trustmark Corp.</t>
  </si>
  <si>
    <t>INE</t>
  </si>
  <si>
    <t>Innergex Renewable Energy Inc.</t>
  </si>
  <si>
    <t>CHCO</t>
  </si>
  <si>
    <t>City Holding Co.</t>
  </si>
  <si>
    <t>ROO</t>
  </si>
  <si>
    <t>Deliveroo plc</t>
  </si>
  <si>
    <t>FRHC</t>
  </si>
  <si>
    <t>Freedom Holding Corp./NV</t>
  </si>
  <si>
    <t>CTS</t>
  </si>
  <si>
    <t>CTS Corp.</t>
  </si>
  <si>
    <t>MDRX</t>
  </si>
  <si>
    <t>Veradigm Inc.</t>
  </si>
  <si>
    <t>UVV</t>
  </si>
  <si>
    <t>Universal Corp./VA</t>
  </si>
  <si>
    <t>CNNE</t>
  </si>
  <si>
    <t>Cannae Holdings Inc.</t>
  </si>
  <si>
    <t>IVT</t>
  </si>
  <si>
    <t>InvenTrust Properties Corp.</t>
  </si>
  <si>
    <t>BAB</t>
  </si>
  <si>
    <t>Babcock International Group plc</t>
  </si>
  <si>
    <t>AVDX</t>
  </si>
  <si>
    <t>AvidXchange Holdings Inc.</t>
  </si>
  <si>
    <t>OGC</t>
  </si>
  <si>
    <t>OceanaGold Corp.</t>
  </si>
  <si>
    <t>NCNO</t>
  </si>
  <si>
    <t>nCino Inc.</t>
  </si>
  <si>
    <t>BFSA</t>
  </si>
  <si>
    <t>Befesa SA</t>
  </si>
  <si>
    <t>8174</t>
  </si>
  <si>
    <t>Nippon Gas Co. Ltd.</t>
  </si>
  <si>
    <t>Apollo Commercial Real Estate Finance Inc.</t>
  </si>
  <si>
    <t>LRN</t>
  </si>
  <si>
    <t>Stride Inc.</t>
  </si>
  <si>
    <t>GERN</t>
  </si>
  <si>
    <t>Geron Corp.</t>
  </si>
  <si>
    <t>CMPR</t>
  </si>
  <si>
    <t>Cimpress plc</t>
  </si>
  <si>
    <t>COUR</t>
  </si>
  <si>
    <t>Coursera Inc.</t>
  </si>
  <si>
    <t>CEY</t>
  </si>
  <si>
    <t>Centamin plc</t>
  </si>
  <si>
    <t>ESTA</t>
  </si>
  <si>
    <t>Establishment Labs Holdings Inc.</t>
  </si>
  <si>
    <t>VKTX</t>
  </si>
  <si>
    <t>Viking Therapeutics Inc.</t>
  </si>
  <si>
    <t>HTH</t>
  </si>
  <si>
    <t>Hilltop Holdings Inc.</t>
  </si>
  <si>
    <t>MCOV B</t>
  </si>
  <si>
    <t>Medicover AB</t>
  </si>
  <si>
    <t>Health Care: Misc.</t>
  </si>
  <si>
    <t>FBRT</t>
  </si>
  <si>
    <t>Franklin BSP Realty Trust Inc.</t>
  </si>
  <si>
    <t>DSCV</t>
  </si>
  <si>
    <t>DiscoverIE Group plc</t>
  </si>
  <si>
    <t>USPH</t>
  </si>
  <si>
    <t>US Physical Therapy Inc.</t>
  </si>
  <si>
    <t>BRP</t>
  </si>
  <si>
    <t>BRP Group Inc.</t>
  </si>
  <si>
    <t>VSVS</t>
  </si>
  <si>
    <t>Vesuvius plc</t>
  </si>
  <si>
    <t>IMKTA</t>
  </si>
  <si>
    <t>Ingles Markets Inc.</t>
  </si>
  <si>
    <t>LMAT</t>
  </si>
  <si>
    <t>LeMaitre Vascular Inc.</t>
  </si>
  <si>
    <t>OFG</t>
  </si>
  <si>
    <t>OFG Bancorp</t>
  </si>
  <si>
    <t>9533</t>
  </si>
  <si>
    <t>Toho Gas Co. Ltd.</t>
  </si>
  <si>
    <t>HLX</t>
  </si>
  <si>
    <t>Helix Energy Solutions Group Inc.</t>
  </si>
  <si>
    <t>XNCR</t>
  </si>
  <si>
    <t>Xencor Inc.</t>
  </si>
  <si>
    <t>GMT</t>
  </si>
  <si>
    <t>Goodman Property Trust</t>
  </si>
  <si>
    <t>GRBK</t>
  </si>
  <si>
    <t>Green Brick Partners Inc.</t>
  </si>
  <si>
    <t>METSB</t>
  </si>
  <si>
    <t>Metsa Board Oyj</t>
  </si>
  <si>
    <t>EQX</t>
  </si>
  <si>
    <t>Equinox Gold Corp.</t>
  </si>
  <si>
    <t>KBCA</t>
  </si>
  <si>
    <t>KBC Ancora</t>
  </si>
  <si>
    <t>MFEA</t>
  </si>
  <si>
    <t>MFE-MediaForEurope NV</t>
  </si>
  <si>
    <t>PEY</t>
  </si>
  <si>
    <t>Peyto Exploration &amp; Development Corp.</t>
  </si>
  <si>
    <t>TPG Inc.</t>
  </si>
  <si>
    <t>FB Financial Corp.</t>
  </si>
  <si>
    <t>Borregaard ASA</t>
  </si>
  <si>
    <t>RAT</t>
  </si>
  <si>
    <t>Rathbones Group plc</t>
  </si>
  <si>
    <t>CCCS</t>
  </si>
  <si>
    <t>CCC Intelligent Solutions Holdings Inc.</t>
  </si>
  <si>
    <t>Iren SPA</t>
  </si>
  <si>
    <t>YPSN</t>
  </si>
  <si>
    <t>Ypsomed Holding AG</t>
  </si>
  <si>
    <t>ATEC</t>
  </si>
  <si>
    <t>Alphatec Holdings Inc.</t>
  </si>
  <si>
    <t>HLF</t>
  </si>
  <si>
    <t>Herbalife Ltd.</t>
  </si>
  <si>
    <t>HBM</t>
  </si>
  <si>
    <t>Hudbay Minerals Inc.</t>
  </si>
  <si>
    <t>APERAM SA</t>
  </si>
  <si>
    <t>NWBI</t>
  </si>
  <si>
    <t>Northwest Bancshares Inc.</t>
  </si>
  <si>
    <t>ALFEN</t>
  </si>
  <si>
    <t>Alfen N.V.</t>
  </si>
  <si>
    <t>HILS</t>
  </si>
  <si>
    <t>Hill &amp; Smith plc</t>
  </si>
  <si>
    <t>BGEO</t>
  </si>
  <si>
    <t>Bank of Georgia Group plc</t>
  </si>
  <si>
    <t>Alaska Air Group Inc.</t>
  </si>
  <si>
    <t>JELD</t>
  </si>
  <si>
    <t>JELD-WEN Holding Inc.</t>
  </si>
  <si>
    <t>6103</t>
  </si>
  <si>
    <t>OKUMA Corp.</t>
  </si>
  <si>
    <t>KOMN</t>
  </si>
  <si>
    <t>Komax Holding AG</t>
  </si>
  <si>
    <t>IWG</t>
  </si>
  <si>
    <t>IWG plc</t>
  </si>
  <si>
    <t>SYBT</t>
  </si>
  <si>
    <t>Stock Yards Bancorp Inc.</t>
  </si>
  <si>
    <t>EFSC</t>
  </si>
  <si>
    <t>Enterprise Financial Services Corp.</t>
  </si>
  <si>
    <t>STM</t>
  </si>
  <si>
    <t>Stabilus SE</t>
  </si>
  <si>
    <t>UNFI</t>
  </si>
  <si>
    <t>United Natural Foods Inc.</t>
  </si>
  <si>
    <t>UFPT</t>
  </si>
  <si>
    <t>UFP Technologies Inc.</t>
  </si>
  <si>
    <t>HAIN</t>
  </si>
  <si>
    <t>Hain Celestial Group Inc.</t>
  </si>
  <si>
    <t>TVTX</t>
  </si>
  <si>
    <t>Travere Therapeutics Inc.</t>
  </si>
  <si>
    <t>HTLF</t>
  </si>
  <si>
    <t>Heartland Financial USA Inc.</t>
  </si>
  <si>
    <t>UNS</t>
  </si>
  <si>
    <t>Uni-Select Inc.</t>
  </si>
  <si>
    <t>Torex Gold Resources Inc.</t>
  </si>
  <si>
    <t>KREF</t>
  </si>
  <si>
    <t>KKR Real Estate Finance Trust Inc.</t>
  </si>
  <si>
    <t>NNI</t>
  </si>
  <si>
    <t>Nelnet Inc.</t>
  </si>
  <si>
    <t>DOKA</t>
  </si>
  <si>
    <t>dormakaba Holding AG</t>
  </si>
  <si>
    <t>BOSN</t>
  </si>
  <si>
    <t>Bossard Holding AG</t>
  </si>
  <si>
    <t>QTCOM</t>
  </si>
  <si>
    <t>QT Group Oyj</t>
  </si>
  <si>
    <t>SSTK</t>
  </si>
  <si>
    <t>Shutterstock Inc.</t>
  </si>
  <si>
    <t>3186</t>
  </si>
  <si>
    <t>Nextage Co. Ltd.</t>
  </si>
  <si>
    <t>FLNC</t>
  </si>
  <si>
    <t>Fluence Energy Inc.</t>
  </si>
  <si>
    <t>BCRX</t>
  </si>
  <si>
    <t>BioCryst Pharmaceuticals Inc.</t>
  </si>
  <si>
    <t>CAI</t>
  </si>
  <si>
    <t>CA Immobilien Anlagen AG</t>
  </si>
  <si>
    <t>MATW</t>
  </si>
  <si>
    <t>Matthews International Corp.</t>
  </si>
  <si>
    <t>VTYX</t>
  </si>
  <si>
    <t>Ventyx Biosciences Inc.</t>
  </si>
  <si>
    <t>VIRP</t>
  </si>
  <si>
    <t>Virbac SA</t>
  </si>
  <si>
    <t>ANIM</t>
  </si>
  <si>
    <t>Anima Holding SPA</t>
  </si>
  <si>
    <t>SMS</t>
  </si>
  <si>
    <t>Smart Metering Systems plc</t>
  </si>
  <si>
    <t>9449</t>
  </si>
  <si>
    <t>GMO internet group Inc.</t>
  </si>
  <si>
    <t>IOVA</t>
  </si>
  <si>
    <t>Iovance Biotherapeutics Inc.</t>
  </si>
  <si>
    <t>S92</t>
  </si>
  <si>
    <t>SMA Solar Technology AG</t>
  </si>
  <si>
    <t>NUS</t>
  </si>
  <si>
    <t>Nu Skin Enterprises Inc.</t>
  </si>
  <si>
    <t>SPNO</t>
  </si>
  <si>
    <t>Spar Nord Bank A/S</t>
  </si>
  <si>
    <t>FGP</t>
  </si>
  <si>
    <t>Firstgroup plc</t>
  </si>
  <si>
    <t>5471</t>
  </si>
  <si>
    <t>Daido Steel Co. Ltd.</t>
  </si>
  <si>
    <t>ONT</t>
  </si>
  <si>
    <t>Oxford Nanopore Technologies plc</t>
  </si>
  <si>
    <t>LC</t>
  </si>
  <si>
    <t>LendingClub Corp.</t>
  </si>
  <si>
    <t>Mitsubishi Estate Logistics REIT Investment Corp.</t>
  </si>
  <si>
    <t>PLAB</t>
  </si>
  <si>
    <t>Photronics Inc.</t>
  </si>
  <si>
    <t>RKLB</t>
  </si>
  <si>
    <t>Rocket Lab USA Inc.</t>
  </si>
  <si>
    <t>HWX</t>
  </si>
  <si>
    <t>Headwater Exploration Inc.</t>
  </si>
  <si>
    <t>ELME</t>
  </si>
  <si>
    <t>Elme Communities</t>
  </si>
  <si>
    <t>AAV</t>
  </si>
  <si>
    <t>Advantage Energy Ltd.</t>
  </si>
  <si>
    <t>GOOS</t>
  </si>
  <si>
    <t>Canada Goose Holdings Inc.</t>
  </si>
  <si>
    <t>ALMB</t>
  </si>
  <si>
    <t>Alm Brand A/S</t>
  </si>
  <si>
    <t>AKER</t>
  </si>
  <si>
    <t>Aker ASA</t>
  </si>
  <si>
    <t>SWTX</t>
  </si>
  <si>
    <t>SpringWorks Therapeutics Inc.</t>
  </si>
  <si>
    <t>5706</t>
  </si>
  <si>
    <t>Mitsui Mining &amp; Smelting Co. Ltd.</t>
  </si>
  <si>
    <t>Cushman &amp; Wakefield plc</t>
  </si>
  <si>
    <t>CIM</t>
  </si>
  <si>
    <t>Chimera Investment Corp.</t>
  </si>
  <si>
    <t>COFA</t>
  </si>
  <si>
    <t>Coface SA</t>
  </si>
  <si>
    <t>VCEL</t>
  </si>
  <si>
    <t>Vericel Corp.</t>
  </si>
  <si>
    <t>N91</t>
  </si>
  <si>
    <t>Ninety One plc</t>
  </si>
  <si>
    <t>CASH</t>
  </si>
  <si>
    <t>Pathward Financial Inc.</t>
  </si>
  <si>
    <t>TBCG</t>
  </si>
  <si>
    <t>TBC Bank Group plc</t>
  </si>
  <si>
    <t>ASCL</t>
  </si>
  <si>
    <t>Ascential plc</t>
  </si>
  <si>
    <t>OSTK</t>
  </si>
  <si>
    <t>Overstock.com Inc.</t>
  </si>
  <si>
    <t>WALL B</t>
  </si>
  <si>
    <t>Wallenstam AB</t>
  </si>
  <si>
    <t>5344</t>
  </si>
  <si>
    <t>Maruwa Co. Ltd./Aichi</t>
  </si>
  <si>
    <t>BHVN</t>
  </si>
  <si>
    <t>Biohaven Ltd.</t>
  </si>
  <si>
    <t>COA</t>
  </si>
  <si>
    <t>Coats Group plc</t>
  </si>
  <si>
    <t>ECMPA</t>
  </si>
  <si>
    <t>Eurocommercial Properties NV</t>
  </si>
  <si>
    <t>LUG</t>
  </si>
  <si>
    <t>Lundin Gold Inc.</t>
  </si>
  <si>
    <t>WKC</t>
  </si>
  <si>
    <t>World Kinect Corp.</t>
  </si>
  <si>
    <t>MRVI</t>
  </si>
  <si>
    <t>Maravai LifeSciences Holdings Inc.</t>
  </si>
  <si>
    <t>ECVT</t>
  </si>
  <si>
    <t>Ecovyst Inc.</t>
  </si>
  <si>
    <t>Schnitzer Steel Industries Inc.</t>
  </si>
  <si>
    <t>AMEH</t>
  </si>
  <si>
    <t>Apollo Medical Holdings Inc.</t>
  </si>
  <si>
    <t>BGC</t>
  </si>
  <si>
    <t>BGC Group Inc.</t>
  </si>
  <si>
    <t>3287</t>
  </si>
  <si>
    <t>Hoshino Resorts REIT Inc.</t>
  </si>
  <si>
    <t>TRUP</t>
  </si>
  <si>
    <t>Trupanion Inc.</t>
  </si>
  <si>
    <t>5463</t>
  </si>
  <si>
    <t>Maruichi Steel Tube Ltd.</t>
  </si>
  <si>
    <t>ADEA</t>
  </si>
  <si>
    <t>Adeia Inc.</t>
  </si>
  <si>
    <t>UTZ</t>
  </si>
  <si>
    <t>Utz Brands Inc.</t>
  </si>
  <si>
    <t>CLB</t>
  </si>
  <si>
    <t>Core Laboratories Inc.</t>
  </si>
  <si>
    <t>STOR B</t>
  </si>
  <si>
    <t>Storskogen Group AB</t>
  </si>
  <si>
    <t>GPE</t>
  </si>
  <si>
    <t>Great Portland Estates plc</t>
  </si>
  <si>
    <t>FORN</t>
  </si>
  <si>
    <t>Forbo Holding AG</t>
  </si>
  <si>
    <t>1893</t>
  </si>
  <si>
    <t>Penta-Ocean Construction Co. Ltd.</t>
  </si>
  <si>
    <t>PACW</t>
  </si>
  <si>
    <t>PacWest Bancorp</t>
  </si>
  <si>
    <t>THG plc</t>
  </si>
  <si>
    <t>Miscellaneous Consumer Staple Goods</t>
  </si>
  <si>
    <t>BROS</t>
  </si>
  <si>
    <t>Dutch Bros Inc.</t>
  </si>
  <si>
    <t>2427</t>
  </si>
  <si>
    <t>Outsourcing Inc.</t>
  </si>
  <si>
    <t>ePlus Inc.</t>
  </si>
  <si>
    <t>CARS</t>
  </si>
  <si>
    <t>Cars.com Inc.</t>
  </si>
  <si>
    <t>AOI</t>
  </si>
  <si>
    <t>Africa Oil Corp.</t>
  </si>
  <si>
    <t>PRCT</t>
  </si>
  <si>
    <t>PROCEPT BioRobotics Corp.</t>
  </si>
  <si>
    <t>VIG</t>
  </si>
  <si>
    <t>Vienna Insurance Group AG Wiener Versicherung Gruppe</t>
  </si>
  <si>
    <t>ESRT</t>
  </si>
  <si>
    <t>Empire State Realty Trust Inc.</t>
  </si>
  <si>
    <t>PRO</t>
  </si>
  <si>
    <t>PROS Holdings Inc.</t>
  </si>
  <si>
    <t>6457</t>
  </si>
  <si>
    <t>Glory Ltd.</t>
  </si>
  <si>
    <t>TTMI</t>
  </si>
  <si>
    <t>TTM Technologies Inc.</t>
  </si>
  <si>
    <t>TYRES</t>
  </si>
  <si>
    <t>Nokian Renkaat Oyj</t>
  </si>
  <si>
    <t>PYCR</t>
  </si>
  <si>
    <t>Paycor HCM Inc.</t>
  </si>
  <si>
    <t>HCG</t>
  </si>
  <si>
    <t>Home Capital Group Inc.</t>
  </si>
  <si>
    <t>8303</t>
  </si>
  <si>
    <t>SBI Shinsei Bank Ltd.</t>
  </si>
  <si>
    <t>PTLO</t>
  </si>
  <si>
    <t>Portillo's Inc.</t>
  </si>
  <si>
    <t>PAYO</t>
  </si>
  <si>
    <t>Payoneer Global Inc.</t>
  </si>
  <si>
    <t>OEC</t>
  </si>
  <si>
    <t>Orion SA</t>
  </si>
  <si>
    <t>TTI</t>
  </si>
  <si>
    <t>TETRA Technologies Inc.</t>
  </si>
  <si>
    <t>MRTX</t>
  </si>
  <si>
    <t>Mirati Therapeutics Inc.</t>
  </si>
  <si>
    <t>VRE</t>
  </si>
  <si>
    <t>Veris Residential Inc.</t>
  </si>
  <si>
    <t>PGC</t>
  </si>
  <si>
    <t>Peapack-Gladstone Financial Corp.</t>
  </si>
  <si>
    <t>EVBG</t>
  </si>
  <si>
    <t>Everbridge Inc.</t>
  </si>
  <si>
    <t>LTC</t>
  </si>
  <si>
    <t>LTC Properties Inc.</t>
  </si>
  <si>
    <t>WMK</t>
  </si>
  <si>
    <t>Weis Markets Inc.</t>
  </si>
  <si>
    <t>AUR</t>
  </si>
  <si>
    <t>Aurora Innovation Inc.</t>
  </si>
  <si>
    <t>YouGov plc</t>
  </si>
  <si>
    <t>8957</t>
  </si>
  <si>
    <t>Tokyu REIT Inc.</t>
  </si>
  <si>
    <t>CHGG</t>
  </si>
  <si>
    <t>Chegg Inc.</t>
  </si>
  <si>
    <t>UEC</t>
  </si>
  <si>
    <t>Uranium Energy Corp.</t>
  </si>
  <si>
    <t>CCF</t>
  </si>
  <si>
    <t>Chase Corp.</t>
  </si>
  <si>
    <t>NVEE</t>
  </si>
  <si>
    <t>NV5 Global Inc.</t>
  </si>
  <si>
    <t>KALU</t>
  </si>
  <si>
    <t>Kaiser Aluminum Corp.</t>
  </si>
  <si>
    <t>SYM</t>
  </si>
  <si>
    <t>Symbotic Inc.</t>
  </si>
  <si>
    <t>SUPR</t>
  </si>
  <si>
    <t>Supermarket Income Reit plc</t>
  </si>
  <si>
    <t>NVTS</t>
  </si>
  <si>
    <t>Navitas Semiconductor Corp.</t>
  </si>
  <si>
    <t>ALEX</t>
  </si>
  <si>
    <t>Alexander &amp; Baldwin Inc.</t>
  </si>
  <si>
    <t>Spirent Communications plc</t>
  </si>
  <si>
    <t>HIMS</t>
  </si>
  <si>
    <t>Hims &amp; Hers Health Inc.</t>
  </si>
  <si>
    <t>FAGR</t>
  </si>
  <si>
    <t>Fagron</t>
  </si>
  <si>
    <t>FIBIH</t>
  </si>
  <si>
    <t>FIBI Holdings Ltd.</t>
  </si>
  <si>
    <t>69</t>
  </si>
  <si>
    <t>Shangri-La Asia Ltd.</t>
  </si>
  <si>
    <t>LKFN</t>
  </si>
  <si>
    <t>Lakeland Financial Corp.</t>
  </si>
  <si>
    <t>RENE</t>
  </si>
  <si>
    <t>REN - Redes Energeticas Nacionais SGPS SA</t>
  </si>
  <si>
    <t>9934</t>
  </si>
  <si>
    <t>Inaba Denki Sangyo Co. Ltd.</t>
  </si>
  <si>
    <t>HOPE</t>
  </si>
  <si>
    <t>Hope Bancorp Inc.</t>
  </si>
  <si>
    <t>6592</t>
  </si>
  <si>
    <t>Mabuchi Motor Co. Ltd.</t>
  </si>
  <si>
    <t>NBR</t>
  </si>
  <si>
    <t>Nabors Industries Ltd.</t>
  </si>
  <si>
    <t>MERY</t>
  </si>
  <si>
    <t>Mercialys SA</t>
  </si>
  <si>
    <t>LGND</t>
  </si>
  <si>
    <t>Ligand Pharmaceuticals Inc.</t>
  </si>
  <si>
    <t>ETWO</t>
  </si>
  <si>
    <t>E2open Parent Holdings Inc.</t>
  </si>
  <si>
    <t>SVOL B</t>
  </si>
  <si>
    <t>Svolder AB</t>
  </si>
  <si>
    <t>Closed End Investments</t>
  </si>
  <si>
    <t>CWEN.A</t>
  </si>
  <si>
    <t>QLT</t>
  </si>
  <si>
    <t>Quilter plc</t>
  </si>
  <si>
    <t>FBNC</t>
  </si>
  <si>
    <t>First Bancorp/Southern Pines NC</t>
  </si>
  <si>
    <t>WABC</t>
  </si>
  <si>
    <t>Westamerica BanCorp</t>
  </si>
  <si>
    <t>VRTS</t>
  </si>
  <si>
    <t>Virtus Investment Partners Inc.</t>
  </si>
  <si>
    <t>MBUU</t>
  </si>
  <si>
    <t>Malibu Boats Inc.</t>
  </si>
  <si>
    <t>AKR</t>
  </si>
  <si>
    <t>Acadia Realty Trust</t>
  </si>
  <si>
    <t>SZU</t>
  </si>
  <si>
    <t>Suedzucker AG</t>
  </si>
  <si>
    <t>Sugar</t>
  </si>
  <si>
    <t>PWSC</t>
  </si>
  <si>
    <t>PowerSchool Holdings Inc.</t>
  </si>
  <si>
    <t>UNIT</t>
  </si>
  <si>
    <t>Uniti Group Inc.</t>
  </si>
  <si>
    <t>TVE</t>
  </si>
  <si>
    <t>Tamarack Valley Energy Ltd.</t>
  </si>
  <si>
    <t>DLEKG</t>
  </si>
  <si>
    <t>Delek Group Ltd.</t>
  </si>
  <si>
    <t>Horace Mann Educators Corp.</t>
  </si>
  <si>
    <t>SCYR</t>
  </si>
  <si>
    <t>Sacyr SA</t>
  </si>
  <si>
    <t>7004</t>
  </si>
  <si>
    <t>Hitachi Zosen Corp.</t>
  </si>
  <si>
    <t>DNOW</t>
  </si>
  <si>
    <t>NOW Inc.</t>
  </si>
  <si>
    <t>ZETA</t>
  </si>
  <si>
    <t>Zeta Global Holdings Corp.</t>
  </si>
  <si>
    <t>1719</t>
  </si>
  <si>
    <t>Hazama Ando Corp.</t>
  </si>
  <si>
    <t>HLAN</t>
  </si>
  <si>
    <t>Hilan Ltd.</t>
  </si>
  <si>
    <t>OMI</t>
  </si>
  <si>
    <t>Owens &amp; Minor Inc.</t>
  </si>
  <si>
    <t>Centerra Gold Inc.</t>
  </si>
  <si>
    <t>TWST</t>
  </si>
  <si>
    <t>Twist Bioscience Corp.</t>
  </si>
  <si>
    <t>JBLU</t>
  </si>
  <si>
    <t>JetBlue Airways Corp.</t>
  </si>
  <si>
    <t>dip Corp.</t>
  </si>
  <si>
    <t>8961</t>
  </si>
  <si>
    <t>Mori Trust Reit Inc.</t>
  </si>
  <si>
    <t>CAL</t>
  </si>
  <si>
    <t>Caleres Inc.</t>
  </si>
  <si>
    <t>LADR</t>
  </si>
  <si>
    <t>Ladder Capital Corp.</t>
  </si>
  <si>
    <t>7732</t>
  </si>
  <si>
    <t>Topcon Corp.</t>
  </si>
  <si>
    <t>SKAN</t>
  </si>
  <si>
    <t>SKAN Group AG</t>
  </si>
  <si>
    <t>JTC</t>
  </si>
  <si>
    <t>JTC plc</t>
  </si>
  <si>
    <t>ECPG</t>
  </si>
  <si>
    <t>Encore Capital Group Inc.</t>
  </si>
  <si>
    <t>8987</t>
  </si>
  <si>
    <t>Japan Excellent Inc.</t>
  </si>
  <si>
    <t>CODI</t>
  </si>
  <si>
    <t>Compass Diversified Holdings</t>
  </si>
  <si>
    <t>KFRC</t>
  </si>
  <si>
    <t>Kforce Inc.</t>
  </si>
  <si>
    <t>FIZZ</t>
  </si>
  <si>
    <t>National Beverage Corp.</t>
  </si>
  <si>
    <t>9861</t>
  </si>
  <si>
    <t>Yoshinoya Holdings Co. Ltd.</t>
  </si>
  <si>
    <t>EVRI</t>
  </si>
  <si>
    <t>Everi Holdings Inc.</t>
  </si>
  <si>
    <t>ASIX</t>
  </si>
  <si>
    <t>AdvanSix Inc.</t>
  </si>
  <si>
    <t>FUTR</t>
  </si>
  <si>
    <t>Future plc</t>
  </si>
  <si>
    <t>ROAD</t>
  </si>
  <si>
    <t>Construction Partners Inc.</t>
  </si>
  <si>
    <t>GTY</t>
  </si>
  <si>
    <t>Getty Realty Corp.</t>
  </si>
  <si>
    <t>MNKD</t>
  </si>
  <si>
    <t>MannKind Corp.</t>
  </si>
  <si>
    <t>SBH</t>
  </si>
  <si>
    <t>Sally Beauty Holdings Inc.</t>
  </si>
  <si>
    <t>MAG</t>
  </si>
  <si>
    <t>MAG Silver Corp.</t>
  </si>
  <si>
    <t>7189</t>
  </si>
  <si>
    <t>Nishi-Nippon Financial Holdings Inc.</t>
  </si>
  <si>
    <t>DDD</t>
  </si>
  <si>
    <t>3D Systems Corp.</t>
  </si>
  <si>
    <t>AMWD</t>
  </si>
  <si>
    <t>American Woodmark Corp.</t>
  </si>
  <si>
    <t>CPRX</t>
  </si>
  <si>
    <t>Catalyst Pharmaceuticals Inc.</t>
  </si>
  <si>
    <t>TNC</t>
  </si>
  <si>
    <t>Tennant Co.</t>
  </si>
  <si>
    <t>Solaria Energia y Medio Ambiente SA</t>
  </si>
  <si>
    <t>NMRK</t>
  </si>
  <si>
    <t>Newmark Group Inc.</t>
  </si>
  <si>
    <t>AVTA</t>
  </si>
  <si>
    <t>Avantax Inc.</t>
  </si>
  <si>
    <t>VBTX</t>
  </si>
  <si>
    <t>Veritex Holdings Inc.</t>
  </si>
  <si>
    <t>KNOS</t>
  </si>
  <si>
    <t>Kainos Group plc</t>
  </si>
  <si>
    <t>ASHM</t>
  </si>
  <si>
    <t>Ashmore Group plc</t>
  </si>
  <si>
    <t>COMP</t>
  </si>
  <si>
    <t>Compass Inc.</t>
  </si>
  <si>
    <t>Pilgrim's Pride Corp.</t>
  </si>
  <si>
    <t>NWC</t>
  </si>
  <si>
    <t>North West Co. Inc.</t>
  </si>
  <si>
    <t>NWLI</t>
  </si>
  <si>
    <t>National Western Life Group Inc.</t>
  </si>
  <si>
    <t>Superior Plus Corp.</t>
  </si>
  <si>
    <t>Sirius Real Estate Ltd.</t>
  </si>
  <si>
    <t>ADT Inc.</t>
  </si>
  <si>
    <t>IPCO</t>
  </si>
  <si>
    <t>International Petroleum Corp.</t>
  </si>
  <si>
    <t>MNRO</t>
  </si>
  <si>
    <t>Monro Inc.</t>
  </si>
  <si>
    <t>3296</t>
  </si>
  <si>
    <t>NIPPON REIT Investment Corp.</t>
  </si>
  <si>
    <t>SCHO</t>
  </si>
  <si>
    <t>Schouw &amp; Co. A/S</t>
  </si>
  <si>
    <t>PFS</t>
  </si>
  <si>
    <t>Provident Financial Services Inc.</t>
  </si>
  <si>
    <t>Fisker Inc.</t>
  </si>
  <si>
    <t>Trigano SA</t>
  </si>
  <si>
    <t>Oesterreichische Post AG</t>
  </si>
  <si>
    <t>Rocket Cos. Inc.</t>
  </si>
  <si>
    <t>HPP</t>
  </si>
  <si>
    <t>Hudson Pacific Properties Inc.</t>
  </si>
  <si>
    <t>MIPS</t>
  </si>
  <si>
    <t>MIPS AB</t>
  </si>
  <si>
    <t>STEP</t>
  </si>
  <si>
    <t>StepStone Group Inc.</t>
  </si>
  <si>
    <t>4206</t>
  </si>
  <si>
    <t>Aica Kogyo Co. Ltd.</t>
  </si>
  <si>
    <t>9744</t>
  </si>
  <si>
    <t>Meitec Corp.</t>
  </si>
  <si>
    <t>SASR</t>
  </si>
  <si>
    <t>Sandy Spring Bancorp Inc.</t>
  </si>
  <si>
    <t>IDYA</t>
  </si>
  <si>
    <t>Ideaya Biosciences Inc.</t>
  </si>
  <si>
    <t>SRU.UN</t>
  </si>
  <si>
    <t>SmartCentres Real Estate Investment Trust</t>
  </si>
  <si>
    <t>CHEF</t>
  </si>
  <si>
    <t>Chefs' Warehouse Inc.</t>
  </si>
  <si>
    <t>ZNTL</t>
  </si>
  <si>
    <t>Zentalis Pharmaceuticals Inc.</t>
  </si>
  <si>
    <t>HTRO</t>
  </si>
  <si>
    <t>Hexatronic Group AB</t>
  </si>
  <si>
    <t>BSIG</t>
  </si>
  <si>
    <t>Brightsphere Investment Group Inc.</t>
  </si>
  <si>
    <t>AMG Critical Materials NV</t>
  </si>
  <si>
    <t>KAHOT</t>
  </si>
  <si>
    <t>Kahoot! ASA</t>
  </si>
  <si>
    <t>FAN</t>
  </si>
  <si>
    <t>Volution Group plc</t>
  </si>
  <si>
    <t>BRKL</t>
  </si>
  <si>
    <t>Brookline Bancorp Inc.</t>
  </si>
  <si>
    <t>E5H</t>
  </si>
  <si>
    <t>Golden Agri-Resources Ltd.</t>
  </si>
  <si>
    <t>Safehold Inc.</t>
  </si>
  <si>
    <t>9505</t>
  </si>
  <si>
    <t>Hokuriku Electric Power Co.</t>
  </si>
  <si>
    <t>CHG</t>
  </si>
  <si>
    <t>Chemring Group plc</t>
  </si>
  <si>
    <t>5393</t>
  </si>
  <si>
    <t>Nichias Corp.</t>
  </si>
  <si>
    <t>PHARM</t>
  </si>
  <si>
    <t>Pharming Group NV</t>
  </si>
  <si>
    <t>CBAY</t>
  </si>
  <si>
    <t>Cymabay Therapeutics Inc.</t>
  </si>
  <si>
    <t>DRS</t>
  </si>
  <si>
    <t>Leonardo DRS Inc.</t>
  </si>
  <si>
    <t>BDGI</t>
  </si>
  <si>
    <t>Badger Infrastructure Solutions Ltd.</t>
  </si>
  <si>
    <t>CMTG</t>
  </si>
  <si>
    <t>Claros Mortgage Trust Inc.</t>
  </si>
  <si>
    <t>CVI</t>
  </si>
  <si>
    <t>CVR Energy Inc.</t>
  </si>
  <si>
    <t>8078</t>
  </si>
  <si>
    <t>Hanwa Co. Ltd.</t>
  </si>
  <si>
    <t>VGP</t>
  </si>
  <si>
    <t>VGP NV</t>
  </si>
  <si>
    <t>BIOT</t>
  </si>
  <si>
    <t>Biotage AB</t>
  </si>
  <si>
    <t>MODN</t>
  </si>
  <si>
    <t>Model N Inc.</t>
  </si>
  <si>
    <t>LGF.B</t>
  </si>
  <si>
    <t>Lions Gate Entertainment Corp.</t>
  </si>
  <si>
    <t>ARVN</t>
  </si>
  <si>
    <t>Arvinas Inc.</t>
  </si>
  <si>
    <t>KEX</t>
  </si>
  <si>
    <t>Kirby Corp.</t>
  </si>
  <si>
    <t>VEI</t>
  </si>
  <si>
    <t>Veidekke ASA</t>
  </si>
  <si>
    <t>3453</t>
  </si>
  <si>
    <t>Kenedix Retail REIT Corp.</t>
  </si>
  <si>
    <t>6622</t>
  </si>
  <si>
    <t>Daihen Corp.</t>
  </si>
  <si>
    <t>LBAI</t>
  </si>
  <si>
    <t>Lakeland Bancorp Inc.</t>
  </si>
  <si>
    <t>PFD</t>
  </si>
  <si>
    <t>Premier Foods plc</t>
  </si>
  <si>
    <t>ICHR</t>
  </si>
  <si>
    <t>Ichor Holdings Ltd.</t>
  </si>
  <si>
    <t>PBB</t>
  </si>
  <si>
    <t>Deutsche Pfandbriefbank AG</t>
  </si>
  <si>
    <t>SCHL</t>
  </si>
  <si>
    <t>Scholastic Corp.</t>
  </si>
  <si>
    <t>4565</t>
  </si>
  <si>
    <t>Sosei Group Corp.</t>
  </si>
  <si>
    <t>Diversified Energy Co. plc</t>
  </si>
  <si>
    <t>FCR.UN</t>
  </si>
  <si>
    <t>First Capital Real Estate Investment Trust</t>
  </si>
  <si>
    <t>GPOR</t>
  </si>
  <si>
    <t>Gulfport Energy Corp.</t>
  </si>
  <si>
    <t>1860</t>
  </si>
  <si>
    <t>Toda Corp.</t>
  </si>
  <si>
    <t>EBRO</t>
  </si>
  <si>
    <t>Ebro Foods SA</t>
  </si>
  <si>
    <t>UPWK</t>
  </si>
  <si>
    <t>Upwork Inc.</t>
  </si>
  <si>
    <t>PAR</t>
  </si>
  <si>
    <t>PAR Technology Corp.</t>
  </si>
  <si>
    <t>9507</t>
  </si>
  <si>
    <t>Shikoku Electric Power Co. Inc.</t>
  </si>
  <si>
    <t>BETS B</t>
  </si>
  <si>
    <t>Betsson AB</t>
  </si>
  <si>
    <t>MIR</t>
  </si>
  <si>
    <t>Mirion Technologies Inc.</t>
  </si>
  <si>
    <t>SABR</t>
  </si>
  <si>
    <t>Sabre Corp.</t>
  </si>
  <si>
    <t>AU8U</t>
  </si>
  <si>
    <t>CapitaLand China Trust</t>
  </si>
  <si>
    <t>EIG</t>
  </si>
  <si>
    <t>Employers Holdings Inc.</t>
  </si>
  <si>
    <t>ATEA</t>
  </si>
  <si>
    <t>Atea ASA</t>
  </si>
  <si>
    <t>TELL</t>
  </si>
  <si>
    <t>Tellurian Inc.</t>
  </si>
  <si>
    <t>CMP</t>
  </si>
  <si>
    <t>Compass Minerals International Inc.</t>
  </si>
  <si>
    <t>SEB</t>
  </si>
  <si>
    <t>Seaboard Corp.</t>
  </si>
  <si>
    <t>PLL</t>
  </si>
  <si>
    <t>Piedmont Lithium Inc.</t>
  </si>
  <si>
    <t>NSSC</t>
  </si>
  <si>
    <t>Napco Security Technologies Inc.</t>
  </si>
  <si>
    <t>LPRO</t>
  </si>
  <si>
    <t>Open Lending Corp.</t>
  </si>
  <si>
    <t>STBA</t>
  </si>
  <si>
    <t>S&amp;T Bancorp Inc.</t>
  </si>
  <si>
    <t>STC</t>
  </si>
  <si>
    <t>Stewart Information Services Corp.</t>
  </si>
  <si>
    <t>MED</t>
  </si>
  <si>
    <t>Medifast Inc.</t>
  </si>
  <si>
    <t>WINA</t>
  </si>
  <si>
    <t>Winmark Corp.</t>
  </si>
  <si>
    <t>DFIN</t>
  </si>
  <si>
    <t>Donnelley Financial Solutions Inc.</t>
  </si>
  <si>
    <t>TCBK</t>
  </si>
  <si>
    <t>TriCo Bancshares</t>
  </si>
  <si>
    <t>NX</t>
  </si>
  <si>
    <t>Quanex Building Products Corp.</t>
  </si>
  <si>
    <t>Montrose Environmental Group Inc.</t>
  </si>
  <si>
    <t>Carel Industries SPA</t>
  </si>
  <si>
    <t>HNI</t>
  </si>
  <si>
    <t>HNI Corp.</t>
  </si>
  <si>
    <t>MEI</t>
  </si>
  <si>
    <t>Methode Electronics Inc.</t>
  </si>
  <si>
    <t>NG</t>
  </si>
  <si>
    <t>Novagold Resources Inc.</t>
  </si>
  <si>
    <t>REDD</t>
  </si>
  <si>
    <t>Redde Northgate plc</t>
  </si>
  <si>
    <t>BYS</t>
  </si>
  <si>
    <t>Bystronic AG</t>
  </si>
  <si>
    <t>Nisshinbo Holdings Inc.</t>
  </si>
  <si>
    <t>CATE</t>
  </si>
  <si>
    <t>Catena AB</t>
  </si>
  <si>
    <t>IMG</t>
  </si>
  <si>
    <t>IAMGOLD Corp.</t>
  </si>
  <si>
    <t>CEM</t>
  </si>
  <si>
    <t>Cementir Holding NV</t>
  </si>
  <si>
    <t>BHE</t>
  </si>
  <si>
    <t>Benchmark Electronics Inc.</t>
  </si>
  <si>
    <t>BLDP</t>
  </si>
  <si>
    <t>Ballard Power Systems Inc.</t>
  </si>
  <si>
    <t>LNZ</t>
  </si>
  <si>
    <t>Lenzing AG</t>
  </si>
  <si>
    <t>BKE</t>
  </si>
  <si>
    <t>Buckle Inc.</t>
  </si>
  <si>
    <t>GNE</t>
  </si>
  <si>
    <t>Genesis Energy Ltd.</t>
  </si>
  <si>
    <t>AIV</t>
  </si>
  <si>
    <t>Apartment Investment and Management Co.</t>
  </si>
  <si>
    <t>LPG</t>
  </si>
  <si>
    <t>Dorian LPG Ltd.</t>
  </si>
  <si>
    <t>PDFS</t>
  </si>
  <si>
    <t>PDF Solutions Inc.</t>
  </si>
  <si>
    <t>FAE</t>
  </si>
  <si>
    <t>Faes Farma SA</t>
  </si>
  <si>
    <t>RUSHB</t>
  </si>
  <si>
    <t>6472</t>
  </si>
  <si>
    <t>NTN Corp.</t>
  </si>
  <si>
    <t>OPK</t>
  </si>
  <si>
    <t>OPKO Health Inc.</t>
  </si>
  <si>
    <t>6135</t>
  </si>
  <si>
    <t>Makino Milling Machine Co. Ltd.</t>
  </si>
  <si>
    <t>Sweetgreen Inc.</t>
  </si>
  <si>
    <t>VIR</t>
  </si>
  <si>
    <t>Vir Biotechnology Inc.</t>
  </si>
  <si>
    <t>4980</t>
  </si>
  <si>
    <t>Dexerials Corp.</t>
  </si>
  <si>
    <t>STEL</t>
  </si>
  <si>
    <t>Stellar Bancorp Inc.</t>
  </si>
  <si>
    <t>THR</t>
  </si>
  <si>
    <t>Thermon Group Holdings Inc.</t>
  </si>
  <si>
    <t>EFR</t>
  </si>
  <si>
    <t>Energy Fuels Inc./Canada</t>
  </si>
  <si>
    <t>JUST</t>
  </si>
  <si>
    <t>Just Group plc</t>
  </si>
  <si>
    <t>PGRE</t>
  </si>
  <si>
    <t>Paramount Group Inc.</t>
  </si>
  <si>
    <t>MGAM</t>
  </si>
  <si>
    <t>Morgan Advanced Materials plc</t>
  </si>
  <si>
    <t>5631</t>
  </si>
  <si>
    <t>Japan Steel Works Ltd.</t>
  </si>
  <si>
    <t>FMBH</t>
  </si>
  <si>
    <t>First Mid Bancshares Inc.</t>
  </si>
  <si>
    <t>Digital Turbine Inc.</t>
  </si>
  <si>
    <t>PZOL</t>
  </si>
  <si>
    <t>Paz Oil Co. Ltd.</t>
  </si>
  <si>
    <t>AFRY</t>
  </si>
  <si>
    <t>AFRY AB</t>
  </si>
  <si>
    <t>SCATC</t>
  </si>
  <si>
    <t>Scatec ASA</t>
  </si>
  <si>
    <t>SAFT</t>
  </si>
  <si>
    <t>Safety Insurance Group Inc.</t>
  </si>
  <si>
    <t>COGT</t>
  </si>
  <si>
    <t>Cogent Biosciences Inc.</t>
  </si>
  <si>
    <t>CWH</t>
  </si>
  <si>
    <t>Camping World Holdings Inc.</t>
  </si>
  <si>
    <t>NOBLE</t>
  </si>
  <si>
    <t>RWS</t>
  </si>
  <si>
    <t>RWS Holdings plc</t>
  </si>
  <si>
    <t>TRS</t>
  </si>
  <si>
    <t>TriMas Corp.</t>
  </si>
  <si>
    <t>NUVL</t>
  </si>
  <si>
    <t>Nuvalent Inc.</t>
  </si>
  <si>
    <t>5857</t>
  </si>
  <si>
    <t>Asahi Holdings Inc.</t>
  </si>
  <si>
    <t>6055</t>
  </si>
  <si>
    <t>Japan Material Co. Ltd.</t>
  </si>
  <si>
    <t>BUSE</t>
  </si>
  <si>
    <t>First Busey Corp.</t>
  </si>
  <si>
    <t>SZG</t>
  </si>
  <si>
    <t>Salzgitter AG</t>
  </si>
  <si>
    <t>GBF</t>
  </si>
  <si>
    <t>Bilfinger SE</t>
  </si>
  <si>
    <t>1417</t>
  </si>
  <si>
    <t>MIRAIT ONE corp</t>
  </si>
  <si>
    <t>LZ</t>
  </si>
  <si>
    <t>Legalzoom.com Inc.</t>
  </si>
  <si>
    <t>EB</t>
  </si>
  <si>
    <t>Eventbrite Inc.</t>
  </si>
  <si>
    <t>Melia Hotels International SA</t>
  </si>
  <si>
    <t>CDE</t>
  </si>
  <si>
    <t>Coeur Mining Inc.</t>
  </si>
  <si>
    <t>PMT</t>
  </si>
  <si>
    <t>PennyMac Mortgage Investment Trust</t>
  </si>
  <si>
    <t>EVN AG</t>
  </si>
  <si>
    <t>IRBT</t>
  </si>
  <si>
    <t>iRobot Corp.</t>
  </si>
  <si>
    <t>WNC</t>
  </si>
  <si>
    <t>Wabash National Corp.</t>
  </si>
  <si>
    <t>EMIS</t>
  </si>
  <si>
    <t>EMIS Group plc</t>
  </si>
  <si>
    <t>ESP</t>
  </si>
  <si>
    <t>Empiric Student Property plc</t>
  </si>
  <si>
    <t>QDT</t>
  </si>
  <si>
    <t>Quadient SA</t>
  </si>
  <si>
    <t>PEUG</t>
  </si>
  <si>
    <t>PEUGEOT INVEST</t>
  </si>
  <si>
    <t>Sonae SGPS SA</t>
  </si>
  <si>
    <t>Dr Martens plc</t>
  </si>
  <si>
    <t>4043</t>
  </si>
  <si>
    <t>Tokuyama Corp.</t>
  </si>
  <si>
    <t>NKLA</t>
  </si>
  <si>
    <t>Nikola Corp.</t>
  </si>
  <si>
    <t>TDW</t>
  </si>
  <si>
    <t>Tidewater Inc.</t>
  </si>
  <si>
    <t>TSU</t>
  </si>
  <si>
    <t>Trisura Group Ltd.</t>
  </si>
  <si>
    <t>3397</t>
  </si>
  <si>
    <t>Toridoll Holdings Corp.</t>
  </si>
  <si>
    <t>RADI</t>
  </si>
  <si>
    <t>Radius Global Infrastructure Inc.</t>
  </si>
  <si>
    <t>CCRN</t>
  </si>
  <si>
    <t>Cross Country Healthcare Inc.</t>
  </si>
  <si>
    <t>MOVE</t>
  </si>
  <si>
    <t>Medacta Group SA</t>
  </si>
  <si>
    <t>9616</t>
  </si>
  <si>
    <t>Kyoritsu Maintenance Co. Ltd.</t>
  </si>
  <si>
    <t>4733</t>
  </si>
  <si>
    <t>OBIC Business Consultants Co. Ltd.</t>
  </si>
  <si>
    <t>C2PU</t>
  </si>
  <si>
    <t>Parkway Life Real Estate Investment Trust</t>
  </si>
  <si>
    <t>AXL</t>
  </si>
  <si>
    <t>American Axle &amp; Manufacturing Holdings Inc.</t>
  </si>
  <si>
    <t>GAMA</t>
  </si>
  <si>
    <t>Gamma Communications plc</t>
  </si>
  <si>
    <t>FDP</t>
  </si>
  <si>
    <t>Fresh Del Monte Produce Inc.</t>
  </si>
  <si>
    <t>8341</t>
  </si>
  <si>
    <t>77 Bank Ltd.</t>
  </si>
  <si>
    <t>Genuit Group plc</t>
  </si>
  <si>
    <t>2154</t>
  </si>
  <si>
    <t>Open Up Group Inc.</t>
  </si>
  <si>
    <t>OBK</t>
  </si>
  <si>
    <t>Origin Bancorp Inc.</t>
  </si>
  <si>
    <t>7071</t>
  </si>
  <si>
    <t>Amvis Holdings Inc.</t>
  </si>
  <si>
    <t>3076</t>
  </si>
  <si>
    <t>Ai Holdings Corp.</t>
  </si>
  <si>
    <t>AKSO</t>
  </si>
  <si>
    <t>Aker Solutions ASA</t>
  </si>
  <si>
    <t>MCRI</t>
  </si>
  <si>
    <t>Monarch Casino &amp; Resort Inc.</t>
  </si>
  <si>
    <t>DNORD</t>
  </si>
  <si>
    <t>D/S Norden A/S</t>
  </si>
  <si>
    <t>2531</t>
  </si>
  <si>
    <t>Takara Holdings Inc.</t>
  </si>
  <si>
    <t>SNDX</t>
  </si>
  <si>
    <t>Syndax Pharmaceuticals Inc.</t>
  </si>
  <si>
    <t>6674</t>
  </si>
  <si>
    <t>GS Yuasa Corp.</t>
  </si>
  <si>
    <t>GOGO</t>
  </si>
  <si>
    <t>Gogo Inc.</t>
  </si>
  <si>
    <t>5191</t>
  </si>
  <si>
    <t>Sumitomo Riko Co. Ltd.</t>
  </si>
  <si>
    <t>MATR</t>
  </si>
  <si>
    <t>Shawcor Ltd.</t>
  </si>
  <si>
    <t>4045</t>
  </si>
  <si>
    <t>Toagosei Co. Ltd.</t>
  </si>
  <si>
    <t>AAT</t>
  </si>
  <si>
    <t>American Assets Trust Inc.</t>
  </si>
  <si>
    <t>LMND</t>
  </si>
  <si>
    <t>Lemonade Inc.</t>
  </si>
  <si>
    <t>AMSF</t>
  </si>
  <si>
    <t>AMERISAFE Inc.</t>
  </si>
  <si>
    <t>DML</t>
  </si>
  <si>
    <t>Denison Mines Corp.</t>
  </si>
  <si>
    <t>PTGX</t>
  </si>
  <si>
    <t>Protagonist Therapeutics Inc.</t>
  </si>
  <si>
    <t>6807</t>
  </si>
  <si>
    <t>Japan Aviation Electronics Industry Ltd.</t>
  </si>
  <si>
    <t>5384</t>
  </si>
  <si>
    <t>Fujimi Inc.</t>
  </si>
  <si>
    <t>3050</t>
  </si>
  <si>
    <t>DCM Holdings Co. Ltd.</t>
  </si>
  <si>
    <t>HAYW</t>
  </si>
  <si>
    <t>Hayward Holdings Inc.</t>
  </si>
  <si>
    <t>8966</t>
  </si>
  <si>
    <t>Heiwa Real Estate REIT Inc.</t>
  </si>
  <si>
    <t>7867</t>
  </si>
  <si>
    <t>Tomy Co. Ltd.</t>
  </si>
  <si>
    <t>LOB</t>
  </si>
  <si>
    <t>Live Oak Bancshares Inc.</t>
  </si>
  <si>
    <t>CRAI</t>
  </si>
  <si>
    <t>CRA International Inc.</t>
  </si>
  <si>
    <t>4812</t>
  </si>
  <si>
    <t>Information Services International-Dentsu Ltd.</t>
  </si>
  <si>
    <t>TFPM</t>
  </si>
  <si>
    <t>Triple Flag Precious Metals Corp.</t>
  </si>
  <si>
    <t>UA</t>
  </si>
  <si>
    <t>HTWS</t>
  </si>
  <si>
    <t>Helios Towers plc</t>
  </si>
  <si>
    <t>C5H</t>
  </si>
  <si>
    <t>Cairn Homes plc</t>
  </si>
  <si>
    <t>8020</t>
  </si>
  <si>
    <t>Kanematsu Corp.</t>
  </si>
  <si>
    <t>SQSP</t>
  </si>
  <si>
    <t>Squarespace Inc.</t>
  </si>
  <si>
    <t>FVI</t>
  </si>
  <si>
    <t>Fortuna Silver Mines Inc.</t>
  </si>
  <si>
    <t>OV8</t>
  </si>
  <si>
    <t>Sheng Siong Group Ltd.</t>
  </si>
  <si>
    <t>ARGO</t>
  </si>
  <si>
    <t>Argo Group International Holdings Ltd.</t>
  </si>
  <si>
    <t>MSLH</t>
  </si>
  <si>
    <t>Marshalls plc</t>
  </si>
  <si>
    <t>ETL</t>
  </si>
  <si>
    <t>Eutelsat Communications SA</t>
  </si>
  <si>
    <t>UQA</t>
  </si>
  <si>
    <t>UNIQA Insurance Group AG</t>
  </si>
  <si>
    <t>JUP</t>
  </si>
  <si>
    <t>Jupiter Fund Management plc</t>
  </si>
  <si>
    <t>SP</t>
  </si>
  <si>
    <t>SP Plus Corp.</t>
  </si>
  <si>
    <t>INDI</t>
  </si>
  <si>
    <t>indie Semiconductor Inc.</t>
  </si>
  <si>
    <t>TPRO</t>
  </si>
  <si>
    <t>Technoprobe SPA</t>
  </si>
  <si>
    <t>MFA</t>
  </si>
  <si>
    <t>MFA Financial Inc.</t>
  </si>
  <si>
    <t>KRP</t>
  </si>
  <si>
    <t>Kimbell Royalty Partners LP</t>
  </si>
  <si>
    <t>Europris ASA</t>
  </si>
  <si>
    <t>IFP</t>
  </si>
  <si>
    <t>Interfor Corp.</t>
  </si>
  <si>
    <t>PCT</t>
  </si>
  <si>
    <t>PureCycle Technologies Inc.</t>
  </si>
  <si>
    <t>PAAL B</t>
  </si>
  <si>
    <t>Per Aarsleff Holding A/S</t>
  </si>
  <si>
    <t>CAMT</t>
  </si>
  <si>
    <t>Camtek Ltd./Israel</t>
  </si>
  <si>
    <t>WPK</t>
  </si>
  <si>
    <t>Winpak Ltd.</t>
  </si>
  <si>
    <t>BYND</t>
  </si>
  <si>
    <t>Beyond Meat Inc.</t>
  </si>
  <si>
    <t>Bridgepoint Group plc</t>
  </si>
  <si>
    <t>Okumura Corp.</t>
  </si>
  <si>
    <t>VITR</t>
  </si>
  <si>
    <t>Vitrolife AB</t>
  </si>
  <si>
    <t>9072</t>
  </si>
  <si>
    <t>Nikkon Holdings Co. Ltd.</t>
  </si>
  <si>
    <t>778</t>
  </si>
  <si>
    <t>Fortune Real Estate Investment Trust</t>
  </si>
  <si>
    <t>SJM Holdings Ltd.</t>
  </si>
  <si>
    <t>SEA</t>
  </si>
  <si>
    <t>Seabridge Gold Inc.</t>
  </si>
  <si>
    <t>3863</t>
  </si>
  <si>
    <t>Nippon Paper Industries Co. Ltd.</t>
  </si>
  <si>
    <t>ADPT</t>
  </si>
  <si>
    <t>Adaptive Biotechnologies Corp.</t>
  </si>
  <si>
    <t>STEM</t>
  </si>
  <si>
    <t>Stem Inc.</t>
  </si>
  <si>
    <t>EAF</t>
  </si>
  <si>
    <t>GrafTech International Ltd.</t>
  </si>
  <si>
    <t>6436</t>
  </si>
  <si>
    <t>Amano Corp.</t>
  </si>
  <si>
    <t>MTL</t>
  </si>
  <si>
    <t>Mullen Group Ltd.</t>
  </si>
  <si>
    <t>590</t>
  </si>
  <si>
    <t>Luk Fook Holdings International Ltd.</t>
  </si>
  <si>
    <t>QTRX</t>
  </si>
  <si>
    <t>Quanterix Corp.</t>
  </si>
  <si>
    <t>JYEU</t>
  </si>
  <si>
    <t>Lendlease Global Commercial REIT</t>
  </si>
  <si>
    <t>HCSG</t>
  </si>
  <si>
    <t>Healthcare Services Group Inc.</t>
  </si>
  <si>
    <t>SIL</t>
  </si>
  <si>
    <t>SilverCrest Metals Inc.</t>
  </si>
  <si>
    <t>Atos SE</t>
  </si>
  <si>
    <t>GNL</t>
  </si>
  <si>
    <t>Global Net Lease Inc.</t>
  </si>
  <si>
    <t>PRDO</t>
  </si>
  <si>
    <t>Perdoceo Education Corp.</t>
  </si>
  <si>
    <t>Nicolet Bankshares Inc.</t>
  </si>
  <si>
    <t>OCFC</t>
  </si>
  <si>
    <t>OceanFirst Financial Corp.</t>
  </si>
  <si>
    <t>CAV1V</t>
  </si>
  <si>
    <t>Caverion Oyj</t>
  </si>
  <si>
    <t>CXW</t>
  </si>
  <si>
    <t>CoreCivic Inc.</t>
  </si>
  <si>
    <t>LESL</t>
  </si>
  <si>
    <t>Leslie's Inc.</t>
  </si>
  <si>
    <t>HRMY</t>
  </si>
  <si>
    <t>Harmony Biosciences Holdings Inc.</t>
  </si>
  <si>
    <t>SPCE</t>
  </si>
  <si>
    <t>Virgin Galactic Holdings Inc.</t>
  </si>
  <si>
    <t>LILA</t>
  </si>
  <si>
    <t>Liberty Latin America Ltd.</t>
  </si>
  <si>
    <t>7846</t>
  </si>
  <si>
    <t>Pilot Corp.</t>
  </si>
  <si>
    <t>8958</t>
  </si>
  <si>
    <t>Global One Real Estate Investment Corp.</t>
  </si>
  <si>
    <t>CMCO</t>
  </si>
  <si>
    <t>Columbus McKinnon Corp./NY</t>
  </si>
  <si>
    <t>6490</t>
  </si>
  <si>
    <t>Nippon Pillar Packing Co. Ltd.</t>
  </si>
  <si>
    <t>DNUT</t>
  </si>
  <si>
    <t>Krispy Kreme Inc.</t>
  </si>
  <si>
    <t>GSY</t>
  </si>
  <si>
    <t>goeasy Ltd.</t>
  </si>
  <si>
    <t>SIBN</t>
  </si>
  <si>
    <t>SI-BONE Inc.</t>
  </si>
  <si>
    <t>OM</t>
  </si>
  <si>
    <t>Outset Medical Inc.</t>
  </si>
  <si>
    <t>VLA</t>
  </si>
  <si>
    <t>Valneva SE</t>
  </si>
  <si>
    <t>SHA</t>
  </si>
  <si>
    <t>Schaeffler AG</t>
  </si>
  <si>
    <t>8098</t>
  </si>
  <si>
    <t>Inabata &amp; Co. Ltd.</t>
  </si>
  <si>
    <t>DRQ</t>
  </si>
  <si>
    <t>Dril-Quip Inc.</t>
  </si>
  <si>
    <t>CARM</t>
  </si>
  <si>
    <t>Carmila SA</t>
  </si>
  <si>
    <t>AVNS</t>
  </si>
  <si>
    <t>Avanos Medical Inc.</t>
  </si>
  <si>
    <t>ERA</t>
  </si>
  <si>
    <t>Eramet SA</t>
  </si>
  <si>
    <t>VERX</t>
  </si>
  <si>
    <t>Vertex Inc.</t>
  </si>
  <si>
    <t>TGI</t>
  </si>
  <si>
    <t>Triumph Group Inc.</t>
  </si>
  <si>
    <t>BRKN</t>
  </si>
  <si>
    <t>Burkhalter Holding AG</t>
  </si>
  <si>
    <t>NYF</t>
  </si>
  <si>
    <t>Nyfosa AB</t>
  </si>
  <si>
    <t>1468</t>
  </si>
  <si>
    <t>Kingkey Financial International Holdings Ltd.</t>
  </si>
  <si>
    <t>OSW</t>
  </si>
  <si>
    <t>OneSpaWorld Holdings Ltd.</t>
  </si>
  <si>
    <t>BS</t>
  </si>
  <si>
    <t>IMVT</t>
  </si>
  <si>
    <t>Immunovant Inc.</t>
  </si>
  <si>
    <t>RLAY</t>
  </si>
  <si>
    <t>Relay Therapeutics Inc.</t>
  </si>
  <si>
    <t>9010</t>
  </si>
  <si>
    <t>Fuji Kyuko Co. Ltd.</t>
  </si>
  <si>
    <t>SYAB</t>
  </si>
  <si>
    <t>Synlab AG</t>
  </si>
  <si>
    <t>ATEN</t>
  </si>
  <si>
    <t>A10 Networks Inc.</t>
  </si>
  <si>
    <t>OPCE</t>
  </si>
  <si>
    <t>OPC Energy Ltd.</t>
  </si>
  <si>
    <t>MRC</t>
  </si>
  <si>
    <t>MRC Global Inc.</t>
  </si>
  <si>
    <t>ENGH</t>
  </si>
  <si>
    <t>Enghouse Systems Ltd.</t>
  </si>
  <si>
    <t>TRUE B</t>
  </si>
  <si>
    <t>Truecaller AB</t>
  </si>
  <si>
    <t>1942</t>
  </si>
  <si>
    <t>Kandenko Co. Ltd.</t>
  </si>
  <si>
    <t>3097</t>
  </si>
  <si>
    <t>Monogatari Corp.</t>
  </si>
  <si>
    <t>BIOA B</t>
  </si>
  <si>
    <t>BioArctic AB</t>
  </si>
  <si>
    <t>HAFNI</t>
  </si>
  <si>
    <t>Hafnia Ltd.</t>
  </si>
  <si>
    <t>SVI</t>
  </si>
  <si>
    <t>StorageVault Canada Inc.</t>
  </si>
  <si>
    <t>LILAK</t>
  </si>
  <si>
    <t>FREY</t>
  </si>
  <si>
    <t>FREYR Battery SA</t>
  </si>
  <si>
    <t>Stillfront Group AB</t>
  </si>
  <si>
    <t>3493</t>
  </si>
  <si>
    <t>Advance Logistics Investment Corp.</t>
  </si>
  <si>
    <t>4919</t>
  </si>
  <si>
    <t>Milbon Co. Ltd.</t>
  </si>
  <si>
    <t>RTL</t>
  </si>
  <si>
    <t>Necessity Retail REIT Inc.</t>
  </si>
  <si>
    <t>1662</t>
  </si>
  <si>
    <t>Japan Petroleum Exploration Co. Ltd.</t>
  </si>
  <si>
    <t>GOGL</t>
  </si>
  <si>
    <t>Golden Ocean Group Ltd.</t>
  </si>
  <si>
    <t>VBK</t>
  </si>
  <si>
    <t>VERBIO Vereinigte BioEnergie AG</t>
  </si>
  <si>
    <t>PRAA</t>
  </si>
  <si>
    <t>PRA Group Inc.</t>
  </si>
  <si>
    <t>DIN</t>
  </si>
  <si>
    <t>Dine Brands Global Inc.</t>
  </si>
  <si>
    <t>BURE</t>
  </si>
  <si>
    <t>Bure Equity AB</t>
  </si>
  <si>
    <t>2782</t>
  </si>
  <si>
    <t>Seria Co. Ltd.</t>
  </si>
  <si>
    <t>HMS</t>
  </si>
  <si>
    <t>HMS Networks AB</t>
  </si>
  <si>
    <t>ALPH</t>
  </si>
  <si>
    <t>Alpha Group International plc</t>
  </si>
  <si>
    <t>COMM</t>
  </si>
  <si>
    <t>CommScope Holding Co. Inc.</t>
  </si>
  <si>
    <t>IHP</t>
  </si>
  <si>
    <t>IntegraFin Holdings plc</t>
  </si>
  <si>
    <t>BHLB</t>
  </si>
  <si>
    <t>Berkshire Hills Bancorp Inc.</t>
  </si>
  <si>
    <t>STG</t>
  </si>
  <si>
    <t>Scandinavian Tobacco Group A/S</t>
  </si>
  <si>
    <t>4194</t>
  </si>
  <si>
    <t>Visional Inc.</t>
  </si>
  <si>
    <t>9509</t>
  </si>
  <si>
    <t>Hokkaido Electric Power Co. Inc.</t>
  </si>
  <si>
    <t>BEI.UN</t>
  </si>
  <si>
    <t>Boardwalk Real Estate Investment Trust</t>
  </si>
  <si>
    <t>ASTE</t>
  </si>
  <si>
    <t>Astec Industries Inc.</t>
  </si>
  <si>
    <t>5423</t>
  </si>
  <si>
    <t>Tokyo Steel Manufacturing Co. Ltd.</t>
  </si>
  <si>
    <t>CHEMM</t>
  </si>
  <si>
    <t>Chemometec A/S</t>
  </si>
  <si>
    <t>MD</t>
  </si>
  <si>
    <t>Pediatrix Medical Group Inc.</t>
  </si>
  <si>
    <t>ALTA</t>
  </si>
  <si>
    <t>Altarea SCA</t>
  </si>
  <si>
    <t>7616</t>
  </si>
  <si>
    <t>Colowide Co. Ltd.</t>
  </si>
  <si>
    <t>GES</t>
  </si>
  <si>
    <t>Guess? Inc.</t>
  </si>
  <si>
    <t>5232</t>
  </si>
  <si>
    <t>Sumitomo Osaka Cement Co. Ltd.</t>
  </si>
  <si>
    <t>8242</t>
  </si>
  <si>
    <t>H2O Retailing Corp.</t>
  </si>
  <si>
    <t>HTLD</t>
  </si>
  <si>
    <t>Heartland Express Inc.</t>
  </si>
  <si>
    <t>AT&amp;S Austria Technologie &amp; Systemtechnik AG</t>
  </si>
  <si>
    <t>KIN</t>
  </si>
  <si>
    <t>Kinepolis Group NV</t>
  </si>
  <si>
    <t>CDMO</t>
  </si>
  <si>
    <t>Avid Bioservices Inc.</t>
  </si>
  <si>
    <t>7419</t>
  </si>
  <si>
    <t>Nojima Corp.</t>
  </si>
  <si>
    <t>NVRO</t>
  </si>
  <si>
    <t>Nevro Corp.</t>
  </si>
  <si>
    <t>8803</t>
  </si>
  <si>
    <t>Heiwa Real Estate Co. Ltd.</t>
  </si>
  <si>
    <t>RPT</t>
  </si>
  <si>
    <t>RPT Realty</t>
  </si>
  <si>
    <t>ARCT</t>
  </si>
  <si>
    <t>Arcturus Therapeutics Holdings Inc.</t>
  </si>
  <si>
    <t>Centerspace</t>
  </si>
  <si>
    <t>COK</t>
  </si>
  <si>
    <t>CANCOM SE</t>
  </si>
  <si>
    <t>MMI</t>
  </si>
  <si>
    <t>Marcus &amp; Millichap Inc.</t>
  </si>
  <si>
    <t>JBSS</t>
  </si>
  <si>
    <t>John B Sanfilippo &amp; Son Inc.</t>
  </si>
  <si>
    <t>EFGN</t>
  </si>
  <si>
    <t>EFG International AG</t>
  </si>
  <si>
    <t>OFIX</t>
  </si>
  <si>
    <t>Orthofix Medical Inc.</t>
  </si>
  <si>
    <t>REG1V</t>
  </si>
  <si>
    <t>Revenio Group Oyj</t>
  </si>
  <si>
    <t>5192</t>
  </si>
  <si>
    <t>Mitsuboshi Belting Ltd.</t>
  </si>
  <si>
    <t>8154</t>
  </si>
  <si>
    <t>Kaga Electronics Co. Ltd.</t>
  </si>
  <si>
    <t>GRNG</t>
  </si>
  <si>
    <t>Granges AB</t>
  </si>
  <si>
    <t>4634</t>
  </si>
  <si>
    <t>Toyo Ink SC Holdings Co. Ltd.</t>
  </si>
  <si>
    <t>SAH</t>
  </si>
  <si>
    <t>Sonic Automotive Inc.</t>
  </si>
  <si>
    <t>7380</t>
  </si>
  <si>
    <t>Juroku Financial Group Inc.</t>
  </si>
  <si>
    <t>4665</t>
  </si>
  <si>
    <t>Duskin Co. Ltd.</t>
  </si>
  <si>
    <t>DND</t>
  </si>
  <si>
    <t>Dye &amp; Durham Ltd.</t>
  </si>
  <si>
    <t>TESB</t>
  </si>
  <si>
    <t>Tessenderlo Group SA</t>
  </si>
  <si>
    <t>RCKT</t>
  </si>
  <si>
    <t>Rocket Pharmaceuticals Inc.</t>
  </si>
  <si>
    <t>NVRI</t>
  </si>
  <si>
    <t>Enviri Corp.</t>
  </si>
  <si>
    <t>NVAX</t>
  </si>
  <si>
    <t>Novavax Inc.</t>
  </si>
  <si>
    <t>FIGS</t>
  </si>
  <si>
    <t>Figs Inc.</t>
  </si>
  <si>
    <t>KEMPOWR</t>
  </si>
  <si>
    <t>Kempower Oyj</t>
  </si>
  <si>
    <t>TTGT</t>
  </si>
  <si>
    <t>TechTarget Inc.</t>
  </si>
  <si>
    <t>WRBY</t>
  </si>
  <si>
    <t>Warby Parker Inc.</t>
  </si>
  <si>
    <t>SPHR</t>
  </si>
  <si>
    <t>Sphere Entertainment Co.</t>
  </si>
  <si>
    <t>JBI</t>
  </si>
  <si>
    <t>Janus International Group Inc.</t>
  </si>
  <si>
    <t>SILK</t>
  </si>
  <si>
    <t>Silk Road Medical Inc.</t>
  </si>
  <si>
    <t>SWTQ</t>
  </si>
  <si>
    <t>Schweiter Technologies AG</t>
  </si>
  <si>
    <t>VSEC</t>
  </si>
  <si>
    <t>VSE Corp.</t>
  </si>
  <si>
    <t>467</t>
  </si>
  <si>
    <t>United Energy Group Ltd.</t>
  </si>
  <si>
    <t>ORES</t>
  </si>
  <si>
    <t>Investment AB Oresund</t>
  </si>
  <si>
    <t>4478</t>
  </si>
  <si>
    <t>Freee KK</t>
  </si>
  <si>
    <t>DEME</t>
  </si>
  <si>
    <t>Deme Group NV</t>
  </si>
  <si>
    <t>1969</t>
  </si>
  <si>
    <t>Takasago Thermal Engineering Co. Ltd.</t>
  </si>
  <si>
    <t>CURY</t>
  </si>
  <si>
    <t>Currys plc</t>
  </si>
  <si>
    <t>ATRLJ B</t>
  </si>
  <si>
    <t>Atrium Ljungberg AB</t>
  </si>
  <si>
    <t>UTL</t>
  </si>
  <si>
    <t>Unitil Corp.</t>
  </si>
  <si>
    <t>JAMF</t>
  </si>
  <si>
    <t>Jamf Holding Corp.</t>
  </si>
  <si>
    <t>BIOG B</t>
  </si>
  <si>
    <t>BioGaia AB</t>
  </si>
  <si>
    <t>Ivanhoe Electric Inc. / US</t>
  </si>
  <si>
    <t>5741</t>
  </si>
  <si>
    <t>UACJ Corp.</t>
  </si>
  <si>
    <t>INFN</t>
  </si>
  <si>
    <t>Infinera Corp.</t>
  </si>
  <si>
    <t>ARLO</t>
  </si>
  <si>
    <t>Arlo Technologies Inc.</t>
  </si>
  <si>
    <t>GEO</t>
  </si>
  <si>
    <t>GEO Group Inc.</t>
  </si>
  <si>
    <t>SBSI</t>
  </si>
  <si>
    <t>Southside Bancshares Inc.</t>
  </si>
  <si>
    <t>MONT</t>
  </si>
  <si>
    <t>Montea NV</t>
  </si>
  <si>
    <t>Endeavour Silver Corp.</t>
  </si>
  <si>
    <t>FA</t>
  </si>
  <si>
    <t>First Advantage Corp.</t>
  </si>
  <si>
    <t>6258</t>
  </si>
  <si>
    <t>Hirata Corp.</t>
  </si>
  <si>
    <t>KNT</t>
  </si>
  <si>
    <t>K92 Mining Inc.</t>
  </si>
  <si>
    <t>POM</t>
  </si>
  <si>
    <t>Cie Plastic Omnium SA</t>
  </si>
  <si>
    <t>CRST</t>
  </si>
  <si>
    <t>Crest Nicholson Holdings plc</t>
  </si>
  <si>
    <t>NTST</t>
  </si>
  <si>
    <t>NETSTREIT Corp.</t>
  </si>
  <si>
    <t>AIY</t>
  </si>
  <si>
    <t>iFAST Corp. Ltd.</t>
  </si>
  <si>
    <t>WKP</t>
  </si>
  <si>
    <t>Workspace Group plc</t>
  </si>
  <si>
    <t>DIMRI</t>
  </si>
  <si>
    <t>YH Dimri Construction &amp; Development Ltd.</t>
  </si>
  <si>
    <t>TOKMAN</t>
  </si>
  <si>
    <t>Tokmanni Group Corp.</t>
  </si>
  <si>
    <t>PBI</t>
  </si>
  <si>
    <t>Pitney Bowes Inc.</t>
  </si>
  <si>
    <t>Dermapharm Holding SE</t>
  </si>
  <si>
    <t>DNR</t>
  </si>
  <si>
    <t>Industrie De Nora SPA</t>
  </si>
  <si>
    <t>EFC</t>
  </si>
  <si>
    <t>Ellington Financial Inc.</t>
  </si>
  <si>
    <t>8595</t>
  </si>
  <si>
    <t>JAFCO Group Co. ltd</t>
  </si>
  <si>
    <t>HOUS</t>
  </si>
  <si>
    <t>Anywhere Real Estate Inc.</t>
  </si>
  <si>
    <t>PDX</t>
  </si>
  <si>
    <t>Paradox Interactive AB</t>
  </si>
  <si>
    <t>ADMA</t>
  </si>
  <si>
    <t>ADMA Biologics Inc.</t>
  </si>
  <si>
    <t>3087</t>
  </si>
  <si>
    <t>Doutor Nichires Holdings Co. Ltd.</t>
  </si>
  <si>
    <t>8377</t>
  </si>
  <si>
    <t>Hokuhoku Financial Group Inc.</t>
  </si>
  <si>
    <t>AVID</t>
  </si>
  <si>
    <t>Avid Technology Inc.</t>
  </si>
  <si>
    <t>RNW</t>
  </si>
  <si>
    <t>TransAlta Renewables Inc.</t>
  </si>
  <si>
    <t>STER</t>
  </si>
  <si>
    <t>Sterling Check Corp.</t>
  </si>
  <si>
    <t>7224</t>
  </si>
  <si>
    <t>Shinmaywa Industries Ltd.</t>
  </si>
  <si>
    <t>PNDX B</t>
  </si>
  <si>
    <t>Pandox AB</t>
  </si>
  <si>
    <t>PRA</t>
  </si>
  <si>
    <t>ProAssurance Corp.</t>
  </si>
  <si>
    <t>Enerflex Ltd.</t>
  </si>
  <si>
    <t>HUT</t>
  </si>
  <si>
    <t>Hut 8 Mining Corp.</t>
  </si>
  <si>
    <t>HAYN</t>
  </si>
  <si>
    <t>Haynes International Inc.</t>
  </si>
  <si>
    <t>AHCO</t>
  </si>
  <si>
    <t>AdaptHealth Corp.</t>
  </si>
  <si>
    <t>HR.UN</t>
  </si>
  <si>
    <t>H&amp;R Real Estate Investment Trust</t>
  </si>
  <si>
    <t>GYC</t>
  </si>
  <si>
    <t>Grand City Properties SA</t>
  </si>
  <si>
    <t>MAB</t>
  </si>
  <si>
    <t>Mitchells &amp; Butlers plc</t>
  </si>
  <si>
    <t>9832</t>
  </si>
  <si>
    <t>Autobacs Seven Co. Ltd.</t>
  </si>
  <si>
    <t>REPL</t>
  </si>
  <si>
    <t>Replimune Group Inc.</t>
  </si>
  <si>
    <t>WWW</t>
  </si>
  <si>
    <t>Wolverine World Wide Inc.</t>
  </si>
  <si>
    <t>National HealthCare Corp.</t>
  </si>
  <si>
    <t>ENAV</t>
  </si>
  <si>
    <t>Enav SPA</t>
  </si>
  <si>
    <t>FVRR</t>
  </si>
  <si>
    <t>Fiverr International Ltd.</t>
  </si>
  <si>
    <t>4819</t>
  </si>
  <si>
    <t>Digital Garage Inc.</t>
  </si>
  <si>
    <t>MGDL</t>
  </si>
  <si>
    <t>Migdal Insurance &amp; Financial Holdings Ltd.</t>
  </si>
  <si>
    <t>NP3</t>
  </si>
  <si>
    <t>NP3 Fastigheter AB</t>
  </si>
  <si>
    <t>8086</t>
  </si>
  <si>
    <t>Nipro Corp.</t>
  </si>
  <si>
    <t>PROT</t>
  </si>
  <si>
    <t>Protector Forsikring ASA</t>
  </si>
  <si>
    <t>GEST</t>
  </si>
  <si>
    <t>Gestamp Automocion SA</t>
  </si>
  <si>
    <t>PLYA</t>
  </si>
  <si>
    <t>Playa Hotels &amp; Resorts NV</t>
  </si>
  <si>
    <t>BONEX</t>
  </si>
  <si>
    <t>BoneSupport Holding AB</t>
  </si>
  <si>
    <t>6890</t>
  </si>
  <si>
    <t>Ferrotec Holdings Corp.</t>
  </si>
  <si>
    <t>6368</t>
  </si>
  <si>
    <t>Organo Corp.</t>
  </si>
  <si>
    <t>1333</t>
  </si>
  <si>
    <t>Maruha Nichiro Corp.</t>
  </si>
  <si>
    <t>CADLR</t>
  </si>
  <si>
    <t>Cadeler A/S</t>
  </si>
  <si>
    <t>YCA</t>
  </si>
  <si>
    <t>Yellow Cake plc</t>
  </si>
  <si>
    <t>SFER</t>
  </si>
  <si>
    <t>Salvatore Ferragamo SPA</t>
  </si>
  <si>
    <t>6544</t>
  </si>
  <si>
    <t>Japan Elevator Service Holdings Co. Ltd.</t>
  </si>
  <si>
    <t>SOL SPA</t>
  </si>
  <si>
    <t>CLNE</t>
  </si>
  <si>
    <t>Clean Energy Fuels Corp.</t>
  </si>
  <si>
    <t>TCW</t>
  </si>
  <si>
    <t>Trican Well Service Ltd.</t>
  </si>
  <si>
    <t>DCPH</t>
  </si>
  <si>
    <t>Deciphera Pharmaceuticals Inc.</t>
  </si>
  <si>
    <t>SIS</t>
  </si>
  <si>
    <t>Savaria Corp.</t>
  </si>
  <si>
    <t>RCUS</t>
  </si>
  <si>
    <t>Arcus Biosciences Inc.</t>
  </si>
  <si>
    <t>ACCD</t>
  </si>
  <si>
    <t>Accolade Inc.</t>
  </si>
  <si>
    <t>7581</t>
  </si>
  <si>
    <t>Saizeriya Co. Ltd.</t>
  </si>
  <si>
    <t>GSAT</t>
  </si>
  <si>
    <t>Globalstar Inc.</t>
  </si>
  <si>
    <t>CRNC</t>
  </si>
  <si>
    <t>Cerence Inc.</t>
  </si>
  <si>
    <t>CXM</t>
  </si>
  <si>
    <t>Sprinklr Inc.</t>
  </si>
  <si>
    <t>TASE</t>
  </si>
  <si>
    <t>Tel Aviv Stock Exchange Ltd.</t>
  </si>
  <si>
    <t>4imprint Group plc</t>
  </si>
  <si>
    <t>2730</t>
  </si>
  <si>
    <t>EDION Corp.</t>
  </si>
  <si>
    <t>BWLPG</t>
  </si>
  <si>
    <t>BW LPG Ltd.</t>
  </si>
  <si>
    <t>ALLEI</t>
  </si>
  <si>
    <t>Alleima AB</t>
  </si>
  <si>
    <t>4443</t>
  </si>
  <si>
    <t>Sansan Inc.</t>
  </si>
  <si>
    <t>DENN</t>
  </si>
  <si>
    <t>Denny's Corp.</t>
  </si>
  <si>
    <t>RILY</t>
  </si>
  <si>
    <t>B Riley Financial Inc.</t>
  </si>
  <si>
    <t>COLL</t>
  </si>
  <si>
    <t>Collegium Pharmaceutical Inc.</t>
  </si>
  <si>
    <t>ARIS</t>
  </si>
  <si>
    <t>Ariston Holding NV</t>
  </si>
  <si>
    <t>VTLE</t>
  </si>
  <si>
    <t>Vital Energy Inc.</t>
  </si>
  <si>
    <t>ONE</t>
  </si>
  <si>
    <t>One Software Technologies Ltd.</t>
  </si>
  <si>
    <t>SRCE</t>
  </si>
  <si>
    <t>1st Source Corp.</t>
  </si>
  <si>
    <t>ISN</t>
  </si>
  <si>
    <t>Intershop Holding AG</t>
  </si>
  <si>
    <t>MGNS</t>
  </si>
  <si>
    <t>Morgan Sindall Group plc</t>
  </si>
  <si>
    <t>NBHC</t>
  </si>
  <si>
    <t>National Bank Holdings Corp.</t>
  </si>
  <si>
    <t>ONTEX</t>
  </si>
  <si>
    <t>Ontex Group NV</t>
  </si>
  <si>
    <t>GDOT</t>
  </si>
  <si>
    <t>Green Dot Corp.</t>
  </si>
  <si>
    <t>RYI</t>
  </si>
  <si>
    <t>Ryerson Holding Corp.</t>
  </si>
  <si>
    <t>FFIC</t>
  </si>
  <si>
    <t>Flushing Financial Corp.</t>
  </si>
  <si>
    <t>7173</t>
  </si>
  <si>
    <t>Tokyo Kiraboshi Financial Group Inc.</t>
  </si>
  <si>
    <t>EIF</t>
  </si>
  <si>
    <t>Exchange Income Corp.</t>
  </si>
  <si>
    <t>ENRG</t>
  </si>
  <si>
    <t>Energix-Renewable Energies Ltd.</t>
  </si>
  <si>
    <t>TRNS</t>
  </si>
  <si>
    <t>Transcat Inc.</t>
  </si>
  <si>
    <t>SPI</t>
  </si>
  <si>
    <t>Spire Healthcare Group plc</t>
  </si>
  <si>
    <t>RHIM</t>
  </si>
  <si>
    <t>RHI Magnesita NV</t>
  </si>
  <si>
    <t>KYMR</t>
  </si>
  <si>
    <t>Kymera Therapeutics Inc.</t>
  </si>
  <si>
    <t>KLR</t>
  </si>
  <si>
    <t>Keller Group plc</t>
  </si>
  <si>
    <t>8153</t>
  </si>
  <si>
    <t>MOS Food Services Inc.</t>
  </si>
  <si>
    <t>BGS</t>
  </si>
  <si>
    <t>B&amp;G Foods Inc.</t>
  </si>
  <si>
    <t>MRE</t>
  </si>
  <si>
    <t>Martinrea International Inc.</t>
  </si>
  <si>
    <t>TOY</t>
  </si>
  <si>
    <t>Spin Master Corp.</t>
  </si>
  <si>
    <t>341</t>
  </si>
  <si>
    <t>Cafe de Coral Holdings Ltd.</t>
  </si>
  <si>
    <t>4480</t>
  </si>
  <si>
    <t>Medley Inc.</t>
  </si>
  <si>
    <t>AG1</t>
  </si>
  <si>
    <t>Auto1 Group SE</t>
  </si>
  <si>
    <t>FLNG</t>
  </si>
  <si>
    <t>FLEX LNG Ltd.</t>
  </si>
  <si>
    <t>ATG</t>
  </si>
  <si>
    <t>Auction Technology Group plc</t>
  </si>
  <si>
    <t>PLRX</t>
  </si>
  <si>
    <t>Pliant Therapeutics Inc.</t>
  </si>
  <si>
    <t>BFS</t>
  </si>
  <si>
    <t>Saul Centers Inc.</t>
  </si>
  <si>
    <t>FORG</t>
  </si>
  <si>
    <t>ForgeRock Inc.</t>
  </si>
  <si>
    <t>7381</t>
  </si>
  <si>
    <t>Hokkoku Financial Holdings Inc.</t>
  </si>
  <si>
    <t>VREX</t>
  </si>
  <si>
    <t>Varex Imaging Corp.</t>
  </si>
  <si>
    <t>MATV</t>
  </si>
  <si>
    <t>Mativ Holdings Inc.</t>
  </si>
  <si>
    <t>GDEN</t>
  </si>
  <si>
    <t>Golden Entertainment Inc.</t>
  </si>
  <si>
    <t>6652</t>
  </si>
  <si>
    <t>Idec Corp./Japan</t>
  </si>
  <si>
    <t>KROS</t>
  </si>
  <si>
    <t>Keros Therapeutics Inc.</t>
  </si>
  <si>
    <t>AP.UN</t>
  </si>
  <si>
    <t>Allied Properties Real Estate Investment Trust</t>
  </si>
  <si>
    <t>WTE</t>
  </si>
  <si>
    <t>Westshore Terminals Investment Corp.</t>
  </si>
  <si>
    <t>ROVI</t>
  </si>
  <si>
    <t>Laboratorios Farmaceuticos Rovi SA</t>
  </si>
  <si>
    <t>Mercury General Corp.</t>
  </si>
  <si>
    <t>OLA</t>
  </si>
  <si>
    <t>Orla Mining Ltd.</t>
  </si>
  <si>
    <t>JWEL</t>
  </si>
  <si>
    <t>Jamieson Wellness Inc.</t>
  </si>
  <si>
    <t>OSCR</t>
  </si>
  <si>
    <t>Oscar Health Inc.</t>
  </si>
  <si>
    <t>KTN</t>
  </si>
  <si>
    <t>Kontron AG</t>
  </si>
  <si>
    <t>PSI</t>
  </si>
  <si>
    <t>Pason Systems Inc.</t>
  </si>
  <si>
    <t>BXC</t>
  </si>
  <si>
    <t>BlueLinx Holdings Inc.</t>
  </si>
  <si>
    <t>AOF</t>
  </si>
  <si>
    <t>Atoss Software AG</t>
  </si>
  <si>
    <t>CTKB</t>
  </si>
  <si>
    <t>Cytek Biosciences Inc.</t>
  </si>
  <si>
    <t>BLFS</t>
  </si>
  <si>
    <t>BioLife Solutions Inc.</t>
  </si>
  <si>
    <t>9303</t>
  </si>
  <si>
    <t>Sumitomo Warehouse Co. Ltd.</t>
  </si>
  <si>
    <t>AMBC</t>
  </si>
  <si>
    <t>Ambac Financial Group Inc.</t>
  </si>
  <si>
    <t>6871</t>
  </si>
  <si>
    <t>Micronics Japan Co. Ltd.</t>
  </si>
  <si>
    <t>9948</t>
  </si>
  <si>
    <t>Arcs Co. Ltd.</t>
  </si>
  <si>
    <t>PUBM</t>
  </si>
  <si>
    <t>PubMatic Inc.</t>
  </si>
  <si>
    <t>BSLN</t>
  </si>
  <si>
    <t>Basilea Pharmaceutica AG</t>
  </si>
  <si>
    <t>CAMX</t>
  </si>
  <si>
    <t>Camurus AB</t>
  </si>
  <si>
    <t>8524</t>
  </si>
  <si>
    <t>North Pacific Bank Ltd.</t>
  </si>
  <si>
    <t>1883</t>
  </si>
  <si>
    <t>CITIC Telecom International Holdings Ltd.</t>
  </si>
  <si>
    <t>Sesa SPA</t>
  </si>
  <si>
    <t>SK6U</t>
  </si>
  <si>
    <t>PARAGON REIT</t>
  </si>
  <si>
    <t>CKN</t>
  </si>
  <si>
    <t>Clarkson plc</t>
  </si>
  <si>
    <t>NONG</t>
  </si>
  <si>
    <t>SpareBank 1 Nord Norge</t>
  </si>
  <si>
    <t>RVLV</t>
  </si>
  <si>
    <t>Revolve Group Inc.</t>
  </si>
  <si>
    <t>GOOD</t>
  </si>
  <si>
    <t>Gladstone Commercial Corp.</t>
  </si>
  <si>
    <t>ALIF B</t>
  </si>
  <si>
    <t>AddLife AB</t>
  </si>
  <si>
    <t>DO &amp; CO AG</t>
  </si>
  <si>
    <t>NXRT</t>
  </si>
  <si>
    <t>NexPoint Residential Trust Inc.</t>
  </si>
  <si>
    <t>200</t>
  </si>
  <si>
    <t>Melco International Development Ltd.</t>
  </si>
  <si>
    <t>7389</t>
  </si>
  <si>
    <t>Aichi Financial Group Inc.</t>
  </si>
  <si>
    <t>MRUS</t>
  </si>
  <si>
    <t>Merus NV</t>
  </si>
  <si>
    <t>J85</t>
  </si>
  <si>
    <t>CDL Hospitality Trusts</t>
  </si>
  <si>
    <t>PDM</t>
  </si>
  <si>
    <t>Piedmont Office Realty Trust Inc.</t>
  </si>
  <si>
    <t>NOS</t>
  </si>
  <si>
    <t>NOS SGPS SA</t>
  </si>
  <si>
    <t>INTA</t>
  </si>
  <si>
    <t>Intapp Inc.</t>
  </si>
  <si>
    <t>IDIA</t>
  </si>
  <si>
    <t>Idorsia Ltd.</t>
  </si>
  <si>
    <t>Well Health Technologies Corp.</t>
  </si>
  <si>
    <t>Dalata Hotel Group plc</t>
  </si>
  <si>
    <t>TRE</t>
  </si>
  <si>
    <t>Tecnicas Reunidas SA</t>
  </si>
  <si>
    <t>TFI</t>
  </si>
  <si>
    <t>Television Francaise 1</t>
  </si>
  <si>
    <t>PLOW</t>
  </si>
  <si>
    <t>Douglas Dynamics Inc.</t>
  </si>
  <si>
    <t>ETNB</t>
  </si>
  <si>
    <t>89bio Inc.</t>
  </si>
  <si>
    <t>CHCT</t>
  </si>
  <si>
    <t>Community Healthcare Trust Inc.</t>
  </si>
  <si>
    <t>8425</t>
  </si>
  <si>
    <t>Mizuho Leasing Co. Ltd.</t>
  </si>
  <si>
    <t>MCS</t>
  </si>
  <si>
    <t>Marcus Corp.</t>
  </si>
  <si>
    <t>MSBI</t>
  </si>
  <si>
    <t>Midland States Bancorp Inc.</t>
  </si>
  <si>
    <t>Precision Drilling Corp.</t>
  </si>
  <si>
    <t>DHIL</t>
  </si>
  <si>
    <t>Diamond Hill Investment Group Inc.</t>
  </si>
  <si>
    <t>TARS</t>
  </si>
  <si>
    <t>Tarsus Pharmaceuticals Inc.</t>
  </si>
  <si>
    <t>MOZN</t>
  </si>
  <si>
    <t>Mobilezone Holding AG</t>
  </si>
  <si>
    <t>CRT.UN</t>
  </si>
  <si>
    <t>CT Real Estate Investment Trust</t>
  </si>
  <si>
    <t>YEXT</t>
  </si>
  <si>
    <t>Yext Inc.</t>
  </si>
  <si>
    <t>VLK</t>
  </si>
  <si>
    <t>Van Lanschot Kempen NV</t>
  </si>
  <si>
    <t>RWT</t>
  </si>
  <si>
    <t>Redwood Trust Inc.</t>
  </si>
  <si>
    <t>ARJO B</t>
  </si>
  <si>
    <t>Arjo AB</t>
  </si>
  <si>
    <t>2931</t>
  </si>
  <si>
    <t>euglena Co. Ltd.</t>
  </si>
  <si>
    <t>CY6U</t>
  </si>
  <si>
    <t>Capitaland India Trust</t>
  </si>
  <si>
    <t>SLCA</t>
  </si>
  <si>
    <t>US Silica Holdings Inc.</t>
  </si>
  <si>
    <t>MAXN</t>
  </si>
  <si>
    <t>Maxeon Solar Technologies Ltd.</t>
  </si>
  <si>
    <t>Allied Motion Technologies Inc.</t>
  </si>
  <si>
    <t>8968</t>
  </si>
  <si>
    <t>Fukuoka REIT Corp.</t>
  </si>
  <si>
    <t>EGBN</t>
  </si>
  <si>
    <t>Eagle Bancorp Inc.</t>
  </si>
  <si>
    <t>TIP</t>
  </si>
  <si>
    <t>Tamburi Investment Partners SPA</t>
  </si>
  <si>
    <t>WDO</t>
  </si>
  <si>
    <t>Wesdome Gold Mines Ltd.</t>
  </si>
  <si>
    <t>2001</t>
  </si>
  <si>
    <t>Nippn Corp.</t>
  </si>
  <si>
    <t>CFFN</t>
  </si>
  <si>
    <t>Capitol Federal Financial Inc.</t>
  </si>
  <si>
    <t>8218</t>
  </si>
  <si>
    <t>Komeri Co. Ltd.</t>
  </si>
  <si>
    <t>KRUS</t>
  </si>
  <si>
    <t>Kura Sushi USA Inc.</t>
  </si>
  <si>
    <t>SPTN</t>
  </si>
  <si>
    <t>SpartanNash Co.</t>
  </si>
  <si>
    <t>3487</t>
  </si>
  <si>
    <t>CRE Logistics REIT Inc.</t>
  </si>
  <si>
    <t>CFP</t>
  </si>
  <si>
    <t>Canfor Corp.</t>
  </si>
  <si>
    <t>9830</t>
  </si>
  <si>
    <t>Trusco Nakayama Corp.</t>
  </si>
  <si>
    <t>7839</t>
  </si>
  <si>
    <t>Shoei Co. Ltd.</t>
  </si>
  <si>
    <t>PFBC</t>
  </si>
  <si>
    <t>Preferred Bank/Los Angeles CA</t>
  </si>
  <si>
    <t>7327</t>
  </si>
  <si>
    <t>Daishi Hokuetsu Financial Group Inc.</t>
  </si>
  <si>
    <t>ACT</t>
  </si>
  <si>
    <t>Enact Holdings Inc.</t>
  </si>
  <si>
    <t>OERL</t>
  </si>
  <si>
    <t>OC Oerlikon Corp. AG</t>
  </si>
  <si>
    <t>SDIP B</t>
  </si>
  <si>
    <t>Sdiptech AB</t>
  </si>
  <si>
    <t>TMST</t>
  </si>
  <si>
    <t>TimkenSteel Corp.</t>
  </si>
  <si>
    <t>RDWR</t>
  </si>
  <si>
    <t>Radware Ltd.</t>
  </si>
  <si>
    <t>ALS</t>
  </si>
  <si>
    <t>Altius Minerals Corp.</t>
  </si>
  <si>
    <t>BOOZT</t>
  </si>
  <si>
    <t>Boozt AB</t>
  </si>
  <si>
    <t>JDG</t>
  </si>
  <si>
    <t>Judges Scientific plc</t>
  </si>
  <si>
    <t>ACLX</t>
  </si>
  <si>
    <t>Arcellx Inc.</t>
  </si>
  <si>
    <t>BEIA B</t>
  </si>
  <si>
    <t>Beijer Alma AB</t>
  </si>
  <si>
    <t>ARR</t>
  </si>
  <si>
    <t>ARMOUR Residential REIT Inc.</t>
  </si>
  <si>
    <t>ELM</t>
  </si>
  <si>
    <t>Elementis plc</t>
  </si>
  <si>
    <t>CLBK</t>
  </si>
  <si>
    <t>Columbia Financial Inc.</t>
  </si>
  <si>
    <t>1820</t>
  </si>
  <si>
    <t>Nishimatsu Construction Co. Ltd.</t>
  </si>
  <si>
    <t>INSTAL</t>
  </si>
  <si>
    <t>Instalco AB</t>
  </si>
  <si>
    <t>CWBU</t>
  </si>
  <si>
    <t>Cromwell European Real Estate Investment Trust</t>
  </si>
  <si>
    <t>CRAYN</t>
  </si>
  <si>
    <t>Crayon Group Holding ASA</t>
  </si>
  <si>
    <t>SPWR</t>
  </si>
  <si>
    <t>SunPower Corp.</t>
  </si>
  <si>
    <t>4848</t>
  </si>
  <si>
    <t>FULLCAST Holdings Co. Ltd.</t>
  </si>
  <si>
    <t>PUMP</t>
  </si>
  <si>
    <t>ProPetro Holding Corp.</t>
  </si>
  <si>
    <t>Gruppo MutuiOnline SPA</t>
  </si>
  <si>
    <t>SAVA</t>
  </si>
  <si>
    <t>Cassava Sciences Inc.</t>
  </si>
  <si>
    <t>BFC</t>
  </si>
  <si>
    <t>Bank First Corp.</t>
  </si>
  <si>
    <t>3865</t>
  </si>
  <si>
    <t>Hokuetsu Corp.</t>
  </si>
  <si>
    <t>HLUN A</t>
  </si>
  <si>
    <t>3543</t>
  </si>
  <si>
    <t>KOMEDA Holdings Co. Ltd.</t>
  </si>
  <si>
    <t>DCO</t>
  </si>
  <si>
    <t>Ducommun Inc.</t>
  </si>
  <si>
    <t>PNL</t>
  </si>
  <si>
    <t>PostNL NV</t>
  </si>
  <si>
    <t>8511</t>
  </si>
  <si>
    <t>Japan Securities Finance Co. Ltd.</t>
  </si>
  <si>
    <t>DLX</t>
  </si>
  <si>
    <t>Deluxe Corp.</t>
  </si>
  <si>
    <t>MTY</t>
  </si>
  <si>
    <t>MTY Food Group Inc.</t>
  </si>
  <si>
    <t>MATX</t>
  </si>
  <si>
    <t>Matson Inc.</t>
  </si>
  <si>
    <t>9605</t>
  </si>
  <si>
    <t>Toei Co. Ltd.</t>
  </si>
  <si>
    <t>GTN</t>
  </si>
  <si>
    <t>Gray Television Inc.</t>
  </si>
  <si>
    <t>2659</t>
  </si>
  <si>
    <t>San-A Co. Ltd.</t>
  </si>
  <si>
    <t>3167</t>
  </si>
  <si>
    <t>TOKAI Holdings Corp.</t>
  </si>
  <si>
    <t>CYRX</t>
  </si>
  <si>
    <t>CryoPort Inc.</t>
  </si>
  <si>
    <t>NYMT</t>
  </si>
  <si>
    <t>New York Mortgage Trust Inc.</t>
  </si>
  <si>
    <t>JRVR</t>
  </si>
  <si>
    <t>James River Group Holdings Ltd.</t>
  </si>
  <si>
    <t>TMCI</t>
  </si>
  <si>
    <t>Treace Medical Concepts Inc.</t>
  </si>
  <si>
    <t>HWKN</t>
  </si>
  <si>
    <t>Hawkins Inc.</t>
  </si>
  <si>
    <t>OLO</t>
  </si>
  <si>
    <t>Olo Inc.</t>
  </si>
  <si>
    <t>RET</t>
  </si>
  <si>
    <t>Retail Estates NV</t>
  </si>
  <si>
    <t>TDS</t>
  </si>
  <si>
    <t>Telephone and Data Systems Inc.</t>
  </si>
  <si>
    <t>MCW</t>
  </si>
  <si>
    <t>Mister Car Wash Inc.</t>
  </si>
  <si>
    <t>6412</t>
  </si>
  <si>
    <t>Heiwa Corp.</t>
  </si>
  <si>
    <t>1377</t>
  </si>
  <si>
    <t>Sakata Seed Corp.</t>
  </si>
  <si>
    <t>Raffles Medical Group Ltd.</t>
  </si>
  <si>
    <t>TS0U</t>
  </si>
  <si>
    <t>OUE Commercial Real Estate Investment Trust</t>
  </si>
  <si>
    <t>IIIV</t>
  </si>
  <si>
    <t>I3 Verticals Inc.</t>
  </si>
  <si>
    <t>PRLB</t>
  </si>
  <si>
    <t>Proto Labs Inc.</t>
  </si>
  <si>
    <t>WT</t>
  </si>
  <si>
    <t>WisdomTree Inc.</t>
  </si>
  <si>
    <t>8381</t>
  </si>
  <si>
    <t>San-In Godo Bank Ltd.</t>
  </si>
  <si>
    <t>Essentra plc</t>
  </si>
  <si>
    <t>AVXL</t>
  </si>
  <si>
    <t>Anavex Life Sciences Corp.</t>
  </si>
  <si>
    <t>JM</t>
  </si>
  <si>
    <t>JM AB</t>
  </si>
  <si>
    <t>7226</t>
  </si>
  <si>
    <t>Kyokuto Kaihatsu Kogyo Co. Ltd.</t>
  </si>
  <si>
    <t>TMP</t>
  </si>
  <si>
    <t>Tompkins Financial Corp.</t>
  </si>
  <si>
    <t>INN</t>
  </si>
  <si>
    <t>Summit Hotel Properties Inc.</t>
  </si>
  <si>
    <t>3387</t>
  </si>
  <si>
    <t>Create Restaurants Holdings Inc.</t>
  </si>
  <si>
    <t>SKIN</t>
  </si>
  <si>
    <t>Beauty Health Co.</t>
  </si>
  <si>
    <t>7433</t>
  </si>
  <si>
    <t>Hakuto Co. Ltd.</t>
  </si>
  <si>
    <t>UMH</t>
  </si>
  <si>
    <t>UMH Properties Inc.</t>
  </si>
  <si>
    <t>CEU</t>
  </si>
  <si>
    <t>CES Energy Solutions Corp.</t>
  </si>
  <si>
    <t>ALESK</t>
  </si>
  <si>
    <t>Esker SA</t>
  </si>
  <si>
    <t>4023</t>
  </si>
  <si>
    <t>Kureha Corp.</t>
  </si>
  <si>
    <t>MSGE</t>
  </si>
  <si>
    <t>Madison Square Garden Entertainment Corp.</t>
  </si>
  <si>
    <t>SESL</t>
  </si>
  <si>
    <t>SES-imagotag SA</t>
  </si>
  <si>
    <t>QCRH</t>
  </si>
  <si>
    <t>QCR Holdings Inc.</t>
  </si>
  <si>
    <t>5302</t>
  </si>
  <si>
    <t>Nippon Carbon Co. Ltd.</t>
  </si>
  <si>
    <t>XPP</t>
  </si>
  <si>
    <t>XP Power Ltd.</t>
  </si>
  <si>
    <t>MBWM</t>
  </si>
  <si>
    <t>Mercantile Bank Corp.</t>
  </si>
  <si>
    <t>JDW</t>
  </si>
  <si>
    <t>J D Wetherspoon plc</t>
  </si>
  <si>
    <t>IDL</t>
  </si>
  <si>
    <t>ID Logistics Group</t>
  </si>
  <si>
    <t>BFST</t>
  </si>
  <si>
    <t>Business First Bancshares Inc.</t>
  </si>
  <si>
    <t>ARDX</t>
  </si>
  <si>
    <t>Ardelyx Inc.</t>
  </si>
  <si>
    <t>DBG</t>
  </si>
  <si>
    <t>Derichebourg SA</t>
  </si>
  <si>
    <t>2602</t>
  </si>
  <si>
    <t>Nisshin Oillio Group Ltd.</t>
  </si>
  <si>
    <t>INVA</t>
  </si>
  <si>
    <t>Innoviva Inc.</t>
  </si>
  <si>
    <t>8179</t>
  </si>
  <si>
    <t>Royal Holdings Co. Ltd.</t>
  </si>
  <si>
    <t>SHEN</t>
  </si>
  <si>
    <t>Shenandoah Telecommunications Co.</t>
  </si>
  <si>
    <t>GBG</t>
  </si>
  <si>
    <t>GB Group plc</t>
  </si>
  <si>
    <t>FCEL</t>
  </si>
  <si>
    <t>FuelCell Energy Inc.</t>
  </si>
  <si>
    <t>RIT1</t>
  </si>
  <si>
    <t>Reit 1 Ltd.</t>
  </si>
  <si>
    <t>IMAX</t>
  </si>
  <si>
    <t>IMAX Corp.</t>
  </si>
  <si>
    <t>BDN</t>
  </si>
  <si>
    <t>Brandywine Realty Trust</t>
  </si>
  <si>
    <t>9715</t>
  </si>
  <si>
    <t>Transcosmos Inc.</t>
  </si>
  <si>
    <t>6104</t>
  </si>
  <si>
    <t>Shibaura Machine Co. Ltd.</t>
  </si>
  <si>
    <t>2726</t>
  </si>
  <si>
    <t>PAL GROUP Holdings Co. Ltd.</t>
  </si>
  <si>
    <t>HSTM</t>
  </si>
  <si>
    <t>HealthStream Inc.</t>
  </si>
  <si>
    <t>SRI</t>
  </si>
  <si>
    <t>Stoneridge Inc.</t>
  </si>
  <si>
    <t>2767</t>
  </si>
  <si>
    <t>Tsuburaya Fields Holdings Inc.</t>
  </si>
  <si>
    <t>AMK</t>
  </si>
  <si>
    <t>AssetMark Financial Holdings Inc.</t>
  </si>
  <si>
    <t>SENS</t>
  </si>
  <si>
    <t>Sensirion Holding AG</t>
  </si>
  <si>
    <t>VRDN</t>
  </si>
  <si>
    <t>Viridian Therapeutics Inc.</t>
  </si>
  <si>
    <t>TBI</t>
  </si>
  <si>
    <t>TrueBlue Inc.</t>
  </si>
  <si>
    <t>WW</t>
  </si>
  <si>
    <t>WW International Inc.</t>
  </si>
  <si>
    <t>4928</t>
  </si>
  <si>
    <t>Noevir Holdings Co. Ltd.</t>
  </si>
  <si>
    <t>VNDA</t>
  </si>
  <si>
    <t>Vanda Pharmaceuticals Inc.</t>
  </si>
  <si>
    <t>ISCD</t>
  </si>
  <si>
    <t>Isracard Ltd.</t>
  </si>
  <si>
    <t>CVGW</t>
  </si>
  <si>
    <t>Calavo Growers Inc.</t>
  </si>
  <si>
    <t>4680</t>
  </si>
  <si>
    <t>Round One Corp.</t>
  </si>
  <si>
    <t>PEBO</t>
  </si>
  <si>
    <t>Peoples Bancorp Inc./OH</t>
  </si>
  <si>
    <t>IVSO</t>
  </si>
  <si>
    <t>INVISIO AB</t>
  </si>
  <si>
    <t>MRN</t>
  </si>
  <si>
    <t>Mersen SA</t>
  </si>
  <si>
    <t>HBH</t>
  </si>
  <si>
    <t>Hornbach Holding AG &amp; Co. KGaA</t>
  </si>
  <si>
    <t>ADTN</t>
  </si>
  <si>
    <t>ADTRAN Holdings Inc.</t>
  </si>
  <si>
    <t>CRSR</t>
  </si>
  <si>
    <t>Corsair Gaming Inc.</t>
  </si>
  <si>
    <t>EBIX</t>
  </si>
  <si>
    <t>Ebix Inc.</t>
  </si>
  <si>
    <t>3101</t>
  </si>
  <si>
    <t>Toyobo Co. Ltd.</t>
  </si>
  <si>
    <t>PET</t>
  </si>
  <si>
    <t>Pet Valu Holdings Ltd.</t>
  </si>
  <si>
    <t>MVIS</t>
  </si>
  <si>
    <t>MicroVision Inc.</t>
  </si>
  <si>
    <t>Capita plc</t>
  </si>
  <si>
    <t>2491</t>
  </si>
  <si>
    <t>ValueCommerce Co. Ltd.</t>
  </si>
  <si>
    <t>ZipRecruiter Inc.</t>
  </si>
  <si>
    <t>MOR</t>
  </si>
  <si>
    <t>MorphoSys AG</t>
  </si>
  <si>
    <t>EUZ</t>
  </si>
  <si>
    <t>Eckert &amp; Ziegler Strahlen- und Medizintechnik AG</t>
  </si>
  <si>
    <t>DCBO</t>
  </si>
  <si>
    <t>Docebo Inc.</t>
  </si>
  <si>
    <t>4041</t>
  </si>
  <si>
    <t>Nippon Soda Co. Ltd.</t>
  </si>
  <si>
    <t>GABC</t>
  </si>
  <si>
    <t>German American Bancorp Inc.</t>
  </si>
  <si>
    <t>DCOM</t>
  </si>
  <si>
    <t>Dime Community Bancshares Inc.</t>
  </si>
  <si>
    <t>TTEC</t>
  </si>
  <si>
    <t>TTEC Holdings Inc.</t>
  </si>
  <si>
    <t>ALHC</t>
  </si>
  <si>
    <t>Alignment Healthcare Inc.</t>
  </si>
  <si>
    <t>TFSL</t>
  </si>
  <si>
    <t>TFS Financial Corp.</t>
  </si>
  <si>
    <t>Osisko Mining Inc.</t>
  </si>
  <si>
    <t>GVR</t>
  </si>
  <si>
    <t>Glenveagh Properties plc</t>
  </si>
  <si>
    <t>7296</t>
  </si>
  <si>
    <t>FCC Co. Ltd.</t>
  </si>
  <si>
    <t>BONHR</t>
  </si>
  <si>
    <t>Bonheur ASA</t>
  </si>
  <si>
    <t>WAC</t>
  </si>
  <si>
    <t>Wacker Neuson SE</t>
  </si>
  <si>
    <t>MDXG</t>
  </si>
  <si>
    <t>MiMedx Group Inc.</t>
  </si>
  <si>
    <t>RYTM</t>
  </si>
  <si>
    <t>Rhythm Pharmaceuticals Inc.</t>
  </si>
  <si>
    <t>SMP</t>
  </si>
  <si>
    <t>Standard Motor Products Inc.</t>
  </si>
  <si>
    <t>ACMR</t>
  </si>
  <si>
    <t>ACM Research Inc.</t>
  </si>
  <si>
    <t>5726</t>
  </si>
  <si>
    <t>OSAKA Titanium Technologies Co. Ltd.</t>
  </si>
  <si>
    <t>PRM</t>
  </si>
  <si>
    <t>Perimeter Solutions SA</t>
  </si>
  <si>
    <t>XIOR</t>
  </si>
  <si>
    <t>Xior Student Housing NV</t>
  </si>
  <si>
    <t>SRS</t>
  </si>
  <si>
    <t>Saras SPA</t>
  </si>
  <si>
    <t>CVLG</t>
  </si>
  <si>
    <t>Covenant Logistics Group Inc.</t>
  </si>
  <si>
    <t>RGR</t>
  </si>
  <si>
    <t>Sturm Ruger &amp; Co. Inc.</t>
  </si>
  <si>
    <t>VERV</t>
  </si>
  <si>
    <t>Verve Therapeutics Inc.</t>
  </si>
  <si>
    <t>7994</t>
  </si>
  <si>
    <t>Okamura Corp.</t>
  </si>
  <si>
    <t>ASPN</t>
  </si>
  <si>
    <t>Aspen Aerogels Inc.</t>
  </si>
  <si>
    <t>KEL</t>
  </si>
  <si>
    <t>Kelt Exploration Ltd.</t>
  </si>
  <si>
    <t>Tootsie Roll Industries Inc.</t>
  </si>
  <si>
    <t>ENTRA</t>
  </si>
  <si>
    <t>Entra ASA</t>
  </si>
  <si>
    <t>TBLA</t>
  </si>
  <si>
    <t>Taboola.com Ltd.</t>
  </si>
  <si>
    <t>EWCZ</t>
  </si>
  <si>
    <t>European Wax Center Inc.</t>
  </si>
  <si>
    <t>9682</t>
  </si>
  <si>
    <t>DTS Corp.</t>
  </si>
  <si>
    <t>EQS</t>
  </si>
  <si>
    <t>Equasens</t>
  </si>
  <si>
    <t>3191</t>
  </si>
  <si>
    <t>Joyful Honda Co. Ltd.</t>
  </si>
  <si>
    <t>BANC</t>
  </si>
  <si>
    <t>Banc of California Inc.</t>
  </si>
  <si>
    <t>7981</t>
  </si>
  <si>
    <t>Takara Standard Co. Ltd.</t>
  </si>
  <si>
    <t>CRMT</t>
  </si>
  <si>
    <t>America's Car-Mart Inc./TX</t>
  </si>
  <si>
    <t>7516</t>
  </si>
  <si>
    <t>Kohnan Shoji Co. Ltd.</t>
  </si>
  <si>
    <t>GIII</t>
  </si>
  <si>
    <t>G-III Apparel Group Ltd.</t>
  </si>
  <si>
    <t>PNT</t>
  </si>
  <si>
    <t>Point Biopharma Global Inc.</t>
  </si>
  <si>
    <t>AVPT</t>
  </si>
  <si>
    <t>AvePoint Inc.</t>
  </si>
  <si>
    <t>8975</t>
  </si>
  <si>
    <t>Ichigo Office REIT Investment Corp.</t>
  </si>
  <si>
    <t>OIS</t>
  </si>
  <si>
    <t>Oil States International Inc.</t>
  </si>
  <si>
    <t>SHED</t>
  </si>
  <si>
    <t>Urban Logistics REIT plc</t>
  </si>
  <si>
    <t>PetMed Express Inc.</t>
  </si>
  <si>
    <t>5CV</t>
  </si>
  <si>
    <t>CureVac NV</t>
  </si>
  <si>
    <t>8130</t>
  </si>
  <si>
    <t>Sangetsu Corp.</t>
  </si>
  <si>
    <t>LWLG</t>
  </si>
  <si>
    <t>Lightwave Logic Inc.</t>
  </si>
  <si>
    <t>UHT</t>
  </si>
  <si>
    <t>Universal Health Realty Income Trust</t>
  </si>
  <si>
    <t>RAPT</t>
  </si>
  <si>
    <t>RAPT Therapeutics Inc.</t>
  </si>
  <si>
    <t>PEAB B</t>
  </si>
  <si>
    <t>Peab AB</t>
  </si>
  <si>
    <t>SXC</t>
  </si>
  <si>
    <t>SunCoke Energy Inc.</t>
  </si>
  <si>
    <t>NOLA B</t>
  </si>
  <si>
    <t>Nolato AB</t>
  </si>
  <si>
    <t>NCC B</t>
  </si>
  <si>
    <t>NCC AB</t>
  </si>
  <si>
    <t>AYA</t>
  </si>
  <si>
    <t>Aya Gold &amp; Silver Inc.</t>
  </si>
  <si>
    <t>ELK</t>
  </si>
  <si>
    <t>Elkem ASA</t>
  </si>
  <si>
    <t>JSG</t>
  </si>
  <si>
    <t>Johnson Service Group plc</t>
  </si>
  <si>
    <t>Air New Zealand Ltd.</t>
  </si>
  <si>
    <t>VVI</t>
  </si>
  <si>
    <t>Viad Corp.</t>
  </si>
  <si>
    <t>LXU</t>
  </si>
  <si>
    <t>LSB Industries Inc.</t>
  </si>
  <si>
    <t>DOMO</t>
  </si>
  <si>
    <t>Domo Inc.</t>
  </si>
  <si>
    <t>XMTR</t>
  </si>
  <si>
    <t>Xometry Inc.</t>
  </si>
  <si>
    <t>HCAT</t>
  </si>
  <si>
    <t>Health Catalyst Inc.</t>
  </si>
  <si>
    <t>7740</t>
  </si>
  <si>
    <t>Tamron Co. Ltd.</t>
  </si>
  <si>
    <t>T Hasegawa Co. Ltd.</t>
  </si>
  <si>
    <t>4816</t>
  </si>
  <si>
    <t>Toei Animation Co. Ltd.</t>
  </si>
  <si>
    <t>DESN</t>
  </si>
  <si>
    <t>Dottikon Es Holding AG</t>
  </si>
  <si>
    <t>EGHT</t>
  </si>
  <si>
    <t>8x8 Inc.</t>
  </si>
  <si>
    <t>ETD</t>
  </si>
  <si>
    <t>Ethan Allen Interiors Inc.</t>
  </si>
  <si>
    <t>8367</t>
  </si>
  <si>
    <t>Nanto Bank Ltd.</t>
  </si>
  <si>
    <t>4180</t>
  </si>
  <si>
    <t>Appier Group Inc.</t>
  </si>
  <si>
    <t>AO.</t>
  </si>
  <si>
    <t>AO World plc</t>
  </si>
  <si>
    <t>NNOX</t>
  </si>
  <si>
    <t>Nano-X Imaging Ltd.</t>
  </si>
  <si>
    <t>VVX</t>
  </si>
  <si>
    <t>V2X Inc.</t>
  </si>
  <si>
    <t>3668</t>
  </si>
  <si>
    <t>COLOPL Inc.</t>
  </si>
  <si>
    <t>8515</t>
  </si>
  <si>
    <t>Aiful Corp.</t>
  </si>
  <si>
    <t>4044</t>
  </si>
  <si>
    <t>Central Glass Co. Ltd.</t>
  </si>
  <si>
    <t>3591</t>
  </si>
  <si>
    <t>Wacoal Holdings Corp.</t>
  </si>
  <si>
    <t>HCI</t>
  </si>
  <si>
    <t>HCI Group Inc.</t>
  </si>
  <si>
    <t>SPNT</t>
  </si>
  <si>
    <t>SiriusPoint Ltd.</t>
  </si>
  <si>
    <t>Aker Carbon Capture ASA</t>
  </si>
  <si>
    <t>4849</t>
  </si>
  <si>
    <t>en Japan Inc.</t>
  </si>
  <si>
    <t>1415</t>
  </si>
  <si>
    <t>Cowell e Holdings Inc.</t>
  </si>
  <si>
    <t>KMP.UN</t>
  </si>
  <si>
    <t>Killam Apartment Real Estate Investment Trust</t>
  </si>
  <si>
    <t>UBXN</t>
  </si>
  <si>
    <t>u-blox Holding AG</t>
  </si>
  <si>
    <t>BMRC</t>
  </si>
  <si>
    <t>Bank of Marin Bancorp</t>
  </si>
  <si>
    <t>1979</t>
  </si>
  <si>
    <t>Taikisha Ltd.</t>
  </si>
  <si>
    <t>MTTR</t>
  </si>
  <si>
    <t>Matterport Inc.</t>
  </si>
  <si>
    <t>JST</t>
  </si>
  <si>
    <t>JOST Werke SE</t>
  </si>
  <si>
    <t>9678</t>
  </si>
  <si>
    <t>Kanamoto Co. Ltd.</t>
  </si>
  <si>
    <t>SII</t>
  </si>
  <si>
    <t>Sprott Inc.</t>
  </si>
  <si>
    <t>BJRI</t>
  </si>
  <si>
    <t>BJ's Restaurants Inc.</t>
  </si>
  <si>
    <t>PLC</t>
  </si>
  <si>
    <t>Park Lawn Corp.</t>
  </si>
  <si>
    <t>VLTSA</t>
  </si>
  <si>
    <t>Voltalia SA</t>
  </si>
  <si>
    <t>GLJ</t>
  </si>
  <si>
    <t>GRENKE AG</t>
  </si>
  <si>
    <t>Webuild SPA</t>
  </si>
  <si>
    <t>8977</t>
  </si>
  <si>
    <t>Hankyu Hanshin REIT Inc.</t>
  </si>
  <si>
    <t>3110</t>
  </si>
  <si>
    <t>Nitto Boseki Co. Ltd.</t>
  </si>
  <si>
    <t>HYQ</t>
  </si>
  <si>
    <t>Hypoport SE</t>
  </si>
  <si>
    <t>6407</t>
  </si>
  <si>
    <t>CKD Corp.</t>
  </si>
  <si>
    <t>TYMN</t>
  </si>
  <si>
    <t>Tyman plc</t>
  </si>
  <si>
    <t>DANR</t>
  </si>
  <si>
    <t>Danieli &amp; C Officine Meccaniche SPA</t>
  </si>
  <si>
    <t>KCO</t>
  </si>
  <si>
    <t>Kloeckner &amp; Co. SE</t>
  </si>
  <si>
    <t>ATRI</t>
  </si>
  <si>
    <t>Atrion Corp.</t>
  </si>
  <si>
    <t>SPNS</t>
  </si>
  <si>
    <t>Sapiens International Corp. NV</t>
  </si>
  <si>
    <t>EQTL</t>
  </si>
  <si>
    <t>Equital Ltd.</t>
  </si>
  <si>
    <t>PZC</t>
  </si>
  <si>
    <t>PZ Cussons plc</t>
  </si>
  <si>
    <t>NGD</t>
  </si>
  <si>
    <t>New Gold Inc.</t>
  </si>
  <si>
    <t>PGS</t>
  </si>
  <si>
    <t>PGS ASA</t>
  </si>
  <si>
    <t>ZV</t>
  </si>
  <si>
    <t>Zignago Vetro SPA</t>
  </si>
  <si>
    <t>AHH</t>
  </si>
  <si>
    <t>Armada Hoffler Properties Inc.</t>
  </si>
  <si>
    <t>6866</t>
  </si>
  <si>
    <t>Hioki EE Corp.</t>
  </si>
  <si>
    <t>CTBI</t>
  </si>
  <si>
    <t>Community Trust Bancorp Inc.</t>
  </si>
  <si>
    <t>NEWA B</t>
  </si>
  <si>
    <t>New Wave Group AB</t>
  </si>
  <si>
    <t>HZO</t>
  </si>
  <si>
    <t>MarineMax Inc.</t>
  </si>
  <si>
    <t>8366</t>
  </si>
  <si>
    <t>Shiga Bank Ltd.</t>
  </si>
  <si>
    <t>3468</t>
  </si>
  <si>
    <t>Star Asia Investment Corp.</t>
  </si>
  <si>
    <t>9069</t>
  </si>
  <si>
    <t>Senko Group Holdings Co. Ltd.</t>
  </si>
  <si>
    <t>NA9</t>
  </si>
  <si>
    <t>Nagarro SE</t>
  </si>
  <si>
    <t>9412</t>
  </si>
  <si>
    <t>SKY Perfect JSAT Holdings Inc.</t>
  </si>
  <si>
    <t>TCL.A</t>
  </si>
  <si>
    <t>Transcontinental Inc.</t>
  </si>
  <si>
    <t>NFI</t>
  </si>
  <si>
    <t>NFI Group Inc.</t>
  </si>
  <si>
    <t>NNDM</t>
  </si>
  <si>
    <t>Nano Dimension Ltd.</t>
  </si>
  <si>
    <t>IPX</t>
  </si>
  <si>
    <t>Impax Asset Management Group plc</t>
  </si>
  <si>
    <t>3856</t>
  </si>
  <si>
    <t>Abalance Corp.</t>
  </si>
  <si>
    <t>SQZ</t>
  </si>
  <si>
    <t>Serica Energy plc</t>
  </si>
  <si>
    <t>HY</t>
  </si>
  <si>
    <t>Hyster-Yale Materials Handling Inc.</t>
  </si>
  <si>
    <t>GDRX</t>
  </si>
  <si>
    <t>GoodRx Holdings Inc.</t>
  </si>
  <si>
    <t>9404</t>
  </si>
  <si>
    <t>Nippon Television Holdings Inc.</t>
  </si>
  <si>
    <t>3476</t>
  </si>
  <si>
    <t>Mirai Corp.</t>
  </si>
  <si>
    <t>MTG B</t>
  </si>
  <si>
    <t>Modern Times Group MTG AB</t>
  </si>
  <si>
    <t>SATS</t>
  </si>
  <si>
    <t>EchoStar Corp.</t>
  </si>
  <si>
    <t>DCGO</t>
  </si>
  <si>
    <t>DocGo Inc.</t>
  </si>
  <si>
    <t>MCBS</t>
  </si>
  <si>
    <t>Metrocity Bankshares Inc.</t>
  </si>
  <si>
    <t>NXGN</t>
  </si>
  <si>
    <t>NextGen Healthcare Inc.</t>
  </si>
  <si>
    <t>9075</t>
  </si>
  <si>
    <t>Fukuyama Transporting Co. Ltd.</t>
  </si>
  <si>
    <t>2979</t>
  </si>
  <si>
    <t>SOSiLA Logistics REIT Inc.</t>
  </si>
  <si>
    <t>PFC</t>
  </si>
  <si>
    <t>Premier Financial Corp.</t>
  </si>
  <si>
    <t>6727</t>
  </si>
  <si>
    <t>Wacom Co. Ltd.</t>
  </si>
  <si>
    <t>CAS</t>
  </si>
  <si>
    <t>Cascades Inc.</t>
  </si>
  <si>
    <t>9882</t>
  </si>
  <si>
    <t>Yellow Hat Ltd.</t>
  </si>
  <si>
    <t>HFWA</t>
  </si>
  <si>
    <t>Heritage Financial Corp./WA</t>
  </si>
  <si>
    <t>AMRK</t>
  </si>
  <si>
    <t>A-Mark Precious Metals Inc.</t>
  </si>
  <si>
    <t>MBIN</t>
  </si>
  <si>
    <t>Merchants Bancorp/IN</t>
  </si>
  <si>
    <t>8584</t>
  </si>
  <si>
    <t>Jaccs Co. Ltd.</t>
  </si>
  <si>
    <t>1941</t>
  </si>
  <si>
    <t>Chudenko Corp.</t>
  </si>
  <si>
    <t>TRMD A</t>
  </si>
  <si>
    <t>TORM plc</t>
  </si>
  <si>
    <t>1861</t>
  </si>
  <si>
    <t>Kumagai Gumi Co. Ltd.</t>
  </si>
  <si>
    <t>NABL</t>
  </si>
  <si>
    <t>N-able Inc.</t>
  </si>
  <si>
    <t>558</t>
  </si>
  <si>
    <t>UMS Holdings Ltd.</t>
  </si>
  <si>
    <t>SCS</t>
  </si>
  <si>
    <t>Steelcase Inc.</t>
  </si>
  <si>
    <t>CNOB</t>
  </si>
  <si>
    <t>ConnectOne Bancorp Inc.</t>
  </si>
  <si>
    <t>BBSI</t>
  </si>
  <si>
    <t>Barrett Business Services Inc.</t>
  </si>
  <si>
    <t>CREI</t>
  </si>
  <si>
    <t>Custodian Property Income Reit plc</t>
  </si>
  <si>
    <t>CJ</t>
  </si>
  <si>
    <t>Cardinal Energy Ltd.</t>
  </si>
  <si>
    <t>KOP</t>
  </si>
  <si>
    <t>Koppers Holdings Inc.</t>
  </si>
  <si>
    <t>7943</t>
  </si>
  <si>
    <t>Nichiha Corp.</t>
  </si>
  <si>
    <t>BAG</t>
  </si>
  <si>
    <t>AG Barr plc</t>
  </si>
  <si>
    <t>SUS</t>
  </si>
  <si>
    <t>Surgical Science Sweden AB</t>
  </si>
  <si>
    <t>3244</t>
  </si>
  <si>
    <t>SAMTY Co. Ltd.</t>
  </si>
  <si>
    <t>ZZZ</t>
  </si>
  <si>
    <t>Sleep Country Canada Holdings Inc.</t>
  </si>
  <si>
    <t>IIA</t>
  </si>
  <si>
    <t>IMMOFINANZ AG</t>
  </si>
  <si>
    <t>ATUS</t>
  </si>
  <si>
    <t>Altice USA Inc.</t>
  </si>
  <si>
    <t>PROK</t>
  </si>
  <si>
    <t>ProKidney Corp.</t>
  </si>
  <si>
    <t>IMXI</t>
  </si>
  <si>
    <t>International Money Express Inc.</t>
  </si>
  <si>
    <t>THRY</t>
  </si>
  <si>
    <t>Thryv Holdings Inc.</t>
  </si>
  <si>
    <t>AAD</t>
  </si>
  <si>
    <t>Amadeus Fire AG</t>
  </si>
  <si>
    <t>CHUY</t>
  </si>
  <si>
    <t>Chuy's Holdings Inc.</t>
  </si>
  <si>
    <t>GSBC</t>
  </si>
  <si>
    <t>Great Southern Bancorp Inc.</t>
  </si>
  <si>
    <t>WOOF</t>
  </si>
  <si>
    <t>Petco Health &amp; Wellness Co. Inc.</t>
  </si>
  <si>
    <t>GDYN</t>
  </si>
  <si>
    <t>Grid Dynamics Holdings Inc.</t>
  </si>
  <si>
    <t>ESMT</t>
  </si>
  <si>
    <t>EngageSmart Inc.</t>
  </si>
  <si>
    <t>FRG</t>
  </si>
  <si>
    <t>Franchise Group Inc.</t>
  </si>
  <si>
    <t>UBA</t>
  </si>
  <si>
    <t>Urstadt Biddle Properties Inc.</t>
  </si>
  <si>
    <t>7412</t>
  </si>
  <si>
    <t>Atom Corp.</t>
  </si>
  <si>
    <t>7611</t>
  </si>
  <si>
    <t>Hiday Hidaka Corp.</t>
  </si>
  <si>
    <t>4985</t>
  </si>
  <si>
    <t>Earth Corp.</t>
  </si>
  <si>
    <t>6323</t>
  </si>
  <si>
    <t>Rorze Corp.</t>
  </si>
  <si>
    <t>AOSL</t>
  </si>
  <si>
    <t>Alpha &amp; Omega Semiconductor Ltd.</t>
  </si>
  <si>
    <t>ORL</t>
  </si>
  <si>
    <t>Oil Refineries Ltd.</t>
  </si>
  <si>
    <t>LTH</t>
  </si>
  <si>
    <t>Life Time Group Holdings Inc.</t>
  </si>
  <si>
    <t>BALY</t>
  </si>
  <si>
    <t>Bally's Corp.</t>
  </si>
  <si>
    <t>7148</t>
  </si>
  <si>
    <t>Financial Partners Group Co. Ltd.</t>
  </si>
  <si>
    <t>NXI</t>
  </si>
  <si>
    <t>Nexity SA</t>
  </si>
  <si>
    <t>LDA</t>
  </si>
  <si>
    <t>Linea Directa Aseguradora SA Cia de Seguros y Reaseguros</t>
  </si>
  <si>
    <t>AFM</t>
  </si>
  <si>
    <t>Alpha Financial Markets Consulting plc</t>
  </si>
  <si>
    <t>UPR</t>
  </si>
  <si>
    <t>Uniphar plc</t>
  </si>
  <si>
    <t>AMTB</t>
  </si>
  <si>
    <t>Amerant Bancorp Inc.</t>
  </si>
  <si>
    <t>WAWI</t>
  </si>
  <si>
    <t>Wallenius Wilhelmsen ASA</t>
  </si>
  <si>
    <t>Converge Technology Solutions Corp.</t>
  </si>
  <si>
    <t>FDMT</t>
  </si>
  <si>
    <t>4D Molecular Therapeutics Inc.</t>
  </si>
  <si>
    <t>GMRE</t>
  </si>
  <si>
    <t>Global Medical REIT Inc.</t>
  </si>
  <si>
    <t>4626</t>
  </si>
  <si>
    <t>Taiyo Holdings Co. Ltd.</t>
  </si>
  <si>
    <t>NS Solutions Corp.</t>
  </si>
  <si>
    <t>AMLX</t>
  </si>
  <si>
    <t>Amylyx Pharmaceuticals Inc.</t>
  </si>
  <si>
    <t>KE</t>
  </si>
  <si>
    <t>Kimball Electronics Inc.</t>
  </si>
  <si>
    <t>3933</t>
  </si>
  <si>
    <t>United Laboratories International Holdings Ltd.</t>
  </si>
  <si>
    <t>EHAB</t>
  </si>
  <si>
    <t>Enhabit Inc.</t>
  </si>
  <si>
    <t>KAMBI</t>
  </si>
  <si>
    <t>Kambi Group plc</t>
  </si>
  <si>
    <t>Mobico Group plc</t>
  </si>
  <si>
    <t>BIGC</t>
  </si>
  <si>
    <t>BigCommerce Holdings Inc.</t>
  </si>
  <si>
    <t>SCF</t>
  </si>
  <si>
    <t>Salcef Group SPA</t>
  </si>
  <si>
    <t>RPAY</t>
  </si>
  <si>
    <t>Repay Holdings Corp.</t>
  </si>
  <si>
    <t>TBPH</t>
  </si>
  <si>
    <t>Theravance Biopharma Inc.</t>
  </si>
  <si>
    <t>799</t>
  </si>
  <si>
    <t>IGG Inc.</t>
  </si>
  <si>
    <t>GROW</t>
  </si>
  <si>
    <t>Molten Ventures plc</t>
  </si>
  <si>
    <t>5911</t>
  </si>
  <si>
    <t>Yokogawa Bridge Holdings Corp.</t>
  </si>
  <si>
    <t>1U1</t>
  </si>
  <si>
    <t>1&amp;1 AG</t>
  </si>
  <si>
    <t>6619</t>
  </si>
  <si>
    <t>W-Scope Corp.</t>
  </si>
  <si>
    <t>NOEJ</t>
  </si>
  <si>
    <t>Norma Group SE</t>
  </si>
  <si>
    <t>SBO</t>
  </si>
  <si>
    <t>Schoeller-Bleckmann Oilfield Equipment AG</t>
  </si>
  <si>
    <t>SUSE</t>
  </si>
  <si>
    <t>SUSE SA</t>
  </si>
  <si>
    <t>IPO</t>
  </si>
  <si>
    <t>IP Group plc</t>
  </si>
  <si>
    <t>BILI A</t>
  </si>
  <si>
    <t>Bilia AB</t>
  </si>
  <si>
    <t>OSBC</t>
  </si>
  <si>
    <t>Old Second Bancorp Inc.</t>
  </si>
  <si>
    <t>ORON</t>
  </si>
  <si>
    <t>Orior AG</t>
  </si>
  <si>
    <t>ELG</t>
  </si>
  <si>
    <t>Elmos Semiconductor SE</t>
  </si>
  <si>
    <t>UVSP</t>
  </si>
  <si>
    <t>Univest Financial Corp.</t>
  </si>
  <si>
    <t>6804</t>
  </si>
  <si>
    <t>Hosiden Corp.</t>
  </si>
  <si>
    <t>Maytronics Ltd.</t>
  </si>
  <si>
    <t>BUFAB</t>
  </si>
  <si>
    <t>Bufab AB</t>
  </si>
  <si>
    <t>TROAX</t>
  </si>
  <si>
    <t>Troax Group AB</t>
  </si>
  <si>
    <t>Next 15 Group plc</t>
  </si>
  <si>
    <t>AND</t>
  </si>
  <si>
    <t>Andlauer Healthcare Group Inc.</t>
  </si>
  <si>
    <t>NAS</t>
  </si>
  <si>
    <t>Norwegian Air Shuttle ASA</t>
  </si>
  <si>
    <t>CHS</t>
  </si>
  <si>
    <t>Chico's FAS Inc.</t>
  </si>
  <si>
    <t>FLGT</t>
  </si>
  <si>
    <t>Fulgent Genetics Inc.</t>
  </si>
  <si>
    <t>PTNR</t>
  </si>
  <si>
    <t>Partner Communications Co. Ltd.</t>
  </si>
  <si>
    <t>USNA</t>
  </si>
  <si>
    <t>USANA Health Sciences Inc.</t>
  </si>
  <si>
    <t>SNI</t>
  </si>
  <si>
    <t>Stolt-Nielsen Ltd.</t>
  </si>
  <si>
    <t>NAPA</t>
  </si>
  <si>
    <t>Duckhorn Portfolio Inc.</t>
  </si>
  <si>
    <t>BCPT</t>
  </si>
  <si>
    <t>Balanced Commercial Property Trust Ltd.</t>
  </si>
  <si>
    <t>2270</t>
  </si>
  <si>
    <t>Megmilk Snow Brand Co. Ltd.</t>
  </si>
  <si>
    <t>SMRT</t>
  </si>
  <si>
    <t>SmartRent Inc.</t>
  </si>
  <si>
    <t>9603</t>
  </si>
  <si>
    <t>HIS Co. Ltd.</t>
  </si>
  <si>
    <t>SCSC</t>
  </si>
  <si>
    <t>ScanSource Inc.</t>
  </si>
  <si>
    <t>HCCI</t>
  </si>
  <si>
    <t>Heritage-Crystal Clean Inc.</t>
  </si>
  <si>
    <t>8361</t>
  </si>
  <si>
    <t>Ogaki Kyoritsu Bank Ltd.</t>
  </si>
  <si>
    <t>DOCM</t>
  </si>
  <si>
    <t>DocMorris AG</t>
  </si>
  <si>
    <t>IBST</t>
  </si>
  <si>
    <t>Ibstock plc</t>
  </si>
  <si>
    <t>9401</t>
  </si>
  <si>
    <t>TBS Holdings Inc.</t>
  </si>
  <si>
    <t>HIBB</t>
  </si>
  <si>
    <t>Hibbett Inc.</t>
  </si>
  <si>
    <t>9746</t>
  </si>
  <si>
    <t>TKC Corp.</t>
  </si>
  <si>
    <t>ALKT</t>
  </si>
  <si>
    <t>Alkami Technology Inc.</t>
  </si>
  <si>
    <t>EVLV</t>
  </si>
  <si>
    <t>Evolv Technologies Holdings Inc.</t>
  </si>
  <si>
    <t>8097</t>
  </si>
  <si>
    <t>San-Ai Obbli Co. Ltd.</t>
  </si>
  <si>
    <t>SFOR</t>
  </si>
  <si>
    <t>S4 Capital plc</t>
  </si>
  <si>
    <t>FTK</t>
  </si>
  <si>
    <t>flatexDEGIRO AG</t>
  </si>
  <si>
    <t>CRNX</t>
  </si>
  <si>
    <t>Crinetics Pharmaceuticals Inc.</t>
  </si>
  <si>
    <t>CNDT</t>
  </si>
  <si>
    <t>Conduent Inc.</t>
  </si>
  <si>
    <t>Fox Wizel Ltd.</t>
  </si>
  <si>
    <t>SNBR</t>
  </si>
  <si>
    <t>Sleep Number Corp.</t>
  </si>
  <si>
    <t>AFN</t>
  </si>
  <si>
    <t>Ag Growth International Inc.</t>
  </si>
  <si>
    <t>2121</t>
  </si>
  <si>
    <t>MIXI Inc.</t>
  </si>
  <si>
    <t>GRC</t>
  </si>
  <si>
    <t>Gorman-Rupp Co.</t>
  </si>
  <si>
    <t>ESTE</t>
  </si>
  <si>
    <t>Earthstone Energy Inc.</t>
  </si>
  <si>
    <t>9974</t>
  </si>
  <si>
    <t>Belc Co. Ltd.</t>
  </si>
  <si>
    <t>BATRK</t>
  </si>
  <si>
    <t>HROW</t>
  </si>
  <si>
    <t>Harrow Health Inc.</t>
  </si>
  <si>
    <t>CWR</t>
  </si>
  <si>
    <t>Ceres Power Holdings plc</t>
  </si>
  <si>
    <t>WHA</t>
  </si>
  <si>
    <t>Wereldhave NV</t>
  </si>
  <si>
    <t>XFAB</t>
  </si>
  <si>
    <t>X-Fab Silicon Foundries SE</t>
  </si>
  <si>
    <t>VCTR</t>
  </si>
  <si>
    <t>Victory Capital Holdings Inc.</t>
  </si>
  <si>
    <t>SCOP</t>
  </si>
  <si>
    <t>Scope Metals Group Ltd.</t>
  </si>
  <si>
    <t>AKTIA</t>
  </si>
  <si>
    <t>Aktia Bank Oyj</t>
  </si>
  <si>
    <t>933</t>
  </si>
  <si>
    <t>Viva Goods Company Ltd.</t>
  </si>
  <si>
    <t>CCR</t>
  </si>
  <si>
    <t>C&amp;C Group plc</t>
  </si>
  <si>
    <t>ALEC</t>
  </si>
  <si>
    <t>Alector Inc.</t>
  </si>
  <si>
    <t>AGFB</t>
  </si>
  <si>
    <t>AGFA-Gevaert NV</t>
  </si>
  <si>
    <t>NPK</t>
  </si>
  <si>
    <t>National Presto Industries Inc.</t>
  </si>
  <si>
    <t>MCRB</t>
  </si>
  <si>
    <t>Seres Therapeutics Inc.</t>
  </si>
  <si>
    <t>CWC</t>
  </si>
  <si>
    <t>Cewe Stiftung &amp; Co. KGAA</t>
  </si>
  <si>
    <t>CCSI</t>
  </si>
  <si>
    <t>Consensus Cloud Solutions Inc.</t>
  </si>
  <si>
    <t>CCA</t>
  </si>
  <si>
    <t>Cogeco Communications Inc.</t>
  </si>
  <si>
    <t>CYH</t>
  </si>
  <si>
    <t>Community Health Systems Inc.</t>
  </si>
  <si>
    <t>AVD</t>
  </si>
  <si>
    <t>American Vanguard Corp.</t>
  </si>
  <si>
    <t>4975</t>
  </si>
  <si>
    <t>JCU Corp.</t>
  </si>
  <si>
    <t>SLP</t>
  </si>
  <si>
    <t>Simulations Plus Inc.</t>
  </si>
  <si>
    <t>Marlowe plc</t>
  </si>
  <si>
    <t>FLOW</t>
  </si>
  <si>
    <t>Flow Traders Ltd.</t>
  </si>
  <si>
    <t>3569</t>
  </si>
  <si>
    <t>Seiren Co. Ltd.</t>
  </si>
  <si>
    <t>PRSR</t>
  </si>
  <si>
    <t>PRS REIT plc</t>
  </si>
  <si>
    <t>Wickes Group plc</t>
  </si>
  <si>
    <t>ARBN</t>
  </si>
  <si>
    <t>Arbonia AG</t>
  </si>
  <si>
    <t>Credito Emiliano SPA</t>
  </si>
  <si>
    <t>2342</t>
  </si>
  <si>
    <t>Comba Telecom Systems Holdings Ltd.</t>
  </si>
  <si>
    <t>MLAB</t>
  </si>
  <si>
    <t>Mesa Laboratories Inc.</t>
  </si>
  <si>
    <t>8850</t>
  </si>
  <si>
    <t>Starts Corp. Inc.</t>
  </si>
  <si>
    <t>AUSS</t>
  </si>
  <si>
    <t>Austevoll Seafood ASA</t>
  </si>
  <si>
    <t>6995</t>
  </si>
  <si>
    <t>Tokai Rika Co. Ltd.</t>
  </si>
  <si>
    <t>ITRN</t>
  </si>
  <si>
    <t>Ituran Location and Control Ltd.</t>
  </si>
  <si>
    <t>2760</t>
  </si>
  <si>
    <t>Tokyo Electron Device Ltd.</t>
  </si>
  <si>
    <t>327</t>
  </si>
  <si>
    <t>PAX Global Technology Ltd.</t>
  </si>
  <si>
    <t>Vicat SA</t>
  </si>
  <si>
    <t>8155</t>
  </si>
  <si>
    <t>Mimasu Semiconductor Industry Co. Ltd.</t>
  </si>
  <si>
    <t>4996</t>
  </si>
  <si>
    <t>Kumiai Chemical Industry Co. Ltd.</t>
  </si>
  <si>
    <t>NFBK</t>
  </si>
  <si>
    <t>Northfield Bancorp Inc.</t>
  </si>
  <si>
    <t>LTG</t>
  </si>
  <si>
    <t>Learning Technologies Group plc</t>
  </si>
  <si>
    <t>TWKS</t>
  </si>
  <si>
    <t>Thoughtworks Holding Inc.</t>
  </si>
  <si>
    <t>ASTL</t>
  </si>
  <si>
    <t>Algoma Steel Group Inc.</t>
  </si>
  <si>
    <t>TWI</t>
  </si>
  <si>
    <t>Titan International Inc.</t>
  </si>
  <si>
    <t>TITN</t>
  </si>
  <si>
    <t>Titan Machinery Inc.</t>
  </si>
  <si>
    <t>CATC</t>
  </si>
  <si>
    <t>Cambridge Bancorp</t>
  </si>
  <si>
    <t>EB5</t>
  </si>
  <si>
    <t>First Resources Ltd.</t>
  </si>
  <si>
    <t>IMPN</t>
  </si>
  <si>
    <t>Implenia AG</t>
  </si>
  <si>
    <t>O5RU</t>
  </si>
  <si>
    <t>AIMS APAC REIT</t>
  </si>
  <si>
    <t>BVH</t>
  </si>
  <si>
    <t>Bluegreen Vacations Holding Corp.</t>
  </si>
  <si>
    <t>2815</t>
  </si>
  <si>
    <t>Ariake Japan Co. Ltd.</t>
  </si>
  <si>
    <t>RWI</t>
  </si>
  <si>
    <t>Renewi plc</t>
  </si>
  <si>
    <t>RATO B</t>
  </si>
  <si>
    <t>Ratos AB</t>
  </si>
  <si>
    <t>UWMC</t>
  </si>
  <si>
    <t>UWM Holdings Corp.</t>
  </si>
  <si>
    <t>MEDX</t>
  </si>
  <si>
    <t>Medmix AG</t>
  </si>
  <si>
    <t>8358</t>
  </si>
  <si>
    <t>Suruga Bank Ltd.</t>
  </si>
  <si>
    <t>6395</t>
  </si>
  <si>
    <t>Tadano Ltd.</t>
  </si>
  <si>
    <t>NVG</t>
  </si>
  <si>
    <t>Navigator Co. SA</t>
  </si>
  <si>
    <t>8616</t>
  </si>
  <si>
    <t>Tokai Tokyo Financial Holdings Inc.</t>
  </si>
  <si>
    <t>CCB</t>
  </si>
  <si>
    <t>Coastal Financial Corp./WA</t>
  </si>
  <si>
    <t>C Uyemura &amp; Co. Ltd.</t>
  </si>
  <si>
    <t>3962</t>
  </si>
  <si>
    <t>Change Holdings Inc.</t>
  </si>
  <si>
    <t>NGMS</t>
  </si>
  <si>
    <t>NEOGAMES SA</t>
  </si>
  <si>
    <t>6371</t>
  </si>
  <si>
    <t>Tsubakimoto Chain Co.</t>
  </si>
  <si>
    <t>FBMS</t>
  </si>
  <si>
    <t>First Bancshares Inc.</t>
  </si>
  <si>
    <t>Designer Brands Inc.</t>
  </si>
  <si>
    <t>INFA</t>
  </si>
  <si>
    <t>Informatica Inc.</t>
  </si>
  <si>
    <t>4095</t>
  </si>
  <si>
    <t>Nihon Parkerizing Co. Ltd.</t>
  </si>
  <si>
    <t>CLARI</t>
  </si>
  <si>
    <t>Clariane SE</t>
  </si>
  <si>
    <t>ANTIN</t>
  </si>
  <si>
    <t>Antin Infrastructure Partners SA</t>
  </si>
  <si>
    <t>XVIVO</t>
  </si>
  <si>
    <t>Xvivo Perfusion AB</t>
  </si>
  <si>
    <t>RECT</t>
  </si>
  <si>
    <t>Recticel SA</t>
  </si>
  <si>
    <t>KNSA</t>
  </si>
  <si>
    <t>Kiniksa Pharmaceuticals Ltd.</t>
  </si>
  <si>
    <t>FMNB</t>
  </si>
  <si>
    <t>Farmers National Banc Corp.</t>
  </si>
  <si>
    <t>EGY</t>
  </si>
  <si>
    <t>VAALCO Energy Inc.</t>
  </si>
  <si>
    <t>ZEHN</t>
  </si>
  <si>
    <t>Zehnder Group AG</t>
  </si>
  <si>
    <t>TIFS</t>
  </si>
  <si>
    <t>TI Fluid Systems plc</t>
  </si>
  <si>
    <t>SWBI</t>
  </si>
  <si>
    <t>Smith &amp; Wesson Brands Inc.</t>
  </si>
  <si>
    <t>8336</t>
  </si>
  <si>
    <t>Musashino Bank Ltd.</t>
  </si>
  <si>
    <t>CJT</t>
  </si>
  <si>
    <t>Cargojet Inc.</t>
  </si>
  <si>
    <t>MLNK</t>
  </si>
  <si>
    <t>MeridianLink Inc.</t>
  </si>
  <si>
    <t>PCTN</t>
  </si>
  <si>
    <t>Picton Property Income Ltd.</t>
  </si>
  <si>
    <t>Planet Labs PBC</t>
  </si>
  <si>
    <t>9511</t>
  </si>
  <si>
    <t>Okinawa Electric Power Co. Inc.</t>
  </si>
  <si>
    <t>INVZ</t>
  </si>
  <si>
    <t>Innoviz Technologies Ltd.</t>
  </si>
  <si>
    <t>TILE</t>
  </si>
  <si>
    <t>Interface Inc.</t>
  </si>
  <si>
    <t>8368</t>
  </si>
  <si>
    <t>Hyakugo Bank Ltd.</t>
  </si>
  <si>
    <t>Clearwater Paper Corp.</t>
  </si>
  <si>
    <t>FORTY</t>
  </si>
  <si>
    <t>Formula Systems 1985 Ltd.</t>
  </si>
  <si>
    <t>CAF</t>
  </si>
  <si>
    <t>Construcciones y Auxiliar de Ferrocarriles SA</t>
  </si>
  <si>
    <t>6651</t>
  </si>
  <si>
    <t>Nitto Kogyo Corp.</t>
  </si>
  <si>
    <t>INTRUM</t>
  </si>
  <si>
    <t>Intrum AB</t>
  </si>
  <si>
    <t>MTRX</t>
  </si>
  <si>
    <t>Matrix IT Ltd.</t>
  </si>
  <si>
    <t>Advanced Medical Solutions Group plc</t>
  </si>
  <si>
    <t>RNA</t>
  </si>
  <si>
    <t>Avidity Biosciences Inc.</t>
  </si>
  <si>
    <t>AWX</t>
  </si>
  <si>
    <t>AEM Holdings Ltd.</t>
  </si>
  <si>
    <t>SBGI</t>
  </si>
  <si>
    <t>Sinclair Inc.</t>
  </si>
  <si>
    <t>EAPI</t>
  </si>
  <si>
    <t>Euroapi SA</t>
  </si>
  <si>
    <t>ALM</t>
  </si>
  <si>
    <t>Almirall SA</t>
  </si>
  <si>
    <t>4212</t>
  </si>
  <si>
    <t>Sekisui Jushi Corp.</t>
  </si>
  <si>
    <t>9757</t>
  </si>
  <si>
    <t>Funai Soken Holdings Inc.</t>
  </si>
  <si>
    <t>BNRE</t>
  </si>
  <si>
    <t>3148</t>
  </si>
  <si>
    <t>Create SD Holdings Co. Ltd.</t>
  </si>
  <si>
    <t>EZPW</t>
  </si>
  <si>
    <t>EZCORP Inc.</t>
  </si>
  <si>
    <t>Vitesse Energy Inc.</t>
  </si>
  <si>
    <t>AORT</t>
  </si>
  <si>
    <t>Artivion Inc.</t>
  </si>
  <si>
    <t>5943</t>
  </si>
  <si>
    <t>Noritz Corp.</t>
  </si>
  <si>
    <t>DEZ</t>
  </si>
  <si>
    <t>Deutz AG</t>
  </si>
  <si>
    <t>Beneteau SA</t>
  </si>
  <si>
    <t>XPOF</t>
  </si>
  <si>
    <t>Xponential Fitness Inc.</t>
  </si>
  <si>
    <t>4432</t>
  </si>
  <si>
    <t>WingArc1st Inc.</t>
  </si>
  <si>
    <t>LFST</t>
  </si>
  <si>
    <t>LifeStance Health Group Inc.</t>
  </si>
  <si>
    <t>8050</t>
  </si>
  <si>
    <t>Seiko Group Corp.</t>
  </si>
  <si>
    <t>Crew Energy Inc.</t>
  </si>
  <si>
    <t>Spirit Airlines Inc.</t>
  </si>
  <si>
    <t>ENGCON B</t>
  </si>
  <si>
    <t>Engcon AB</t>
  </si>
  <si>
    <t>IIIN</t>
  </si>
  <si>
    <t>Insteel Industries Inc.</t>
  </si>
  <si>
    <t>IIP.UN</t>
  </si>
  <si>
    <t>InterRent Real Estate Investment Trust</t>
  </si>
  <si>
    <t>3738</t>
  </si>
  <si>
    <t>Vobile Group Ltd.</t>
  </si>
  <si>
    <t>YORW</t>
  </si>
  <si>
    <t>York Water Co.</t>
  </si>
  <si>
    <t>PACK</t>
  </si>
  <si>
    <t>Ranpak Holdings Corp.</t>
  </si>
  <si>
    <t>Alexander's Inc.</t>
  </si>
  <si>
    <t>OX2</t>
  </si>
  <si>
    <t>OX2 AB</t>
  </si>
  <si>
    <t>ELN</t>
  </si>
  <si>
    <t>El.En. SPA</t>
  </si>
  <si>
    <t>BELL</t>
  </si>
  <si>
    <t>Bell Food Group AG</t>
  </si>
  <si>
    <t>THFF</t>
  </si>
  <si>
    <t>First Financial Corp./IN</t>
  </si>
  <si>
    <t>HABA</t>
  </si>
  <si>
    <t>Hamborner REIT AG</t>
  </si>
  <si>
    <t>MDA</t>
  </si>
  <si>
    <t>MDA Ltd.</t>
  </si>
  <si>
    <t>KEN</t>
  </si>
  <si>
    <t>Kenon Holdings Ltd./Singapore</t>
  </si>
  <si>
    <t>RGNX</t>
  </si>
  <si>
    <t>REGENXBIO Inc.</t>
  </si>
  <si>
    <t>6036</t>
  </si>
  <si>
    <t>KeePer Technical Laboratory Co. Ltd.</t>
  </si>
  <si>
    <t>8698</t>
  </si>
  <si>
    <t>Monex Group Inc.</t>
  </si>
  <si>
    <t>CPSI</t>
  </si>
  <si>
    <t>Computer Programs and Systems Inc.</t>
  </si>
  <si>
    <t>CTY1S</t>
  </si>
  <si>
    <t>Citycon Oyj</t>
  </si>
  <si>
    <t>KURA</t>
  </si>
  <si>
    <t>Kura Oncology Inc.</t>
  </si>
  <si>
    <t>1961</t>
  </si>
  <si>
    <t>Sanki Engineering Co. Ltd.</t>
  </si>
  <si>
    <t>MGIC</t>
  </si>
  <si>
    <t>Magic Software Enterprises Ltd.</t>
  </si>
  <si>
    <t>BHB</t>
  </si>
  <si>
    <t>Bar Harbor Bankshares</t>
  </si>
  <si>
    <t>BETCO</t>
  </si>
  <si>
    <t>Better Collective A/S</t>
  </si>
  <si>
    <t>RBCAA</t>
  </si>
  <si>
    <t>Republic Bancorp Inc./KY</t>
  </si>
  <si>
    <t>ME</t>
  </si>
  <si>
    <t>23andMe Holding Co.</t>
  </si>
  <si>
    <t>8173</t>
  </si>
  <si>
    <t>Joshin Denki Co. Ltd.</t>
  </si>
  <si>
    <t>TARO</t>
  </si>
  <si>
    <t>Taro Pharmaceutical Industries Ltd.</t>
  </si>
  <si>
    <t>3222</t>
  </si>
  <si>
    <t>United Super Markets Holdings Inc.</t>
  </si>
  <si>
    <t>COCO</t>
  </si>
  <si>
    <t>Vita Coco Co. Inc.</t>
  </si>
  <si>
    <t>BAMNB</t>
  </si>
  <si>
    <t>Koninklijke BAM Groep NV</t>
  </si>
  <si>
    <t>FNAC</t>
  </si>
  <si>
    <t>Fnac Darty SA</t>
  </si>
  <si>
    <t>ILTY</t>
  </si>
  <si>
    <t>Illimity Bank SPA</t>
  </si>
  <si>
    <t>5988</t>
  </si>
  <si>
    <t>Piolax Inc.</t>
  </si>
  <si>
    <t>BKD</t>
  </si>
  <si>
    <t>Brookdale Senior Living Inc.</t>
  </si>
  <si>
    <t>PFV</t>
  </si>
  <si>
    <t>Pfeiffer Vacuum Technology AG</t>
  </si>
  <si>
    <t>BMEA</t>
  </si>
  <si>
    <t>Biomea Fusion Inc.</t>
  </si>
  <si>
    <t>CSV</t>
  </si>
  <si>
    <t>Carriage Services Inc.</t>
  </si>
  <si>
    <t>HONE</t>
  </si>
  <si>
    <t>HarborOne Bancorp Inc.</t>
  </si>
  <si>
    <t>YF8</t>
  </si>
  <si>
    <t>Yangzijiang Financial Holding Ltd.</t>
  </si>
  <si>
    <t>HTG</t>
  </si>
  <si>
    <t>Hunting plc</t>
  </si>
  <si>
    <t>CFB</t>
  </si>
  <si>
    <t>CrossFirst Bankshares Inc.</t>
  </si>
  <si>
    <t>VETN</t>
  </si>
  <si>
    <t>Vetropack Holding AG</t>
  </si>
  <si>
    <t>5930</t>
  </si>
  <si>
    <t>Bunka Shutter Co. Ltd.</t>
  </si>
  <si>
    <t>MYE</t>
  </si>
  <si>
    <t>Myers Industries Inc.</t>
  </si>
  <si>
    <t>EDIT</t>
  </si>
  <si>
    <t>Editas Medicine Inc.</t>
  </si>
  <si>
    <t>IHRT</t>
  </si>
  <si>
    <t>iHeartMedia Inc.</t>
  </si>
  <si>
    <t>AGX</t>
  </si>
  <si>
    <t>Argan Inc.</t>
  </si>
  <si>
    <t>ARQT</t>
  </si>
  <si>
    <t>Arcutis Biotherapeutics Inc.</t>
  </si>
  <si>
    <t>MGOR</t>
  </si>
  <si>
    <t>Mega Or Holdings Ltd.</t>
  </si>
  <si>
    <t>MOON</t>
  </si>
  <si>
    <t>Moonpig Group plc</t>
  </si>
  <si>
    <t>1926</t>
  </si>
  <si>
    <t>Raito Kogyo Co. Ltd.</t>
  </si>
  <si>
    <t>GVOLT</t>
  </si>
  <si>
    <t>Greenvolt-Energias Renovaveis SA</t>
  </si>
  <si>
    <t>1950</t>
  </si>
  <si>
    <t>Nippon Densetsu Kogyo Co. Ltd.</t>
  </si>
  <si>
    <t>PMZ.UN</t>
  </si>
  <si>
    <t>Primaris Real Estate Investment Trust</t>
  </si>
  <si>
    <t>8255</t>
  </si>
  <si>
    <t>Axial Retailing Inc.</t>
  </si>
  <si>
    <t>EKT</t>
  </si>
  <si>
    <t>Energiekontor AG</t>
  </si>
  <si>
    <t>PIA</t>
  </si>
  <si>
    <t>Piaggio &amp; C SPA</t>
  </si>
  <si>
    <t>DAWN</t>
  </si>
  <si>
    <t>Day One Biopharmaceuticals Inc.</t>
  </si>
  <si>
    <t>FTAL</t>
  </si>
  <si>
    <t>Fattal Holdings 1998 Ltd.</t>
  </si>
  <si>
    <t>MNTK</t>
  </si>
  <si>
    <t>Montauk Renewables Inc.</t>
  </si>
  <si>
    <t>GIC</t>
  </si>
  <si>
    <t>Global Industrial Co.</t>
  </si>
  <si>
    <t>ZYME</t>
  </si>
  <si>
    <t>Zymeworks Inc.</t>
  </si>
  <si>
    <t>Ensign Energy Services Inc.</t>
  </si>
  <si>
    <t>THRL</t>
  </si>
  <si>
    <t>Target Healthcare REIT plc</t>
  </si>
  <si>
    <t>6013</t>
  </si>
  <si>
    <t>Takuma Co. Ltd.</t>
  </si>
  <si>
    <t>ECN</t>
  </si>
  <si>
    <t>ECN Capital Corp.</t>
  </si>
  <si>
    <t>7906</t>
  </si>
  <si>
    <t>Yonex Co. Ltd.</t>
  </si>
  <si>
    <t>CGG</t>
  </si>
  <si>
    <t>CGG SA</t>
  </si>
  <si>
    <t>9119</t>
  </si>
  <si>
    <t>Iino Kaiun Kaisha Ltd.</t>
  </si>
  <si>
    <t>SMBC</t>
  </si>
  <si>
    <t>Southern Missouri Bancorp Inc.</t>
  </si>
  <si>
    <t>FCBC</t>
  </si>
  <si>
    <t>First Community Bankshares Inc.</t>
  </si>
  <si>
    <t>EE</t>
  </si>
  <si>
    <t>Excelerate Energy Inc.</t>
  </si>
  <si>
    <t>SL</t>
  </si>
  <si>
    <t>Sanlorenzo SpA/Ameglia</t>
  </si>
  <si>
    <t>USLM</t>
  </si>
  <si>
    <t>United States Lime &amp; Minerals Inc.</t>
  </si>
  <si>
    <t>1379</t>
  </si>
  <si>
    <t>Hokuto Corp.</t>
  </si>
  <si>
    <t>QNST</t>
  </si>
  <si>
    <t>QuinStreet Inc.</t>
  </si>
  <si>
    <t>DM</t>
  </si>
  <si>
    <t>Desktop Metal Inc.</t>
  </si>
  <si>
    <t>BFLY</t>
  </si>
  <si>
    <t>Butterfly Network Inc.</t>
  </si>
  <si>
    <t>3433</t>
  </si>
  <si>
    <t>Tocalo Co. Ltd.</t>
  </si>
  <si>
    <t>FPI</t>
  </si>
  <si>
    <t>Farmland Partners Inc.</t>
  </si>
  <si>
    <t>NSI</t>
  </si>
  <si>
    <t>NSI NV</t>
  </si>
  <si>
    <t>OABI</t>
  </si>
  <si>
    <t>OmniAb Inc.</t>
  </si>
  <si>
    <t>CANO</t>
  </si>
  <si>
    <t>Cano Health Inc.</t>
  </si>
  <si>
    <t>AMPL</t>
  </si>
  <si>
    <t>Amplitude Inc.</t>
  </si>
  <si>
    <t>DEQ</t>
  </si>
  <si>
    <t>Deutsche EuroShop AG</t>
  </si>
  <si>
    <t>ACE</t>
  </si>
  <si>
    <t>ACEA SPA</t>
  </si>
  <si>
    <t>OSPN</t>
  </si>
  <si>
    <t>OneSpan Inc.</t>
  </si>
  <si>
    <t>Dah Sing Banking Group Ltd.</t>
  </si>
  <si>
    <t>MODV</t>
  </si>
  <si>
    <t>ModivCare Inc.</t>
  </si>
  <si>
    <t>6914</t>
  </si>
  <si>
    <t>Optex Group Co. Ltd.</t>
  </si>
  <si>
    <t>7718</t>
  </si>
  <si>
    <t>Star Micronics Co. Ltd.</t>
  </si>
  <si>
    <t>8370</t>
  </si>
  <si>
    <t>Kiyo Bank Ltd.</t>
  </si>
  <si>
    <t>8609</t>
  </si>
  <si>
    <t>Okasan Securities Group Inc.</t>
  </si>
  <si>
    <t>SFIX</t>
  </si>
  <si>
    <t>Stitch Fix Inc.</t>
  </si>
  <si>
    <t>RXST</t>
  </si>
  <si>
    <t>RxSight Inc.</t>
  </si>
  <si>
    <t>TRST</t>
  </si>
  <si>
    <t>TrustCo Bank Corp. NY</t>
  </si>
  <si>
    <t>5703</t>
  </si>
  <si>
    <t>Nippon Light Metal Holdings Co. Ltd.</t>
  </si>
  <si>
    <t>PNE3</t>
  </si>
  <si>
    <t>PNE AG</t>
  </si>
  <si>
    <t>4373</t>
  </si>
  <si>
    <t>Simplex Holdings Inc.</t>
  </si>
  <si>
    <t>ZIL2</t>
  </si>
  <si>
    <t>ElringKlinger AG</t>
  </si>
  <si>
    <t>SKIS B</t>
  </si>
  <si>
    <t>SkiStar AB</t>
  </si>
  <si>
    <t>KNTK</t>
  </si>
  <si>
    <t>Kinetik Holdings Inc.</t>
  </si>
  <si>
    <t>KAMN</t>
  </si>
  <si>
    <t>Kaman Corp.</t>
  </si>
  <si>
    <t>7451</t>
  </si>
  <si>
    <t>Mitsubishi Shokuhin Co. Ltd.</t>
  </si>
  <si>
    <t>4676</t>
  </si>
  <si>
    <t>Fuji Media Holdings Inc.</t>
  </si>
  <si>
    <t>OVS</t>
  </si>
  <si>
    <t>OVS SPA</t>
  </si>
  <si>
    <t>9536</t>
  </si>
  <si>
    <t>Saibu Gas Holdings Co. Ltd.</t>
  </si>
  <si>
    <t>IRES</t>
  </si>
  <si>
    <t>Irish Residential Properties REIT plc</t>
  </si>
  <si>
    <t>2790</t>
  </si>
  <si>
    <t>Nafco Co. Ltd.</t>
  </si>
  <si>
    <t>AWE</t>
  </si>
  <si>
    <t>Alphawave IP Group plc</t>
  </si>
  <si>
    <t>VMEO</t>
  </si>
  <si>
    <t>Vimeo Inc.</t>
  </si>
  <si>
    <t>CGX</t>
  </si>
  <si>
    <t>Cineplex Inc.</t>
  </si>
  <si>
    <t>888</t>
  </si>
  <si>
    <t>888 Holdings plc</t>
  </si>
  <si>
    <t>GI</t>
  </si>
  <si>
    <t>1949</t>
  </si>
  <si>
    <t>Sumitomo Densetsu Co. Ltd.</t>
  </si>
  <si>
    <t>Warehouse Reit plc</t>
  </si>
  <si>
    <t>2004</t>
  </si>
  <si>
    <t>Showa Sangyo Co. Ltd.</t>
  </si>
  <si>
    <t>7817</t>
  </si>
  <si>
    <t>Paramount Bed Holdings Co. Ltd.</t>
  </si>
  <si>
    <t>HCKT</t>
  </si>
  <si>
    <t>Hackett Group Inc.</t>
  </si>
  <si>
    <t>4368</t>
  </si>
  <si>
    <t>Fuso Chemical Co. Ltd.</t>
  </si>
  <si>
    <t>WUW</t>
  </si>
  <si>
    <t>Wuestenrot &amp; Wuerttembergische AG</t>
  </si>
  <si>
    <t>OPDE</t>
  </si>
  <si>
    <t>Opdenergy Holdings SA</t>
  </si>
  <si>
    <t>NRC</t>
  </si>
  <si>
    <t>National Research Corp.</t>
  </si>
  <si>
    <t>KELYA</t>
  </si>
  <si>
    <t>Kelly Services Inc.</t>
  </si>
  <si>
    <t>LIND</t>
  </si>
  <si>
    <t>Lindblad Expeditions Holdings Inc.</t>
  </si>
  <si>
    <t>GNK</t>
  </si>
  <si>
    <t>Genco Shipping &amp; Trading Ltd.</t>
  </si>
  <si>
    <t>TOM2</t>
  </si>
  <si>
    <t>TomTom NV</t>
  </si>
  <si>
    <t>LASR</t>
  </si>
  <si>
    <t>nLight Inc.</t>
  </si>
  <si>
    <t>8140</t>
  </si>
  <si>
    <t>Ryosan Co. Ltd.</t>
  </si>
  <si>
    <t>AGTI</t>
  </si>
  <si>
    <t>Agiliti Inc.</t>
  </si>
  <si>
    <t>RES</t>
  </si>
  <si>
    <t>RPC Inc.</t>
  </si>
  <si>
    <t>TSE</t>
  </si>
  <si>
    <t>Trinseo plc</t>
  </si>
  <si>
    <t>2109</t>
  </si>
  <si>
    <t>Mitsui DM Sugar Holdings Co. Ltd.</t>
  </si>
  <si>
    <t>ADV</t>
  </si>
  <si>
    <t>Adtran Networks SE</t>
  </si>
  <si>
    <t>CLDT</t>
  </si>
  <si>
    <t>Chatham Lodging Trust</t>
  </si>
  <si>
    <t>MAIRE</t>
  </si>
  <si>
    <t>Maire Tecnimont SPA</t>
  </si>
  <si>
    <t>Shin Nippon Biomedical Laboratories Ltd.</t>
  </si>
  <si>
    <t>VCP</t>
  </si>
  <si>
    <t>Victoria plc</t>
  </si>
  <si>
    <t>ANIP</t>
  </si>
  <si>
    <t>ANI Pharmaceuticals Inc.</t>
  </si>
  <si>
    <t>MUSTI</t>
  </si>
  <si>
    <t>Musti Group Oyj</t>
  </si>
  <si>
    <t>IAS</t>
  </si>
  <si>
    <t>Integral Ad Science Holding Corp.</t>
  </si>
  <si>
    <t>ACRS</t>
  </si>
  <si>
    <t>Aclaris Therapeutics Inc.</t>
  </si>
  <si>
    <t>KIDS</t>
  </si>
  <si>
    <t>OrthoPediatrics Corp.</t>
  </si>
  <si>
    <t>CLFD</t>
  </si>
  <si>
    <t>Clearfield Inc.</t>
  </si>
  <si>
    <t>CALTX</t>
  </si>
  <si>
    <t>Calliditas Therapeutics AB</t>
  </si>
  <si>
    <t>RGP</t>
  </si>
  <si>
    <t>Resources Connection Inc.</t>
  </si>
  <si>
    <t>SANA</t>
  </si>
  <si>
    <t>Sana Biotechnology Inc.</t>
  </si>
  <si>
    <t>9936</t>
  </si>
  <si>
    <t>Ohsho Food Service Corp.</t>
  </si>
  <si>
    <t>7864</t>
  </si>
  <si>
    <t>Fuji Seal International Inc.</t>
  </si>
  <si>
    <t>ACEL</t>
  </si>
  <si>
    <t>Accel Entertainment Inc.</t>
  </si>
  <si>
    <t>BLBD</t>
  </si>
  <si>
    <t>Blue Bird Corp.</t>
  </si>
  <si>
    <t>PWP</t>
  </si>
  <si>
    <t>Perella Weinberg Partners</t>
  </si>
  <si>
    <t>BYW6</t>
  </si>
  <si>
    <t>BayWa AG</t>
  </si>
  <si>
    <t>AXGN</t>
  </si>
  <si>
    <t>Axogen Inc.</t>
  </si>
  <si>
    <t>AX.UN</t>
  </si>
  <si>
    <t>Artis Real Estate Investment Trust</t>
  </si>
  <si>
    <t>BASE</t>
  </si>
  <si>
    <t>Couchbase Inc.</t>
  </si>
  <si>
    <t>2492</t>
  </si>
  <si>
    <t>Infomart Corp.</t>
  </si>
  <si>
    <t>3636</t>
  </si>
  <si>
    <t>Mitsubishi Research Institute Inc.</t>
  </si>
  <si>
    <t>4534</t>
  </si>
  <si>
    <t>Mochida Pharmaceutical Co. Ltd.</t>
  </si>
  <si>
    <t>NWH.UN</t>
  </si>
  <si>
    <t>NorthWest Healthcare Properties Real Estate Investment Trust</t>
  </si>
  <si>
    <t>1890</t>
  </si>
  <si>
    <t>Toyo Construction Co. Ltd.</t>
  </si>
  <si>
    <t>STGW</t>
  </si>
  <si>
    <t>Stagwell Inc.</t>
  </si>
  <si>
    <t>Clear Channel Outdoor Holdings Inc.</t>
  </si>
  <si>
    <t>INWI</t>
  </si>
  <si>
    <t>Inwido AB</t>
  </si>
  <si>
    <t>BY</t>
  </si>
  <si>
    <t>Byline Bancorp Inc.</t>
  </si>
  <si>
    <t>BOO</t>
  </si>
  <si>
    <t>boohoo Group plc</t>
  </si>
  <si>
    <t>DXPE</t>
  </si>
  <si>
    <t>DXP Enterprises Inc./TX</t>
  </si>
  <si>
    <t>6183</t>
  </si>
  <si>
    <t>Bell System24 Holdings Inc.</t>
  </si>
  <si>
    <t>DLEA</t>
  </si>
  <si>
    <t>Delek Automotive Systems Ltd.</t>
  </si>
  <si>
    <t>AMWL</t>
  </si>
  <si>
    <t>American Well Corp.</t>
  </si>
  <si>
    <t>173</t>
  </si>
  <si>
    <t>K Wah International Holdings Ltd.</t>
  </si>
  <si>
    <t>NEXT</t>
  </si>
  <si>
    <t>NextDecade Corp.</t>
  </si>
  <si>
    <t>FC</t>
  </si>
  <si>
    <t>Franklin Covey Co.</t>
  </si>
  <si>
    <t>AROW</t>
  </si>
  <si>
    <t>Arrow Financial Corp.</t>
  </si>
  <si>
    <t>Gladstone Land Corp.</t>
  </si>
  <si>
    <t>SD</t>
  </si>
  <si>
    <t>SandRidge Energy Inc.</t>
  </si>
  <si>
    <t>9869</t>
  </si>
  <si>
    <t>Kato Sangyo Co. Ltd.</t>
  </si>
  <si>
    <t>9842</t>
  </si>
  <si>
    <t>ARCLANDS Corp.</t>
  </si>
  <si>
    <t>CDNA</t>
  </si>
  <si>
    <t>CareDx Inc.</t>
  </si>
  <si>
    <t>QURE</t>
  </si>
  <si>
    <t>uniQure NV</t>
  </si>
  <si>
    <t>BRY</t>
  </si>
  <si>
    <t>Berry Corp.</t>
  </si>
  <si>
    <t>9956</t>
  </si>
  <si>
    <t>Valor Holdings Co. Ltd.</t>
  </si>
  <si>
    <t>CBL</t>
  </si>
  <si>
    <t>CBL &amp; Associates Properties Inc.</t>
  </si>
  <si>
    <t>TRC</t>
  </si>
  <si>
    <t>Tejon Ranch Co.</t>
  </si>
  <si>
    <t>HAUTO</t>
  </si>
  <si>
    <t>Hoegh Autoliners ASA</t>
  </si>
  <si>
    <t>Q5T</t>
  </si>
  <si>
    <t>Far East Hospitality Trust</t>
  </si>
  <si>
    <t>SHOT</t>
  </si>
  <si>
    <t>Scandic Hotels Group AB</t>
  </si>
  <si>
    <t>TSP</t>
  </si>
  <si>
    <t>TuSimple Holdings Inc.</t>
  </si>
  <si>
    <t>990</t>
  </si>
  <si>
    <t>Theme International Holdings Ltd.</t>
  </si>
  <si>
    <t>CEVA</t>
  </si>
  <si>
    <t>CEVA Inc.</t>
  </si>
  <si>
    <t>GDI Integrated Facility Services Inc.</t>
  </si>
  <si>
    <t>LIO</t>
  </si>
  <si>
    <t>Liontrust Asset Management plc</t>
  </si>
  <si>
    <t>WRLD</t>
  </si>
  <si>
    <t>World Acceptance Corp.</t>
  </si>
  <si>
    <t>HAFC</t>
  </si>
  <si>
    <t>Hanmi Financial Corp.</t>
  </si>
  <si>
    <t>4820</t>
  </si>
  <si>
    <t>EM Systems Co. Ltd.</t>
  </si>
  <si>
    <t>EBF</t>
  </si>
  <si>
    <t>Ennis Inc.</t>
  </si>
  <si>
    <t>ALLK</t>
  </si>
  <si>
    <t>Allakos Inc.</t>
  </si>
  <si>
    <t>GLDD</t>
  </si>
  <si>
    <t>Great Lakes Dredge &amp; Dock Corp.</t>
  </si>
  <si>
    <t>COOR</t>
  </si>
  <si>
    <t>Coor Service Management Holding AB</t>
  </si>
  <si>
    <t>8133</t>
  </si>
  <si>
    <t>Itochu Enex Co. Ltd.</t>
  </si>
  <si>
    <t>FNA</t>
  </si>
  <si>
    <t>Paragon 28 Inc.</t>
  </si>
  <si>
    <t>COOK</t>
  </si>
  <si>
    <t>Traeger Inc.</t>
  </si>
  <si>
    <t>CENX</t>
  </si>
  <si>
    <t>Century Aluminum Co.</t>
  </si>
  <si>
    <t>HTBK</t>
  </si>
  <si>
    <t>Heritage Commerce Corp.</t>
  </si>
  <si>
    <t>4369</t>
  </si>
  <si>
    <t>Tri Chemical Laboratories Inc.</t>
  </si>
  <si>
    <t>KRR</t>
  </si>
  <si>
    <t>Karora Resources Inc.</t>
  </si>
  <si>
    <t>ACCO</t>
  </si>
  <si>
    <t>ACCO Brands Corp.</t>
  </si>
  <si>
    <t>HFD</t>
  </si>
  <si>
    <t>Halfords Group plc</t>
  </si>
  <si>
    <t>DSGR</t>
  </si>
  <si>
    <t>Distribution Solutions Group Inc.</t>
  </si>
  <si>
    <t>SThree plc</t>
  </si>
  <si>
    <t>FSBC</t>
  </si>
  <si>
    <t>Five Star Bancorp</t>
  </si>
  <si>
    <t>7242</t>
  </si>
  <si>
    <t>KYB Corp.</t>
  </si>
  <si>
    <t>DIOS</t>
  </si>
  <si>
    <t>Dios Fastigheter AB</t>
  </si>
  <si>
    <t>9873</t>
  </si>
  <si>
    <t>KFC Holdings Japan Ltd.</t>
  </si>
  <si>
    <t>Greencore Group plc</t>
  </si>
  <si>
    <t>6996</t>
  </si>
  <si>
    <t>Nichicon Corp.</t>
  </si>
  <si>
    <t>DGICA</t>
  </si>
  <si>
    <t>Donegal Group Inc.</t>
  </si>
  <si>
    <t>CNXN</t>
  </si>
  <si>
    <t>PC Connection Inc.</t>
  </si>
  <si>
    <t>DRW3</t>
  </si>
  <si>
    <t>Draegerwerk AG &amp; Co. KGaA</t>
  </si>
  <si>
    <t>3002</t>
  </si>
  <si>
    <t>Gunze Ltd.</t>
  </si>
  <si>
    <t>SECARE</t>
  </si>
  <si>
    <t>SwedenCare AB</t>
  </si>
  <si>
    <t>WASH</t>
  </si>
  <si>
    <t>Washington Trust Bancorp Inc.</t>
  </si>
  <si>
    <t>5032</t>
  </si>
  <si>
    <t>Anycolor Inc.</t>
  </si>
  <si>
    <t>SGL</t>
  </si>
  <si>
    <t>SGL Carbon SE</t>
  </si>
  <si>
    <t>SKYW</t>
  </si>
  <si>
    <t>SkyWest Inc.</t>
  </si>
  <si>
    <t>TF</t>
  </si>
  <si>
    <t>Timbercreek Financial Corp.</t>
  </si>
  <si>
    <t>9302</t>
  </si>
  <si>
    <t>Mitsui-Soko Holdings Co. Ltd.</t>
  </si>
  <si>
    <t>IHR</t>
  </si>
  <si>
    <t>Impact Healthcare Reit plc</t>
  </si>
  <si>
    <t>LNF</t>
  </si>
  <si>
    <t>Leon's Furniture Ltd.</t>
  </si>
  <si>
    <t>INBX</t>
  </si>
  <si>
    <t>Inhibrx Inc.</t>
  </si>
  <si>
    <t>KRNY</t>
  </si>
  <si>
    <t>Kearny Financial Corp./MD</t>
  </si>
  <si>
    <t>UKCM</t>
  </si>
  <si>
    <t>UK Commercial Property REIT Ltd.</t>
  </si>
  <si>
    <t>8160</t>
  </si>
  <si>
    <t>Kisoji Co. Ltd.</t>
  </si>
  <si>
    <t>Pharma Mar SA</t>
  </si>
  <si>
    <t>CRCT</t>
  </si>
  <si>
    <t>Cricut Inc.</t>
  </si>
  <si>
    <t>WIN</t>
  </si>
  <si>
    <t>Wincanton plc</t>
  </si>
  <si>
    <t>Canaccord Genuity Group Inc.</t>
  </si>
  <si>
    <t>BWO</t>
  </si>
  <si>
    <t>BW Offshore Ltd.</t>
  </si>
  <si>
    <t>4189</t>
  </si>
  <si>
    <t>KH Neochem Co. Ltd.</t>
  </si>
  <si>
    <t>8346</t>
  </si>
  <si>
    <t>Toho Bank Ltd.</t>
  </si>
  <si>
    <t>ITM</t>
  </si>
  <si>
    <t>ITM Power plc</t>
  </si>
  <si>
    <t>BNOR</t>
  </si>
  <si>
    <t>BLUENORD ASA</t>
  </si>
  <si>
    <t>9090</t>
  </si>
  <si>
    <t>AZ-COM MARUWA Holdings Inc.</t>
  </si>
  <si>
    <t>MDI</t>
  </si>
  <si>
    <t>Major Drilling Group International Inc.</t>
  </si>
  <si>
    <t>EXE</t>
  </si>
  <si>
    <t>Extendicare Inc.</t>
  </si>
  <si>
    <t>3593</t>
  </si>
  <si>
    <t>Hogy Medical Co. Ltd.</t>
  </si>
  <si>
    <t>MTW</t>
  </si>
  <si>
    <t>Manitowoc Co. Inc.</t>
  </si>
  <si>
    <t>6810</t>
  </si>
  <si>
    <t>Maxell Ltd.</t>
  </si>
  <si>
    <t>7157</t>
  </si>
  <si>
    <t>LIFENET INSURANCE CO</t>
  </si>
  <si>
    <t>7278</t>
  </si>
  <si>
    <t>Exedy Corp.</t>
  </si>
  <si>
    <t>AERO</t>
  </si>
  <si>
    <t>Montana Aerospace AG</t>
  </si>
  <si>
    <t>SBB B</t>
  </si>
  <si>
    <t>Samhallsbyggnadsbolaget i Norden AB</t>
  </si>
  <si>
    <t>SSP</t>
  </si>
  <si>
    <t>EW Scripps Co.</t>
  </si>
  <si>
    <t>SMBK</t>
  </si>
  <si>
    <t>SmartFinancial Inc.</t>
  </si>
  <si>
    <t>7593</t>
  </si>
  <si>
    <t>VT Holdings Co. Ltd.</t>
  </si>
  <si>
    <t>WTTR</t>
  </si>
  <si>
    <t>Select Water Solutions Inc.</t>
  </si>
  <si>
    <t>5727</t>
  </si>
  <si>
    <t>Toho Titanium Co. Ltd.</t>
  </si>
  <si>
    <t>WAVE</t>
  </si>
  <si>
    <t>Wavestone</t>
  </si>
  <si>
    <t>OBE</t>
  </si>
  <si>
    <t>Obsidian Energy Ltd.</t>
  </si>
  <si>
    <t>SLARL</t>
  </si>
  <si>
    <t>Sella Capital Real Estate Ltd.</t>
  </si>
  <si>
    <t>8276</t>
  </si>
  <si>
    <t>Heiwado Co. Ltd.</t>
  </si>
  <si>
    <t>6027</t>
  </si>
  <si>
    <t>Bengo4.com Inc.</t>
  </si>
  <si>
    <t>ULCC</t>
  </si>
  <si>
    <t>Frontier Group Holdings Inc.</t>
  </si>
  <si>
    <t>2146</t>
  </si>
  <si>
    <t>UT Group Co. Ltd.</t>
  </si>
  <si>
    <t>6999</t>
  </si>
  <si>
    <t>Koa Corp.</t>
  </si>
  <si>
    <t>8074</t>
  </si>
  <si>
    <t>Yuasa Trading Co. Ltd.</t>
  </si>
  <si>
    <t>BZH</t>
  </si>
  <si>
    <t>Beazer Homes USA Inc.</t>
  </si>
  <si>
    <t>Target Hospitality Corp.</t>
  </si>
  <si>
    <t>UFCS</t>
  </si>
  <si>
    <t>United Fire Group Inc.</t>
  </si>
  <si>
    <t>XPER</t>
  </si>
  <si>
    <t>Xperi Inc.</t>
  </si>
  <si>
    <t>CSTL</t>
  </si>
  <si>
    <t>Castle Biosciences Inc.</t>
  </si>
  <si>
    <t>7630</t>
  </si>
  <si>
    <t>Ichibanya Co. Ltd.</t>
  </si>
  <si>
    <t>MAX</t>
  </si>
  <si>
    <t>MediaAlpha Inc.</t>
  </si>
  <si>
    <t>MPCC</t>
  </si>
  <si>
    <t>MPC Container Ships ASA</t>
  </si>
  <si>
    <t>SOVO</t>
  </si>
  <si>
    <t>Sovos Brands Inc.</t>
  </si>
  <si>
    <t>6908</t>
  </si>
  <si>
    <t>Iriso Electronics Co. Ltd.</t>
  </si>
  <si>
    <t>DX</t>
  </si>
  <si>
    <t>Dynex Capital Inc.</t>
  </si>
  <si>
    <t>FWRG</t>
  </si>
  <si>
    <t>First Watch Restaurant Group Inc.</t>
  </si>
  <si>
    <t>7220</t>
  </si>
  <si>
    <t>Musashi Seimitsu Industry Co. Ltd.</t>
  </si>
  <si>
    <t>HVT</t>
  </si>
  <si>
    <t>Haverty Furniture Cos. Inc.</t>
  </si>
  <si>
    <t>3201</t>
  </si>
  <si>
    <t>Japan Wool Textile Co. Ltd.</t>
  </si>
  <si>
    <t>SOY</t>
  </si>
  <si>
    <t>SunOpta Inc.</t>
  </si>
  <si>
    <t>FD Technologies plc</t>
  </si>
  <si>
    <t>GGD</t>
  </si>
  <si>
    <t>GoGold Resources Inc.</t>
  </si>
  <si>
    <t>ATYM</t>
  </si>
  <si>
    <t>Atalaya Mining plc</t>
  </si>
  <si>
    <t>4046</t>
  </si>
  <si>
    <t>Osaka Soda Co. Ltd.</t>
  </si>
  <si>
    <t>INH</t>
  </si>
  <si>
    <t>Indus Holding AG</t>
  </si>
  <si>
    <t>EQBK</t>
  </si>
  <si>
    <t>Equity Bancshares Inc.</t>
  </si>
  <si>
    <t>7976</t>
  </si>
  <si>
    <t>Mitsubishi Pencil Co. Ltd.</t>
  </si>
  <si>
    <t>MOV</t>
  </si>
  <si>
    <t>Movado Group Inc.</t>
  </si>
  <si>
    <t>NRIX</t>
  </si>
  <si>
    <t>Nurix Therapeutics Inc.</t>
  </si>
  <si>
    <t>SHYF</t>
  </si>
  <si>
    <t>Shyft Group Inc.</t>
  </si>
  <si>
    <t>WSR</t>
  </si>
  <si>
    <t>Whitestone REIT</t>
  </si>
  <si>
    <t>FORT</t>
  </si>
  <si>
    <t>Forterra plc</t>
  </si>
  <si>
    <t>NTG</t>
  </si>
  <si>
    <t>NTG Nordic Transport Group A/S</t>
  </si>
  <si>
    <t>ORGN</t>
  </si>
  <si>
    <t>Origin Materials Inc.</t>
  </si>
  <si>
    <t>9436</t>
  </si>
  <si>
    <t>Okinawa Cellular Telephone Co.</t>
  </si>
  <si>
    <t>8771</t>
  </si>
  <si>
    <t>eGuarantee Inc.</t>
  </si>
  <si>
    <t>1885</t>
  </si>
  <si>
    <t>Toa Corp./Tokyo</t>
  </si>
  <si>
    <t>SNCY</t>
  </si>
  <si>
    <t>Sun Country Airlines Holdings Inc.</t>
  </si>
  <si>
    <t>SGU</t>
  </si>
  <si>
    <t>Star Group LP</t>
  </si>
  <si>
    <t>HSII</t>
  </si>
  <si>
    <t>Heidrick &amp; Struggles International Inc.</t>
  </si>
  <si>
    <t>INTO</t>
  </si>
  <si>
    <t>Intervest Offices &amp; Warehouses NV</t>
  </si>
  <si>
    <t>FEC</t>
  </si>
  <si>
    <t>Frontera Energy Corp.</t>
  </si>
  <si>
    <t>5310</t>
  </si>
  <si>
    <t>Toyo Tanso Co. Ltd.</t>
  </si>
  <si>
    <t>5975</t>
  </si>
  <si>
    <t>Topre Corp.</t>
  </si>
  <si>
    <t>CERS</t>
  </si>
  <si>
    <t>Cerus Corp.</t>
  </si>
  <si>
    <t>SEMR</t>
  </si>
  <si>
    <t>SEMrush Holdings Inc.</t>
  </si>
  <si>
    <t>WTI</t>
  </si>
  <si>
    <t>W&amp;T Offshore Inc.</t>
  </si>
  <si>
    <t>First National Financial Corp.</t>
  </si>
  <si>
    <t>5715</t>
  </si>
  <si>
    <t>Furukawa Co. Ltd.</t>
  </si>
  <si>
    <t>MMHD</t>
  </si>
  <si>
    <t>Menora Mivtachim Holdings Ltd.</t>
  </si>
  <si>
    <t>4569</t>
  </si>
  <si>
    <t>Kyorin Pharmaceutical Co. Ltd.</t>
  </si>
  <si>
    <t>6590</t>
  </si>
  <si>
    <t>Shibaura Mechatronics Corp.</t>
  </si>
  <si>
    <t>P40U</t>
  </si>
  <si>
    <t>Starhill Global REIT</t>
  </si>
  <si>
    <t>eDreams ODIGEO SA</t>
  </si>
  <si>
    <t>9997</t>
  </si>
  <si>
    <t>Belluna Co. Ltd.</t>
  </si>
  <si>
    <t>9552</t>
  </si>
  <si>
    <t>M&amp;A Research Institute Holdings Inc.</t>
  </si>
  <si>
    <t>EXFY</t>
  </si>
  <si>
    <t>Expensify Inc.</t>
  </si>
  <si>
    <t>7734</t>
  </si>
  <si>
    <t>Riken Keiki Co. Ltd.</t>
  </si>
  <si>
    <t>7965</t>
  </si>
  <si>
    <t>Zojirushi Corp.</t>
  </si>
  <si>
    <t>9037</t>
  </si>
  <si>
    <t>Hamakyorex Co. Ltd.</t>
  </si>
  <si>
    <t>SIA</t>
  </si>
  <si>
    <t>Sienna Senior Living Inc.</t>
  </si>
  <si>
    <t>IDT</t>
  </si>
  <si>
    <t>IDT Corp.</t>
  </si>
  <si>
    <t>Z25</t>
  </si>
  <si>
    <t>Yanlord Land Group Ltd.</t>
  </si>
  <si>
    <t>4547</t>
  </si>
  <si>
    <t>Kissei Pharmaceutical Co. Ltd.</t>
  </si>
  <si>
    <t>RICK</t>
  </si>
  <si>
    <t>RCI Hospitality Holdings Inc.</t>
  </si>
  <si>
    <t>Corticeira Amorim SGPS SA</t>
  </si>
  <si>
    <t>PAT</t>
  </si>
  <si>
    <t>PATRIZIA SE</t>
  </si>
  <si>
    <t>HOME</t>
  </si>
  <si>
    <t>Neinor Homes SA</t>
  </si>
  <si>
    <t>CLI</t>
  </si>
  <si>
    <t>CLS Holdings plc</t>
  </si>
  <si>
    <t>7915</t>
  </si>
  <si>
    <t>Nissha Co. Ltd.</t>
  </si>
  <si>
    <t>3290</t>
  </si>
  <si>
    <t>One REIT Inc.</t>
  </si>
  <si>
    <t>LUNG</t>
  </si>
  <si>
    <t>Pulmonx Corp.</t>
  </si>
  <si>
    <t>SPFI</t>
  </si>
  <si>
    <t>South Plains Financial Inc.</t>
  </si>
  <si>
    <t>HBNC</t>
  </si>
  <si>
    <t>Horizon Bancorp Inc./IN</t>
  </si>
  <si>
    <t>5451</t>
  </si>
  <si>
    <t>Yodogawa Steel Works Ltd.</t>
  </si>
  <si>
    <t>SMT</t>
  </si>
  <si>
    <t>Summit Real Estate Holdings Ltd.</t>
  </si>
  <si>
    <t>2292</t>
  </si>
  <si>
    <t>S Foods Inc.</t>
  </si>
  <si>
    <t>RMLI</t>
  </si>
  <si>
    <t>Rami Levy Chain Stores Hashikma Marketing 2006 Ltd.</t>
  </si>
  <si>
    <t>3708</t>
  </si>
  <si>
    <t>Tokushu Tokai Paper Co. Ltd.</t>
  </si>
  <si>
    <t>ILM1</t>
  </si>
  <si>
    <t>Medios AG</t>
  </si>
  <si>
    <t>1686</t>
  </si>
  <si>
    <t>SUNeVision Holdings Ltd.</t>
  </si>
  <si>
    <t>8566</t>
  </si>
  <si>
    <t>Ricoh Leasing Co. Ltd.</t>
  </si>
  <si>
    <t>7970</t>
  </si>
  <si>
    <t>Shin-Etsu Polymer Co. Ltd.</t>
  </si>
  <si>
    <t>8388</t>
  </si>
  <si>
    <t>Awa Bank Ltd.</t>
  </si>
  <si>
    <t>POLR</t>
  </si>
  <si>
    <t>Polar Capital Holdings plc</t>
  </si>
  <si>
    <t>DBAN</t>
  </si>
  <si>
    <t>Deutsche Beteiligungs AG</t>
  </si>
  <si>
    <t>5186</t>
  </si>
  <si>
    <t>Nitta Corp.</t>
  </si>
  <si>
    <t>AGEN</t>
  </si>
  <si>
    <t>Agenus Inc.</t>
  </si>
  <si>
    <t>7421</t>
  </si>
  <si>
    <t>Kappa Create Co. Ltd.</t>
  </si>
  <si>
    <t>LQDT</t>
  </si>
  <si>
    <t>Liquidity Services Inc.</t>
  </si>
  <si>
    <t>LGF.A</t>
  </si>
  <si>
    <t>TPE</t>
  </si>
  <si>
    <t>PVA TePla AG</t>
  </si>
  <si>
    <t>TLW</t>
  </si>
  <si>
    <t>Tullow Oil plc</t>
  </si>
  <si>
    <t>EGLE</t>
  </si>
  <si>
    <t>Eagle Bulk Shipping Inc.</t>
  </si>
  <si>
    <t>RECSI</t>
  </si>
  <si>
    <t>REC Silicon ASA</t>
  </si>
  <si>
    <t>HOM.UN</t>
  </si>
  <si>
    <t>BSR Real Estate Investment Trust</t>
  </si>
  <si>
    <t>AAN</t>
  </si>
  <si>
    <t>Aaron's Co. Inc.</t>
  </si>
  <si>
    <t>MERC</t>
  </si>
  <si>
    <t>Mercer International Inc.</t>
  </si>
  <si>
    <t>CAC</t>
  </si>
  <si>
    <t>Camden National Corp.</t>
  </si>
  <si>
    <t>DH</t>
  </si>
  <si>
    <t>Definitive Healthcare Corp.</t>
  </si>
  <si>
    <t>2337</t>
  </si>
  <si>
    <t>Ichigo Inc.</t>
  </si>
  <si>
    <t>6508</t>
  </si>
  <si>
    <t>Meidensha Corp.</t>
  </si>
  <si>
    <t>DNTL</t>
  </si>
  <si>
    <t>dentalcorp Holdings Ltd.</t>
  </si>
  <si>
    <t>ADENTRA Inc.</t>
  </si>
  <si>
    <t>ULH</t>
  </si>
  <si>
    <t>Universal Logistics Holdings Inc.</t>
  </si>
  <si>
    <t>SGY</t>
  </si>
  <si>
    <t>Surge Energy Inc.</t>
  </si>
  <si>
    <t>ERGO</t>
  </si>
  <si>
    <t>Ergomed plc</t>
  </si>
  <si>
    <t>YSN</t>
  </si>
  <si>
    <t>Secunet Security Networks AG</t>
  </si>
  <si>
    <t>MATAS</t>
  </si>
  <si>
    <t>Matas A/S</t>
  </si>
  <si>
    <t>4722</t>
  </si>
  <si>
    <t>Future Corp.</t>
  </si>
  <si>
    <t>1310</t>
  </si>
  <si>
    <t>HKBN Ltd.</t>
  </si>
  <si>
    <t>WEST</t>
  </si>
  <si>
    <t>Westrock Coffee Co.</t>
  </si>
  <si>
    <t>GPRO</t>
  </si>
  <si>
    <t>GoPro Inc.</t>
  </si>
  <si>
    <t>2695</t>
  </si>
  <si>
    <t>Kura Sushi Inc.</t>
  </si>
  <si>
    <t>ALGT</t>
  </si>
  <si>
    <t>Allegiant Travel Co.</t>
  </si>
  <si>
    <t>DCRU</t>
  </si>
  <si>
    <t>Digital Core REIT Management Pte Ltd.</t>
  </si>
  <si>
    <t>NSKOG</t>
  </si>
  <si>
    <t>Norske Skog ASA</t>
  </si>
  <si>
    <t>BPOST</t>
  </si>
  <si>
    <t>bpost SA</t>
  </si>
  <si>
    <t>4559</t>
  </si>
  <si>
    <t>ZERIA Pharmaceutical Co. Ltd.</t>
  </si>
  <si>
    <t>CASS</t>
  </si>
  <si>
    <t>Cass Information Systems Inc.</t>
  </si>
  <si>
    <t>AVO</t>
  </si>
  <si>
    <t>Mission Produce Inc.</t>
  </si>
  <si>
    <t>SYNT</t>
  </si>
  <si>
    <t>Synthomer plc</t>
  </si>
  <si>
    <t>CGY</t>
  </si>
  <si>
    <t>Calian Group Ltd.</t>
  </si>
  <si>
    <t>CRGY</t>
  </si>
  <si>
    <t>Crescent Energy Co.</t>
  </si>
  <si>
    <t>3492</t>
  </si>
  <si>
    <t>Takara Leben Real Estate Investment Corp.</t>
  </si>
  <si>
    <t>SCLX</t>
  </si>
  <si>
    <t>Scilex Holding Co.</t>
  </si>
  <si>
    <t>EVA</t>
  </si>
  <si>
    <t>Enviva Inc.</t>
  </si>
  <si>
    <t>TKO</t>
  </si>
  <si>
    <t>Taseko Mines Ltd.</t>
  </si>
  <si>
    <t>ARKO</t>
  </si>
  <si>
    <t>Arko Corp.</t>
  </si>
  <si>
    <t>ARTNA</t>
  </si>
  <si>
    <t>Artesian Resources Corp.</t>
  </si>
  <si>
    <t>6498</t>
  </si>
  <si>
    <t>Kitz Corp.</t>
  </si>
  <si>
    <t>MIRM</t>
  </si>
  <si>
    <t>Mirum Pharmaceuticals Inc.</t>
  </si>
  <si>
    <t>ZUMZ</t>
  </si>
  <si>
    <t>Zumiez Inc.</t>
  </si>
  <si>
    <t>MCB</t>
  </si>
  <si>
    <t>Metropolitan Bank Holding Corp.</t>
  </si>
  <si>
    <t>9787</t>
  </si>
  <si>
    <t>Aeon Delight Co. Ltd.</t>
  </si>
  <si>
    <t>EIN3</t>
  </si>
  <si>
    <t>Einhell Germany AG</t>
  </si>
  <si>
    <t>4485</t>
  </si>
  <si>
    <t>JTOWER Inc.</t>
  </si>
  <si>
    <t>IF</t>
  </si>
  <si>
    <t>Banca IFIS SPA</t>
  </si>
  <si>
    <t>BOWL</t>
  </si>
  <si>
    <t>Bowlero Corp.</t>
  </si>
  <si>
    <t>MARR</t>
  </si>
  <si>
    <t>MARR SPA</t>
  </si>
  <si>
    <t>SCVL</t>
  </si>
  <si>
    <t>Shoe Carnival Inc.</t>
  </si>
  <si>
    <t>BLUE</t>
  </si>
  <si>
    <t>Bluebird Bio Inc.</t>
  </si>
  <si>
    <t>CRR.UN</t>
  </si>
  <si>
    <t>Crombie Real Estate Investment Trust</t>
  </si>
  <si>
    <t>ALIG</t>
  </si>
  <si>
    <t>Alimak Group AB</t>
  </si>
  <si>
    <t>TRTX</t>
  </si>
  <si>
    <t>TPG RE Finance Trust Inc.</t>
  </si>
  <si>
    <t>Home Reit plc</t>
  </si>
  <si>
    <t>MYPS</t>
  </si>
  <si>
    <t>Playstudios Inc.</t>
  </si>
  <si>
    <t>MITK</t>
  </si>
  <si>
    <t>Mitek Systems Inc.</t>
  </si>
  <si>
    <t>FOR</t>
  </si>
  <si>
    <t>Forestar Group Inc.</t>
  </si>
  <si>
    <t>4526</t>
  </si>
  <si>
    <t>Riken Vitamin Co. Ltd.</t>
  </si>
  <si>
    <t>ADX</t>
  </si>
  <si>
    <t>Audax Renovables SA</t>
  </si>
  <si>
    <t>CLTN</t>
  </si>
  <si>
    <t>Coltene Holding AG</t>
  </si>
  <si>
    <t>SDE</t>
  </si>
  <si>
    <t>Spartan Delta Corp.</t>
  </si>
  <si>
    <t>CXB</t>
  </si>
  <si>
    <t>Calibre Mining Corp.</t>
  </si>
  <si>
    <t>ICPT</t>
  </si>
  <si>
    <t>Intercept Pharmaceuticals Inc.</t>
  </si>
  <si>
    <t>SMCP</t>
  </si>
  <si>
    <t>SMCP SA</t>
  </si>
  <si>
    <t>CRON</t>
  </si>
  <si>
    <t>Cronos Group Inc.</t>
  </si>
  <si>
    <t>OIZ</t>
  </si>
  <si>
    <t>Origin Enterprises plc</t>
  </si>
  <si>
    <t>GFT</t>
  </si>
  <si>
    <t>GFT Technologies SE</t>
  </si>
  <si>
    <t>MPLN</t>
  </si>
  <si>
    <t>Multiplan Corp.</t>
  </si>
  <si>
    <t>ZEUS</t>
  </si>
  <si>
    <t>Olympic Steel Inc.</t>
  </si>
  <si>
    <t>CPF</t>
  </si>
  <si>
    <t>Central Pacific Financial Corp.</t>
  </si>
  <si>
    <t>Morguard Corp.</t>
  </si>
  <si>
    <t>DNO</t>
  </si>
  <si>
    <t>DNO ASA</t>
  </si>
  <si>
    <t>FFWM</t>
  </si>
  <si>
    <t>First Foundation Inc.</t>
  </si>
  <si>
    <t>CENT</t>
  </si>
  <si>
    <t>SBS</t>
  </si>
  <si>
    <t>STRATEC SE</t>
  </si>
  <si>
    <t>PLAZ B</t>
  </si>
  <si>
    <t>Platzer Fastigheter Holding AB</t>
  </si>
  <si>
    <t>Systena Corp.</t>
  </si>
  <si>
    <t>9716</t>
  </si>
  <si>
    <t>Nomura Co. Ltd.</t>
  </si>
  <si>
    <t>GCO</t>
  </si>
  <si>
    <t>Genesco Inc.</t>
  </si>
  <si>
    <t>2157</t>
  </si>
  <si>
    <t>Koshidaka Holdings Co. Ltd.</t>
  </si>
  <si>
    <t>TTK</t>
  </si>
  <si>
    <t>Takkt AG</t>
  </si>
  <si>
    <t>KIE</t>
  </si>
  <si>
    <t>Kier Group plc</t>
  </si>
  <si>
    <t>LYEL</t>
  </si>
  <si>
    <t>Lyell Immunopharma Inc.</t>
  </si>
  <si>
    <t>AUTN</t>
  </si>
  <si>
    <t>Autoneum Holding AG</t>
  </si>
  <si>
    <t>1884</t>
  </si>
  <si>
    <t>Nippon Road Co. Ltd.</t>
  </si>
  <si>
    <t>IESC</t>
  </si>
  <si>
    <t>IES Holdings Inc.</t>
  </si>
  <si>
    <t>MOFG</t>
  </si>
  <si>
    <t>MidWestOne Financial Group Inc.</t>
  </si>
  <si>
    <t>9416</t>
  </si>
  <si>
    <t>Vision Inc./Tokyo Japan</t>
  </si>
  <si>
    <t>8544</t>
  </si>
  <si>
    <t>Keiyo Bank Ltd.</t>
  </si>
  <si>
    <t>6750</t>
  </si>
  <si>
    <t>Elecom Co. Ltd.</t>
  </si>
  <si>
    <t>9543</t>
  </si>
  <si>
    <t>Shizuoka Gas Co. Ltd.</t>
  </si>
  <si>
    <t>DYN</t>
  </si>
  <si>
    <t>Dyne Therapeutics Inc.</t>
  </si>
  <si>
    <t>PAL</t>
  </si>
  <si>
    <t>Palfinger AG</t>
  </si>
  <si>
    <t>VTNR</t>
  </si>
  <si>
    <t>Vertex Energy Inc.</t>
  </si>
  <si>
    <t>ACRE</t>
  </si>
  <si>
    <t>Ares Commercial Real Estate Corp.</t>
  </si>
  <si>
    <t>SOUN</t>
  </si>
  <si>
    <t>SoundHound AI Inc.</t>
  </si>
  <si>
    <t>2220</t>
  </si>
  <si>
    <t>Kameda Seika Co. Ltd.</t>
  </si>
  <si>
    <t>6099</t>
  </si>
  <si>
    <t>Elan Corp.</t>
  </si>
  <si>
    <t>REX</t>
  </si>
  <si>
    <t>REX American Resources Corp.</t>
  </si>
  <si>
    <t>CCBG</t>
  </si>
  <si>
    <t>Capital City Bank Group Inc.</t>
  </si>
  <si>
    <t>SVM</t>
  </si>
  <si>
    <t>Silvercorp Metals Inc.</t>
  </si>
  <si>
    <t>GRE</t>
  </si>
  <si>
    <t>Grenergy Renovables SA</t>
  </si>
  <si>
    <t>CRW</t>
  </si>
  <si>
    <t>Craneware plc</t>
  </si>
  <si>
    <t>9699</t>
  </si>
  <si>
    <t>Nishio Holdings Co. Ltd.</t>
  </si>
  <si>
    <t>4617</t>
  </si>
  <si>
    <t>Chugoku Marine Paints Ltd.</t>
  </si>
  <si>
    <t>S59</t>
  </si>
  <si>
    <t>SIA Engineering Co. Ltd.</t>
  </si>
  <si>
    <t>DFH</t>
  </si>
  <si>
    <t>Dream Finders Homes Inc.</t>
  </si>
  <si>
    <t>1836</t>
  </si>
  <si>
    <t>Stella International Holdings Ltd.</t>
  </si>
  <si>
    <t>4553</t>
  </si>
  <si>
    <t>Towa Pharmaceutical Co. Ltd.</t>
  </si>
  <si>
    <t>SLIGR</t>
  </si>
  <si>
    <t>Sligro Food Group NV</t>
  </si>
  <si>
    <t>SPOL</t>
  </si>
  <si>
    <t>Sparebank 1 Oestlandet</t>
  </si>
  <si>
    <t>CIBUS</t>
  </si>
  <si>
    <t>Cibus Nordic Real Estate AB</t>
  </si>
  <si>
    <t>CORE B</t>
  </si>
  <si>
    <t>Corem Property Group AB</t>
  </si>
  <si>
    <t>ELVN</t>
  </si>
  <si>
    <t>Enliven Therapeutics Inc.</t>
  </si>
  <si>
    <t>ROVR</t>
  </si>
  <si>
    <t>Rover Group Inc.</t>
  </si>
  <si>
    <t>7917</t>
  </si>
  <si>
    <t>Fujimori Kogyo Co. Ltd.</t>
  </si>
  <si>
    <t>6947</t>
  </si>
  <si>
    <t>Zuken Inc.</t>
  </si>
  <si>
    <t>1835</t>
  </si>
  <si>
    <t>Totetsu Kogyo Co. Ltd.</t>
  </si>
  <si>
    <t>9110</t>
  </si>
  <si>
    <t>NS United Kaiun Kaisha Ltd.</t>
  </si>
  <si>
    <t>2733</t>
  </si>
  <si>
    <t>Arata Corp.</t>
  </si>
  <si>
    <t>7483</t>
  </si>
  <si>
    <t>Doshisha Co. Ltd.</t>
  </si>
  <si>
    <t>RWAY</t>
  </si>
  <si>
    <t>RAI Way SPA</t>
  </si>
  <si>
    <t>PPGN</t>
  </si>
  <si>
    <t>PolyPeptide Group AG</t>
  </si>
  <si>
    <t>2874</t>
  </si>
  <si>
    <t>Yokorei Co. Ltd.</t>
  </si>
  <si>
    <t>636</t>
  </si>
  <si>
    <t>Kerry Logistics Network Ltd.</t>
  </si>
  <si>
    <t>PLCE</t>
  </si>
  <si>
    <t>Children's Place Inc.</t>
  </si>
  <si>
    <t>1968</t>
  </si>
  <si>
    <t>Taihei Dengyo Kaisha Ltd.</t>
  </si>
  <si>
    <t>UVE</t>
  </si>
  <si>
    <t>Universal Insurance Holdings Inc.</t>
  </si>
  <si>
    <t>4694</t>
  </si>
  <si>
    <t>BML Inc.</t>
  </si>
  <si>
    <t>Aecon Group Inc.</t>
  </si>
  <si>
    <t>Magnachip Semiconductor Corp.</t>
  </si>
  <si>
    <t>1515</t>
  </si>
  <si>
    <t>Nittetsu Mining Co. Ltd.</t>
  </si>
  <si>
    <t>4633</t>
  </si>
  <si>
    <t>Sakata INX Corp.</t>
  </si>
  <si>
    <t>8892</t>
  </si>
  <si>
    <t>ES-Con Japan Ltd.</t>
  </si>
  <si>
    <t>6235</t>
  </si>
  <si>
    <t>Optorun Co. Ltd.</t>
  </si>
  <si>
    <t>1720</t>
  </si>
  <si>
    <t>Tokyu Construction Co. Ltd.</t>
  </si>
  <si>
    <t>6282</t>
  </si>
  <si>
    <t>Oiles Corp.</t>
  </si>
  <si>
    <t>DRM</t>
  </si>
  <si>
    <t>DREAM Unlimited Corp.</t>
  </si>
  <si>
    <t>6737</t>
  </si>
  <si>
    <t>Eizo Corp.</t>
  </si>
  <si>
    <t>SGHT</t>
  </si>
  <si>
    <t>Sight Sciences Inc.</t>
  </si>
  <si>
    <t>OPI</t>
  </si>
  <si>
    <t>Office Properties Income Trust</t>
  </si>
  <si>
    <t>VLX</t>
  </si>
  <si>
    <t>Volex plc</t>
  </si>
  <si>
    <t>UDMY</t>
  </si>
  <si>
    <t>Udemy Inc.</t>
  </si>
  <si>
    <t>3182</t>
  </si>
  <si>
    <t>Oisix ra daichi Inc.</t>
  </si>
  <si>
    <t>6413</t>
  </si>
  <si>
    <t>Riso Kagaku Corp.</t>
  </si>
  <si>
    <t>CEC</t>
  </si>
  <si>
    <t>CECONOMY AG</t>
  </si>
  <si>
    <t>SOLAR B</t>
  </si>
  <si>
    <t>Solar A/S</t>
  </si>
  <si>
    <t>Sumitomo Mitsui Construction Co. Ltd.</t>
  </si>
  <si>
    <t>FRPH</t>
  </si>
  <si>
    <t>FRP Holdings Inc.</t>
  </si>
  <si>
    <t>KIT</t>
  </si>
  <si>
    <t>Kitron ASA</t>
  </si>
  <si>
    <t>9068</t>
  </si>
  <si>
    <t>Maruzen Showa Unyu Co. Ltd.</t>
  </si>
  <si>
    <t>3479</t>
  </si>
  <si>
    <t>TKP Corp.</t>
  </si>
  <si>
    <t>6287</t>
  </si>
  <si>
    <t>Sato Holdings Corp.</t>
  </si>
  <si>
    <t>86</t>
  </si>
  <si>
    <t>Sun Hung Kai &amp; Co. Ltd.</t>
  </si>
  <si>
    <t>ARAD</t>
  </si>
  <si>
    <t>Arad Investment &amp; Industrial Development Ltd.</t>
  </si>
  <si>
    <t>KOF</t>
  </si>
  <si>
    <t>Kaufman &amp; Broad SA</t>
  </si>
  <si>
    <t>7342</t>
  </si>
  <si>
    <t>WealthNavi Inc.</t>
  </si>
  <si>
    <t>8979</t>
  </si>
  <si>
    <t>Starts Proceed Investment Corp.</t>
  </si>
  <si>
    <t>Nippon Parking Development Co. Ltd.</t>
  </si>
  <si>
    <t>LEON</t>
  </si>
  <si>
    <t>Leonteq AG</t>
  </si>
  <si>
    <t>435</t>
  </si>
  <si>
    <t>Sunlight Real Estate Investment Trust</t>
  </si>
  <si>
    <t>LBC</t>
  </si>
  <si>
    <t>Luther Burbank Corp.</t>
  </si>
  <si>
    <t>2681</t>
  </si>
  <si>
    <t>Geo Holdings Corp.</t>
  </si>
  <si>
    <t>6670</t>
  </si>
  <si>
    <t>MCJ Co. Ltd.</t>
  </si>
  <si>
    <t>6875</t>
  </si>
  <si>
    <t>Megachips Corp.</t>
  </si>
  <si>
    <t>2384</t>
  </si>
  <si>
    <t>SBS Holdings Inc.</t>
  </si>
  <si>
    <t>NLFSK</t>
  </si>
  <si>
    <t>Nilfisk Holding A/S</t>
  </si>
  <si>
    <t>1407</t>
  </si>
  <si>
    <t>West Holdings Corp.</t>
  </si>
  <si>
    <t>PSG</t>
  </si>
  <si>
    <t>Prosegur Cia de Seguridad SA</t>
  </si>
  <si>
    <t>6703</t>
  </si>
  <si>
    <t>Oki Electric Industry Co. Ltd.</t>
  </si>
  <si>
    <t>8923</t>
  </si>
  <si>
    <t>Tosei Corp.</t>
  </si>
  <si>
    <t>2613</t>
  </si>
  <si>
    <t>J-Oil Mills Inc.</t>
  </si>
  <si>
    <t>MEKO</t>
  </si>
  <si>
    <t>MEKO AB</t>
  </si>
  <si>
    <t>CAML</t>
  </si>
  <si>
    <t>Central Asia Metals plc</t>
  </si>
  <si>
    <t>EOLS</t>
  </si>
  <si>
    <t>Evolus Inc.</t>
  </si>
  <si>
    <t>LUVE</t>
  </si>
  <si>
    <t>LU-VE SPA</t>
  </si>
  <si>
    <t>LEU</t>
  </si>
  <si>
    <t>Centrus Energy Corp.</t>
  </si>
  <si>
    <t>WideOpenWest Inc.</t>
  </si>
  <si>
    <t>ACQ</t>
  </si>
  <si>
    <t>AutoCanada Inc.</t>
  </si>
  <si>
    <t>SEAT</t>
  </si>
  <si>
    <t>Vivid Seats Inc.</t>
  </si>
  <si>
    <t>IBRX</t>
  </si>
  <si>
    <t>ImmunityBio Inc.</t>
  </si>
  <si>
    <t>6454</t>
  </si>
  <si>
    <t>Max Co. Ltd.</t>
  </si>
  <si>
    <t>Prosperity REIT</t>
  </si>
  <si>
    <t>4917</t>
  </si>
  <si>
    <t>Mandom Corp.</t>
  </si>
  <si>
    <t>DANE</t>
  </si>
  <si>
    <t>Danel Adir Yeoshua Ltd.</t>
  </si>
  <si>
    <t>7816</t>
  </si>
  <si>
    <t>Snow Peak Inc.</t>
  </si>
  <si>
    <t>4384</t>
  </si>
  <si>
    <t>Raksul Inc.</t>
  </si>
  <si>
    <t>4825</t>
  </si>
  <si>
    <t>Weathernews Inc.</t>
  </si>
  <si>
    <t>9409</t>
  </si>
  <si>
    <t>TV Asahi Holdings Corp.</t>
  </si>
  <si>
    <t>9347</t>
  </si>
  <si>
    <t>Nippon Kanzai Holdings Co. Ltd.</t>
  </si>
  <si>
    <t>Knight Therapeutics Inc.</t>
  </si>
  <si>
    <t>6200</t>
  </si>
  <si>
    <t>Insource Co. Ltd.</t>
  </si>
  <si>
    <t>GEF.B</t>
  </si>
  <si>
    <t>ATSG</t>
  </si>
  <si>
    <t>Air Transport Services Group Inc.</t>
  </si>
  <si>
    <t>EVGO</t>
  </si>
  <si>
    <t>EVgo Inc.</t>
  </si>
  <si>
    <t>ENTA</t>
  </si>
  <si>
    <t>Enanta Pharmaceuticals Inc.</t>
  </si>
  <si>
    <t>HDD</t>
  </si>
  <si>
    <t>Heidelberger Druckmaschinen AG</t>
  </si>
  <si>
    <t>GLUE</t>
  </si>
  <si>
    <t>Monte Rosa Therapeutics Inc.</t>
  </si>
  <si>
    <t>VAR1</t>
  </si>
  <si>
    <t>Varta AG</t>
  </si>
  <si>
    <t>MVST</t>
  </si>
  <si>
    <t>Microvast Holdings Inc.</t>
  </si>
  <si>
    <t>BW</t>
  </si>
  <si>
    <t>Babcock &amp; Wilcox Enterprises Inc.</t>
  </si>
  <si>
    <t>ALLO</t>
  </si>
  <si>
    <t>Allogene Therapeutics Inc.</t>
  </si>
  <si>
    <t>7545</t>
  </si>
  <si>
    <t>Nishimatsuya Chain Co. Ltd.</t>
  </si>
  <si>
    <t>ALDX</t>
  </si>
  <si>
    <t>Aldeyra Therapeutics Inc.</t>
  </si>
  <si>
    <t>ATLC</t>
  </si>
  <si>
    <t>Atlanticus Holdings Corp.</t>
  </si>
  <si>
    <t>CNE</t>
  </si>
  <si>
    <t>Capricorn Energy plc</t>
  </si>
  <si>
    <t>JUVE</t>
  </si>
  <si>
    <t>Juventus Football Club SPA</t>
  </si>
  <si>
    <t>3762</t>
  </si>
  <si>
    <t>TechMatrix Corp.</t>
  </si>
  <si>
    <t>QRTEA</t>
  </si>
  <si>
    <t>Qurate Retail Inc.</t>
  </si>
  <si>
    <t>MPB</t>
  </si>
  <si>
    <t>Mid Penn Bancorp Inc.</t>
  </si>
  <si>
    <t>PCELL</t>
  </si>
  <si>
    <t>PowerCell Sweden AB</t>
  </si>
  <si>
    <t>PTVE</t>
  </si>
  <si>
    <t>Pactiv Evergreen Inc.</t>
  </si>
  <si>
    <t>6101</t>
  </si>
  <si>
    <t>Tsugami Corp.</t>
  </si>
  <si>
    <t>ELCRE</t>
  </si>
  <si>
    <t>Electra Real Estate Ltd.</t>
  </si>
  <si>
    <t>KNOW</t>
  </si>
  <si>
    <t>KNOW IT AB</t>
  </si>
  <si>
    <t>8194</t>
  </si>
  <si>
    <t>Life Corp.</t>
  </si>
  <si>
    <t>3232</t>
  </si>
  <si>
    <t>Mie Kotsu Group Holdings Inc.</t>
  </si>
  <si>
    <t>CHRS</t>
  </si>
  <si>
    <t>Coherus Biosciences Inc.</t>
  </si>
  <si>
    <t>Medartis Holding AG</t>
  </si>
  <si>
    <t>GVS</t>
  </si>
  <si>
    <t>GVS SPA</t>
  </si>
  <si>
    <t>SFQ</t>
  </si>
  <si>
    <t>SAF-Holland SE</t>
  </si>
  <si>
    <t>GSF</t>
  </si>
  <si>
    <t>Grieg Seafood ASA</t>
  </si>
  <si>
    <t>IBCP</t>
  </si>
  <si>
    <t>Independent Bank Corp./MI</t>
  </si>
  <si>
    <t>ODL</t>
  </si>
  <si>
    <t>Odfjell Drilling Ltd.</t>
  </si>
  <si>
    <t>8848</t>
  </si>
  <si>
    <t>Leopalace21 Corp.</t>
  </si>
  <si>
    <t>9058</t>
  </si>
  <si>
    <t>Trancom Co. Ltd.</t>
  </si>
  <si>
    <t>Pierre Et Vacances SA</t>
  </si>
  <si>
    <t>Seche Environnement SA</t>
  </si>
  <si>
    <t>ACV</t>
  </si>
  <si>
    <t>Frasers Hospitality Trust</t>
  </si>
  <si>
    <t>ENC</t>
  </si>
  <si>
    <t>Ence Energia y Celulosa SA</t>
  </si>
  <si>
    <t>ATNI</t>
  </si>
  <si>
    <t>ATN International Inc.</t>
  </si>
  <si>
    <t>4293</t>
  </si>
  <si>
    <t>Septeni Holdings Co. Ltd.</t>
  </si>
  <si>
    <t>TIPT</t>
  </si>
  <si>
    <t>Tiptree Inc.</t>
  </si>
  <si>
    <t>7575</t>
  </si>
  <si>
    <t>Japan Lifeline Co. Ltd.</t>
  </si>
  <si>
    <t>BLSR</t>
  </si>
  <si>
    <t>Blue Square Real Estate Ltd.</t>
  </si>
  <si>
    <t>6191</t>
  </si>
  <si>
    <t>Airtrip Corp.</t>
  </si>
  <si>
    <t>SBOW</t>
  </si>
  <si>
    <t>SilverBow Resources Inc.</t>
  </si>
  <si>
    <t>AMCX</t>
  </si>
  <si>
    <t>AMC Networks Inc.</t>
  </si>
  <si>
    <t>TRMR</t>
  </si>
  <si>
    <t>Tremor International Ltd.</t>
  </si>
  <si>
    <t>TM17</t>
  </si>
  <si>
    <t>Team17 Group plc</t>
  </si>
  <si>
    <t>RMR</t>
  </si>
  <si>
    <t>RMR Group Inc.</t>
  </si>
  <si>
    <t>FIA1S</t>
  </si>
  <si>
    <t>Finnair Oyj</t>
  </si>
  <si>
    <t>6787</t>
  </si>
  <si>
    <t>Meiko Electronics Co. Ltd.</t>
  </si>
  <si>
    <t>CLA B</t>
  </si>
  <si>
    <t>Cloetta AB</t>
  </si>
  <si>
    <t>VPLAY B</t>
  </si>
  <si>
    <t>Viaplay Group AB</t>
  </si>
  <si>
    <t>STO3</t>
  </si>
  <si>
    <t>STO SE &amp; Co. KGaA</t>
  </si>
  <si>
    <t>2326</t>
  </si>
  <si>
    <t>Digital Arts Inc.</t>
  </si>
  <si>
    <t>REVG</t>
  </si>
  <si>
    <t>REV Group Inc.</t>
  </si>
  <si>
    <t>SWI</t>
  </si>
  <si>
    <t>SolarWinds Corp.</t>
  </si>
  <si>
    <t>AcadeMedia AB</t>
  </si>
  <si>
    <t>MRG.UN</t>
  </si>
  <si>
    <t>Morguard North American Residential Real Estate Investment Trust</t>
  </si>
  <si>
    <t>NRDS</t>
  </si>
  <si>
    <t>NerdWallet Inc.</t>
  </si>
  <si>
    <t>LOVE</t>
  </si>
  <si>
    <t>Lovesac Co.</t>
  </si>
  <si>
    <t>7944</t>
  </si>
  <si>
    <t>Roland Corp.</t>
  </si>
  <si>
    <t>CRPU</t>
  </si>
  <si>
    <t>Sasseur Real Estate Investment Trust</t>
  </si>
  <si>
    <t>9336</t>
  </si>
  <si>
    <t>Daiei Kankyo Co. Ltd.</t>
  </si>
  <si>
    <t>9247</t>
  </si>
  <si>
    <t>TRE Holdings Corp.</t>
  </si>
  <si>
    <t>2685</t>
  </si>
  <si>
    <t>Adastria Co. Ltd.</t>
  </si>
  <si>
    <t>8068</t>
  </si>
  <si>
    <t>Ryoyo Electro Corp.</t>
  </si>
  <si>
    <t>ASC</t>
  </si>
  <si>
    <t>ASOS plc</t>
  </si>
  <si>
    <t>TPIC</t>
  </si>
  <si>
    <t>TPI Composites Inc.</t>
  </si>
  <si>
    <t>METN</t>
  </si>
  <si>
    <t>Metall Zug AG</t>
  </si>
  <si>
    <t>DGV</t>
  </si>
  <si>
    <t>Digital Value SPA</t>
  </si>
  <si>
    <t>Petrofac Ltd.</t>
  </si>
  <si>
    <t>7821</t>
  </si>
  <si>
    <t>Maeda Kosen Co. Ltd.</t>
  </si>
  <si>
    <t>CLOV</t>
  </si>
  <si>
    <t>Clover Health Investments Corp.</t>
  </si>
  <si>
    <t>ABVX</t>
  </si>
  <si>
    <t>Abivax SA</t>
  </si>
  <si>
    <t>ALTG</t>
  </si>
  <si>
    <t>Alta Equipment Group Inc.</t>
  </si>
  <si>
    <t>SLGC</t>
  </si>
  <si>
    <t>SomaLogic Inc.</t>
  </si>
  <si>
    <t>FORR</t>
  </si>
  <si>
    <t>Forrester Research Inc.</t>
  </si>
  <si>
    <t>6366</t>
  </si>
  <si>
    <t>Chiyoda Corp.</t>
  </si>
  <si>
    <t>LXFR</t>
  </si>
  <si>
    <t>Luxfer Holdings plc</t>
  </si>
  <si>
    <t>BLV</t>
  </si>
  <si>
    <t>Believe SA</t>
  </si>
  <si>
    <t>POS</t>
  </si>
  <si>
    <t>Porr Ag</t>
  </si>
  <si>
    <t>2138</t>
  </si>
  <si>
    <t>EC Healthcare</t>
  </si>
  <si>
    <t>1475</t>
  </si>
  <si>
    <t>Nissin Foods Co. Ltd.</t>
  </si>
  <si>
    <t>8168</t>
  </si>
  <si>
    <t>Keiyo Co. Ltd.</t>
  </si>
  <si>
    <t>AMPS</t>
  </si>
  <si>
    <t>Altus Power Inc.</t>
  </si>
  <si>
    <t>SFTC</t>
  </si>
  <si>
    <t>Softchoice Corp.</t>
  </si>
  <si>
    <t>3254</t>
  </si>
  <si>
    <t>Pressance Corp.</t>
  </si>
  <si>
    <t>4423</t>
  </si>
  <si>
    <t>ARTERIA Networks Corp.</t>
  </si>
  <si>
    <t>MBI</t>
  </si>
  <si>
    <t>MBIA Inc.</t>
  </si>
  <si>
    <t>4776</t>
  </si>
  <si>
    <t>Cybozu Inc.</t>
  </si>
  <si>
    <t>VANQ</t>
  </si>
  <si>
    <t>Vanquis Banking Group plc</t>
  </si>
  <si>
    <t>IBAB</t>
  </si>
  <si>
    <t>Ion Beam Applications</t>
  </si>
  <si>
    <t>SGR.UN</t>
  </si>
  <si>
    <t>Slate Grocery REIT</t>
  </si>
  <si>
    <t>4551</t>
  </si>
  <si>
    <t>Torii Pharmaceutical Co. Ltd.</t>
  </si>
  <si>
    <t>CRED A</t>
  </si>
  <si>
    <t>Creades AB</t>
  </si>
  <si>
    <t>4471</t>
  </si>
  <si>
    <t>Sanyo Chemical Industries Ltd.</t>
  </si>
  <si>
    <t>6474</t>
  </si>
  <si>
    <t>Nachi-Fujikoshi Corp.</t>
  </si>
  <si>
    <t>Altri SGPS SA</t>
  </si>
  <si>
    <t>ONTF</t>
  </si>
  <si>
    <t>ON24 Inc.</t>
  </si>
  <si>
    <t>CTT</t>
  </si>
  <si>
    <t>CTT-Correios de Portugal SA</t>
  </si>
  <si>
    <t>1762</t>
  </si>
  <si>
    <t>Takamatsu Construction Group Co. Ltd.</t>
  </si>
  <si>
    <t>6379</t>
  </si>
  <si>
    <t>Raiznext Corp.</t>
  </si>
  <si>
    <t>6420</t>
  </si>
  <si>
    <t>Fukushima Galilei Co. Ltd.</t>
  </si>
  <si>
    <t>TOD</t>
  </si>
  <si>
    <t>Tod's SPA</t>
  </si>
  <si>
    <t>6222</t>
  </si>
  <si>
    <t>Shima Seiki Manufacturing Ltd.</t>
  </si>
  <si>
    <t>YNGA</t>
  </si>
  <si>
    <t>Young &amp; Co's Brewery plc</t>
  </si>
  <si>
    <t>NTGR</t>
  </si>
  <si>
    <t>NETGEAR Inc.</t>
  </si>
  <si>
    <t>TNXT</t>
  </si>
  <si>
    <t>Tinexta SPA</t>
  </si>
  <si>
    <t>4970</t>
  </si>
  <si>
    <t>Toyo Gosei Co. Ltd.</t>
  </si>
  <si>
    <t>3459</t>
  </si>
  <si>
    <t>Samty Residential Investment Corp.</t>
  </si>
  <si>
    <t>7350</t>
  </si>
  <si>
    <t>Okinawa Financial Group Inc.</t>
  </si>
  <si>
    <t>ELCO</t>
  </si>
  <si>
    <t>Elco Ltd.</t>
  </si>
  <si>
    <t>Lar Espana Real Estate Socimi SA</t>
  </si>
  <si>
    <t>COPN</t>
  </si>
  <si>
    <t>COSMO Pharmaceuticals NV</t>
  </si>
  <si>
    <t>SMMT</t>
  </si>
  <si>
    <t>Summit Therapeutics Inc.</t>
  </si>
  <si>
    <t>SRRK</t>
  </si>
  <si>
    <t>Scholar Rock Holding Corp.</t>
  </si>
  <si>
    <t>116</t>
  </si>
  <si>
    <t>Chow Sang Sang Holdings International Ltd.</t>
  </si>
  <si>
    <t>FG</t>
  </si>
  <si>
    <t>F&amp;G Annuities &amp; Life Inc.</t>
  </si>
  <si>
    <t>2160</t>
  </si>
  <si>
    <t>GNI Group Ltd.</t>
  </si>
  <si>
    <t>GLO</t>
  </si>
  <si>
    <t>Global Atomic Corp.</t>
  </si>
  <si>
    <t>ONL</t>
  </si>
  <si>
    <t>Orion Office REIT Inc.</t>
  </si>
  <si>
    <t>GKP</t>
  </si>
  <si>
    <t>Gulf Keystone Petroleum Ltd.</t>
  </si>
  <si>
    <t>MAU</t>
  </si>
  <si>
    <t>Etablissements Maurel et Prom SA</t>
  </si>
  <si>
    <t>NOA</t>
  </si>
  <si>
    <t>North American Construction Group Ltd.</t>
  </si>
  <si>
    <t>4071</t>
  </si>
  <si>
    <t>Plus Alpha Consulting Co. Ltd.</t>
  </si>
  <si>
    <t>D6H</t>
  </si>
  <si>
    <t>Datagroup SE</t>
  </si>
  <si>
    <t>NYKD</t>
  </si>
  <si>
    <t>Nykode Therapeutics ASA</t>
  </si>
  <si>
    <t>8032</t>
  </si>
  <si>
    <t>Japan Pulp &amp; Paper Co. Ltd.</t>
  </si>
  <si>
    <t>GOEV</t>
  </si>
  <si>
    <t>Canoo Inc.</t>
  </si>
  <si>
    <t>ATT</t>
  </si>
  <si>
    <t>Attendo AB</t>
  </si>
  <si>
    <t>ENQ</t>
  </si>
  <si>
    <t>EnQuest plc</t>
  </si>
  <si>
    <t>8051</t>
  </si>
  <si>
    <t>Yamazen Corp.</t>
  </si>
  <si>
    <t>FATE</t>
  </si>
  <si>
    <t>Fate Therapeutics Inc.</t>
  </si>
  <si>
    <t>HHFA</t>
  </si>
  <si>
    <t>Hamburger Hafen und Logistik AG</t>
  </si>
  <si>
    <t>RESURS</t>
  </si>
  <si>
    <t>Resurs Holding AB</t>
  </si>
  <si>
    <t>5331</t>
  </si>
  <si>
    <t>Noritake Co. Ltd./Nagoya Japan</t>
  </si>
  <si>
    <t>BOC</t>
  </si>
  <si>
    <t>Boston Omaha Corp.</t>
  </si>
  <si>
    <t>GGP</t>
  </si>
  <si>
    <t>Greatland Gold plc</t>
  </si>
  <si>
    <t>PAF</t>
  </si>
  <si>
    <t>Pan African Resources plc</t>
  </si>
  <si>
    <t>2590</t>
  </si>
  <si>
    <t>DyDo Group Holdings Inc.</t>
  </si>
  <si>
    <t>7128</t>
  </si>
  <si>
    <t>MARUKA FURUSATO Corp.</t>
  </si>
  <si>
    <t>JANX</t>
  </si>
  <si>
    <t>Janux Therapeutics Inc.</t>
  </si>
  <si>
    <t>TWOU</t>
  </si>
  <si>
    <t>2U Inc.</t>
  </si>
  <si>
    <t>RSKD</t>
  </si>
  <si>
    <t>Riskified Ltd.</t>
  </si>
  <si>
    <t>ROVIO</t>
  </si>
  <si>
    <t>Rovio Entertainment Oyj</t>
  </si>
  <si>
    <t>VPG</t>
  </si>
  <si>
    <t>Vishay Precision Group Inc.</t>
  </si>
  <si>
    <t>PUUILO</t>
  </si>
  <si>
    <t>Puuilo Oyj</t>
  </si>
  <si>
    <t>CDRE</t>
  </si>
  <si>
    <t>Cadre Holdings Inc.</t>
  </si>
  <si>
    <t>9418</t>
  </si>
  <si>
    <t>Usen-Next Holdings Co. Ltd.</t>
  </si>
  <si>
    <t>7990</t>
  </si>
  <si>
    <t>GLOBERIDE Inc.</t>
  </si>
  <si>
    <t>4956</t>
  </si>
  <si>
    <t>Konishi Co. Ltd.</t>
  </si>
  <si>
    <t>RSI</t>
  </si>
  <si>
    <t>Rogers Sugar Inc.</t>
  </si>
  <si>
    <t>8022</t>
  </si>
  <si>
    <t>Mizuno Corp.</t>
  </si>
  <si>
    <t>5273</t>
  </si>
  <si>
    <t>Mitani Sekisan Co. Ltd.</t>
  </si>
  <si>
    <t>35</t>
  </si>
  <si>
    <t>Far East Consortium International Ltd.</t>
  </si>
  <si>
    <t>DELG</t>
  </si>
  <si>
    <t>Delta Galil Ltd.</t>
  </si>
  <si>
    <t>Global Dominion Access SA</t>
  </si>
  <si>
    <t>ASLE</t>
  </si>
  <si>
    <t>AerSale Corp.</t>
  </si>
  <si>
    <t>VOS</t>
  </si>
  <si>
    <t>Vossloh AG</t>
  </si>
  <si>
    <t>7287</t>
  </si>
  <si>
    <t>Nippon Seiki Co. Ltd.</t>
  </si>
  <si>
    <t>4290</t>
  </si>
  <si>
    <t>Prestige International Inc.</t>
  </si>
  <si>
    <t>ATRO</t>
  </si>
  <si>
    <t>Astronics Corp.</t>
  </si>
  <si>
    <t>6425</t>
  </si>
  <si>
    <t>Universal Entertainment Corp.</t>
  </si>
  <si>
    <t>8715</t>
  </si>
  <si>
    <t>Anicom Holdings Inc.</t>
  </si>
  <si>
    <t>Aubay</t>
  </si>
  <si>
    <t>Hour Glass Ltd.</t>
  </si>
  <si>
    <t>8278</t>
  </si>
  <si>
    <t>Fuji Co. Ltd./Ehime</t>
  </si>
  <si>
    <t>NCC</t>
  </si>
  <si>
    <t>NCC Group plc</t>
  </si>
  <si>
    <t>IVR</t>
  </si>
  <si>
    <t>Invesco Mortgage Capital Inc.</t>
  </si>
  <si>
    <t>FNKO</t>
  </si>
  <si>
    <t>Funko Inc.</t>
  </si>
  <si>
    <t>SOW</t>
  </si>
  <si>
    <t>9267</t>
  </si>
  <si>
    <t>Genky DrugStores Co. Ltd.</t>
  </si>
  <si>
    <t>9039</t>
  </si>
  <si>
    <t>Sakai Moving Service Co. Ltd.</t>
  </si>
  <si>
    <t>2752</t>
  </si>
  <si>
    <t>Fujio Food Group Inc.</t>
  </si>
  <si>
    <t>OLPX</t>
  </si>
  <si>
    <t>Olaplex Holdings Inc.</t>
  </si>
  <si>
    <t>TDRN</t>
  </si>
  <si>
    <t>Tadiran Group Ltd.</t>
  </si>
  <si>
    <t>AFRE</t>
  </si>
  <si>
    <t>Africa Israel Residences Ltd.</t>
  </si>
  <si>
    <t>ATEX</t>
  </si>
  <si>
    <t>Anterix Inc.</t>
  </si>
  <si>
    <t>5970</t>
  </si>
  <si>
    <t>G-Tekt Corp.</t>
  </si>
  <si>
    <t>4099</t>
  </si>
  <si>
    <t>Shikoku Kasei Holdings Corp.</t>
  </si>
  <si>
    <t>6740</t>
  </si>
  <si>
    <t>Japan Display Inc.</t>
  </si>
  <si>
    <t>6516</t>
  </si>
  <si>
    <t>Sanyo Denki Co. Ltd.</t>
  </si>
  <si>
    <t>5702</t>
  </si>
  <si>
    <t>Daiki Aluminium Industry Co. Ltd.</t>
  </si>
  <si>
    <t>SPRY</t>
  </si>
  <si>
    <t>ARS Pharmaceuticals Inc.</t>
  </si>
  <si>
    <t>5440</t>
  </si>
  <si>
    <t>Kyoei Steel Ltd.</t>
  </si>
  <si>
    <t>1992</t>
  </si>
  <si>
    <t>Fosun Tourism Group</t>
  </si>
  <si>
    <t>SENEA</t>
  </si>
  <si>
    <t>Seneca Foods Corp.</t>
  </si>
  <si>
    <t>9663</t>
  </si>
  <si>
    <t>Nagawa Co. Ltd.</t>
  </si>
  <si>
    <t>TASK</t>
  </si>
  <si>
    <t>TaskUS Inc.</t>
  </si>
  <si>
    <t>ARHS</t>
  </si>
  <si>
    <t>Arhaus Inc.</t>
  </si>
  <si>
    <t>ECP</t>
  </si>
  <si>
    <t>Electra Consumer Products 1970 Ltd.</t>
  </si>
  <si>
    <t>VIMIAN</t>
  </si>
  <si>
    <t>Vimian Group AB</t>
  </si>
  <si>
    <t>FXPO</t>
  </si>
  <si>
    <t>Ferrexpo plc</t>
  </si>
  <si>
    <t>GURN</t>
  </si>
  <si>
    <t>Gurit Holding AG</t>
  </si>
  <si>
    <t>Emergent BioSolutions Inc.</t>
  </si>
  <si>
    <t>806</t>
  </si>
  <si>
    <t>Value Partners Group Ltd.</t>
  </si>
  <si>
    <t>NOTE</t>
  </si>
  <si>
    <t>Note AB</t>
  </si>
  <si>
    <t>856</t>
  </si>
  <si>
    <t>VSTECS Holdings Ltd.</t>
  </si>
  <si>
    <t>SES AI Corp.</t>
  </si>
  <si>
    <t>6250</t>
  </si>
  <si>
    <t>YAMABIKO Corp.</t>
  </si>
  <si>
    <t>MXCT</t>
  </si>
  <si>
    <t>MaxCyte Inc.</t>
  </si>
  <si>
    <t>HIFS</t>
  </si>
  <si>
    <t>Hingham Institution For Savings The</t>
  </si>
  <si>
    <t>CEL</t>
  </si>
  <si>
    <t>Cellcom Israel Ltd.</t>
  </si>
  <si>
    <t>6455</t>
  </si>
  <si>
    <t>Morita Holdings Corp.</t>
  </si>
  <si>
    <t>TRDA</t>
  </si>
  <si>
    <t>Entrada Therapeutics Inc.</t>
  </si>
  <si>
    <t>CEVI</t>
  </si>
  <si>
    <t>Cellavision AB</t>
  </si>
  <si>
    <t>IPI</t>
  </si>
  <si>
    <t>Intrepid Potash Inc.</t>
  </si>
  <si>
    <t>1419</t>
  </si>
  <si>
    <t>Tama Home Co. Ltd.</t>
  </si>
  <si>
    <t>9672</t>
  </si>
  <si>
    <t>Tokyotokeiba Co. Ltd.</t>
  </si>
  <si>
    <t>1196</t>
  </si>
  <si>
    <t>Realord Group Holdings Ltd.</t>
  </si>
  <si>
    <t>CMOU</t>
  </si>
  <si>
    <t>Keppel Pacific Oak US REIT</t>
  </si>
  <si>
    <t>LPSN</t>
  </si>
  <si>
    <t>LivePerson Inc.</t>
  </si>
  <si>
    <t>HGTY</t>
  </si>
  <si>
    <t>Hagerty Inc.</t>
  </si>
  <si>
    <t>WKME</t>
  </si>
  <si>
    <t>WalkMe Ltd.</t>
  </si>
  <si>
    <t>doValue SPA</t>
  </si>
  <si>
    <t>8585</t>
  </si>
  <si>
    <t>Orient Corp.</t>
  </si>
  <si>
    <t>LISI - PF - 2025</t>
  </si>
  <si>
    <t>BOOM</t>
  </si>
  <si>
    <t>DMC Global Inc.</t>
  </si>
  <si>
    <t>OLP</t>
  </si>
  <si>
    <t>One Liberty Properties Inc.</t>
  </si>
  <si>
    <t>8125</t>
  </si>
  <si>
    <t>Wakita &amp; Co. Ltd.</t>
  </si>
  <si>
    <t>2908</t>
  </si>
  <si>
    <t>Fujicco Co. Ltd.</t>
  </si>
  <si>
    <t>ADN1</t>
  </si>
  <si>
    <t>Adesso SE</t>
  </si>
  <si>
    <t>SLDP</t>
  </si>
  <si>
    <t>Solid Power Inc.</t>
  </si>
  <si>
    <t>6523</t>
  </si>
  <si>
    <t>PHC Holdings Corp.</t>
  </si>
  <si>
    <t>2281</t>
  </si>
  <si>
    <t>Prima Meat Packers Ltd.</t>
  </si>
  <si>
    <t>SFL</t>
  </si>
  <si>
    <t>Safilo Group SPA</t>
  </si>
  <si>
    <t>1112</t>
  </si>
  <si>
    <t>Health &amp; Happiness H&amp;H International Holdings Ltd.</t>
  </si>
  <si>
    <t>TRIFOR</t>
  </si>
  <si>
    <t>Trifork Holding AG</t>
  </si>
  <si>
    <t>MEKKO</t>
  </si>
  <si>
    <t>Marimekko Oyj</t>
  </si>
  <si>
    <t>665</t>
  </si>
  <si>
    <t>Haitong International Securities Group Ltd.</t>
  </si>
  <si>
    <t>OXB</t>
  </si>
  <si>
    <t>Oxford Biomedica plc</t>
  </si>
  <si>
    <t>9025</t>
  </si>
  <si>
    <t>Konoike Transport Co. Ltd.</t>
  </si>
  <si>
    <t>T-Gaia Corp.</t>
  </si>
  <si>
    <t>7447</t>
  </si>
  <si>
    <t>Nagaileben Co. Ltd.</t>
  </si>
  <si>
    <t>NOFR</t>
  </si>
  <si>
    <t>OY Nofar Energy Ltd.</t>
  </si>
  <si>
    <t>CUTR</t>
  </si>
  <si>
    <t>Cutera Inc.</t>
  </si>
  <si>
    <t>CLBT</t>
  </si>
  <si>
    <t>Cellebrite DI Ltd.</t>
  </si>
  <si>
    <t>HEX</t>
  </si>
  <si>
    <t>Hexagon Composites ASA</t>
  </si>
  <si>
    <t>RIEN</t>
  </si>
  <si>
    <t>Rieter Holding AG</t>
  </si>
  <si>
    <t>ATAI</t>
  </si>
  <si>
    <t>ATAI Life Sciences NV</t>
  </si>
  <si>
    <t>DNYA</t>
  </si>
  <si>
    <t>Danya Cebus Ltd.</t>
  </si>
  <si>
    <t>ZYXI</t>
  </si>
  <si>
    <t>Zynex Inc.</t>
  </si>
  <si>
    <t>PLPC</t>
  </si>
  <si>
    <t>Preformed Line Products Co.</t>
  </si>
  <si>
    <t>7250</t>
  </si>
  <si>
    <t>Pacific Industrial Co. Ltd.</t>
  </si>
  <si>
    <t>SKE</t>
  </si>
  <si>
    <t>Skeena Resources Ltd.</t>
  </si>
  <si>
    <t>Token Corp.</t>
  </si>
  <si>
    <t>FYB</t>
  </si>
  <si>
    <t>Formycon AG</t>
  </si>
  <si>
    <t>IAU</t>
  </si>
  <si>
    <t>i-80 Gold Corp.</t>
  </si>
  <si>
    <t>9658</t>
  </si>
  <si>
    <t>Super Hi International Holding Ltd.</t>
  </si>
  <si>
    <t>ANAB</t>
  </si>
  <si>
    <t>AnaptysBio Inc.</t>
  </si>
  <si>
    <t>3001</t>
  </si>
  <si>
    <t>Katakura Industries Co. Ltd.</t>
  </si>
  <si>
    <t>ORRON</t>
  </si>
  <si>
    <t>Orron Energy ab</t>
  </si>
  <si>
    <t>AZRM</t>
  </si>
  <si>
    <t>Azorim-Investment Development &amp; Construction Co. Ltd.</t>
  </si>
  <si>
    <t>3465</t>
  </si>
  <si>
    <t>Ki-Star Real Estate Co. Ltd.</t>
  </si>
  <si>
    <t>YIT</t>
  </si>
  <si>
    <t>YIT Oyj</t>
  </si>
  <si>
    <t>AMAL</t>
  </si>
  <si>
    <t>Amalgamated Financial Corp.</t>
  </si>
  <si>
    <t>NBLY</t>
  </si>
  <si>
    <t>Neighbourly Pharmacy Inc.</t>
  </si>
  <si>
    <t>4047</t>
  </si>
  <si>
    <t>Kanto Denka Kogyo Co. Ltd.</t>
  </si>
  <si>
    <t>SIGA</t>
  </si>
  <si>
    <t>SIGA Technologies Inc.</t>
  </si>
  <si>
    <t>2211</t>
  </si>
  <si>
    <t>Fujiya Co. Ltd.</t>
  </si>
  <si>
    <t>D.UN</t>
  </si>
  <si>
    <t>Dream Office Real Estate Investment Trust</t>
  </si>
  <si>
    <t>AMSWA</t>
  </si>
  <si>
    <t>American Software Inc./GA</t>
  </si>
  <si>
    <t>INS</t>
  </si>
  <si>
    <t>Instone Real Estate Group SE</t>
  </si>
  <si>
    <t>CMPX</t>
  </si>
  <si>
    <t>Compass Therapeutics Inc.</t>
  </si>
  <si>
    <t>8600</t>
  </si>
  <si>
    <t>TOMONY Holdings Inc.</t>
  </si>
  <si>
    <t>RMAX</t>
  </si>
  <si>
    <t>RE/MAX Holdings Inc.</t>
  </si>
  <si>
    <t>MDM</t>
  </si>
  <si>
    <t>Maisons du Monde SA</t>
  </si>
  <si>
    <t>FCT</t>
  </si>
  <si>
    <t>Fincantieri SPA</t>
  </si>
  <si>
    <t>8818</t>
  </si>
  <si>
    <t>Keihanshin Building Co. Ltd.</t>
  </si>
  <si>
    <t>6744</t>
  </si>
  <si>
    <t>Nohmi Bosai Ltd.</t>
  </si>
  <si>
    <t>BV</t>
  </si>
  <si>
    <t>BrightView Holdings Inc.</t>
  </si>
  <si>
    <t>3046</t>
  </si>
  <si>
    <t>JINS Holdings Inc.</t>
  </si>
  <si>
    <t>SHCO</t>
  </si>
  <si>
    <t>Soho House &amp; Co. Inc.</t>
  </si>
  <si>
    <t>BAND</t>
  </si>
  <si>
    <t>Bandwidth Inc.</t>
  </si>
  <si>
    <t>5946</t>
  </si>
  <si>
    <t>Chofu Seisakusho Co. Ltd.</t>
  </si>
  <si>
    <t>Reach plc</t>
  </si>
  <si>
    <t>4348</t>
  </si>
  <si>
    <t>Infocom Corp.</t>
  </si>
  <si>
    <t>TSVT</t>
  </si>
  <si>
    <t>2seventy bio Inc.</t>
  </si>
  <si>
    <t>HRT</t>
  </si>
  <si>
    <t>HireRight Holdings Corp.</t>
  </si>
  <si>
    <t>1137</t>
  </si>
  <si>
    <t>Hong Kong Technology Venture Co. Ltd.</t>
  </si>
  <si>
    <t>8508</t>
  </si>
  <si>
    <t>J Trust Co. Ltd.</t>
  </si>
  <si>
    <t>8198</t>
  </si>
  <si>
    <t>Maxvalu Tokai Co. Ltd.</t>
  </si>
  <si>
    <t>ANGO</t>
  </si>
  <si>
    <t>AngioDynamics Inc.</t>
  </si>
  <si>
    <t>ProFrac Holding Corp.</t>
  </si>
  <si>
    <t>VZIO</t>
  </si>
  <si>
    <t>Vizio Holding Corp.</t>
  </si>
  <si>
    <t>OSUR</t>
  </si>
  <si>
    <t>OraSure Technologies Inc.</t>
  </si>
  <si>
    <t>8079</t>
  </si>
  <si>
    <t>Shoei Foods Corp.</t>
  </si>
  <si>
    <t>7033</t>
  </si>
  <si>
    <t>Management Solutions Co. Ltd.</t>
  </si>
  <si>
    <t>HBT</t>
  </si>
  <si>
    <t>HBT Financial Inc.</t>
  </si>
  <si>
    <t>775</t>
  </si>
  <si>
    <t>CK Life Sciences Int'l Holdings Inc.</t>
  </si>
  <si>
    <t>7222</t>
  </si>
  <si>
    <t>Nissan Shatai Co. Ltd.</t>
  </si>
  <si>
    <t>ANORA</t>
  </si>
  <si>
    <t>Anora Group Oyj</t>
  </si>
  <si>
    <t>BVB</t>
  </si>
  <si>
    <t>Borussia Dortmund GmbH &amp; Co. KGaA</t>
  </si>
  <si>
    <t>JOUT</t>
  </si>
  <si>
    <t>Johnson Outdoors Inc.</t>
  </si>
  <si>
    <t>Distribuidora Internacional de Alimentacion SA</t>
  </si>
  <si>
    <t>3844</t>
  </si>
  <si>
    <t>Comture Corp.</t>
  </si>
  <si>
    <t>FARO</t>
  </si>
  <si>
    <t>FARO Technologies Inc.</t>
  </si>
  <si>
    <t>4187</t>
  </si>
  <si>
    <t>Osaka Organic Chemical Industry Ltd.</t>
  </si>
  <si>
    <t>MN</t>
  </si>
  <si>
    <t>Arnoldo Mondadori Editore SPA</t>
  </si>
  <si>
    <t>HOC</t>
  </si>
  <si>
    <t>Hochschild Mining plc</t>
  </si>
  <si>
    <t>5481</t>
  </si>
  <si>
    <t>Sanyo Special Steel Co. Ltd.</t>
  </si>
  <si>
    <t>1788</t>
  </si>
  <si>
    <t>Guotai Junan International Holdings Ltd.</t>
  </si>
  <si>
    <t>6340</t>
  </si>
  <si>
    <t>Shibuya Corp.</t>
  </si>
  <si>
    <t>ORDI</t>
  </si>
  <si>
    <t>Ordina NV</t>
  </si>
  <si>
    <t>TXGN</t>
  </si>
  <si>
    <t>TX Group AG</t>
  </si>
  <si>
    <t>OVH</t>
  </si>
  <si>
    <t>OVH Groupe SAS</t>
  </si>
  <si>
    <t>AFPR</t>
  </si>
  <si>
    <t>AFI Properties Ltd.</t>
  </si>
  <si>
    <t>BICO</t>
  </si>
  <si>
    <t>BICO Group AB</t>
  </si>
  <si>
    <t>AVON</t>
  </si>
  <si>
    <t>Avon Protection plc</t>
  </si>
  <si>
    <t>5122</t>
  </si>
  <si>
    <t>Okamoto Industries Inc.</t>
  </si>
  <si>
    <t>ELO</t>
  </si>
  <si>
    <t>Elopak ASA</t>
  </si>
  <si>
    <t>CTOS</t>
  </si>
  <si>
    <t>Custom Truck One Source Inc.</t>
  </si>
  <si>
    <t>3445</t>
  </si>
  <si>
    <t>RS Technologies Co. Ltd.</t>
  </si>
  <si>
    <t>ISCN</t>
  </si>
  <si>
    <t>Israel Canada T.R Ltd.</t>
  </si>
  <si>
    <t>EQRX</t>
  </si>
  <si>
    <t>EQRx Inc.</t>
  </si>
  <si>
    <t>BRNL</t>
  </si>
  <si>
    <t>Brunel International NV</t>
  </si>
  <si>
    <t>ENFN</t>
  </si>
  <si>
    <t>Enfusion Inc.</t>
  </si>
  <si>
    <t>3085</t>
  </si>
  <si>
    <t>Arcland Service Holdings Co. Ltd.</t>
  </si>
  <si>
    <t>BBUC</t>
  </si>
  <si>
    <t>Brookfield Business Corp.</t>
  </si>
  <si>
    <t>SMHN</t>
  </si>
  <si>
    <t>SUESS MicroTec SE</t>
  </si>
  <si>
    <t>242</t>
  </si>
  <si>
    <t>Shun Tak Holdings Ltd.</t>
  </si>
  <si>
    <t>Alliance Pharma plc</t>
  </si>
  <si>
    <t>ISRS</t>
  </si>
  <si>
    <t>Isras Investment Co. Ltd.</t>
  </si>
  <si>
    <t>6877</t>
  </si>
  <si>
    <t>Obara Group Inc.</t>
  </si>
  <si>
    <t>PTSI</t>
  </si>
  <si>
    <t>PAM Transportation Services Inc.</t>
  </si>
  <si>
    <t>8214</t>
  </si>
  <si>
    <t>AOKI Holdings Inc.</t>
  </si>
  <si>
    <t>REPX</t>
  </si>
  <si>
    <t>Riley Exploration Permian Inc.</t>
  </si>
  <si>
    <t>7860</t>
  </si>
  <si>
    <t>Avex Inc.</t>
  </si>
  <si>
    <t>OCA</t>
  </si>
  <si>
    <t>Oceania Healthcare Ltd.</t>
  </si>
  <si>
    <t>7958</t>
  </si>
  <si>
    <t>Tenma Corp.</t>
  </si>
  <si>
    <t>Seritage Growth Properties</t>
  </si>
  <si>
    <t>OFLX</t>
  </si>
  <si>
    <t>Omega Flex Inc.</t>
  </si>
  <si>
    <t>CNSL</t>
  </si>
  <si>
    <t>Consolidated Communications Holdings Inc.</t>
  </si>
  <si>
    <t>GRA</t>
  </si>
  <si>
    <t>NanoXplore Inc.</t>
  </si>
  <si>
    <t>TPB</t>
  </si>
  <si>
    <t>Turning Point Brands Inc.</t>
  </si>
  <si>
    <t>MCM</t>
  </si>
  <si>
    <t>Miquel y Costas &amp; Miquel SA</t>
  </si>
  <si>
    <t>SLS</t>
  </si>
  <si>
    <t>Solaris Resources Inc.</t>
  </si>
  <si>
    <t>ABDP</t>
  </si>
  <si>
    <t>AB Dynamics plc</t>
  </si>
  <si>
    <t>RBBN</t>
  </si>
  <si>
    <t>Ribbon Communications Inc.</t>
  </si>
  <si>
    <t>CRSM</t>
  </si>
  <si>
    <t>Carasso Motors Ltd.</t>
  </si>
  <si>
    <t>8871</t>
  </si>
  <si>
    <t>Goldcrest Co. Ltd.</t>
  </si>
  <si>
    <t>CIR SpA-Compagnie Industriali</t>
  </si>
  <si>
    <t>About You Holding SE</t>
  </si>
  <si>
    <t>Ascopiave SPA</t>
  </si>
  <si>
    <t>6929</t>
  </si>
  <si>
    <t>Nippon Ceramic Co. Ltd.</t>
  </si>
  <si>
    <t>7744</t>
  </si>
  <si>
    <t>Noritsu Koki Co. Ltd.</t>
  </si>
  <si>
    <t>RGL</t>
  </si>
  <si>
    <t>Regional REIT Ltd.</t>
  </si>
  <si>
    <t>2168</t>
  </si>
  <si>
    <t>Pasona Group Inc.</t>
  </si>
  <si>
    <t>GCT</t>
  </si>
  <si>
    <t>G City Ltd.</t>
  </si>
  <si>
    <t>NTML</t>
  </si>
  <si>
    <t>Neto Malinda Trading Ltd.</t>
  </si>
  <si>
    <t>KRO</t>
  </si>
  <si>
    <t>Kronos Worldwide Inc.</t>
  </si>
  <si>
    <t>FF</t>
  </si>
  <si>
    <t>FutureFuel Corp.</t>
  </si>
  <si>
    <t>7599</t>
  </si>
  <si>
    <t>IDOM Inc.</t>
  </si>
  <si>
    <t>7595</t>
  </si>
  <si>
    <t>Argo Graphics Inc.</t>
  </si>
  <si>
    <t>PKSHA Technology Inc.</t>
  </si>
  <si>
    <t>VGCX</t>
  </si>
  <si>
    <t>Victoria Gold Corp.</t>
  </si>
  <si>
    <t>LXRX</t>
  </si>
  <si>
    <t>Lexicon Pharmaceuticals Inc.</t>
  </si>
  <si>
    <t>TERN</t>
  </si>
  <si>
    <t>Terns Pharmaceuticals Inc.</t>
  </si>
  <si>
    <t>RST</t>
  </si>
  <si>
    <t>Restore plc</t>
  </si>
  <si>
    <t>IDIN</t>
  </si>
  <si>
    <t>IDI Insurance Co. Ltd.</t>
  </si>
  <si>
    <t>BTAI</t>
  </si>
  <si>
    <t>Bioxcel Therapeutics Inc.</t>
  </si>
  <si>
    <t>ITOS</t>
  </si>
  <si>
    <t>iTeos Therapeutics Inc.</t>
  </si>
  <si>
    <t>7085</t>
  </si>
  <si>
    <t>Curves Holdings Co. Ltd.</t>
  </si>
  <si>
    <t>CMCX</t>
  </si>
  <si>
    <t>CMC Markets plc</t>
  </si>
  <si>
    <t>3156</t>
  </si>
  <si>
    <t>Restar Holdings Corp.</t>
  </si>
  <si>
    <t>PIPE</t>
  </si>
  <si>
    <t>Pipestone Energy Corp.</t>
  </si>
  <si>
    <t>BLNK</t>
  </si>
  <si>
    <t>Blink Charging Co.</t>
  </si>
  <si>
    <t>6080</t>
  </si>
  <si>
    <t>M&amp;A Capital Partners Co. Ltd.</t>
  </si>
  <si>
    <t>E28</t>
  </si>
  <si>
    <t>Frencken Group Ltd.</t>
  </si>
  <si>
    <t>8200</t>
  </si>
  <si>
    <t>Ringer Hut Co. Ltd.</t>
  </si>
  <si>
    <t>ELIOR</t>
  </si>
  <si>
    <t>Elior Group SA</t>
  </si>
  <si>
    <t>PNTG</t>
  </si>
  <si>
    <t>Pennant Group Inc.</t>
  </si>
  <si>
    <t>RMNI</t>
  </si>
  <si>
    <t>Rimini Street Inc.</t>
  </si>
  <si>
    <t>VASTN</t>
  </si>
  <si>
    <t>Vastned Retail NV</t>
  </si>
  <si>
    <t>2148</t>
  </si>
  <si>
    <t>Vesync Co. Ltd.</t>
  </si>
  <si>
    <t>8131</t>
  </si>
  <si>
    <t>Mitsuuroko Group Holdings Co. Ltd.</t>
  </si>
  <si>
    <t>4549</t>
  </si>
  <si>
    <t>Eiken Chemical Co. Ltd.</t>
  </si>
  <si>
    <t>3632</t>
  </si>
  <si>
    <t>Gree Inc.</t>
  </si>
  <si>
    <t>6058</t>
  </si>
  <si>
    <t>Vector Inc.</t>
  </si>
  <si>
    <t>TRPZ</t>
  </si>
  <si>
    <t>Turpaz Industries Ltd.</t>
  </si>
  <si>
    <t>7606</t>
  </si>
  <si>
    <t>United Arrows Ltd.</t>
  </si>
  <si>
    <t>7508</t>
  </si>
  <si>
    <t>G-7 Holdings Inc.</t>
  </si>
  <si>
    <t>7613</t>
  </si>
  <si>
    <t>Siix Corp.</t>
  </si>
  <si>
    <t>RTLS</t>
  </si>
  <si>
    <t>Retailors Ltd.</t>
  </si>
  <si>
    <t>Prosegur Cash SA</t>
  </si>
  <si>
    <t>S20</t>
  </si>
  <si>
    <t>Straits Trading Co. Ltd./Singapore</t>
  </si>
  <si>
    <t>1822</t>
  </si>
  <si>
    <t>Daiho Corp.</t>
  </si>
  <si>
    <t>FGEN</t>
  </si>
  <si>
    <t>FibroGen Inc.</t>
  </si>
  <si>
    <t>VOLO</t>
  </si>
  <si>
    <t>Volati AB</t>
  </si>
  <si>
    <t>PAHC</t>
  </si>
  <si>
    <t>Phibro Animal Health Corp.</t>
  </si>
  <si>
    <t>Cie des Alpes</t>
  </si>
  <si>
    <t>2742</t>
  </si>
  <si>
    <t>Halows Co. Ltd.</t>
  </si>
  <si>
    <t>1887</t>
  </si>
  <si>
    <t>JDC Corp.</t>
  </si>
  <si>
    <t>PHN</t>
  </si>
  <si>
    <t>Pharmanutra SPA</t>
  </si>
  <si>
    <t>6118</t>
  </si>
  <si>
    <t>Aida Engineering Ltd.</t>
  </si>
  <si>
    <t>6376</t>
  </si>
  <si>
    <t>Nikkiso Co. Ltd.</t>
  </si>
  <si>
    <t>7905</t>
  </si>
  <si>
    <t>Daiken Corp.</t>
  </si>
  <si>
    <t>MI.UN</t>
  </si>
  <si>
    <t>Minto Apartment Real Estate Investment Trust</t>
  </si>
  <si>
    <t>MMT</t>
  </si>
  <si>
    <t>Metropole Television SA</t>
  </si>
  <si>
    <t>WAGA</t>
  </si>
  <si>
    <t>Waga Energy SA</t>
  </si>
  <si>
    <t>7366</t>
  </si>
  <si>
    <t>LITALICO Inc.</t>
  </si>
  <si>
    <t>P8Z</t>
  </si>
  <si>
    <t>Bumitama Agri Ltd.</t>
  </si>
  <si>
    <t>1733</t>
  </si>
  <si>
    <t>E-Commodities Holdings Ltd.</t>
  </si>
  <si>
    <t>LAS.A</t>
  </si>
  <si>
    <t>Lassonde Industries Inc.</t>
  </si>
  <si>
    <t>CLAS B</t>
  </si>
  <si>
    <t>Clas Ohlson AB</t>
  </si>
  <si>
    <t>RNK</t>
  </si>
  <si>
    <t>Rank Group plc</t>
  </si>
  <si>
    <t>8934</t>
  </si>
  <si>
    <t>Sun Frontier Fudousan Co. Ltd.</t>
  </si>
  <si>
    <t>SHI</t>
  </si>
  <si>
    <t>SIG plc</t>
  </si>
  <si>
    <t>4914</t>
  </si>
  <si>
    <t>Takasago International Corp.</t>
  </si>
  <si>
    <t>HLVX</t>
  </si>
  <si>
    <t>HilleVax Inc.</t>
  </si>
  <si>
    <t>2929</t>
  </si>
  <si>
    <t>Pharma Foods International Co. Ltd.</t>
  </si>
  <si>
    <t>EGLA</t>
  </si>
  <si>
    <t>Eurogroup Laminations SPA</t>
  </si>
  <si>
    <t>USM</t>
  </si>
  <si>
    <t>United States Cellular Corp.</t>
  </si>
  <si>
    <t>ANIK</t>
  </si>
  <si>
    <t>Anika Therapeutics Inc.</t>
  </si>
  <si>
    <t>A3M</t>
  </si>
  <si>
    <t>Atresmedia Corp. de Medios de Comunicacion SA</t>
  </si>
  <si>
    <t>Semapa-Sociedade de Investimento e Gestao</t>
  </si>
  <si>
    <t>9729</t>
  </si>
  <si>
    <t>Tokai Corp./Gifu</t>
  </si>
  <si>
    <t>LEV</t>
  </si>
  <si>
    <t>Lion Electric Co.</t>
  </si>
  <si>
    <t>ANGI</t>
  </si>
  <si>
    <t>Angi Inc.</t>
  </si>
  <si>
    <t>6741</t>
  </si>
  <si>
    <t>Nippon Signal Company Ltd.</t>
  </si>
  <si>
    <t>METC</t>
  </si>
  <si>
    <t>Ramaco Resources Inc.</t>
  </si>
  <si>
    <t>FSZ</t>
  </si>
  <si>
    <t>Fiera Capital Corp.</t>
  </si>
  <si>
    <t>TNGX</t>
  </si>
  <si>
    <t>Tango Therapeutics Inc.</t>
  </si>
  <si>
    <t>TNOM</t>
  </si>
  <si>
    <t>Talenom Oyj</t>
  </si>
  <si>
    <t>SBB D</t>
  </si>
  <si>
    <t>FSECURE</t>
  </si>
  <si>
    <t>F-Secure Oyj</t>
  </si>
  <si>
    <t>4719</t>
  </si>
  <si>
    <t>Alpha Systems Inc.</t>
  </si>
  <si>
    <t>XANO B</t>
  </si>
  <si>
    <t>XANO Industri AB</t>
  </si>
  <si>
    <t>7739</t>
  </si>
  <si>
    <t>Canon Electronics Inc.</t>
  </si>
  <si>
    <t>EGRX</t>
  </si>
  <si>
    <t>Eagle Pharmaceuticals Inc./DE</t>
  </si>
  <si>
    <t>1183</t>
  </si>
  <si>
    <t>MECOM Power and Construction Ltd.</t>
  </si>
  <si>
    <t>NUTX</t>
  </si>
  <si>
    <t>Nutex Health Inc.</t>
  </si>
  <si>
    <t>ICP1V</t>
  </si>
  <si>
    <t>Incap Oyj</t>
  </si>
  <si>
    <t>Trustpilot Group plc</t>
  </si>
  <si>
    <t>Texhong International Group Ltd.</t>
  </si>
  <si>
    <t>Collector Bank AB</t>
  </si>
  <si>
    <t>AP4</t>
  </si>
  <si>
    <t>Riverstone Holdings Ltd.</t>
  </si>
  <si>
    <t>GENL</t>
  </si>
  <si>
    <t>Genel Energy plc</t>
  </si>
  <si>
    <t>SYNSAM</t>
  </si>
  <si>
    <t>Synsam AB</t>
  </si>
  <si>
    <t>1934</t>
  </si>
  <si>
    <t>Yurtec Corp.</t>
  </si>
  <si>
    <t>FLWS</t>
  </si>
  <si>
    <t>1-800-Flowers.com Inc.</t>
  </si>
  <si>
    <t>BWE</t>
  </si>
  <si>
    <t>BW Energy Ltd.</t>
  </si>
  <si>
    <t>1946</t>
  </si>
  <si>
    <t>Toenec Corp.</t>
  </si>
  <si>
    <t>SSTI</t>
  </si>
  <si>
    <t>SoundThinking Inc.</t>
  </si>
  <si>
    <t>NUVB</t>
  </si>
  <si>
    <t>Nuvation Bio Inc.</t>
  </si>
  <si>
    <t>VTOL</t>
  </si>
  <si>
    <t>Bristow Group Inc.</t>
  </si>
  <si>
    <t>9551</t>
  </si>
  <si>
    <t>METAWATER Co. Ltd.</t>
  </si>
  <si>
    <t>LISI - PF - 2022 BONUS</t>
  </si>
  <si>
    <t>9902</t>
  </si>
  <si>
    <t>Nichiden Corp.</t>
  </si>
  <si>
    <t>2664</t>
  </si>
  <si>
    <t>Cawachi Ltd.</t>
  </si>
  <si>
    <t>7456</t>
  </si>
  <si>
    <t>Matsuda Sangyo Co. Ltd.</t>
  </si>
  <si>
    <t>CLAR</t>
  </si>
  <si>
    <t>Clarus Corp.</t>
  </si>
  <si>
    <t>AV</t>
  </si>
  <si>
    <t>Antares Vision SPA</t>
  </si>
  <si>
    <t>FILA</t>
  </si>
  <si>
    <t>Fila SPA</t>
  </si>
  <si>
    <t>TLGO</t>
  </si>
  <si>
    <t>Talgo SA</t>
  </si>
  <si>
    <t>2471</t>
  </si>
  <si>
    <t>S-Pool Inc.</t>
  </si>
  <si>
    <t>AKH</t>
  </si>
  <si>
    <t>Aker Horizons ASA</t>
  </si>
  <si>
    <t>WIIT</t>
  </si>
  <si>
    <t>Wiit SPA</t>
  </si>
  <si>
    <t>2124</t>
  </si>
  <si>
    <t>JAC Recruitment Co. Ltd.</t>
  </si>
  <si>
    <t>315</t>
  </si>
  <si>
    <t>SmarTone Telecommunications Holdings Ltd.</t>
  </si>
  <si>
    <t>6345</t>
  </si>
  <si>
    <t>Aichi Corp.</t>
  </si>
  <si>
    <t>Chorus Aviation Inc.</t>
  </si>
  <si>
    <t>MTU</t>
  </si>
  <si>
    <t>Manitou BF SA</t>
  </si>
  <si>
    <t>CE2</t>
  </si>
  <si>
    <t>CropEnergies AG</t>
  </si>
  <si>
    <t>256</t>
  </si>
  <si>
    <t>Citychamp Watch &amp; Jewellery Group Ltd.</t>
  </si>
  <si>
    <t>CGO</t>
  </si>
  <si>
    <t>Cogeco Inc.</t>
  </si>
  <si>
    <t>8167</t>
  </si>
  <si>
    <t>Retail Partners Co. Ltd.</t>
  </si>
  <si>
    <t>AVTE</t>
  </si>
  <si>
    <t>Aerovate Therapeutics Inc.</t>
  </si>
  <si>
    <t>6197</t>
  </si>
  <si>
    <t>Solasto Corp.</t>
  </si>
  <si>
    <t>AMBEA</t>
  </si>
  <si>
    <t>Ambea AB</t>
  </si>
  <si>
    <t>2692</t>
  </si>
  <si>
    <t>Itochu-Shokuhin Co. Ltd.</t>
  </si>
  <si>
    <t>ABCA</t>
  </si>
  <si>
    <t>ABC arbitrage</t>
  </si>
  <si>
    <t>BDT</t>
  </si>
  <si>
    <t>Bertrandt AG</t>
  </si>
  <si>
    <t>6289</t>
  </si>
  <si>
    <t>Giken Ltd.</t>
  </si>
  <si>
    <t>NYAX</t>
  </si>
  <si>
    <t>Nayax Ltd.</t>
  </si>
  <si>
    <t>NSTG</t>
  </si>
  <si>
    <t>NanoString Technologies Inc.</t>
  </si>
  <si>
    <t>215</t>
  </si>
  <si>
    <t>Hutchison Telecommunications Hong Kong Holdings Ltd.</t>
  </si>
  <si>
    <t>NXR.UN</t>
  </si>
  <si>
    <t>Nexus Industrial REIT</t>
  </si>
  <si>
    <t>SOLG</t>
  </si>
  <si>
    <t>SolGold plc</t>
  </si>
  <si>
    <t>HIPO</t>
  </si>
  <si>
    <t>Hippo Holdings Inc.</t>
  </si>
  <si>
    <t>RXT</t>
  </si>
  <si>
    <t>Rackspace Technology Inc.</t>
  </si>
  <si>
    <t>HMST</t>
  </si>
  <si>
    <t>HomeStreet Inc.</t>
  </si>
  <si>
    <t>7779</t>
  </si>
  <si>
    <t>CYBERDYNE Inc.</t>
  </si>
  <si>
    <t>C-Mer Eye Care Holdings Ltd.</t>
  </si>
  <si>
    <t>4051</t>
  </si>
  <si>
    <t>GMO Financial Gate Inc.</t>
  </si>
  <si>
    <t>TDCX</t>
  </si>
  <si>
    <t>TDCX Inc.</t>
  </si>
  <si>
    <t>7512</t>
  </si>
  <si>
    <t>Aeon Hokkaido Corp.</t>
  </si>
  <si>
    <t>Semperit AG Holding</t>
  </si>
  <si>
    <t>CBRAIN</t>
  </si>
  <si>
    <t>cBrain A/S</t>
  </si>
  <si>
    <t>5541</t>
  </si>
  <si>
    <t>Pacific Metals Co. Ltd.</t>
  </si>
  <si>
    <t>9517</t>
  </si>
  <si>
    <t>eRex Co. Ltd.</t>
  </si>
  <si>
    <t>MZH</t>
  </si>
  <si>
    <t>Nanofilm Technologies International Ltd.</t>
  </si>
  <si>
    <t>6459</t>
  </si>
  <si>
    <t>Daiwa Industries Ltd.</t>
  </si>
  <si>
    <t>4714</t>
  </si>
  <si>
    <t>Riso Kyoiku Co. Ltd.</t>
  </si>
  <si>
    <t>BEWI</t>
  </si>
  <si>
    <t>BEWi ASA</t>
  </si>
  <si>
    <t>YHNF</t>
  </si>
  <si>
    <t>M Yochananof &amp; Sons Ltd.</t>
  </si>
  <si>
    <t>NFTA</t>
  </si>
  <si>
    <t>Naphtha Israel Petroleum Corp. Ltd.</t>
  </si>
  <si>
    <t>WHS</t>
  </si>
  <si>
    <t>Warehouse Group Ltd.</t>
  </si>
  <si>
    <t>RVRC</t>
  </si>
  <si>
    <t>Rvrc Holding AB</t>
  </si>
  <si>
    <t>WEED</t>
  </si>
  <si>
    <t>Canopy Growth Corp.</t>
  </si>
  <si>
    <t>2484</t>
  </si>
  <si>
    <t>Demae-Can Co. Ltd.</t>
  </si>
  <si>
    <t>1830</t>
  </si>
  <si>
    <t>Perfect Medical Health Management Ltd.</t>
  </si>
  <si>
    <t>AMRS</t>
  </si>
  <si>
    <t>Amyris Inc.</t>
  </si>
  <si>
    <t>DIC</t>
  </si>
  <si>
    <t>DIC Asset AG</t>
  </si>
  <si>
    <t>2791</t>
  </si>
  <si>
    <t>Daikokutenbussan Co. Ltd.</t>
  </si>
  <si>
    <t>PBL</t>
  </si>
  <si>
    <t>Pollard Banknote Ltd.</t>
  </si>
  <si>
    <t>4726</t>
  </si>
  <si>
    <t>SB Technology Corp.</t>
  </si>
  <si>
    <t>ET</t>
  </si>
  <si>
    <t>Evertz Technologies Ltd.</t>
  </si>
  <si>
    <t>PRT</t>
  </si>
  <si>
    <t>Esprinet SPA</t>
  </si>
  <si>
    <t>ST5</t>
  </si>
  <si>
    <t>Steico SE</t>
  </si>
  <si>
    <t>BSS</t>
  </si>
  <si>
    <t>Biesse SPA</t>
  </si>
  <si>
    <t>3028</t>
  </si>
  <si>
    <t>Alpen Co. Ltd.</t>
  </si>
  <si>
    <t>6269</t>
  </si>
  <si>
    <t>Modec Inc.</t>
  </si>
  <si>
    <t>Seco SPA</t>
  </si>
  <si>
    <t>LOCO</t>
  </si>
  <si>
    <t>El Pollo Loco Holdings Inc.</t>
  </si>
  <si>
    <t>BTOU</t>
  </si>
  <si>
    <t>Manulife US Real Estate Investment Trust</t>
  </si>
  <si>
    <t>NUAG</t>
  </si>
  <si>
    <t>New Pacific Metals Corp.</t>
  </si>
  <si>
    <t>6278</t>
  </si>
  <si>
    <t>Union Tool Co.</t>
  </si>
  <si>
    <t>PHAT</t>
  </si>
  <si>
    <t>Phathom Pharmaceuticals Inc.</t>
  </si>
  <si>
    <t>1382</t>
  </si>
  <si>
    <t>Pacific Textiles Holdings Ltd.</t>
  </si>
  <si>
    <t>GARO</t>
  </si>
  <si>
    <t>GARO AB</t>
  </si>
  <si>
    <t>VITL</t>
  </si>
  <si>
    <t>Vital Farms Inc.</t>
  </si>
  <si>
    <t>7177</t>
  </si>
  <si>
    <t>GMO Financial Holdings Inc.</t>
  </si>
  <si>
    <t>4215</t>
  </si>
  <si>
    <t>CI Takiron Corp.</t>
  </si>
  <si>
    <t>d'Amico International Shipping SA</t>
  </si>
  <si>
    <t>AKW</t>
  </si>
  <si>
    <t>AKWEL</t>
  </si>
  <si>
    <t>OKDBV</t>
  </si>
  <si>
    <t>Oriola Oyj</t>
  </si>
  <si>
    <t>1696</t>
  </si>
  <si>
    <t>Sisram Medical Ltd.</t>
  </si>
  <si>
    <t>IMMO</t>
  </si>
  <si>
    <t>Immobel SA</t>
  </si>
  <si>
    <t>BSGR</t>
  </si>
  <si>
    <t>B&amp;S Group Sarl</t>
  </si>
  <si>
    <t>Basler AG</t>
  </si>
  <si>
    <t>LAW</t>
  </si>
  <si>
    <t>CS Disco Inc.</t>
  </si>
  <si>
    <t>KPTI</t>
  </si>
  <si>
    <t>Karyopharm Therapeutics Inc.</t>
  </si>
  <si>
    <t>VZUG</t>
  </si>
  <si>
    <t>V-ZUG Holding AG</t>
  </si>
  <si>
    <t>LISI</t>
  </si>
  <si>
    <t>6564</t>
  </si>
  <si>
    <t>Midac Holdings Co. Ltd.</t>
  </si>
  <si>
    <t>CMBM</t>
  </si>
  <si>
    <t>Cambium Networks Corp.</t>
  </si>
  <si>
    <t>9887</t>
  </si>
  <si>
    <t>Matsuyafoods Holdings Co. Ltd.</t>
  </si>
  <si>
    <t>2475</t>
  </si>
  <si>
    <t>WDB Holdings Co. Ltd.</t>
  </si>
  <si>
    <t>LGO</t>
  </si>
  <si>
    <t>Largo Inc.</t>
  </si>
  <si>
    <t>MBB</t>
  </si>
  <si>
    <t>MBB SE</t>
  </si>
  <si>
    <t>HPUR</t>
  </si>
  <si>
    <t>Hexagon Purus ASA</t>
  </si>
  <si>
    <t>OHB</t>
  </si>
  <si>
    <t>OHB SE</t>
  </si>
  <si>
    <t>Chargeurs SA</t>
  </si>
  <si>
    <t>9474</t>
  </si>
  <si>
    <t>Zenrin Co. Ltd.</t>
  </si>
  <si>
    <t>6800</t>
  </si>
  <si>
    <t>Yokowo Co. Ltd.</t>
  </si>
  <si>
    <t>8182</t>
  </si>
  <si>
    <t>Inageya Co. Ltd.</t>
  </si>
  <si>
    <t>Agrana Beteiligungs AG</t>
  </si>
  <si>
    <t>DUST</t>
  </si>
  <si>
    <t>Dustin Group AB</t>
  </si>
  <si>
    <t>6630</t>
  </si>
  <si>
    <t>YA-MAN Ltd.</t>
  </si>
  <si>
    <t>8841</t>
  </si>
  <si>
    <t>TOC Co. Ltd.</t>
  </si>
  <si>
    <t>178</t>
  </si>
  <si>
    <t>Sa Sa International Holdings Ltd.</t>
  </si>
  <si>
    <t>MCPHY</t>
  </si>
  <si>
    <t>McPhy Energy SA</t>
  </si>
  <si>
    <t>MRSN</t>
  </si>
  <si>
    <t>Mersana Therapeutics Inc.</t>
  </si>
  <si>
    <t>8244</t>
  </si>
  <si>
    <t>Kintetsu Department Store Co. Ltd.</t>
  </si>
  <si>
    <t>PRSK</t>
  </si>
  <si>
    <t>Prashkovsky Investments and Construction Ltd.</t>
  </si>
  <si>
    <t>SNPO</t>
  </si>
  <si>
    <t>Snap One Holdings Corp.</t>
  </si>
  <si>
    <t>EBUS</t>
  </si>
  <si>
    <t>Ebusco Holding NV</t>
  </si>
  <si>
    <t>DORL</t>
  </si>
  <si>
    <t>Doral Group Renewable Energy Resources Ltd.</t>
  </si>
  <si>
    <t>PAY</t>
  </si>
  <si>
    <t>Paymentus Holdings Inc.</t>
  </si>
  <si>
    <t>VESTUM</t>
  </si>
  <si>
    <t>Vestum AB</t>
  </si>
  <si>
    <t>2980</t>
  </si>
  <si>
    <t>SRE Holdings Corp.</t>
  </si>
  <si>
    <t>7105</t>
  </si>
  <si>
    <t>Mitsubishi Logisnext Co. Ltd.</t>
  </si>
  <si>
    <t>PTBL</t>
  </si>
  <si>
    <t>Property &amp; Building Corp. Ltd.</t>
  </si>
  <si>
    <t>PEAN</t>
  </si>
  <si>
    <t>Peach Property Group AG</t>
  </si>
  <si>
    <t>BOI</t>
  </si>
  <si>
    <t>Boiron SA</t>
  </si>
  <si>
    <t>BON</t>
  </si>
  <si>
    <t>Bonduelle SCA</t>
  </si>
  <si>
    <t>ALTF</t>
  </si>
  <si>
    <t>Altshuler Shaham Penn Ltd.</t>
  </si>
  <si>
    <t>9790</t>
  </si>
  <si>
    <t>Fukui Computer Holdings Inc.</t>
  </si>
  <si>
    <t>ALVR</t>
  </si>
  <si>
    <t>Allovir Inc.</t>
  </si>
  <si>
    <t>LGN</t>
  </si>
  <si>
    <t>Logan Energy Corp./CA</t>
  </si>
  <si>
    <t>CGEM</t>
  </si>
  <si>
    <t>Cullinan Oncology Inc.</t>
  </si>
  <si>
    <t>Fastned BV</t>
  </si>
  <si>
    <t>Casino Guichard Perrachon SA</t>
  </si>
  <si>
    <t>NOBI</t>
  </si>
  <si>
    <t>Nobia AB</t>
  </si>
  <si>
    <t>VLD</t>
  </si>
  <si>
    <t>Velo3D Inc.</t>
  </si>
  <si>
    <t>Soltec Power Holdings SA</t>
  </si>
  <si>
    <t>CSW.A</t>
  </si>
  <si>
    <t>Corby Spirit and Wine Ltd.</t>
  </si>
  <si>
    <t>Telenet Group Holding NV</t>
  </si>
  <si>
    <t>OBIO</t>
  </si>
  <si>
    <t>Orchestra BioMed Holdings Inc.</t>
  </si>
  <si>
    <t>AB</t>
  </si>
  <si>
    <t>AB Science SA</t>
  </si>
  <si>
    <t>Datalogic SPA</t>
  </si>
  <si>
    <t>KFAST B</t>
  </si>
  <si>
    <t>K-fast Holding AB</t>
  </si>
  <si>
    <t>ERAS</t>
  </si>
  <si>
    <t>Erasca Inc.</t>
  </si>
  <si>
    <t>7803</t>
  </si>
  <si>
    <t>Bushiroad Inc.</t>
  </si>
  <si>
    <t>6676</t>
  </si>
  <si>
    <t>Melco Holdings Inc.</t>
  </si>
  <si>
    <t>Digital Bros SPA</t>
  </si>
  <si>
    <t>4592</t>
  </si>
  <si>
    <t>SanBio Co. Ltd.</t>
  </si>
  <si>
    <t>6196</t>
  </si>
  <si>
    <t>Strike Co. Ltd.</t>
  </si>
  <si>
    <t>RPTX</t>
  </si>
  <si>
    <t>Repare Therapeutics Inc.</t>
  </si>
  <si>
    <t>127</t>
  </si>
  <si>
    <t>Chinese Estates Holdings Ltd.</t>
  </si>
  <si>
    <t>4880</t>
  </si>
  <si>
    <t>CellSource Co. Ltd.</t>
  </si>
  <si>
    <t>IGMS</t>
  </si>
  <si>
    <t>IGM Biosciences Inc.</t>
  </si>
  <si>
    <t>RIN</t>
  </si>
  <si>
    <t>Vilmorin &amp; Cie SA</t>
  </si>
  <si>
    <t>3788</t>
  </si>
  <si>
    <t>GMO GlobalSign Holdings KK</t>
  </si>
  <si>
    <t>EXM</t>
  </si>
  <si>
    <t>Exmar NV</t>
  </si>
  <si>
    <t>NGM</t>
  </si>
  <si>
    <t>NGM Biopharmaceuticals Inc.</t>
  </si>
  <si>
    <t>2170</t>
  </si>
  <si>
    <t>Link And Motivation Inc.</t>
  </si>
  <si>
    <t>8739</t>
  </si>
  <si>
    <t>Sparx Group Co. Ltd.</t>
  </si>
  <si>
    <t>7354</t>
  </si>
  <si>
    <t>Direct Marketing MiX Inc.</t>
  </si>
  <si>
    <t>3926</t>
  </si>
  <si>
    <t>Open Door Inc.</t>
  </si>
  <si>
    <t>STOK</t>
  </si>
  <si>
    <t>Stoke Therapeutics Inc.</t>
  </si>
  <si>
    <t>ALBIREO PHARMA INC- CVR</t>
  </si>
  <si>
    <t>SHCR</t>
  </si>
  <si>
    <t>Sharecare Inc.</t>
  </si>
  <si>
    <t>FII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</si>
</sst>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%"/>
  </numFmts>
  <fonts count="32">
    <font>
      <sz val="10.0"/>
      <color rgb="FF000000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color theme="1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u/>
      <sz val="10.0"/>
      <color rgb="FF040505"/>
      <name val="Arial"/>
    </font>
    <font>
      <u/>
      <sz val="10.0"/>
      <color rgb="FF040505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color theme="1"/>
      <name val="Arial"/>
      <scheme val="minor"/>
    </font>
    <font>
      <b/>
      <color rgb="FFFFFFFF"/>
      <name val="Arial"/>
      <scheme val="minor"/>
    </font>
    <font>
      <b/>
      <sz val="12.0"/>
      <color rgb="FFFFFFFF"/>
      <name val="Arial"/>
      <scheme val="minor"/>
    </font>
    <font>
      <color rgb="FFFFFFFF"/>
      <name val="Arial"/>
      <scheme val="minor"/>
    </font>
    <font>
      <b/>
      <sz val="28.0"/>
      <color rgb="FFFFFFFF"/>
      <name val="Arial"/>
      <scheme val="minor"/>
    </font>
    <font>
      <sz val="28.0"/>
      <color theme="1"/>
      <name val="Arial"/>
      <scheme val="minor"/>
    </font>
    <font>
      <sz val="8.0"/>
      <color theme="1"/>
      <name val="Arial"/>
    </font>
    <font>
      <sz val="8.0"/>
      <color rgb="FF262626"/>
      <name val="Arial"/>
    </font>
    <font>
      <sz val="8.0"/>
      <color theme="1"/>
      <name val="Arial"/>
      <scheme val="minor"/>
    </font>
    <font>
      <sz val="8.0"/>
      <color theme="1"/>
      <name val="&quot;Liberation Sans&quot;"/>
    </font>
    <font>
      <color rgb="FF000000"/>
      <name val="Calibri"/>
    </font>
    <font>
      <color theme="1"/>
      <name val="Calibri"/>
    </font>
    <font>
      <sz val="8.0"/>
      <color rgb="FF040505"/>
      <name val="Arial"/>
    </font>
    <font>
      <sz val="8.0"/>
      <color rgb="FF000000"/>
      <name val="Arial"/>
    </font>
    <font>
      <u/>
      <sz val="8.0"/>
      <color rgb="FF0000FF"/>
      <name val="Arial"/>
    </font>
    <font>
      <u/>
      <sz val="8.0"/>
      <color rgb="FF0000FF"/>
      <name val="Arial"/>
    </font>
    <font>
      <b/>
      <sz val="8.0"/>
      <color rgb="FFFFFFFF"/>
      <name val="Arial"/>
    </font>
    <font>
      <u/>
      <sz val="8.0"/>
      <color rgb="FF0000FF"/>
      <name val="Arial"/>
    </font>
    <font>
      <u/>
      <sz val="8.0"/>
      <color rgb="FF0000FF"/>
      <name val="Arial"/>
    </font>
    <font>
      <sz val="8.0"/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F4CCCC"/>
        <bgColor rgb="FFF4CCCC"/>
      </patternFill>
    </fill>
    <fill>
      <patternFill patternType="solid">
        <fgColor rgb="FFFFFF00"/>
        <bgColor rgb="FFFFFF00"/>
      </patternFill>
    </fill>
    <fill>
      <patternFill patternType="solid">
        <fgColor rgb="FF4A86E8"/>
        <bgColor rgb="FF4A86E8"/>
      </patternFill>
    </fill>
    <fill>
      <patternFill patternType="solid">
        <fgColor rgb="FFFF0000"/>
        <bgColor rgb="FFFF0000"/>
      </patternFill>
    </fill>
  </fills>
  <borders count="2">
    <border/>
    <border>
      <top style="thin">
        <color rgb="FFD1D1D1"/>
      </top>
      <bottom style="thin">
        <color rgb="FFD1D1D1"/>
      </bottom>
    </border>
  </borders>
  <cellStyleXfs count="1">
    <xf borderId="0" fillId="0" fontId="0" numFmtId="0" applyAlignment="1" applyFont="1"/>
  </cellStyleXfs>
  <cellXfs count="9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readingOrder="0" vertical="top"/>
    </xf>
    <xf borderId="0" fillId="0" fontId="3" numFmtId="0" xfId="0" applyAlignment="1" applyFont="1">
      <alignment readingOrder="0" shrinkToFit="0" vertical="top" wrapText="1"/>
    </xf>
    <xf borderId="0" fillId="0" fontId="4" numFmtId="0" xfId="0" applyAlignment="1" applyFont="1">
      <alignment readingOrder="0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2" fontId="5" numFmtId="0" xfId="0" applyAlignment="1" applyFill="1" applyFont="1">
      <alignment horizontal="center" readingOrder="0" vertical="center"/>
    </xf>
    <xf borderId="0" fillId="0" fontId="6" numFmtId="0" xfId="0" applyAlignment="1" applyFont="1">
      <alignment readingOrder="0" shrinkToFit="0" vertical="top" wrapText="1"/>
    </xf>
    <xf borderId="0" fillId="0" fontId="7" numFmtId="0" xfId="0" applyAlignment="1" applyFont="1">
      <alignment readingOrder="0" shrinkToFit="0" vertical="center" wrapText="1"/>
    </xf>
    <xf borderId="0" fillId="3" fontId="2" numFmtId="0" xfId="0" applyAlignment="1" applyFill="1" applyFont="1">
      <alignment horizontal="center" readingOrder="0" vertical="center"/>
    </xf>
    <xf borderId="0" fillId="0" fontId="8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readingOrder="0" shrinkToFit="0" vertical="center" wrapText="1"/>
    </xf>
    <xf borderId="0" fillId="4" fontId="2" numFmtId="0" xfId="0" applyAlignment="1" applyFill="1" applyFon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top" wrapText="1"/>
    </xf>
    <xf borderId="1" fillId="0" fontId="10" numFmtId="0" xfId="0" applyAlignment="1" applyBorder="1" applyFont="1">
      <alignment readingOrder="0" shrinkToFit="0" vertical="top" wrapText="1"/>
    </xf>
    <xf borderId="1" fillId="0" fontId="11" numFmtId="0" xfId="0" applyAlignment="1" applyBorder="1" applyFont="1">
      <alignment readingOrder="0" shrinkToFit="0" vertical="top" wrapText="1"/>
    </xf>
    <xf borderId="0" fillId="0" fontId="2" numFmtId="0" xfId="0" applyAlignment="1" applyFont="1">
      <alignment vertical="top"/>
    </xf>
    <xf borderId="0" fillId="0" fontId="2" numFmtId="0" xfId="0" applyAlignment="1" applyFont="1">
      <alignment shrinkToFit="0" vertical="center" wrapText="1"/>
    </xf>
    <xf borderId="0" fillId="0" fontId="2" numFmtId="0" xfId="0" applyAlignment="1" applyFont="1">
      <alignment vertical="center"/>
    </xf>
    <xf borderId="0" fillId="0" fontId="12" numFmtId="0" xfId="0" applyAlignment="1" applyFont="1">
      <alignment readingOrder="0"/>
    </xf>
    <xf borderId="0" fillId="0" fontId="12" numFmtId="0" xfId="0" applyAlignment="1" applyFont="1">
      <alignment horizontal="right" readingOrder="0"/>
    </xf>
    <xf borderId="0" fillId="0" fontId="12" numFmtId="2" xfId="0" applyAlignment="1" applyFont="1" applyNumberFormat="1">
      <alignment horizontal="center"/>
    </xf>
    <xf borderId="0" fillId="0" fontId="12" numFmtId="0" xfId="0" applyAlignment="1" applyFont="1">
      <alignment horizontal="center"/>
    </xf>
    <xf borderId="0" fillId="5" fontId="13" numFmtId="0" xfId="0" applyFill="1" applyFont="1"/>
    <xf borderId="0" fillId="5" fontId="13" numFmtId="2" xfId="0" applyAlignment="1" applyFont="1" applyNumberFormat="1">
      <alignment horizontal="center" readingOrder="0"/>
    </xf>
    <xf borderId="0" fillId="0" fontId="12" numFmtId="0" xfId="0" applyAlignment="1" applyFont="1">
      <alignment horizontal="center" readingOrder="0"/>
    </xf>
    <xf borderId="0" fillId="0" fontId="12" numFmtId="0" xfId="0" applyFont="1"/>
    <xf borderId="0" fillId="5" fontId="14" numFmtId="0" xfId="0" applyFont="1"/>
    <xf borderId="0" fillId="5" fontId="15" numFmtId="0" xfId="0" applyFont="1"/>
    <xf borderId="0" fillId="5" fontId="16" numFmtId="0" xfId="0" applyFont="1"/>
    <xf borderId="0" fillId="0" fontId="17" numFmtId="0" xfId="0" applyAlignment="1" applyFont="1">
      <alignment horizontal="center"/>
    </xf>
    <xf borderId="0" fillId="0" fontId="17" numFmtId="0" xfId="0" applyAlignment="1" applyFont="1">
      <alignment readingOrder="0"/>
    </xf>
    <xf borderId="0" fillId="0" fontId="17" numFmtId="0" xfId="0" applyAlignment="1" applyFont="1">
      <alignment horizontal="center" readingOrder="0"/>
    </xf>
    <xf borderId="0" fillId="0" fontId="17" numFmtId="0" xfId="0" applyFont="1"/>
    <xf borderId="0" fillId="0" fontId="18" numFmtId="0" xfId="0" applyAlignment="1" applyFont="1">
      <alignment horizontal="left" readingOrder="0"/>
    </xf>
    <xf borderId="0" fillId="0" fontId="18" numFmtId="0" xfId="0" applyAlignment="1" applyFont="1">
      <alignment horizontal="left"/>
    </xf>
    <xf borderId="0" fillId="0" fontId="18" numFmtId="0" xfId="0" applyAlignment="1" applyFont="1">
      <alignment horizontal="right" readingOrder="0"/>
    </xf>
    <xf borderId="0" fillId="0" fontId="5" numFmtId="0" xfId="0" applyFont="1"/>
    <xf borderId="0" fillId="0" fontId="19" numFmtId="0" xfId="0" applyAlignment="1" applyFont="1">
      <alignment horizontal="center" readingOrder="0" vertical="bottom"/>
    </xf>
    <xf borderId="0" fillId="0" fontId="19" numFmtId="0" xfId="0" applyAlignment="1" applyFont="1">
      <alignment horizontal="left" readingOrder="0" vertical="bottom"/>
    </xf>
    <xf borderId="0" fillId="0" fontId="19" numFmtId="0" xfId="0" applyAlignment="1" applyFont="1">
      <alignment horizontal="right" readingOrder="0" vertical="bottom"/>
    </xf>
    <xf borderId="0" fillId="0" fontId="19" numFmtId="3" xfId="0" applyAlignment="1" applyFont="1" applyNumberFormat="1">
      <alignment horizontal="right" readingOrder="0" vertical="bottom"/>
    </xf>
    <xf borderId="0" fillId="0" fontId="5" numFmtId="0" xfId="0" applyAlignment="1" applyFont="1">
      <alignment horizontal="left"/>
    </xf>
    <xf borderId="0" fillId="0" fontId="18" numFmtId="0" xfId="0" applyFont="1"/>
    <xf borderId="0" fillId="0" fontId="20" numFmtId="0" xfId="0" applyFont="1"/>
    <xf borderId="0" fillId="0" fontId="18" numFmtId="0" xfId="0" applyAlignment="1" applyFont="1">
      <alignment vertical="bottom"/>
    </xf>
    <xf borderId="0" fillId="0" fontId="18" numFmtId="0" xfId="0" applyAlignment="1" applyFont="1">
      <alignment horizontal="right" vertical="bottom"/>
    </xf>
    <xf borderId="0" fillId="0" fontId="18" numFmtId="0" xfId="0" applyAlignment="1" applyFont="1">
      <alignment vertical="bottom"/>
    </xf>
    <xf borderId="0" fillId="0" fontId="18" numFmtId="0" xfId="0" applyAlignment="1" applyFont="1">
      <alignment horizontal="right" vertical="bottom"/>
    </xf>
    <xf borderId="0" fillId="0" fontId="21" numFmtId="0" xfId="0" applyAlignment="1" applyFont="1">
      <alignment horizontal="left" readingOrder="0"/>
    </xf>
    <xf borderId="0" fillId="0" fontId="21" numFmtId="0" xfId="0" applyAlignment="1" applyFont="1">
      <alignment horizontal="right" readingOrder="0"/>
    </xf>
    <xf borderId="0" fillId="0" fontId="21" numFmtId="0" xfId="0" applyAlignment="1" applyFont="1">
      <alignment horizontal="left"/>
    </xf>
    <xf borderId="0" fillId="0" fontId="12" numFmtId="0" xfId="0" applyAlignment="1" applyFont="1">
      <alignment horizontal="left"/>
    </xf>
    <xf borderId="0" fillId="6" fontId="12" numFmtId="0" xfId="0" applyAlignment="1" applyFill="1" applyFont="1">
      <alignment readingOrder="0"/>
    </xf>
    <xf borderId="0" fillId="0" fontId="18" numFmtId="0" xfId="0" applyAlignment="1" applyFont="1">
      <alignment readingOrder="0"/>
    </xf>
    <xf borderId="0" fillId="0" fontId="22" numFmtId="0" xfId="0" applyAlignment="1" applyFont="1">
      <alignment horizontal="left" readingOrder="0" vertical="bottom"/>
    </xf>
    <xf borderId="0" fillId="0" fontId="22" numFmtId="10" xfId="0" applyAlignment="1" applyFont="1" applyNumberFormat="1">
      <alignment horizontal="left" readingOrder="0" vertical="bottom"/>
    </xf>
    <xf borderId="0" fillId="0" fontId="22" numFmtId="9" xfId="0" applyAlignment="1" applyFont="1" applyNumberFormat="1">
      <alignment horizontal="left" readingOrder="0" vertical="bottom"/>
    </xf>
    <xf borderId="0" fillId="0" fontId="23" numFmtId="0" xfId="0" applyAlignment="1" applyFont="1">
      <alignment horizontal="left" vertical="bottom"/>
    </xf>
    <xf borderId="0" fillId="0" fontId="18" numFmtId="0" xfId="0" applyAlignment="1" applyFont="1">
      <alignment horizontal="left" readingOrder="0" vertical="bottom"/>
    </xf>
    <xf borderId="0" fillId="4" fontId="18" numFmtId="0" xfId="0" applyAlignment="1" applyFont="1">
      <alignment readingOrder="0" vertical="top"/>
    </xf>
    <xf borderId="1" fillId="0" fontId="24" numFmtId="0" xfId="0" applyAlignment="1" applyBorder="1" applyFont="1">
      <alignment horizontal="left" vertical="top"/>
    </xf>
    <xf borderId="1" fillId="0" fontId="25" numFmtId="0" xfId="0" applyAlignment="1" applyBorder="1" applyFont="1">
      <alignment horizontal="left" readingOrder="0" vertical="top"/>
    </xf>
    <xf borderId="0" fillId="0" fontId="18" numFmtId="0" xfId="0" applyAlignment="1" applyFont="1">
      <alignment readingOrder="0" vertical="bottom"/>
    </xf>
    <xf borderId="1" fillId="0" fontId="25" numFmtId="0" xfId="0" applyAlignment="1" applyBorder="1" applyFont="1">
      <alignment horizontal="right" readingOrder="0" vertical="top"/>
    </xf>
    <xf borderId="0" fillId="2" fontId="18" numFmtId="0" xfId="0" applyAlignment="1" applyFont="1">
      <alignment readingOrder="0" vertical="top"/>
    </xf>
    <xf borderId="0" fillId="0" fontId="5" numFmtId="0" xfId="0" applyAlignment="1" applyFont="1">
      <alignment readingOrder="0"/>
    </xf>
    <xf borderId="0" fillId="0" fontId="26" numFmtId="0" xfId="0" applyAlignment="1" applyFont="1">
      <alignment readingOrder="0"/>
    </xf>
    <xf borderId="0" fillId="0" fontId="27" numFmtId="0" xfId="0" applyAlignment="1" applyFont="1">
      <alignment readingOrder="0" shrinkToFit="0" wrapText="1"/>
    </xf>
    <xf borderId="0" fillId="5" fontId="28" numFmtId="0" xfId="0" applyAlignment="1" applyFont="1">
      <alignment readingOrder="0"/>
    </xf>
    <xf borderId="0" fillId="5" fontId="28" numFmtId="0" xfId="0" applyAlignment="1" applyFont="1">
      <alignment readingOrder="0" shrinkToFit="0" wrapText="1"/>
    </xf>
    <xf borderId="1" fillId="0" fontId="24" numFmtId="0" xfId="0" applyAlignment="1" applyBorder="1" applyFont="1">
      <alignment horizontal="left" readingOrder="0" vertical="top"/>
    </xf>
    <xf borderId="1" fillId="0" fontId="25" numFmtId="10" xfId="0" applyAlignment="1" applyBorder="1" applyFont="1" applyNumberFormat="1">
      <alignment horizontal="left" readingOrder="0" vertical="top"/>
    </xf>
    <xf borderId="0" fillId="0" fontId="29" numFmtId="0" xfId="0" applyAlignment="1" applyFont="1">
      <alignment readingOrder="0" shrinkToFit="0" vertical="top" wrapText="1"/>
    </xf>
    <xf borderId="0" fillId="0" fontId="18" numFmtId="0" xfId="0" applyAlignment="1" applyFont="1">
      <alignment readingOrder="0" shrinkToFit="0" vertical="top" wrapText="1"/>
    </xf>
    <xf borderId="0" fillId="0" fontId="30" numFmtId="0" xfId="0" applyAlignment="1" applyFont="1">
      <alignment readingOrder="0" shrinkToFit="0" vertical="top" wrapText="1"/>
    </xf>
    <xf borderId="0" fillId="0" fontId="18" numFmtId="0" xfId="0" applyAlignment="1" applyFont="1">
      <alignment shrinkToFit="0" wrapText="1"/>
    </xf>
    <xf borderId="0" fillId="0" fontId="20" numFmtId="0" xfId="0" applyAlignment="1" applyFont="1">
      <alignment shrinkToFit="0" wrapText="1"/>
    </xf>
    <xf borderId="0" fillId="0" fontId="31" numFmtId="0" xfId="0" applyAlignment="1" applyFont="1">
      <alignment vertical="bottom"/>
    </xf>
    <xf borderId="0" fillId="0" fontId="31" numFmtId="0" xfId="0" applyAlignment="1" applyFont="1">
      <alignment readingOrder="0" vertical="bottom"/>
    </xf>
    <xf borderId="0" fillId="0" fontId="20" numFmtId="0" xfId="0" applyAlignment="1" applyFont="1">
      <alignment horizontal="left" readingOrder="0"/>
    </xf>
    <xf borderId="0" fillId="0" fontId="18" numFmtId="164" xfId="0" applyAlignment="1" applyFont="1" applyNumberFormat="1">
      <alignment horizontal="left" readingOrder="0"/>
    </xf>
    <xf borderId="0" fillId="0" fontId="20" numFmtId="0" xfId="0" applyAlignment="1" applyFont="1">
      <alignment horizontal="right" readingOrder="0"/>
    </xf>
    <xf borderId="0" fillId="0" fontId="20" numFmtId="0" xfId="0" applyAlignment="1" applyFont="1">
      <alignment vertical="bottom"/>
    </xf>
    <xf borderId="0" fillId="0" fontId="20" numFmtId="0" xfId="0" applyAlignment="1" applyFont="1">
      <alignment readingOrder="0" vertical="bottom"/>
    </xf>
    <xf borderId="0" fillId="0" fontId="22" numFmtId="164" xfId="0" applyAlignment="1" applyFont="1" applyNumberFormat="1">
      <alignment horizontal="left" readingOrder="0" vertical="bottom"/>
    </xf>
    <xf borderId="0" fillId="0" fontId="20" numFmtId="164" xfId="0" applyAlignment="1" applyFont="1" applyNumberFormat="1">
      <alignment horizontal="left" vertical="bottom"/>
    </xf>
    <xf borderId="0" fillId="0" fontId="18" numFmtId="0" xfId="0" applyAlignment="1" applyFont="1">
      <alignment horizontal="right" readingOrder="0" vertical="bottom"/>
    </xf>
    <xf borderId="0" fillId="0" fontId="18" numFmtId="0" xfId="0" applyAlignment="1" applyFont="1">
      <alignment horizontal="left" vertical="bottom"/>
    </xf>
    <xf borderId="0" fillId="0" fontId="31" numFmtId="164" xfId="0" applyAlignment="1" applyFont="1" applyNumberForma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Companies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ETFOverlap!$D$3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00C31"/>
              </a:solidFill>
            </c:spPr>
          </c:dPt>
          <c:dPt>
            <c:idx val="27"/>
            <c:spPr>
              <a:solidFill>
                <a:srgbClr val="281021"/>
              </a:solidFill>
            </c:spPr>
          </c:dPt>
          <c:dPt>
            <c:idx val="28"/>
            <c:spPr>
              <a:solidFill>
                <a:srgbClr val="FF1C32"/>
              </a:solidFill>
            </c:spPr>
          </c:dPt>
          <c:dPt>
            <c:idx val="29"/>
            <c:spPr>
              <a:solidFill>
                <a:srgbClr val="240C0A"/>
              </a:solidFill>
            </c:spPr>
          </c:dPt>
          <c:dPt>
            <c:idx val="30"/>
            <c:spPr>
              <a:solidFill>
                <a:srgbClr val="5E3C05"/>
              </a:solidFill>
            </c:spPr>
          </c:dPt>
          <c:dPt>
            <c:idx val="31"/>
            <c:spPr>
              <a:solidFill>
                <a:srgbClr val="0A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87E"/>
              </a:solidFill>
            </c:spPr>
          </c:dPt>
          <c:dPt>
            <c:idx val="35"/>
            <c:spPr>
              <a:solidFill>
                <a:srgbClr val="5C201C"/>
              </a:solidFill>
            </c:spPr>
          </c:dPt>
          <c:dPt>
            <c:idx val="36"/>
            <c:spPr>
              <a:solidFill>
                <a:srgbClr val="966108"/>
              </a:solidFill>
            </c:spPr>
          </c:dPt>
          <c:dPt>
            <c:idx val="37"/>
            <c:spPr>
              <a:solidFill>
                <a:srgbClr val="1095A1"/>
              </a:solidFill>
            </c:spPr>
          </c:dPt>
          <c:dPt>
            <c:idx val="38"/>
            <c:spPr>
              <a:solidFill>
                <a:srgbClr val="0235C8"/>
              </a:solidFill>
            </c:spPr>
          </c:dPt>
          <c:dPt>
            <c:idx val="39"/>
            <c:spPr>
              <a:solidFill>
                <a:srgbClr val="A14589"/>
              </a:solidFill>
            </c:spPr>
          </c:dPt>
          <c:dPt>
            <c:idx val="40"/>
            <c:spPr>
              <a:solidFill>
                <a:srgbClr val="FF74CA"/>
              </a:solidFill>
            </c:spPr>
          </c:dPt>
          <c:dPt>
            <c:idx val="41"/>
            <c:spPr>
              <a:solidFill>
                <a:srgbClr val="93342D"/>
              </a:solidFill>
            </c:spPr>
          </c:dPt>
          <c:dPt>
            <c:idx val="42"/>
            <c:spPr>
              <a:solidFill>
                <a:srgbClr val="CF850B"/>
              </a:solidFill>
            </c:spPr>
          </c:dPt>
          <c:dPt>
            <c:idx val="43"/>
            <c:spPr>
              <a:solidFill>
                <a:srgbClr val="16CEDD"/>
              </a:solidFill>
            </c:spPr>
          </c:dPt>
          <c:dPt>
            <c:idx val="44"/>
            <c:spPr>
              <a:solidFill>
                <a:srgbClr val="034913"/>
              </a:solidFill>
            </c:spPr>
          </c:dPt>
          <c:dPt>
            <c:idx val="45"/>
            <c:spPr>
              <a:solidFill>
                <a:srgbClr val="DE5FBC"/>
              </a:solidFill>
            </c:spPr>
          </c:dPt>
          <c:dPt>
            <c:idx val="46"/>
            <c:spPr>
              <a:solidFill>
                <a:srgbClr val="FFA016"/>
              </a:solidFill>
            </c:spPr>
          </c:dPt>
          <c:dPt>
            <c:idx val="47"/>
            <c:spPr>
              <a:solidFill>
                <a:srgbClr val="CA483E"/>
              </a:solidFill>
            </c:spPr>
          </c:dPt>
          <c:dPt>
            <c:idx val="48"/>
            <c:spPr>
              <a:solidFill>
                <a:srgbClr val="08AA0E"/>
              </a:solidFill>
            </c:spPr>
          </c:dPt>
          <c:dPt>
            <c:idx val="49"/>
            <c:spPr>
              <a:solidFill>
                <a:srgbClr val="1C061A"/>
              </a:solidFill>
            </c:spPr>
          </c:dPt>
          <c:dPt>
            <c:idx val="50"/>
            <c:spPr>
              <a:solidFill>
                <a:srgbClr val="055D5E"/>
              </a:solidFill>
            </c:spPr>
          </c:dPt>
          <c:dPt>
            <c:idx val="51"/>
            <c:spPr>
              <a:solidFill>
                <a:srgbClr val="1B79F0"/>
              </a:solidFill>
            </c:spPr>
          </c:dPt>
          <c:dPt>
            <c:idx val="52"/>
            <c:spPr>
              <a:solidFill>
                <a:srgbClr val="FFCB63"/>
              </a:solidFill>
            </c:spPr>
          </c:dPt>
          <c:dPt>
            <c:idx val="53"/>
            <c:spPr>
              <a:solidFill>
                <a:srgbClr val="025B4F"/>
              </a:solidFill>
            </c:spPr>
          </c:dPt>
          <c:dPt>
            <c:idx val="54"/>
            <c:spPr>
              <a:solidFill>
                <a:srgbClr val="40CE12"/>
              </a:solidFill>
            </c:spPr>
          </c:dPt>
          <c:dPt>
            <c:idx val="55"/>
            <c:spPr>
              <a:solidFill>
                <a:srgbClr val="233F56"/>
              </a:solidFill>
            </c:spPr>
          </c:dPt>
          <c:dPt>
            <c:idx val="56"/>
            <c:spPr>
              <a:solidFill>
                <a:srgbClr val="0671AA"/>
              </a:solidFill>
            </c:spPr>
          </c:dPt>
          <c:dPt>
            <c:idx val="57"/>
            <c:spPr>
              <a:solidFill>
                <a:srgbClr val="589323"/>
              </a:solidFill>
            </c:spPr>
          </c:dPt>
          <c:dPt>
            <c:idx val="58"/>
            <c:spPr>
              <a:solidFill>
                <a:srgbClr val="FFF7AF"/>
              </a:solidFill>
            </c:spPr>
          </c:dPt>
          <c:dPt>
            <c:idx val="59"/>
            <c:spPr>
              <a:solidFill>
                <a:srgbClr val="3A6F60"/>
              </a:solidFill>
            </c:spPr>
          </c:dPt>
          <c:dPt>
            <c:idx val="60"/>
            <c:spPr>
              <a:solidFill>
                <a:srgbClr val="79F315"/>
              </a:solidFill>
            </c:spPr>
          </c:dPt>
          <c:dPt>
            <c:idx val="61"/>
            <c:spPr>
              <a:solidFill>
                <a:srgbClr val="297793"/>
              </a:solidFill>
            </c:spPr>
          </c:dPt>
          <c:dPt>
            <c:idx val="62"/>
            <c:spPr>
              <a:solidFill>
                <a:srgbClr val="0785F5"/>
              </a:solidFill>
            </c:spPr>
          </c:dPt>
          <c:dPt>
            <c:idx val="63"/>
            <c:spPr>
              <a:solidFill>
                <a:srgbClr val="95AD57"/>
              </a:solidFill>
            </c:spPr>
          </c:dPt>
          <c:dPt>
            <c:idx val="64"/>
            <c:spPr>
              <a:solidFill>
                <a:srgbClr val="FF23FB"/>
              </a:solidFill>
            </c:spPr>
          </c:dPt>
          <c:dPt>
            <c:idx val="65"/>
            <c:spPr>
              <a:solidFill>
                <a:srgbClr val="718371"/>
              </a:solidFill>
            </c:spPr>
          </c:dPt>
          <c:dPt>
            <c:idx val="66"/>
            <c:spPr>
              <a:solidFill>
                <a:srgbClr val="B21818"/>
              </a:solidFill>
            </c:spPr>
          </c:dPt>
          <c:dPt>
            <c:idx val="67"/>
            <c:spPr>
              <a:solidFill>
                <a:srgbClr val="2FAFD0"/>
              </a:solidFill>
            </c:spPr>
          </c:dPt>
          <c:dPt>
            <c:idx val="68"/>
            <c:spPr>
              <a:solidFill>
                <a:srgbClr val="089940"/>
              </a:solidFill>
            </c:spPr>
          </c:dPt>
          <c:dPt>
            <c:idx val="69"/>
            <c:spPr>
              <a:solidFill>
                <a:srgbClr val="D2C78B"/>
              </a:solidFill>
            </c:spPr>
          </c:dPt>
          <c:dPt>
            <c:idx val="70"/>
            <c:spPr>
              <a:solidFill>
                <a:srgbClr val="FF4F47"/>
              </a:solidFill>
            </c:spPr>
          </c:dPt>
          <c:dPt>
            <c:idx val="71"/>
            <c:spPr>
              <a:solidFill>
                <a:srgbClr val="A99782"/>
              </a:solidFill>
            </c:spPr>
          </c:dPt>
          <c:dPt>
            <c:idx val="72"/>
            <c:spPr>
              <a:solidFill>
                <a:srgbClr val="EA3C1C"/>
              </a:solidFill>
            </c:spPr>
          </c:dPt>
          <c:dPt>
            <c:idx val="73"/>
            <c:spPr>
              <a:solidFill>
                <a:srgbClr val="36E80C"/>
              </a:solidFill>
            </c:spPr>
          </c:dPt>
          <c:dPt>
            <c:idx val="74"/>
            <c:spPr>
              <a:solidFill>
                <a:srgbClr val="09AD8C"/>
              </a:solidFill>
            </c:spPr>
          </c:dPt>
          <c:dPt>
            <c:idx val="75"/>
            <c:spPr>
              <a:solidFill>
                <a:srgbClr val="0FE1BE"/>
              </a:solidFill>
            </c:spPr>
          </c:dPt>
          <c:dPt>
            <c:idx val="76"/>
            <c:spPr>
              <a:solidFill>
                <a:srgbClr val="FF7B93"/>
              </a:solidFill>
            </c:spPr>
          </c:dPt>
          <c:dPt>
            <c:idx val="77"/>
            <c:spPr>
              <a:solidFill>
                <a:srgbClr val="E0AB93"/>
              </a:solidFill>
            </c:spPr>
          </c:dPt>
          <c:dPt>
            <c:idx val="78"/>
            <c:spPr>
              <a:solidFill>
                <a:srgbClr val="23611F"/>
              </a:solidFill>
            </c:spPr>
          </c:dPt>
          <c:dPt>
            <c:idx val="79"/>
            <c:spPr>
              <a:solidFill>
                <a:srgbClr val="3C2049"/>
              </a:solidFill>
            </c:spPr>
          </c:dPt>
          <c:dPt>
            <c:idx val="80"/>
            <c:spPr>
              <a:solidFill>
                <a:srgbClr val="0BC1D7"/>
              </a:solidFill>
            </c:spPr>
          </c:dPt>
          <c:dPt>
            <c:idx val="81"/>
            <c:spPr>
              <a:solidFill>
                <a:srgbClr val="4CFBF2"/>
              </a:solidFill>
            </c:spPr>
          </c:dPt>
          <c:dPt>
            <c:idx val="82"/>
            <c:spPr>
              <a:solidFill>
                <a:srgbClr val="FFA6E0"/>
              </a:solidFill>
            </c:spPr>
          </c:dPt>
          <c:dPt>
            <c:idx val="83"/>
            <c:spPr>
              <a:solidFill>
                <a:srgbClr val="18BEA4"/>
              </a:solidFill>
            </c:spPr>
          </c:dPt>
          <c:dPt>
            <c:idx val="84"/>
            <c:spPr>
              <a:solidFill>
                <a:srgbClr val="5C8522"/>
              </a:solidFill>
            </c:spPr>
          </c:dPt>
          <c:dPt>
            <c:idx val="85"/>
            <c:spPr>
              <a:solidFill>
                <a:srgbClr val="425985"/>
              </a:solidFill>
            </c:spPr>
          </c:dPt>
          <c:dPt>
            <c:idx val="86"/>
            <c:spPr>
              <a:solidFill>
                <a:srgbClr val="0CD522"/>
              </a:solidFill>
            </c:spPr>
          </c:dPt>
          <c:dPt>
            <c:idx val="87"/>
            <c:spPr>
              <a:solidFill>
                <a:srgbClr val="891525"/>
              </a:solidFill>
            </c:spPr>
          </c:dPt>
          <c:dPt>
            <c:idx val="88"/>
            <c:spPr>
              <a:solidFill>
                <a:srgbClr val="FFD22C"/>
              </a:solidFill>
            </c:spPr>
          </c:dPt>
          <c:dPt>
            <c:idx val="89"/>
            <c:spPr>
              <a:solidFill>
                <a:srgbClr val="4FD2B5"/>
              </a:solidFill>
            </c:spPr>
          </c:dPt>
          <c:dPt>
            <c:idx val="90"/>
            <c:spPr>
              <a:solidFill>
                <a:srgbClr val="95AA26"/>
              </a:solidFill>
            </c:spPr>
          </c:dPt>
          <c:dPt>
            <c:idx val="91"/>
            <c:spPr>
              <a:solidFill>
                <a:srgbClr val="4991C2"/>
              </a:solidFill>
            </c:spPr>
          </c:dPt>
          <c:dPt>
            <c:idx val="92"/>
            <c:spPr>
              <a:solidFill>
                <a:srgbClr val="0DEA6E"/>
              </a:solidFill>
            </c:spPr>
          </c:dPt>
          <c:dPt>
            <c:idx val="93"/>
            <c:spPr>
              <a:solidFill>
                <a:srgbClr val="C63059"/>
              </a:solidFill>
            </c:spPr>
          </c:dPt>
          <c:dPt>
            <c:idx val="94"/>
            <c:spPr>
              <a:solidFill>
                <a:srgbClr val="FFFE78"/>
              </a:solidFill>
            </c:spPr>
          </c:dPt>
          <c:dPt>
            <c:idx val="95"/>
            <c:spPr>
              <a:solidFill>
                <a:srgbClr val="87E6C7"/>
              </a:solidFill>
            </c:spPr>
          </c:dPt>
          <c:dPt>
            <c:idx val="96"/>
            <c:spPr>
              <a:solidFill>
                <a:srgbClr val="CDCF29"/>
              </a:solidFill>
            </c:spPr>
          </c:dPt>
          <c:dPt>
            <c:idx val="97"/>
            <c:spPr>
              <a:solidFill>
                <a:srgbClr val="4FC9FF"/>
              </a:solidFill>
            </c:spPr>
          </c:dPt>
          <c:dPt>
            <c:idx val="98"/>
            <c:spPr>
              <a:solidFill>
                <a:srgbClr val="0EFEB9"/>
              </a:solidFill>
            </c:spPr>
          </c:dPt>
          <c:dPt>
            <c:idx val="99"/>
            <c:spPr>
              <a:solidFill>
                <a:srgbClr val="024A8D"/>
              </a:solidFill>
            </c:spPr>
          </c:dPt>
          <c:dPt>
            <c:idx val="100"/>
            <c:spPr>
              <a:solidFill>
                <a:srgbClr val="FF2AC4"/>
              </a:solidFill>
            </c:spPr>
          </c:dPt>
          <c:dPt>
            <c:idx val="101"/>
            <c:spPr>
              <a:solidFill>
                <a:srgbClr val="BEFAD8"/>
              </a:solidFill>
            </c:spPr>
          </c:dPt>
          <c:dPt>
            <c:idx val="102"/>
            <c:spPr>
              <a:solidFill>
                <a:srgbClr val="06F32C"/>
              </a:solidFill>
            </c:spPr>
          </c:dPt>
          <c:dPt>
            <c:idx val="103"/>
            <c:spPr>
              <a:solidFill>
                <a:srgbClr val="55023B"/>
              </a:solidFill>
            </c:spPr>
          </c:dPt>
          <c:dPt>
            <c:idx val="104"/>
            <c:spPr>
              <a:solidFill>
                <a:srgbClr val="0F1204"/>
              </a:solidFill>
            </c:spPr>
          </c:dPt>
          <c:dPt>
            <c:idx val="105"/>
            <c:spPr>
              <a:solidFill>
                <a:srgbClr val="3F64C0"/>
              </a:solidFill>
            </c:spPr>
          </c:dPt>
          <c:dPt>
            <c:idx val="106"/>
            <c:spPr>
              <a:solidFill>
                <a:srgbClr val="FF5610"/>
              </a:solidFill>
            </c:spPr>
          </c:dPt>
          <c:dPt>
            <c:idx val="107"/>
            <c:spPr>
              <a:solidFill>
                <a:srgbClr val="F60EE9"/>
              </a:solidFill>
            </c:spPr>
          </c:dPt>
          <c:dPt>
            <c:idx val="108"/>
            <c:spPr>
              <a:solidFill>
                <a:srgbClr val="3F182F"/>
              </a:solidFill>
            </c:spPr>
          </c:dPt>
          <c:dPt>
            <c:idx val="109"/>
            <c:spPr>
              <a:solidFill>
                <a:srgbClr val="5B3A78"/>
              </a:solidFill>
            </c:spPr>
          </c:dPt>
          <c:dPt>
            <c:idx val="110"/>
            <c:spPr>
              <a:solidFill>
                <a:srgbClr val="11264F"/>
              </a:solidFill>
            </c:spPr>
          </c:dPt>
          <c:dPt>
            <c:idx val="111"/>
            <c:spPr>
              <a:solidFill>
                <a:srgbClr val="7C7EF4"/>
              </a:solidFill>
            </c:spPr>
          </c:dPt>
          <c:dPt>
            <c:idx val="112"/>
            <c:spPr>
              <a:solidFill>
                <a:srgbClr val="FF815D"/>
              </a:solidFill>
            </c:spPr>
          </c:dPt>
          <c:dPt>
            <c:idx val="113"/>
            <c:spPr>
              <a:solidFill>
                <a:srgbClr val="2D21FA"/>
              </a:solidFill>
            </c:spPr>
          </c:dPt>
          <c:dPt>
            <c:idx val="114"/>
            <c:spPr>
              <a:solidFill>
                <a:srgbClr val="773C33"/>
              </a:solidFill>
            </c:spPr>
          </c:dPt>
          <c:dPt>
            <c:idx val="115"/>
            <c:spPr>
              <a:solidFill>
                <a:srgbClr val="6273B4"/>
              </a:solidFill>
            </c:spPr>
          </c:dPt>
          <c:dPt>
            <c:idx val="116"/>
            <c:spPr>
              <a:solidFill>
                <a:srgbClr val="123A9B"/>
              </a:solidFill>
            </c:spPr>
          </c:dPt>
          <c:dPt>
            <c:idx val="117"/>
            <c:spPr>
              <a:solidFill>
                <a:srgbClr val="B99827"/>
              </a:solidFill>
            </c:spPr>
          </c:dPt>
          <c:dPt>
            <c:idx val="118"/>
            <c:spPr>
              <a:solidFill>
                <a:srgbClr val="FFADA9"/>
              </a:solidFill>
            </c:spPr>
          </c:dPt>
          <c:dPt>
            <c:idx val="119"/>
            <c:spPr>
              <a:solidFill>
                <a:srgbClr val="65350B"/>
              </a:solidFill>
            </c:spPr>
          </c:dPt>
          <c:dPt>
            <c:idx val="120"/>
            <c:spPr>
              <a:solidFill>
                <a:srgbClr val="B06136"/>
              </a:solidFill>
            </c:spPr>
          </c:dPt>
          <c:dPt>
            <c:idx val="121"/>
            <c:spPr>
              <a:solidFill>
                <a:srgbClr val="68ABF1"/>
              </a:solidFill>
            </c:spPr>
          </c:dPt>
          <c:dPt>
            <c:idx val="122"/>
            <c:spPr>
              <a:solidFill>
                <a:srgbClr val="134EE6"/>
              </a:solidFill>
            </c:spPr>
          </c:dPt>
          <c:dPt>
            <c:idx val="123"/>
            <c:spPr>
              <a:solidFill>
                <a:srgbClr val="F6B25B"/>
              </a:solidFill>
            </c:spPr>
          </c:dPt>
          <c:dPt>
            <c:idx val="124"/>
            <c:spPr>
              <a:solidFill>
                <a:srgbClr val="FFD9F5"/>
              </a:solidFill>
            </c:spPr>
          </c:dPt>
          <c:dPt>
            <c:idx val="125"/>
            <c:spPr>
              <a:solidFill>
                <a:srgbClr val="9C491C"/>
              </a:solidFill>
            </c:spPr>
          </c:dPt>
          <c:dPt>
            <c:idx val="126"/>
            <c:spPr>
              <a:solidFill>
                <a:srgbClr val="E98639"/>
              </a:solidFill>
            </c:spPr>
          </c:dPt>
          <c:dPt>
            <c:idx val="127"/>
            <c:spPr>
              <a:solidFill>
                <a:srgbClr val="6EE32E"/>
              </a:solidFill>
            </c:spPr>
          </c:dPt>
          <c:dPt>
            <c:idx val="128"/>
            <c:spPr>
              <a:solidFill>
                <a:srgbClr val="146231"/>
              </a:solidFill>
            </c:spPr>
          </c:dPt>
          <c:dPt>
            <c:idx val="129"/>
            <c:spPr>
              <a:solidFill>
                <a:srgbClr val="33CC8F"/>
              </a:solidFill>
            </c:spPr>
          </c:dPt>
          <c:dPt>
            <c:idx val="130"/>
            <c:spPr>
              <a:solidFill>
                <a:srgbClr val="FF0541"/>
              </a:solidFill>
            </c:spPr>
          </c:dPt>
          <c:dPt>
            <c:idx val="131"/>
            <c:spPr>
              <a:solidFill>
                <a:srgbClr val="D45D2D"/>
              </a:solidFill>
            </c:spPr>
          </c:dPt>
          <c:dPt>
            <c:idx val="132"/>
            <c:spPr>
              <a:solidFill>
                <a:srgbClr val="21AA3D"/>
              </a:solidFill>
            </c:spPr>
          </c:dPt>
          <c:dPt>
            <c:idx val="133"/>
            <c:spPr>
              <a:solidFill>
                <a:srgbClr val="751C6A"/>
              </a:solidFill>
            </c:spPr>
          </c:dPt>
          <c:dPt>
            <c:idx val="134"/>
            <c:spPr>
              <a:solidFill>
                <a:srgbClr val="15767D"/>
              </a:solidFill>
            </c:spPr>
          </c:dPt>
          <c:dPt>
            <c:idx val="135"/>
            <c:spPr>
              <a:solidFill>
                <a:srgbClr val="70E6C2"/>
              </a:solidFill>
            </c:spPr>
          </c:dPt>
          <c:dPt>
            <c:idx val="136"/>
            <c:spPr>
              <a:solidFill>
                <a:srgbClr val="FF318D"/>
              </a:solidFill>
            </c:spPr>
          </c:dPt>
          <c:dPt>
            <c:idx val="137"/>
            <c:spPr>
              <a:solidFill>
                <a:srgbClr val="0B713E"/>
              </a:solidFill>
            </c:spPr>
          </c:dPt>
          <c:dPt>
            <c:idx val="138"/>
            <c:spPr>
              <a:solidFill>
                <a:srgbClr val="5ACF40"/>
              </a:solidFill>
            </c:spPr>
          </c:dPt>
          <c:dPt>
            <c:idx val="139"/>
            <c:spPr>
              <a:solidFill>
                <a:srgbClr val="7B54A7"/>
              </a:solidFill>
            </c:spPr>
          </c:dPt>
          <c:dPt>
            <c:idx val="140"/>
            <c:spPr>
              <a:solidFill>
                <a:srgbClr val="178AC8"/>
              </a:solidFill>
            </c:spPr>
          </c:dPt>
          <c:dPt>
            <c:idx val="141"/>
            <c:spPr>
              <a:solidFill>
                <a:srgbClr val="AD00F6"/>
              </a:solidFill>
            </c:spPr>
          </c:dPt>
          <c:dPt>
            <c:idx val="142"/>
            <c:spPr>
              <a:solidFill>
                <a:srgbClr val="FF5CDA"/>
              </a:solidFill>
            </c:spPr>
          </c:dPt>
          <c:dPt>
            <c:idx val="143"/>
            <c:spPr>
              <a:solidFill>
                <a:srgbClr val="43844F"/>
              </a:solidFill>
            </c:spPr>
          </c:dPt>
          <c:dPt>
            <c:idx val="144"/>
            <c:spPr>
              <a:solidFill>
                <a:srgbClr val="93F343"/>
              </a:solidFill>
            </c:spPr>
          </c:dPt>
          <c:dPt>
            <c:idx val="145"/>
            <c:spPr>
              <a:solidFill>
                <a:srgbClr val="818DE3"/>
              </a:solidFill>
            </c:spPr>
          </c:dPt>
          <c:dPt>
            <c:idx val="146"/>
            <c:spPr>
              <a:solidFill>
                <a:srgbClr val="189E13"/>
              </a:solidFill>
            </c:spPr>
          </c:dPt>
          <c:dPt>
            <c:idx val="147"/>
            <c:spPr>
              <a:solidFill>
                <a:srgbClr val="EA1A29"/>
              </a:solidFill>
            </c:spPr>
          </c:dPt>
          <c:dPt>
            <c:idx val="148"/>
            <c:spPr>
              <a:solidFill>
                <a:srgbClr val="FF8826"/>
              </a:solidFill>
            </c:spPr>
          </c:dPt>
          <c:dPt>
            <c:idx val="149"/>
            <c:spPr>
              <a:solidFill>
                <a:srgbClr val="7A9860"/>
              </a:solidFill>
            </c:spPr>
          </c:dPt>
          <c:dPt>
            <c:idx val="150"/>
            <c:spPr>
              <a:solidFill>
                <a:srgbClr val="CC1847"/>
              </a:solidFill>
            </c:spPr>
          </c:dPt>
          <c:dPt>
            <c:idx val="151"/>
            <c:spPr>
              <a:solidFill>
                <a:srgbClr val="88C520"/>
              </a:solidFill>
            </c:spPr>
          </c:dPt>
          <c:dPt>
            <c:idx val="152"/>
            <c:spPr>
              <a:solidFill>
                <a:srgbClr val="19B35F"/>
              </a:solidFill>
            </c:spPr>
          </c:dPt>
          <c:dPt>
            <c:idx val="153"/>
            <c:spPr>
              <a:solidFill>
                <a:srgbClr val="27355D"/>
              </a:solidFill>
            </c:spPr>
          </c:dPt>
          <c:dPt>
            <c:idx val="154"/>
            <c:spPr>
              <a:solidFill>
                <a:srgbClr val="FFB472"/>
              </a:solidFill>
            </c:spPr>
          </c:dPt>
          <c:dPt>
            <c:idx val="155"/>
            <c:spPr>
              <a:solidFill>
                <a:srgbClr val="B2AC72"/>
              </a:solidFill>
            </c:spPr>
          </c:dPt>
          <c:dPt>
            <c:idx val="156"/>
            <c:spPr>
              <a:solidFill>
                <a:srgbClr val="043D4A"/>
              </a:solidFill>
            </c:spPr>
          </c:dPt>
          <c:dPt>
            <c:idx val="157"/>
            <c:spPr>
              <a:solidFill>
                <a:srgbClr val="8EFD5D"/>
              </a:solidFill>
            </c:spPr>
          </c:dPt>
          <c:dPt>
            <c:idx val="158"/>
            <c:spPr>
              <a:solidFill>
                <a:srgbClr val="1AC7AA"/>
              </a:solidFill>
            </c:spPr>
          </c:dPt>
          <c:dPt>
            <c:idx val="159"/>
            <c:spPr>
              <a:solidFill>
                <a:srgbClr val="634F91"/>
              </a:solidFill>
            </c:spPr>
          </c:dPt>
          <c:dPt>
            <c:idx val="160"/>
            <c:spPr>
              <a:solidFill>
                <a:srgbClr val="FFE0BE"/>
              </a:solidFill>
            </c:spPr>
          </c:dPt>
          <c:dPt>
            <c:idx val="161"/>
            <c:spPr>
              <a:solidFill>
                <a:srgbClr val="E9C083"/>
              </a:solidFill>
            </c:spPr>
          </c:dPt>
          <c:dPt>
            <c:idx val="162"/>
            <c:spPr>
              <a:solidFill>
                <a:srgbClr val="3D614D"/>
              </a:solidFill>
            </c:spPr>
          </c:dPt>
          <c:dPt>
            <c:idx val="163"/>
            <c:spPr>
              <a:solidFill>
                <a:srgbClr val="943699"/>
              </a:solidFill>
            </c:spPr>
          </c:dPt>
          <c:dPt>
            <c:idx val="164"/>
            <c:spPr>
              <a:solidFill>
                <a:srgbClr val="1BDBF5"/>
              </a:solidFill>
            </c:spPr>
          </c:dPt>
          <c:dPt>
            <c:idx val="165"/>
            <c:spPr>
              <a:solidFill>
                <a:srgbClr val="A069C4"/>
              </a:solidFill>
            </c:spPr>
          </c:dPt>
          <c:dPt>
            <c:idx val="166"/>
            <c:spPr>
              <a:solidFill>
                <a:srgbClr val="FF0C0A"/>
              </a:solidFill>
            </c:spPr>
          </c:dPt>
          <c:dPt>
            <c:idx val="167"/>
            <c:spPr>
              <a:solidFill>
                <a:srgbClr val="21D494"/>
              </a:solidFill>
            </c:spPr>
          </c:dPt>
          <c:dPt>
            <c:idx val="168"/>
            <c:spPr>
              <a:solidFill>
                <a:srgbClr val="768650"/>
              </a:solidFill>
            </c:spPr>
          </c:dPt>
          <c:dPt>
            <c:idx val="169"/>
            <c:spPr>
              <a:solidFill>
                <a:srgbClr val="9A6ED6"/>
              </a:solidFill>
            </c:spPr>
          </c:dPt>
          <c:dPt>
            <c:idx val="170"/>
            <c:spPr>
              <a:solidFill>
                <a:srgbClr val="1DEF40"/>
              </a:solidFill>
            </c:spPr>
          </c:dPt>
          <c:dPt>
            <c:idx val="171"/>
            <c:spPr>
              <a:solidFill>
                <a:srgbClr val="DD83F8"/>
              </a:solidFill>
            </c:spPr>
          </c:dPt>
          <c:dPt>
            <c:idx val="172"/>
            <c:spPr>
              <a:solidFill>
                <a:srgbClr val="FF3757"/>
              </a:solidFill>
            </c:spPr>
          </c:dPt>
          <c:dPt>
            <c:idx val="173"/>
            <c:spPr>
              <a:solidFill>
                <a:srgbClr val="58E7A5"/>
              </a:solidFill>
            </c:spPr>
          </c:dPt>
          <c:dPt>
            <c:idx val="174"/>
            <c:spPr>
              <a:solidFill>
                <a:srgbClr val="AEAA54"/>
              </a:solidFill>
            </c:spPr>
          </c:dPt>
          <c:dPt>
            <c:idx val="175"/>
            <c:spPr>
              <a:solidFill>
                <a:srgbClr val="A1A712"/>
              </a:solidFill>
            </c:spPr>
          </c:dPt>
          <c:dPt>
            <c:idx val="176"/>
            <c:spPr>
              <a:solidFill>
                <a:srgbClr val="1E038C"/>
              </a:solidFill>
            </c:spPr>
          </c:dPt>
          <c:dPt>
            <c:idx val="177"/>
            <c:spPr>
              <a:solidFill>
                <a:srgbClr val="1A9D2B"/>
              </a:solidFill>
            </c:spPr>
          </c:dPt>
          <c:dPt>
            <c:idx val="178"/>
            <c:spPr>
              <a:solidFill>
                <a:srgbClr val="FF63A3"/>
              </a:solidFill>
            </c:spPr>
          </c:dPt>
          <c:dPt>
            <c:idx val="179"/>
            <c:spPr>
              <a:solidFill>
                <a:srgbClr val="90FBB6"/>
              </a:solidFill>
            </c:spPr>
          </c:dPt>
          <c:dPt>
            <c:idx val="180"/>
            <c:spPr>
              <a:solidFill>
                <a:srgbClr val="E7CF57"/>
              </a:solidFill>
            </c:spPr>
          </c:dPt>
          <c:dPt>
            <c:idx val="181"/>
            <c:spPr>
              <a:solidFill>
                <a:srgbClr val="A7DF4F"/>
              </a:solidFill>
            </c:spPr>
          </c:dPt>
          <c:dPt>
            <c:idx val="182"/>
            <c:spPr>
              <a:solidFill>
                <a:srgbClr val="1F17D7"/>
              </a:solidFill>
            </c:spPr>
          </c:dPt>
          <c:dPt>
            <c:idx val="183"/>
            <c:spPr>
              <a:solidFill>
                <a:srgbClr val="57B75F"/>
              </a:solidFill>
            </c:spPr>
          </c:dPt>
          <c:dPt>
            <c:idx val="184"/>
            <c:spPr>
              <a:solidFill>
                <a:srgbClr val="FF8FEF"/>
              </a:solidFill>
            </c:spPr>
          </c:dPt>
          <c:dPt>
            <c:idx val="185"/>
            <c:spPr>
              <a:solidFill>
                <a:srgbClr val="C70FC7"/>
              </a:solidFill>
            </c:spPr>
          </c:dPt>
          <c:dPt>
            <c:idx val="186"/>
            <c:spPr>
              <a:solidFill>
                <a:srgbClr val="20F45A"/>
              </a:solidFill>
            </c:spPr>
          </c:dPt>
          <c:dPt>
            <c:idx val="187"/>
            <c:spPr>
              <a:solidFill>
                <a:srgbClr val="AD178C"/>
              </a:solidFill>
            </c:spPr>
          </c:dPt>
          <c:dPt>
            <c:idx val="188"/>
            <c:spPr>
              <a:solidFill>
                <a:srgbClr val="202B22"/>
              </a:solidFill>
            </c:spPr>
          </c:dPt>
          <c:dPt>
            <c:idx val="189"/>
            <c:spPr>
              <a:solidFill>
                <a:srgbClr val="94D193"/>
              </a:solidFill>
            </c:spPr>
          </c:dPt>
          <c:dPt>
            <c:idx val="190"/>
            <c:spPr>
              <a:solidFill>
                <a:srgbClr val="FFBB3B"/>
              </a:solidFill>
            </c:spPr>
          </c:dPt>
          <c:dPt>
            <c:idx val="191"/>
            <c:spPr>
              <a:solidFill>
                <a:srgbClr val="FF23D8"/>
              </a:solidFill>
            </c:spPr>
          </c:dPt>
          <c:dPt>
            <c:idx val="192"/>
            <c:spPr>
              <a:solidFill>
                <a:srgbClr val="58185E"/>
              </a:solidFill>
            </c:spPr>
          </c:dPt>
          <c:dPt>
            <c:idx val="193"/>
            <c:spPr>
              <a:solidFill>
                <a:srgbClr val="B450C8"/>
              </a:solidFill>
            </c:spPr>
          </c:dPt>
          <c:dPt>
            <c:idx val="194"/>
            <c:spPr>
              <a:solidFill>
                <a:srgbClr val="213F6E"/>
              </a:solidFill>
            </c:spPr>
          </c:dPt>
          <c:dPt>
            <c:idx val="195"/>
            <c:spPr>
              <a:solidFill>
                <a:srgbClr val="D1EBC6"/>
              </a:solidFill>
            </c:spPr>
          </c:dPt>
          <c:dPt>
            <c:idx val="196"/>
            <c:spPr>
              <a:solidFill>
                <a:srgbClr val="FFE787"/>
              </a:solidFill>
            </c:spPr>
          </c:dPt>
          <c:dPt>
            <c:idx val="197"/>
            <c:spPr>
              <a:solidFill>
                <a:srgbClr val="3637E9"/>
              </a:solidFill>
            </c:spPr>
          </c:dPt>
          <c:dPt>
            <c:idx val="198"/>
            <c:spPr>
              <a:solidFill>
                <a:srgbClr val="913D61"/>
              </a:solidFill>
            </c:spPr>
          </c:dPt>
          <c:dPt>
            <c:idx val="199"/>
            <c:spPr>
              <a:solidFill>
                <a:srgbClr val="BA8805"/>
              </a:solidFill>
            </c:spPr>
          </c:dPt>
          <c:dPt>
            <c:idx val="200"/>
            <c:spPr>
              <a:solidFill>
                <a:srgbClr val="2353B9"/>
              </a:solidFill>
            </c:spPr>
          </c:dPt>
          <c:dPt>
            <c:idx val="201"/>
            <c:spPr>
              <a:solidFill>
                <a:srgbClr val="0E05FA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ETFOverlap!$A$4:$A$205</c:f>
            </c:strRef>
          </c:cat>
          <c:val>
            <c:numRef>
              <c:f>ETFOverlap!$D$4:$D$205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Companies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ETFOverlap!$K$3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00C31"/>
              </a:solidFill>
            </c:spPr>
          </c:dPt>
          <c:dPt>
            <c:idx val="27"/>
            <c:spPr>
              <a:solidFill>
                <a:srgbClr val="281021"/>
              </a:solidFill>
            </c:spPr>
          </c:dPt>
          <c:dPt>
            <c:idx val="28"/>
            <c:spPr>
              <a:solidFill>
                <a:srgbClr val="FF1C32"/>
              </a:solidFill>
            </c:spPr>
          </c:dPt>
          <c:dPt>
            <c:idx val="29"/>
            <c:spPr>
              <a:solidFill>
                <a:srgbClr val="240C0A"/>
              </a:solidFill>
            </c:spPr>
          </c:dPt>
          <c:dPt>
            <c:idx val="30"/>
            <c:spPr>
              <a:solidFill>
                <a:srgbClr val="5E3C05"/>
              </a:solidFill>
            </c:spPr>
          </c:dPt>
          <c:dPt>
            <c:idx val="31"/>
            <c:spPr>
              <a:solidFill>
                <a:srgbClr val="0A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87E"/>
              </a:solidFill>
            </c:spPr>
          </c:dPt>
          <c:dPt>
            <c:idx val="35"/>
            <c:spPr>
              <a:solidFill>
                <a:srgbClr val="5C201C"/>
              </a:solidFill>
            </c:spPr>
          </c:dPt>
          <c:dPt>
            <c:idx val="36"/>
            <c:spPr>
              <a:solidFill>
                <a:srgbClr val="966108"/>
              </a:solidFill>
            </c:spPr>
          </c:dPt>
          <c:dPt>
            <c:idx val="37"/>
            <c:spPr>
              <a:solidFill>
                <a:srgbClr val="1095A1"/>
              </a:solidFill>
            </c:spPr>
          </c:dPt>
          <c:dPt>
            <c:idx val="38"/>
            <c:spPr>
              <a:solidFill>
                <a:srgbClr val="0235C8"/>
              </a:solidFill>
            </c:spPr>
          </c:dPt>
          <c:dPt>
            <c:idx val="39"/>
            <c:spPr>
              <a:solidFill>
                <a:srgbClr val="A14589"/>
              </a:solidFill>
            </c:spPr>
          </c:dPt>
          <c:dPt>
            <c:idx val="40"/>
            <c:spPr>
              <a:solidFill>
                <a:srgbClr val="FF74CA"/>
              </a:solidFill>
            </c:spPr>
          </c:dPt>
          <c:dPt>
            <c:idx val="41"/>
            <c:spPr>
              <a:solidFill>
                <a:srgbClr val="93342D"/>
              </a:solidFill>
            </c:spPr>
          </c:dPt>
          <c:dPt>
            <c:idx val="42"/>
            <c:spPr>
              <a:solidFill>
                <a:srgbClr val="CF850B"/>
              </a:solidFill>
            </c:spPr>
          </c:dPt>
          <c:dPt>
            <c:idx val="43"/>
            <c:spPr>
              <a:solidFill>
                <a:srgbClr val="16CEDD"/>
              </a:solidFill>
            </c:spPr>
          </c:dPt>
          <c:dPt>
            <c:idx val="44"/>
            <c:spPr>
              <a:solidFill>
                <a:srgbClr val="034913"/>
              </a:solidFill>
            </c:spPr>
          </c:dPt>
          <c:dPt>
            <c:idx val="45"/>
            <c:spPr>
              <a:solidFill>
                <a:srgbClr val="DE5FBC"/>
              </a:solidFill>
            </c:spPr>
          </c:dPt>
          <c:dPt>
            <c:idx val="46"/>
            <c:spPr>
              <a:solidFill>
                <a:srgbClr val="FFA016"/>
              </a:solidFill>
            </c:spPr>
          </c:dPt>
          <c:dPt>
            <c:idx val="47"/>
            <c:spPr>
              <a:solidFill>
                <a:srgbClr val="CA483E"/>
              </a:solidFill>
            </c:spPr>
          </c:dPt>
          <c:dPt>
            <c:idx val="48"/>
            <c:spPr>
              <a:solidFill>
                <a:srgbClr val="08AA0E"/>
              </a:solidFill>
            </c:spPr>
          </c:dPt>
          <c:dPt>
            <c:idx val="49"/>
            <c:spPr>
              <a:solidFill>
                <a:srgbClr val="1C061A"/>
              </a:solidFill>
            </c:spPr>
          </c:dPt>
          <c:dPt>
            <c:idx val="50"/>
            <c:spPr>
              <a:solidFill>
                <a:srgbClr val="055D5E"/>
              </a:solidFill>
            </c:spPr>
          </c:dPt>
          <c:dPt>
            <c:idx val="51"/>
            <c:spPr>
              <a:solidFill>
                <a:srgbClr val="1B79F0"/>
              </a:solidFill>
            </c:spPr>
          </c:dPt>
          <c:dPt>
            <c:idx val="52"/>
            <c:spPr>
              <a:solidFill>
                <a:srgbClr val="FFCB63"/>
              </a:solidFill>
            </c:spPr>
          </c:dPt>
          <c:dPt>
            <c:idx val="53"/>
            <c:spPr>
              <a:solidFill>
                <a:srgbClr val="025B4F"/>
              </a:solidFill>
            </c:spPr>
          </c:dPt>
          <c:dPt>
            <c:idx val="54"/>
            <c:spPr>
              <a:solidFill>
                <a:srgbClr val="40CE12"/>
              </a:solidFill>
            </c:spPr>
          </c:dPt>
          <c:dPt>
            <c:idx val="55"/>
            <c:spPr>
              <a:solidFill>
                <a:srgbClr val="233F56"/>
              </a:solidFill>
            </c:spPr>
          </c:dPt>
          <c:dPt>
            <c:idx val="56"/>
            <c:spPr>
              <a:solidFill>
                <a:srgbClr val="0671AA"/>
              </a:solidFill>
            </c:spPr>
          </c:dPt>
          <c:dPt>
            <c:idx val="57"/>
            <c:spPr>
              <a:solidFill>
                <a:srgbClr val="589323"/>
              </a:solidFill>
            </c:spPr>
          </c:dPt>
          <c:dPt>
            <c:idx val="58"/>
            <c:spPr>
              <a:solidFill>
                <a:srgbClr val="FFF7AF"/>
              </a:solidFill>
            </c:spPr>
          </c:dPt>
          <c:dPt>
            <c:idx val="59"/>
            <c:spPr>
              <a:solidFill>
                <a:srgbClr val="3A6F60"/>
              </a:solidFill>
            </c:spPr>
          </c:dPt>
          <c:dPt>
            <c:idx val="60"/>
            <c:spPr>
              <a:solidFill>
                <a:srgbClr val="79F315"/>
              </a:solidFill>
            </c:spPr>
          </c:dPt>
          <c:dPt>
            <c:idx val="61"/>
            <c:spPr>
              <a:solidFill>
                <a:srgbClr val="297793"/>
              </a:solidFill>
            </c:spPr>
          </c:dPt>
          <c:dPt>
            <c:idx val="62"/>
            <c:spPr>
              <a:solidFill>
                <a:srgbClr val="0785F5"/>
              </a:solidFill>
            </c:spPr>
          </c:dPt>
          <c:dPt>
            <c:idx val="63"/>
            <c:spPr>
              <a:solidFill>
                <a:srgbClr val="95AD57"/>
              </a:solidFill>
            </c:spPr>
          </c:dPt>
          <c:dPt>
            <c:idx val="64"/>
            <c:spPr>
              <a:solidFill>
                <a:srgbClr val="FF23FB"/>
              </a:solidFill>
            </c:spPr>
          </c:dPt>
          <c:dPt>
            <c:idx val="65"/>
            <c:spPr>
              <a:solidFill>
                <a:srgbClr val="718371"/>
              </a:solidFill>
            </c:spPr>
          </c:dPt>
          <c:dPt>
            <c:idx val="66"/>
            <c:spPr>
              <a:solidFill>
                <a:srgbClr val="B21818"/>
              </a:solidFill>
            </c:spPr>
          </c:dPt>
          <c:dPt>
            <c:idx val="67"/>
            <c:spPr>
              <a:solidFill>
                <a:srgbClr val="2FAFD0"/>
              </a:solidFill>
            </c:spPr>
          </c:dPt>
          <c:dPt>
            <c:idx val="68"/>
            <c:spPr>
              <a:solidFill>
                <a:srgbClr val="089940"/>
              </a:solidFill>
            </c:spPr>
          </c:dPt>
          <c:dPt>
            <c:idx val="69"/>
            <c:spPr>
              <a:solidFill>
                <a:srgbClr val="D2C78B"/>
              </a:solidFill>
            </c:spPr>
          </c:dPt>
          <c:dPt>
            <c:idx val="70"/>
            <c:spPr>
              <a:solidFill>
                <a:srgbClr val="FF4F47"/>
              </a:solidFill>
            </c:spPr>
          </c:dPt>
          <c:dPt>
            <c:idx val="71"/>
            <c:spPr>
              <a:solidFill>
                <a:srgbClr val="A99782"/>
              </a:solidFill>
            </c:spPr>
          </c:dPt>
          <c:dPt>
            <c:idx val="72"/>
            <c:spPr>
              <a:solidFill>
                <a:srgbClr val="EA3C1C"/>
              </a:solidFill>
            </c:spPr>
          </c:dPt>
          <c:dPt>
            <c:idx val="73"/>
            <c:spPr>
              <a:solidFill>
                <a:srgbClr val="36E80C"/>
              </a:solidFill>
            </c:spPr>
          </c:dPt>
          <c:dPt>
            <c:idx val="74"/>
            <c:spPr>
              <a:solidFill>
                <a:srgbClr val="09AD8C"/>
              </a:solidFill>
            </c:spPr>
          </c:dPt>
          <c:dPt>
            <c:idx val="75"/>
            <c:spPr>
              <a:solidFill>
                <a:srgbClr val="0FE1BE"/>
              </a:solidFill>
            </c:spPr>
          </c:dPt>
          <c:dPt>
            <c:idx val="76"/>
            <c:spPr>
              <a:solidFill>
                <a:srgbClr val="FF7B93"/>
              </a:solidFill>
            </c:spPr>
          </c:dPt>
          <c:dPt>
            <c:idx val="77"/>
            <c:spPr>
              <a:solidFill>
                <a:srgbClr val="E0AB93"/>
              </a:solidFill>
            </c:spPr>
          </c:dPt>
          <c:dPt>
            <c:idx val="78"/>
            <c:spPr>
              <a:solidFill>
                <a:srgbClr val="23611F"/>
              </a:solidFill>
            </c:spPr>
          </c:dPt>
          <c:dPt>
            <c:idx val="79"/>
            <c:spPr>
              <a:solidFill>
                <a:srgbClr val="3C2049"/>
              </a:solidFill>
            </c:spPr>
          </c:dPt>
          <c:dPt>
            <c:idx val="80"/>
            <c:spPr>
              <a:solidFill>
                <a:srgbClr val="0BC1D7"/>
              </a:solidFill>
            </c:spPr>
          </c:dPt>
          <c:dPt>
            <c:idx val="81"/>
            <c:spPr>
              <a:solidFill>
                <a:srgbClr val="4CFBF2"/>
              </a:solidFill>
            </c:spPr>
          </c:dPt>
          <c:dPt>
            <c:idx val="82"/>
            <c:spPr>
              <a:solidFill>
                <a:srgbClr val="FFA6E0"/>
              </a:solidFill>
            </c:spPr>
          </c:dPt>
          <c:dPt>
            <c:idx val="83"/>
            <c:spPr>
              <a:solidFill>
                <a:srgbClr val="18BEA4"/>
              </a:solidFill>
            </c:spPr>
          </c:dPt>
          <c:dPt>
            <c:idx val="84"/>
            <c:spPr>
              <a:solidFill>
                <a:srgbClr val="5C8522"/>
              </a:solidFill>
            </c:spPr>
          </c:dPt>
          <c:dPt>
            <c:idx val="85"/>
            <c:spPr>
              <a:solidFill>
                <a:srgbClr val="425985"/>
              </a:solidFill>
            </c:spPr>
          </c:dPt>
          <c:dPt>
            <c:idx val="86"/>
            <c:spPr>
              <a:solidFill>
                <a:srgbClr val="0CD522"/>
              </a:solidFill>
            </c:spPr>
          </c:dPt>
          <c:dPt>
            <c:idx val="87"/>
            <c:spPr>
              <a:solidFill>
                <a:srgbClr val="891525"/>
              </a:solidFill>
            </c:spPr>
          </c:dPt>
          <c:dPt>
            <c:idx val="88"/>
            <c:spPr>
              <a:solidFill>
                <a:srgbClr val="FFD22C"/>
              </a:solidFill>
            </c:spPr>
          </c:dPt>
          <c:dPt>
            <c:idx val="89"/>
            <c:spPr>
              <a:solidFill>
                <a:srgbClr val="4FD2B5"/>
              </a:solidFill>
            </c:spPr>
          </c:dPt>
          <c:dPt>
            <c:idx val="90"/>
            <c:spPr>
              <a:solidFill>
                <a:srgbClr val="95AA26"/>
              </a:solidFill>
            </c:spPr>
          </c:dPt>
          <c:dPt>
            <c:idx val="91"/>
            <c:spPr>
              <a:solidFill>
                <a:srgbClr val="4991C2"/>
              </a:solidFill>
            </c:spPr>
          </c:dPt>
          <c:dPt>
            <c:idx val="92"/>
            <c:spPr>
              <a:solidFill>
                <a:srgbClr val="0DEA6E"/>
              </a:solidFill>
            </c:spPr>
          </c:dPt>
          <c:dPt>
            <c:idx val="93"/>
            <c:spPr>
              <a:solidFill>
                <a:srgbClr val="C63059"/>
              </a:solidFill>
            </c:spPr>
          </c:dPt>
          <c:dPt>
            <c:idx val="94"/>
            <c:spPr>
              <a:solidFill>
                <a:srgbClr val="FFFE78"/>
              </a:solidFill>
            </c:spPr>
          </c:dPt>
          <c:dPt>
            <c:idx val="95"/>
            <c:spPr>
              <a:solidFill>
                <a:srgbClr val="87E6C7"/>
              </a:solidFill>
            </c:spPr>
          </c:dPt>
          <c:dPt>
            <c:idx val="96"/>
            <c:spPr>
              <a:solidFill>
                <a:srgbClr val="CDCF29"/>
              </a:solidFill>
            </c:spPr>
          </c:dPt>
          <c:dPt>
            <c:idx val="97"/>
            <c:spPr>
              <a:solidFill>
                <a:srgbClr val="4FC9FF"/>
              </a:solidFill>
            </c:spPr>
          </c:dPt>
          <c:dPt>
            <c:idx val="98"/>
            <c:spPr>
              <a:solidFill>
                <a:srgbClr val="0EFEB9"/>
              </a:solidFill>
            </c:spPr>
          </c:dPt>
          <c:dPt>
            <c:idx val="99"/>
            <c:spPr>
              <a:solidFill>
                <a:srgbClr val="024A8D"/>
              </a:solidFill>
            </c:spPr>
          </c:dPt>
          <c:dPt>
            <c:idx val="100"/>
            <c:spPr>
              <a:solidFill>
                <a:srgbClr val="FF2AC4"/>
              </a:solidFill>
            </c:spPr>
          </c:dPt>
          <c:dPt>
            <c:idx val="101"/>
            <c:spPr>
              <a:solidFill>
                <a:srgbClr val="BEFAD8"/>
              </a:solidFill>
            </c:spPr>
          </c:dPt>
          <c:dPt>
            <c:idx val="102"/>
            <c:spPr>
              <a:solidFill>
                <a:srgbClr val="06F32C"/>
              </a:solidFill>
            </c:spPr>
          </c:dPt>
          <c:dPt>
            <c:idx val="103"/>
            <c:spPr>
              <a:solidFill>
                <a:srgbClr val="55023B"/>
              </a:solidFill>
            </c:spPr>
          </c:dPt>
          <c:dPt>
            <c:idx val="104"/>
            <c:spPr>
              <a:solidFill>
                <a:srgbClr val="0F1204"/>
              </a:solidFill>
            </c:spPr>
          </c:dPt>
          <c:dPt>
            <c:idx val="105"/>
            <c:spPr>
              <a:solidFill>
                <a:srgbClr val="3F64C0"/>
              </a:solidFill>
            </c:spPr>
          </c:dPt>
          <c:dPt>
            <c:idx val="106"/>
            <c:spPr>
              <a:solidFill>
                <a:srgbClr val="FF5610"/>
              </a:solidFill>
            </c:spPr>
          </c:dPt>
          <c:dPt>
            <c:idx val="107"/>
            <c:spPr>
              <a:solidFill>
                <a:srgbClr val="F60EE9"/>
              </a:solidFill>
            </c:spPr>
          </c:dPt>
          <c:dPt>
            <c:idx val="108"/>
            <c:spPr>
              <a:solidFill>
                <a:srgbClr val="3F182F"/>
              </a:solidFill>
            </c:spPr>
          </c:dPt>
          <c:dPt>
            <c:idx val="109"/>
            <c:spPr>
              <a:solidFill>
                <a:srgbClr val="5B3A78"/>
              </a:solidFill>
            </c:spPr>
          </c:dPt>
          <c:dPt>
            <c:idx val="110"/>
            <c:spPr>
              <a:solidFill>
                <a:srgbClr val="11264F"/>
              </a:solidFill>
            </c:spPr>
          </c:dPt>
          <c:dPt>
            <c:idx val="111"/>
            <c:spPr>
              <a:solidFill>
                <a:srgbClr val="7C7EF4"/>
              </a:solidFill>
            </c:spPr>
          </c:dPt>
          <c:dPt>
            <c:idx val="112"/>
            <c:spPr>
              <a:solidFill>
                <a:srgbClr val="FF815D"/>
              </a:solidFill>
            </c:spPr>
          </c:dPt>
          <c:dPt>
            <c:idx val="113"/>
            <c:spPr>
              <a:solidFill>
                <a:srgbClr val="2D21FA"/>
              </a:solidFill>
            </c:spPr>
          </c:dPt>
          <c:dPt>
            <c:idx val="114"/>
            <c:spPr>
              <a:solidFill>
                <a:srgbClr val="773C33"/>
              </a:solidFill>
            </c:spPr>
          </c:dPt>
          <c:dPt>
            <c:idx val="115"/>
            <c:spPr>
              <a:solidFill>
                <a:srgbClr val="6273B4"/>
              </a:solidFill>
            </c:spPr>
          </c:dPt>
          <c:dPt>
            <c:idx val="116"/>
            <c:spPr>
              <a:solidFill>
                <a:srgbClr val="123A9B"/>
              </a:solidFill>
            </c:spPr>
          </c:dPt>
          <c:dPt>
            <c:idx val="117"/>
            <c:spPr>
              <a:solidFill>
                <a:srgbClr val="B99827"/>
              </a:solidFill>
            </c:spPr>
          </c:dPt>
          <c:dPt>
            <c:idx val="118"/>
            <c:spPr>
              <a:solidFill>
                <a:srgbClr val="FFADA9"/>
              </a:solidFill>
            </c:spPr>
          </c:dPt>
          <c:dPt>
            <c:idx val="119"/>
            <c:spPr>
              <a:solidFill>
                <a:srgbClr val="65350B"/>
              </a:solidFill>
            </c:spPr>
          </c:dPt>
          <c:dPt>
            <c:idx val="120"/>
            <c:spPr>
              <a:solidFill>
                <a:srgbClr val="B06136"/>
              </a:solidFill>
            </c:spPr>
          </c:dPt>
          <c:dPt>
            <c:idx val="121"/>
            <c:spPr>
              <a:solidFill>
                <a:srgbClr val="68ABF1"/>
              </a:solidFill>
            </c:spPr>
          </c:dPt>
          <c:dPt>
            <c:idx val="122"/>
            <c:spPr>
              <a:solidFill>
                <a:srgbClr val="134EE6"/>
              </a:solidFill>
            </c:spPr>
          </c:dPt>
          <c:dPt>
            <c:idx val="123"/>
            <c:spPr>
              <a:solidFill>
                <a:srgbClr val="F6B25B"/>
              </a:solidFill>
            </c:spPr>
          </c:dPt>
          <c:dPt>
            <c:idx val="124"/>
            <c:spPr>
              <a:solidFill>
                <a:srgbClr val="FFD9F5"/>
              </a:solidFill>
            </c:spPr>
          </c:dPt>
          <c:dPt>
            <c:idx val="125"/>
            <c:spPr>
              <a:solidFill>
                <a:srgbClr val="9C491C"/>
              </a:solidFill>
            </c:spPr>
          </c:dPt>
          <c:dPt>
            <c:idx val="126"/>
            <c:spPr>
              <a:solidFill>
                <a:srgbClr val="E98639"/>
              </a:solidFill>
            </c:spPr>
          </c:dPt>
          <c:dPt>
            <c:idx val="127"/>
            <c:spPr>
              <a:solidFill>
                <a:srgbClr val="6EE32E"/>
              </a:solidFill>
            </c:spPr>
          </c:dPt>
          <c:dPt>
            <c:idx val="128"/>
            <c:spPr>
              <a:solidFill>
                <a:srgbClr val="146231"/>
              </a:solidFill>
            </c:spPr>
          </c:dPt>
          <c:dPt>
            <c:idx val="129"/>
            <c:spPr>
              <a:solidFill>
                <a:srgbClr val="33CC8F"/>
              </a:solidFill>
            </c:spPr>
          </c:dPt>
          <c:dPt>
            <c:idx val="130"/>
            <c:spPr>
              <a:solidFill>
                <a:srgbClr val="FF0541"/>
              </a:solidFill>
            </c:spPr>
          </c:dPt>
          <c:dPt>
            <c:idx val="131"/>
            <c:spPr>
              <a:solidFill>
                <a:srgbClr val="D45D2D"/>
              </a:solidFill>
            </c:spPr>
          </c:dPt>
          <c:dPt>
            <c:idx val="132"/>
            <c:spPr>
              <a:solidFill>
                <a:srgbClr val="21AA3D"/>
              </a:solidFill>
            </c:spPr>
          </c:dPt>
          <c:dPt>
            <c:idx val="133"/>
            <c:spPr>
              <a:solidFill>
                <a:srgbClr val="751C6A"/>
              </a:solidFill>
            </c:spPr>
          </c:dPt>
          <c:dPt>
            <c:idx val="134"/>
            <c:spPr>
              <a:solidFill>
                <a:srgbClr val="15767D"/>
              </a:solidFill>
            </c:spPr>
          </c:dPt>
          <c:dPt>
            <c:idx val="135"/>
            <c:spPr>
              <a:solidFill>
                <a:srgbClr val="70E6C2"/>
              </a:solidFill>
            </c:spPr>
          </c:dPt>
          <c:dPt>
            <c:idx val="136"/>
            <c:spPr>
              <a:solidFill>
                <a:srgbClr val="FF318D"/>
              </a:solidFill>
            </c:spPr>
          </c:dPt>
          <c:dPt>
            <c:idx val="137"/>
            <c:spPr>
              <a:solidFill>
                <a:srgbClr val="0B713E"/>
              </a:solidFill>
            </c:spPr>
          </c:dPt>
          <c:dPt>
            <c:idx val="138"/>
            <c:spPr>
              <a:solidFill>
                <a:srgbClr val="5ACF40"/>
              </a:solidFill>
            </c:spPr>
          </c:dPt>
          <c:dPt>
            <c:idx val="139"/>
            <c:spPr>
              <a:solidFill>
                <a:srgbClr val="7B54A7"/>
              </a:solidFill>
            </c:spPr>
          </c:dPt>
          <c:dPt>
            <c:idx val="140"/>
            <c:spPr>
              <a:solidFill>
                <a:srgbClr val="178AC8"/>
              </a:solidFill>
            </c:spPr>
          </c:dPt>
          <c:dPt>
            <c:idx val="141"/>
            <c:spPr>
              <a:solidFill>
                <a:srgbClr val="AD00F6"/>
              </a:solidFill>
            </c:spPr>
          </c:dPt>
          <c:dPt>
            <c:idx val="142"/>
            <c:spPr>
              <a:solidFill>
                <a:srgbClr val="FF5CDA"/>
              </a:solidFill>
            </c:spPr>
          </c:dPt>
          <c:dPt>
            <c:idx val="143"/>
            <c:spPr>
              <a:solidFill>
                <a:srgbClr val="43844F"/>
              </a:solidFill>
            </c:spPr>
          </c:dPt>
          <c:dPt>
            <c:idx val="144"/>
            <c:spPr>
              <a:solidFill>
                <a:srgbClr val="93F343"/>
              </a:solidFill>
            </c:spPr>
          </c:dPt>
          <c:dPt>
            <c:idx val="145"/>
            <c:spPr>
              <a:solidFill>
                <a:srgbClr val="818DE3"/>
              </a:solidFill>
            </c:spPr>
          </c:dPt>
          <c:dPt>
            <c:idx val="146"/>
            <c:spPr>
              <a:solidFill>
                <a:srgbClr val="189E13"/>
              </a:solidFill>
            </c:spPr>
          </c:dPt>
          <c:dPt>
            <c:idx val="147"/>
            <c:spPr>
              <a:solidFill>
                <a:srgbClr val="EA1A29"/>
              </a:solidFill>
            </c:spPr>
          </c:dPt>
          <c:dPt>
            <c:idx val="148"/>
            <c:spPr>
              <a:solidFill>
                <a:srgbClr val="FF8826"/>
              </a:solidFill>
            </c:spPr>
          </c:dPt>
          <c:dPt>
            <c:idx val="149"/>
            <c:spPr>
              <a:solidFill>
                <a:srgbClr val="7A9860"/>
              </a:solidFill>
            </c:spPr>
          </c:dPt>
          <c:dPt>
            <c:idx val="150"/>
            <c:spPr>
              <a:solidFill>
                <a:srgbClr val="CC1847"/>
              </a:solidFill>
            </c:spPr>
          </c:dPt>
          <c:dPt>
            <c:idx val="151"/>
            <c:spPr>
              <a:solidFill>
                <a:srgbClr val="88C520"/>
              </a:solidFill>
            </c:spPr>
          </c:dPt>
          <c:dPt>
            <c:idx val="152"/>
            <c:spPr>
              <a:solidFill>
                <a:srgbClr val="19B35F"/>
              </a:solidFill>
            </c:spPr>
          </c:dPt>
          <c:dPt>
            <c:idx val="153"/>
            <c:spPr>
              <a:solidFill>
                <a:srgbClr val="27355D"/>
              </a:solidFill>
            </c:spPr>
          </c:dPt>
          <c:dPt>
            <c:idx val="154"/>
            <c:spPr>
              <a:solidFill>
                <a:srgbClr val="FFB472"/>
              </a:solidFill>
            </c:spPr>
          </c:dPt>
          <c:dPt>
            <c:idx val="155"/>
            <c:spPr>
              <a:solidFill>
                <a:srgbClr val="B2AC72"/>
              </a:solidFill>
            </c:spPr>
          </c:dPt>
          <c:dPt>
            <c:idx val="156"/>
            <c:spPr>
              <a:solidFill>
                <a:srgbClr val="043D4A"/>
              </a:solidFill>
            </c:spPr>
          </c:dPt>
          <c:dPt>
            <c:idx val="157"/>
            <c:spPr>
              <a:solidFill>
                <a:srgbClr val="8EFD5D"/>
              </a:solidFill>
            </c:spPr>
          </c:dPt>
          <c:dPt>
            <c:idx val="158"/>
            <c:spPr>
              <a:solidFill>
                <a:srgbClr val="1AC7AA"/>
              </a:solidFill>
            </c:spPr>
          </c:dPt>
          <c:dPt>
            <c:idx val="159"/>
            <c:spPr>
              <a:solidFill>
                <a:srgbClr val="634F91"/>
              </a:solidFill>
            </c:spPr>
          </c:dPt>
          <c:dPt>
            <c:idx val="160"/>
            <c:spPr>
              <a:solidFill>
                <a:srgbClr val="FFE0BE"/>
              </a:solidFill>
            </c:spPr>
          </c:dPt>
          <c:dPt>
            <c:idx val="161"/>
            <c:spPr>
              <a:solidFill>
                <a:srgbClr val="E9C083"/>
              </a:solidFill>
            </c:spPr>
          </c:dPt>
          <c:dPt>
            <c:idx val="162"/>
            <c:spPr>
              <a:solidFill>
                <a:srgbClr val="3D614D"/>
              </a:solidFill>
            </c:spPr>
          </c:dPt>
          <c:dPt>
            <c:idx val="163"/>
            <c:spPr>
              <a:solidFill>
                <a:srgbClr val="943699"/>
              </a:solidFill>
            </c:spPr>
          </c:dPt>
          <c:dPt>
            <c:idx val="164"/>
            <c:spPr>
              <a:solidFill>
                <a:srgbClr val="1BDBF5"/>
              </a:solidFill>
            </c:spPr>
          </c:dPt>
          <c:dPt>
            <c:idx val="165"/>
            <c:spPr>
              <a:solidFill>
                <a:srgbClr val="A069C4"/>
              </a:solidFill>
            </c:spPr>
          </c:dPt>
          <c:dPt>
            <c:idx val="166"/>
            <c:spPr>
              <a:solidFill>
                <a:srgbClr val="FF0C0A"/>
              </a:solidFill>
            </c:spPr>
          </c:dPt>
          <c:dPt>
            <c:idx val="167"/>
            <c:spPr>
              <a:solidFill>
                <a:srgbClr val="21D494"/>
              </a:solidFill>
            </c:spPr>
          </c:dPt>
          <c:dPt>
            <c:idx val="168"/>
            <c:spPr>
              <a:solidFill>
                <a:srgbClr val="768650"/>
              </a:solidFill>
            </c:spPr>
          </c:dPt>
          <c:dPt>
            <c:idx val="169"/>
            <c:spPr>
              <a:solidFill>
                <a:srgbClr val="9A6ED6"/>
              </a:solidFill>
            </c:spPr>
          </c:dPt>
          <c:dPt>
            <c:idx val="170"/>
            <c:spPr>
              <a:solidFill>
                <a:srgbClr val="1DEF40"/>
              </a:solidFill>
            </c:spPr>
          </c:dPt>
          <c:dPt>
            <c:idx val="171"/>
            <c:spPr>
              <a:solidFill>
                <a:srgbClr val="DD83F8"/>
              </a:solidFill>
            </c:spPr>
          </c:dPt>
          <c:dPt>
            <c:idx val="172"/>
            <c:spPr>
              <a:solidFill>
                <a:srgbClr val="FF3757"/>
              </a:solidFill>
            </c:spPr>
          </c:dPt>
          <c:dPt>
            <c:idx val="173"/>
            <c:spPr>
              <a:solidFill>
                <a:srgbClr val="58E7A5"/>
              </a:solidFill>
            </c:spPr>
          </c:dPt>
          <c:dPt>
            <c:idx val="174"/>
            <c:spPr>
              <a:solidFill>
                <a:srgbClr val="AEAA54"/>
              </a:solidFill>
            </c:spPr>
          </c:dPt>
          <c:dPt>
            <c:idx val="175"/>
            <c:spPr>
              <a:solidFill>
                <a:srgbClr val="A1A712"/>
              </a:solidFill>
            </c:spPr>
          </c:dPt>
          <c:dPt>
            <c:idx val="176"/>
            <c:spPr>
              <a:solidFill>
                <a:srgbClr val="1E038C"/>
              </a:solidFill>
            </c:spPr>
          </c:dPt>
          <c:dPt>
            <c:idx val="177"/>
            <c:spPr>
              <a:solidFill>
                <a:srgbClr val="1A9D2B"/>
              </a:solidFill>
            </c:spPr>
          </c:dPt>
          <c:dPt>
            <c:idx val="178"/>
            <c:spPr>
              <a:solidFill>
                <a:srgbClr val="FF63A3"/>
              </a:solidFill>
            </c:spPr>
          </c:dPt>
          <c:dPt>
            <c:idx val="179"/>
            <c:spPr>
              <a:solidFill>
                <a:srgbClr val="90FBB6"/>
              </a:solidFill>
            </c:spPr>
          </c:dPt>
          <c:dPt>
            <c:idx val="180"/>
            <c:spPr>
              <a:solidFill>
                <a:srgbClr val="E7CF57"/>
              </a:solidFill>
            </c:spPr>
          </c:dPt>
          <c:dPt>
            <c:idx val="181"/>
            <c:spPr>
              <a:solidFill>
                <a:srgbClr val="A7DF4F"/>
              </a:solidFill>
            </c:spPr>
          </c:dPt>
          <c:dPt>
            <c:idx val="182"/>
            <c:spPr>
              <a:solidFill>
                <a:srgbClr val="1F17D7"/>
              </a:solidFill>
            </c:spPr>
          </c:dPt>
          <c:dPt>
            <c:idx val="183"/>
            <c:spPr>
              <a:solidFill>
                <a:srgbClr val="57B75F"/>
              </a:solidFill>
            </c:spPr>
          </c:dPt>
          <c:dPt>
            <c:idx val="184"/>
            <c:spPr>
              <a:solidFill>
                <a:srgbClr val="FF8FEF"/>
              </a:solidFill>
            </c:spPr>
          </c:dPt>
          <c:dPt>
            <c:idx val="185"/>
            <c:spPr>
              <a:solidFill>
                <a:srgbClr val="C70FC7"/>
              </a:solidFill>
            </c:spPr>
          </c:dPt>
          <c:dPt>
            <c:idx val="186"/>
            <c:spPr>
              <a:solidFill>
                <a:srgbClr val="20F45A"/>
              </a:solidFill>
            </c:spPr>
          </c:dPt>
          <c:dPt>
            <c:idx val="187"/>
            <c:spPr>
              <a:solidFill>
                <a:srgbClr val="AD178C"/>
              </a:solidFill>
            </c:spPr>
          </c:dPt>
          <c:dPt>
            <c:idx val="188"/>
            <c:spPr>
              <a:solidFill>
                <a:srgbClr val="202B22"/>
              </a:solidFill>
            </c:spPr>
          </c:dPt>
          <c:dPt>
            <c:idx val="189"/>
            <c:spPr>
              <a:solidFill>
                <a:srgbClr val="94D193"/>
              </a:solidFill>
            </c:spPr>
          </c:dPt>
          <c:dPt>
            <c:idx val="190"/>
            <c:spPr>
              <a:solidFill>
                <a:srgbClr val="FFBB3B"/>
              </a:solidFill>
            </c:spPr>
          </c:dPt>
          <c:dPt>
            <c:idx val="191"/>
            <c:spPr>
              <a:solidFill>
                <a:srgbClr val="FF23D8"/>
              </a:solidFill>
            </c:spPr>
          </c:dPt>
          <c:dPt>
            <c:idx val="192"/>
            <c:spPr>
              <a:solidFill>
                <a:srgbClr val="58185E"/>
              </a:solidFill>
            </c:spPr>
          </c:dPt>
          <c:dPt>
            <c:idx val="193"/>
            <c:spPr>
              <a:solidFill>
                <a:srgbClr val="B450C8"/>
              </a:solidFill>
            </c:spPr>
          </c:dPt>
          <c:dPt>
            <c:idx val="194"/>
            <c:spPr>
              <a:solidFill>
                <a:srgbClr val="213F6E"/>
              </a:solidFill>
            </c:spPr>
          </c:dPt>
          <c:dPt>
            <c:idx val="195"/>
            <c:spPr>
              <a:solidFill>
                <a:srgbClr val="D1EBC6"/>
              </a:solidFill>
            </c:spPr>
          </c:dPt>
          <c:dPt>
            <c:idx val="196"/>
            <c:spPr>
              <a:solidFill>
                <a:srgbClr val="FFE787"/>
              </a:solidFill>
            </c:spPr>
          </c:dPt>
          <c:dPt>
            <c:idx val="197"/>
            <c:spPr>
              <a:solidFill>
                <a:srgbClr val="3637E9"/>
              </a:solidFill>
            </c:spPr>
          </c:dPt>
          <c:dPt>
            <c:idx val="198"/>
            <c:spPr>
              <a:solidFill>
                <a:srgbClr val="913D61"/>
              </a:solidFill>
            </c:spPr>
          </c:dPt>
          <c:dPt>
            <c:idx val="199"/>
            <c:spPr>
              <a:solidFill>
                <a:srgbClr val="BA8805"/>
              </a:solidFill>
            </c:spPr>
          </c:dPt>
          <c:dPt>
            <c:idx val="200"/>
            <c:spPr>
              <a:solidFill>
                <a:srgbClr val="2353B9"/>
              </a:solidFill>
            </c:spPr>
          </c:dPt>
          <c:dPt>
            <c:idx val="201"/>
            <c:spPr>
              <a:solidFill>
                <a:srgbClr val="0E05FA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ETFOverlap!$H$4:$H$205</c:f>
            </c:strRef>
          </c:cat>
          <c:val>
            <c:numRef>
              <c:f>ETFOverlap!$K$4:$K$205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57150</xdr:colOff>
      <xdr:row>1</xdr:row>
      <xdr:rowOff>57150</xdr:rowOff>
    </xdr:from>
    <xdr:ext cx="5829300" cy="35909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85725</xdr:colOff>
      <xdr:row>22</xdr:row>
      <xdr:rowOff>104775</xdr:rowOff>
    </xdr:from>
    <xdr:ext cx="5829300" cy="35909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0" Type="http://schemas.openxmlformats.org/officeDocument/2006/relationships/hyperlink" Target="https://assets.globalxetfs.com.au/pcf/gxau_robo_full_pcf.xlsx" TargetMode="External"/><Relationship Id="rId22" Type="http://schemas.openxmlformats.org/officeDocument/2006/relationships/hyperlink" Target="https://www.betashares.com.au/files/csv/TANN_Portfolio_Holdings.csv" TargetMode="External"/><Relationship Id="rId21" Type="http://schemas.openxmlformats.org/officeDocument/2006/relationships/hyperlink" Target="https://www.betashares.com.au/fund/solar-etf/" TargetMode="External"/><Relationship Id="rId24" Type="http://schemas.openxmlformats.org/officeDocument/2006/relationships/hyperlink" Target="https://www.vanguard.com.au/adviser/invest/etf?portId=8205&amp;tab=portfolio-data" TargetMode="External"/><Relationship Id="rId23" Type="http://schemas.openxmlformats.org/officeDocument/2006/relationships/hyperlink" Target="https://www.vanguard.com.au/personal/invest-with-us/fund?portId=8103&amp;tab=holdings" TargetMode="External"/><Relationship Id="rId1" Type="http://schemas.openxmlformats.org/officeDocument/2006/relationships/hyperlink" Target="https://www.betashares.com.au/fund/australia-200-etf/" TargetMode="External"/><Relationship Id="rId2" Type="http://schemas.openxmlformats.org/officeDocument/2006/relationships/hyperlink" Target="https://www.betashares.com.au/files/csv/A200_Portfolio_Holdings.csv" TargetMode="External"/><Relationship Id="rId3" Type="http://schemas.openxmlformats.org/officeDocument/2006/relationships/hyperlink" Target="https://www.globalxetfs.com.au/funds/acdc/" TargetMode="External"/><Relationship Id="rId4" Type="http://schemas.openxmlformats.org/officeDocument/2006/relationships/hyperlink" Target="https://assets.globalxetfs.com.au/pcf/gxau_acdc_full_pcf.xlsx" TargetMode="External"/><Relationship Id="rId9" Type="http://schemas.openxmlformats.org/officeDocument/2006/relationships/hyperlink" Target="https://www.betashares.com.au/fund/global-sustainability-leaders-etf/" TargetMode="External"/><Relationship Id="rId26" Type="http://schemas.openxmlformats.org/officeDocument/2006/relationships/hyperlink" Target="https://www.vanguard.com.au/adviser/products/en/detail/etf/8221/balanced" TargetMode="External"/><Relationship Id="rId25" Type="http://schemas.openxmlformats.org/officeDocument/2006/relationships/hyperlink" Target="https://www.vanguard.com.au/personal/invest-with-us/fund?portId=8130&amp;tab=holdings" TargetMode="External"/><Relationship Id="rId28" Type="http://schemas.openxmlformats.org/officeDocument/2006/relationships/hyperlink" Target="https://www.vanguard.com.au/personal/invest-with-us/etf?portId=8225" TargetMode="External"/><Relationship Id="rId27" Type="http://schemas.openxmlformats.org/officeDocument/2006/relationships/hyperlink" Target="https://www.vanguard.com.au/personal/invest-with-us/fund?portId=8109" TargetMode="External"/><Relationship Id="rId5" Type="http://schemas.openxmlformats.org/officeDocument/2006/relationships/hyperlink" Target="https://www.betashares.com.au/fund/asia-technology-tigers-etf/" TargetMode="External"/><Relationship Id="rId6" Type="http://schemas.openxmlformats.org/officeDocument/2006/relationships/hyperlink" Target="https://www.betashares.com.au/files/csv/ASIA_Portfolio_Holdings.csv" TargetMode="External"/><Relationship Id="rId29" Type="http://schemas.openxmlformats.org/officeDocument/2006/relationships/hyperlink" Target="https://www.vanguard.com.au/personal/invest-with-us/etf?portId=0991" TargetMode="External"/><Relationship Id="rId7" Type="http://schemas.openxmlformats.org/officeDocument/2006/relationships/hyperlink" Target="https://www.betashares.com.au/fund/global-shares-etf/" TargetMode="External"/><Relationship Id="rId8" Type="http://schemas.openxmlformats.org/officeDocument/2006/relationships/hyperlink" Target="https://www.betashares.com.au/files/csv/BGBL_Portfolio_Holdings.csv" TargetMode="External"/><Relationship Id="rId31" Type="http://schemas.openxmlformats.org/officeDocument/2006/relationships/hyperlink" Target="https://www.vanguard.com.au/adviser/invest/etf?portId=8204&amp;tab=portfolio-data" TargetMode="External"/><Relationship Id="rId30" Type="http://schemas.openxmlformats.org/officeDocument/2006/relationships/hyperlink" Target="https://www.vanguard.com.au/personal/invest-with-us/etf?portId=8213&amp;tab=holdings" TargetMode="External"/><Relationship Id="rId11" Type="http://schemas.openxmlformats.org/officeDocument/2006/relationships/hyperlink" Target="https://www.globalxetfs.com.au/funds/fang/" TargetMode="External"/><Relationship Id="rId33" Type="http://schemas.openxmlformats.org/officeDocument/2006/relationships/hyperlink" Target="https://www.vanguard.com.au/personal/invest-with-us/fund?portId=8118" TargetMode="External"/><Relationship Id="rId10" Type="http://schemas.openxmlformats.org/officeDocument/2006/relationships/hyperlink" Target="https://www.betashares.com.au/files/csv/ETHI_Portfolio_Holdings.csv" TargetMode="External"/><Relationship Id="rId32" Type="http://schemas.openxmlformats.org/officeDocument/2006/relationships/hyperlink" Target="https://www.vanguard.com.au/personal/invest-with-us/etf?portId=8212&amp;tab=holdings" TargetMode="External"/><Relationship Id="rId13" Type="http://schemas.openxmlformats.org/officeDocument/2006/relationships/hyperlink" Target="https://www.betashares.com.au/fund/global-cybersecurity-etf/" TargetMode="External"/><Relationship Id="rId35" Type="http://schemas.openxmlformats.org/officeDocument/2006/relationships/drawing" Target="../drawings/drawing1.xml"/><Relationship Id="rId12" Type="http://schemas.openxmlformats.org/officeDocument/2006/relationships/hyperlink" Target="https://assets.globalxetfs.com.au/pcf/gxau_fang_full_pcf.xlsx?_gl=1*pgytns*_gcl_au*MTg0OTQ5ODI3NS4xNjg3MDUwNDY3*_ga*MTU0NTE1OTkxMC4xNjg3MDUwNDY4*_ga_MFLERJW71S*MTY5NDc1NjYxMi44LjAuMTY5NDc1NjYxMi42MC4wLjA." TargetMode="External"/><Relationship Id="rId34" Type="http://schemas.openxmlformats.org/officeDocument/2006/relationships/hyperlink" Target="https://www.vanguard.com.au/personal/invest-with-us/etf?portId=0970" TargetMode="External"/><Relationship Id="rId15" Type="http://schemas.openxmlformats.org/officeDocument/2006/relationships/hyperlink" Target="https://www.ishares.com/us/products/239726/ishares-core-sp-500-etf" TargetMode="External"/><Relationship Id="rId14" Type="http://schemas.openxmlformats.org/officeDocument/2006/relationships/hyperlink" Target="https://www.betashares.com.au/files/csv/HACK_Portfolio_Holdings.csv" TargetMode="External"/><Relationship Id="rId17" Type="http://schemas.openxmlformats.org/officeDocument/2006/relationships/hyperlink" Target="https://www.betashares.com.au/fund/nasdaq-100-etf/" TargetMode="External"/><Relationship Id="rId16" Type="http://schemas.openxmlformats.org/officeDocument/2006/relationships/hyperlink" Target="https://www.ishares.com/us/products/239726/ishares-core-sp-500-etf/1467271812596.ajax?fileType=csv&amp;fileName=IVV_holdings&amp;dataType=fund" TargetMode="External"/><Relationship Id="rId19" Type="http://schemas.openxmlformats.org/officeDocument/2006/relationships/hyperlink" Target="https://www.globalxetfs.com.au/funds/robo/" TargetMode="External"/><Relationship Id="rId18" Type="http://schemas.openxmlformats.org/officeDocument/2006/relationships/hyperlink" Target="https://www.betashares.com.au/files/csv/NDQ_Portfolio_Holdings.csv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s://www.vanguard.com.au/adviser/invest/etf?portId=8221&amp;tab=portfolio-data" TargetMode="External"/><Relationship Id="rId2" Type="http://schemas.openxmlformats.org/officeDocument/2006/relationships/hyperlink" Target="https://www.vanguard.com.au/institutional/products/en/detail/broker-basket/etf/8221/balanced/CRRD/BF381J1/6" TargetMode="External"/><Relationship Id="rId3" Type="http://schemas.openxmlformats.org/officeDocument/2006/relationships/hyperlink" Target="https://www.vanguard.com.au/personal/invest-with-us/fund?portId=8103&amp;tab=holdings" TargetMode="External"/><Relationship Id="rId4" Type="http://schemas.openxmlformats.org/officeDocument/2006/relationships/hyperlink" Target="https://www.vanguard.com.au/institutional/products/en/detail/broker-basket/etf/8205/equity/CRRD/B42HLD6/5" TargetMode="External"/><Relationship Id="rId9" Type="http://schemas.openxmlformats.org/officeDocument/2006/relationships/hyperlink" Target="https://www.vanguard.com.au/personal/invest-with-us/fund?portId=8118" TargetMode="External"/><Relationship Id="rId5" Type="http://schemas.openxmlformats.org/officeDocument/2006/relationships/hyperlink" Target="https://www.vanguard.com.au/personal/invest-with-us/fund?portId=8130&amp;tab=holdings" TargetMode="External"/><Relationship Id="rId6" Type="http://schemas.openxmlformats.org/officeDocument/2006/relationships/hyperlink" Target="https://www.vanguard.com.au/personal/invest-with-us/fund?portId=8109" TargetMode="External"/><Relationship Id="rId7" Type="http://schemas.openxmlformats.org/officeDocument/2006/relationships/hyperlink" Target="https://www.vanguard.com.au/personal/invest-with-us/etf?portId=8213&amp;tab=holdings" TargetMode="External"/><Relationship Id="rId8" Type="http://schemas.openxmlformats.org/officeDocument/2006/relationships/hyperlink" Target="https://www.vanguard.com.au/personal/invest-with-us/etf?portId=8212&amp;tab=holdings" TargetMode="External"/><Relationship Id="rId10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0"/>
    <col customWidth="1" min="2" max="3" width="41.38"/>
    <col customWidth="1" min="4" max="4" width="14.75"/>
    <col customWidth="1" min="5" max="6" width="7.63"/>
  </cols>
  <sheetData>
    <row r="1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</row>
    <row r="2">
      <c r="A2" s="3" t="s">
        <v>6</v>
      </c>
      <c r="B2" s="4" t="s">
        <v>7</v>
      </c>
      <c r="C2" s="5" t="s">
        <v>8</v>
      </c>
      <c r="D2" s="6" t="s">
        <v>9</v>
      </c>
      <c r="E2" s="7" t="s">
        <v>10</v>
      </c>
      <c r="F2" s="7" t="s">
        <v>11</v>
      </c>
    </row>
    <row r="3">
      <c r="A3" s="3" t="s">
        <v>12</v>
      </c>
      <c r="B3" s="4" t="s">
        <v>13</v>
      </c>
      <c r="C3" s="5" t="s">
        <v>14</v>
      </c>
      <c r="D3" s="6" t="s">
        <v>9</v>
      </c>
      <c r="E3" s="7" t="s">
        <v>10</v>
      </c>
      <c r="F3" s="7" t="s">
        <v>11</v>
      </c>
    </row>
    <row r="4">
      <c r="A4" s="3" t="s">
        <v>15</v>
      </c>
      <c r="B4" s="4" t="s">
        <v>16</v>
      </c>
      <c r="C4" s="5" t="s">
        <v>17</v>
      </c>
      <c r="D4" s="6" t="s">
        <v>9</v>
      </c>
      <c r="E4" s="7" t="s">
        <v>10</v>
      </c>
      <c r="F4" s="7" t="s">
        <v>11</v>
      </c>
    </row>
    <row r="5">
      <c r="A5" s="3" t="s">
        <v>18</v>
      </c>
      <c r="B5" s="8" t="s">
        <v>19</v>
      </c>
      <c r="C5" s="9" t="s">
        <v>20</v>
      </c>
      <c r="D5" s="6" t="s">
        <v>21</v>
      </c>
      <c r="E5" s="7" t="s">
        <v>10</v>
      </c>
      <c r="F5" s="7" t="s">
        <v>11</v>
      </c>
    </row>
    <row r="6">
      <c r="A6" s="3" t="s">
        <v>22</v>
      </c>
      <c r="B6" s="4" t="s">
        <v>23</v>
      </c>
      <c r="C6" s="5" t="s">
        <v>24</v>
      </c>
      <c r="D6" s="6" t="s">
        <v>21</v>
      </c>
      <c r="E6" s="7" t="s">
        <v>10</v>
      </c>
      <c r="F6" s="7" t="s">
        <v>11</v>
      </c>
    </row>
    <row r="7">
      <c r="A7" s="3" t="s">
        <v>25</v>
      </c>
      <c r="B7" s="8" t="s">
        <v>26</v>
      </c>
      <c r="C7" s="9" t="s">
        <v>27</v>
      </c>
      <c r="D7" s="6" t="s">
        <v>21</v>
      </c>
      <c r="E7" s="7" t="s">
        <v>10</v>
      </c>
      <c r="F7" s="10" t="s">
        <v>28</v>
      </c>
    </row>
    <row r="8">
      <c r="A8" s="3" t="s">
        <v>29</v>
      </c>
      <c r="B8" s="8" t="s">
        <v>30</v>
      </c>
      <c r="C8" s="5" t="s">
        <v>31</v>
      </c>
      <c r="D8" s="6" t="s">
        <v>21</v>
      </c>
      <c r="E8" s="7" t="s">
        <v>10</v>
      </c>
      <c r="F8" s="7" t="s">
        <v>11</v>
      </c>
    </row>
    <row r="9">
      <c r="A9" s="3" t="s">
        <v>32</v>
      </c>
      <c r="B9" s="4" t="s">
        <v>33</v>
      </c>
      <c r="C9" s="5" t="s">
        <v>34</v>
      </c>
      <c r="D9" s="6" t="s">
        <v>9</v>
      </c>
      <c r="E9" s="7" t="s">
        <v>10</v>
      </c>
      <c r="F9" s="7" t="s">
        <v>11</v>
      </c>
    </row>
    <row r="10">
      <c r="A10" s="3" t="s">
        <v>35</v>
      </c>
      <c r="B10" s="4" t="s">
        <v>36</v>
      </c>
      <c r="C10" s="5" t="s">
        <v>37</v>
      </c>
      <c r="D10" s="6" t="s">
        <v>9</v>
      </c>
      <c r="E10" s="7" t="s">
        <v>10</v>
      </c>
      <c r="F10" s="7" t="s">
        <v>11</v>
      </c>
    </row>
    <row r="11">
      <c r="A11" s="3" t="s">
        <v>38</v>
      </c>
      <c r="B11" s="4" t="s">
        <v>39</v>
      </c>
      <c r="C11" s="5" t="s">
        <v>40</v>
      </c>
      <c r="D11" s="6" t="s">
        <v>9</v>
      </c>
      <c r="E11" s="7" t="s">
        <v>10</v>
      </c>
      <c r="F11" s="7" t="s">
        <v>11</v>
      </c>
    </row>
    <row r="12">
      <c r="A12" s="3" t="s">
        <v>41</v>
      </c>
      <c r="B12" s="4" t="s">
        <v>42</v>
      </c>
      <c r="C12" s="5" t="s">
        <v>43</v>
      </c>
      <c r="D12" s="6" t="s">
        <v>9</v>
      </c>
      <c r="E12" s="7" t="s">
        <v>10</v>
      </c>
      <c r="F12" s="7" t="s">
        <v>11</v>
      </c>
    </row>
    <row r="13">
      <c r="A13" s="3" t="s">
        <v>44</v>
      </c>
      <c r="B13" s="11" t="s">
        <v>45</v>
      </c>
      <c r="C13" s="12" t="s">
        <v>46</v>
      </c>
      <c r="D13" s="6" t="s">
        <v>21</v>
      </c>
      <c r="E13" s="13" t="s">
        <v>47</v>
      </c>
      <c r="F13" s="13" t="s">
        <v>47</v>
      </c>
    </row>
    <row r="14">
      <c r="A14" s="3" t="s">
        <v>48</v>
      </c>
      <c r="B14" s="8" t="s">
        <v>49</v>
      </c>
      <c r="C14" s="12" t="s">
        <v>46</v>
      </c>
      <c r="D14" s="6" t="s">
        <v>50</v>
      </c>
      <c r="E14" s="7" t="s">
        <v>10</v>
      </c>
      <c r="F14" s="7" t="s">
        <v>11</v>
      </c>
    </row>
    <row r="15">
      <c r="A15" s="3" t="s">
        <v>51</v>
      </c>
      <c r="B15" s="11" t="s">
        <v>52</v>
      </c>
      <c r="C15" s="12" t="s">
        <v>46</v>
      </c>
      <c r="D15" s="6" t="s">
        <v>21</v>
      </c>
      <c r="E15" s="13" t="s">
        <v>47</v>
      </c>
      <c r="F15" s="10" t="s">
        <v>28</v>
      </c>
    </row>
    <row r="16">
      <c r="A16" s="3" t="s">
        <v>53</v>
      </c>
      <c r="B16" s="8" t="s">
        <v>54</v>
      </c>
      <c r="C16" s="12" t="s">
        <v>46</v>
      </c>
      <c r="D16" s="6" t="s">
        <v>9</v>
      </c>
      <c r="E16" s="7" t="s">
        <v>10</v>
      </c>
      <c r="F16" s="10" t="s">
        <v>28</v>
      </c>
    </row>
    <row r="17">
      <c r="A17" s="3" t="s">
        <v>55</v>
      </c>
      <c r="B17" s="11" t="s">
        <v>56</v>
      </c>
      <c r="C17" s="12" t="s">
        <v>46</v>
      </c>
      <c r="D17" s="6" t="s">
        <v>21</v>
      </c>
      <c r="E17" s="7" t="s">
        <v>10</v>
      </c>
      <c r="F17" s="7" t="s">
        <v>11</v>
      </c>
    </row>
    <row r="18">
      <c r="A18" s="3" t="s">
        <v>57</v>
      </c>
      <c r="B18" s="8" t="s">
        <v>58</v>
      </c>
      <c r="C18" s="12" t="s">
        <v>46</v>
      </c>
      <c r="D18" s="6" t="s">
        <v>21</v>
      </c>
      <c r="E18" s="7" t="s">
        <v>10</v>
      </c>
      <c r="F18" s="7" t="s">
        <v>11</v>
      </c>
    </row>
    <row r="19">
      <c r="A19" s="3" t="s">
        <v>59</v>
      </c>
      <c r="B19" s="8" t="s">
        <v>60</v>
      </c>
      <c r="C19" s="12" t="s">
        <v>46</v>
      </c>
      <c r="D19" s="6" t="s">
        <v>21</v>
      </c>
      <c r="E19" s="10" t="s">
        <v>61</v>
      </c>
      <c r="F19" s="10" t="s">
        <v>28</v>
      </c>
    </row>
    <row r="20">
      <c r="A20" s="3" t="s">
        <v>62</v>
      </c>
      <c r="B20" s="14" t="s">
        <v>63</v>
      </c>
      <c r="C20" s="12" t="s">
        <v>46</v>
      </c>
      <c r="D20" s="6" t="s">
        <v>21</v>
      </c>
      <c r="E20" s="7" t="s">
        <v>10</v>
      </c>
      <c r="F20" s="7" t="s">
        <v>11</v>
      </c>
    </row>
    <row r="21">
      <c r="A21" s="3" t="s">
        <v>64</v>
      </c>
      <c r="B21" s="15" t="s">
        <v>65</v>
      </c>
      <c r="C21" s="12" t="s">
        <v>46</v>
      </c>
      <c r="D21" s="6" t="s">
        <v>50</v>
      </c>
      <c r="E21" s="10" t="s">
        <v>61</v>
      </c>
      <c r="F21" s="10" t="s">
        <v>28</v>
      </c>
    </row>
    <row r="22">
      <c r="A22" s="3" t="s">
        <v>66</v>
      </c>
      <c r="B22" s="16" t="s">
        <v>67</v>
      </c>
      <c r="C22" s="12" t="s">
        <v>46</v>
      </c>
      <c r="D22" s="6" t="s">
        <v>9</v>
      </c>
      <c r="E22" s="7" t="s">
        <v>10</v>
      </c>
      <c r="F22" s="7" t="s">
        <v>11</v>
      </c>
    </row>
    <row r="23">
      <c r="A23" s="3" t="s">
        <v>68</v>
      </c>
      <c r="B23" s="14" t="s">
        <v>69</v>
      </c>
      <c r="C23" s="12" t="s">
        <v>46</v>
      </c>
      <c r="D23" s="6" t="s">
        <v>21</v>
      </c>
      <c r="E23" s="7" t="s">
        <v>10</v>
      </c>
      <c r="F23" s="7" t="s">
        <v>11</v>
      </c>
    </row>
    <row r="24">
      <c r="A24" s="3" t="s">
        <v>70</v>
      </c>
      <c r="B24" s="8" t="s">
        <v>71</v>
      </c>
      <c r="C24" s="12" t="s">
        <v>46</v>
      </c>
      <c r="D24" s="6" t="s">
        <v>21</v>
      </c>
      <c r="E24" s="10" t="s">
        <v>61</v>
      </c>
      <c r="F24" s="10" t="s">
        <v>28</v>
      </c>
    </row>
    <row r="25">
      <c r="A25" s="17"/>
      <c r="C25" s="18"/>
      <c r="D25" s="6"/>
      <c r="E25" s="19"/>
      <c r="F25" s="19"/>
    </row>
    <row r="26">
      <c r="A26" s="17"/>
      <c r="C26" s="18"/>
      <c r="D26" s="6"/>
      <c r="E26" s="19"/>
      <c r="F26" s="19"/>
    </row>
    <row r="27">
      <c r="A27" s="19"/>
      <c r="C27" s="18"/>
      <c r="D27" s="6"/>
      <c r="E27" s="19"/>
      <c r="F27" s="19"/>
    </row>
    <row r="28">
      <c r="A28" s="19"/>
      <c r="C28" s="18"/>
      <c r="D28" s="6"/>
      <c r="E28" s="19"/>
      <c r="F28" s="19"/>
    </row>
    <row r="29">
      <c r="A29" s="19"/>
      <c r="C29" s="18"/>
      <c r="D29" s="6"/>
      <c r="E29" s="19"/>
      <c r="F29" s="19"/>
    </row>
  </sheetData>
  <hyperlinks>
    <hyperlink r:id="rId1" ref="B2"/>
    <hyperlink r:id="rId2" ref="C2"/>
    <hyperlink r:id="rId3" ref="B3"/>
    <hyperlink r:id="rId4" ref="C3"/>
    <hyperlink r:id="rId5" ref="B4"/>
    <hyperlink r:id="rId6" ref="C4"/>
    <hyperlink r:id="rId7" ref="B5"/>
    <hyperlink r:id="rId8" ref="C5"/>
    <hyperlink r:id="rId9" ref="B6"/>
    <hyperlink r:id="rId10" ref="C6"/>
    <hyperlink r:id="rId11" ref="B7"/>
    <hyperlink r:id="rId12" ref="C7"/>
    <hyperlink r:id="rId13" ref="B8"/>
    <hyperlink r:id="rId14" ref="C8"/>
    <hyperlink r:id="rId15" ref="B9"/>
    <hyperlink r:id="rId16" ref="C9"/>
    <hyperlink r:id="rId17" ref="B10"/>
    <hyperlink r:id="rId18" ref="C10"/>
    <hyperlink r:id="rId19" ref="B11"/>
    <hyperlink r:id="rId20" ref="C11"/>
    <hyperlink r:id="rId21" ref="B12"/>
    <hyperlink r:id="rId22" ref="C12"/>
    <hyperlink r:id="rId23" ref="B13"/>
    <hyperlink r:id="rId24" ref="B14"/>
    <hyperlink r:id="rId25" ref="B15"/>
    <hyperlink r:id="rId26" ref="B16"/>
    <hyperlink r:id="rId27" ref="B17"/>
    <hyperlink r:id="rId28" ref="B18"/>
    <hyperlink r:id="rId29" ref="B19"/>
    <hyperlink r:id="rId30" ref="B20"/>
    <hyperlink r:id="rId31" ref="B21"/>
    <hyperlink r:id="rId32" ref="B22"/>
    <hyperlink r:id="rId33" ref="B23"/>
    <hyperlink r:id="rId34" ref="B24"/>
  </hyperlinks>
  <drawing r:id="rId3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8.38"/>
    <col customWidth="1" min="2" max="2" width="33.75"/>
    <col customWidth="1" min="3" max="3" width="12.88"/>
    <col customWidth="1" min="4" max="4" width="12.13"/>
    <col customWidth="1" min="5" max="5" width="7.13"/>
    <col customWidth="1" min="6" max="7" width="11.25"/>
    <col customWidth="1" min="8" max="8" width="48.38"/>
    <col customWidth="1" min="9" max="9" width="33.75"/>
    <col customWidth="1" min="10" max="10" width="12.88"/>
    <col customWidth="1" min="11" max="11" width="12.13"/>
    <col customWidth="1" min="12" max="12" width="7.13"/>
  </cols>
  <sheetData>
    <row r="1">
      <c r="A1" s="20" t="s">
        <v>32</v>
      </c>
      <c r="B1" s="21" t="s">
        <v>72</v>
      </c>
      <c r="C1" s="20">
        <v>1000.0</v>
      </c>
      <c r="E1" s="22"/>
      <c r="F1" s="23">
        <f t="shared" ref="F1:G1" si="1">COUNTIF(F4:F20000,"overlap")</f>
        <v>2</v>
      </c>
      <c r="G1" s="23">
        <f t="shared" si="1"/>
        <v>2</v>
      </c>
      <c r="H1" s="20" t="s">
        <v>6</v>
      </c>
      <c r="I1" s="21" t="s">
        <v>72</v>
      </c>
      <c r="J1" s="20">
        <v>1000.0</v>
      </c>
      <c r="L1" s="23"/>
    </row>
    <row r="2">
      <c r="E2" s="22"/>
      <c r="F2" s="23">
        <f>COUNTA(A4:A20000)</f>
        <v>507</v>
      </c>
      <c r="G2" s="23">
        <f>COUNTA(H4:H20000)</f>
        <v>202</v>
      </c>
      <c r="L2" s="23"/>
    </row>
    <row r="3">
      <c r="A3" s="24" t="str">
        <f>IFERROR(__xludf.DUMMYFUNCTION("QUERY(INDIRECT(A1&amp;""!C1:H""), ""SELECT C, E, F, H"")
"),"Name")</f>
        <v>Name</v>
      </c>
      <c r="B3" s="24" t="str">
        <f>IFERROR(__xludf.DUMMYFUNCTION("""COMPUTED_VALUE"""),"Sector")</f>
        <v>Sector</v>
      </c>
      <c r="C3" s="24" t="str">
        <f>IFERROR(__xludf.DUMMYFUNCTION("""COMPUTED_VALUE"""),"Country")</f>
        <v>Country</v>
      </c>
      <c r="D3" s="24" t="str">
        <f>IFERROR(__xludf.DUMMYFUNCTION("""COMPUTED_VALUE"""),"Weight (%)")</f>
        <v>Weight (%)</v>
      </c>
      <c r="E3" s="25" t="s">
        <v>73</v>
      </c>
      <c r="F3" s="26" t="s">
        <v>74</v>
      </c>
      <c r="G3" s="26" t="s">
        <v>75</v>
      </c>
      <c r="H3" s="24" t="str">
        <f>IFERROR(__xludf.DUMMYFUNCTION("QUERY(INDIRECT(H1&amp;""!C1:H""), ""SELECT C, E, F, H"")
"),"Name")</f>
        <v>Name</v>
      </c>
      <c r="I3" s="24" t="str">
        <f>IFERROR(__xludf.DUMMYFUNCTION("""COMPUTED_VALUE"""),"Sector")</f>
        <v>Sector</v>
      </c>
      <c r="J3" s="24" t="str">
        <f>IFERROR(__xludf.DUMMYFUNCTION("""COMPUTED_VALUE"""),"Country")</f>
        <v>Country</v>
      </c>
      <c r="K3" s="24" t="str">
        <f>IFERROR(__xludf.DUMMYFUNCTION("""COMPUTED_VALUE"""),"Weight (%)")</f>
        <v>Weight (%)</v>
      </c>
      <c r="L3" s="25" t="s">
        <v>73</v>
      </c>
    </row>
    <row r="4">
      <c r="A4" s="27" t="str">
        <f>IFERROR(__xludf.DUMMYFUNCTION("""COMPUTED_VALUE"""),"APPLE INC")</f>
        <v>APPLE INC</v>
      </c>
      <c r="B4" s="27" t="str">
        <f>IFERROR(__xludf.DUMMYFUNCTION("""COMPUTED_VALUE"""),"Information Technology")</f>
        <v>Information Technology</v>
      </c>
      <c r="C4" s="27" t="str">
        <f>IFERROR(__xludf.DUMMYFUNCTION("""COMPUTED_VALUE"""),"United States")</f>
        <v>United States</v>
      </c>
      <c r="D4" s="27">
        <f>IFERROR(__xludf.DUMMYFUNCTION("""COMPUTED_VALUE"""),6.94)</f>
        <v>6.94</v>
      </c>
      <c r="E4" s="22">
        <f t="shared" ref="E4:E1473" si="2">$C$1*D4/100</f>
        <v>69.4</v>
      </c>
      <c r="F4" s="23" t="str">
        <f t="shared" ref="F4:F1473" si="3">IF(COUNTIF(H:H,A4)=1,"overlap","")</f>
        <v/>
      </c>
      <c r="G4" s="23" t="str">
        <f t="shared" ref="G4:G1473" si="4">IF(COUNTIF(A:A,H4)=1,"overlap","")</f>
        <v/>
      </c>
      <c r="H4" s="27" t="str">
        <f>IFERROR(__xludf.DUMMYFUNCTION("""COMPUTED_VALUE"""),"BHP GROUP LTD")</f>
        <v>BHP GROUP LTD</v>
      </c>
      <c r="I4" s="27" t="str">
        <f>IFERROR(__xludf.DUMMYFUNCTION("""COMPUTED_VALUE"""),"Materials")</f>
        <v>Materials</v>
      </c>
      <c r="J4" s="27" t="str">
        <f>IFERROR(__xludf.DUMMYFUNCTION("""COMPUTED_VALUE"""),"Australia")</f>
        <v>Australia</v>
      </c>
      <c r="K4" s="27">
        <f>IFERROR(__xludf.DUMMYFUNCTION("""COMPUTED_VALUE"""),11.1021801)</f>
        <v>11.1021801</v>
      </c>
      <c r="L4" s="22">
        <f t="shared" ref="L4:L1473" si="5">$J$1*K4/100</f>
        <v>111.021801</v>
      </c>
    </row>
    <row r="5">
      <c r="A5" s="27" t="str">
        <f>IFERROR(__xludf.DUMMYFUNCTION("""COMPUTED_VALUE"""),"MICROSOFT CORP")</f>
        <v>MICROSOFT CORP</v>
      </c>
      <c r="B5" s="27" t="str">
        <f>IFERROR(__xludf.DUMMYFUNCTION("""COMPUTED_VALUE"""),"Information Technology")</f>
        <v>Information Technology</v>
      </c>
      <c r="C5" s="27" t="str">
        <f>IFERROR(__xludf.DUMMYFUNCTION("""COMPUTED_VALUE"""),"United States")</f>
        <v>United States</v>
      </c>
      <c r="D5" s="27">
        <f>IFERROR(__xludf.DUMMYFUNCTION("""COMPUTED_VALUE"""),6.45)</f>
        <v>6.45</v>
      </c>
      <c r="E5" s="22">
        <f t="shared" si="2"/>
        <v>64.5</v>
      </c>
      <c r="F5" s="23" t="str">
        <f t="shared" si="3"/>
        <v/>
      </c>
      <c r="G5" s="23" t="str">
        <f t="shared" si="4"/>
        <v/>
      </c>
      <c r="H5" s="27" t="str">
        <f>IFERROR(__xludf.DUMMYFUNCTION("""COMPUTED_VALUE"""),"COMMONWEALTH BANK OF AUSTRALIA")</f>
        <v>COMMONWEALTH BANK OF AUSTRALIA</v>
      </c>
      <c r="I5" s="27" t="str">
        <f>IFERROR(__xludf.DUMMYFUNCTION("""COMPUTED_VALUE"""),"Financials")</f>
        <v>Financials</v>
      </c>
      <c r="J5" s="27" t="str">
        <f>IFERROR(__xludf.DUMMYFUNCTION("""COMPUTED_VALUE"""),"Australia")</f>
        <v>Australia</v>
      </c>
      <c r="K5" s="27">
        <f>IFERROR(__xludf.DUMMYFUNCTION("""COMPUTED_VALUE"""),7.88876347)</f>
        <v>7.88876347</v>
      </c>
      <c r="L5" s="22">
        <f t="shared" si="5"/>
        <v>78.8876347</v>
      </c>
    </row>
    <row r="6">
      <c r="A6" s="27" t="str">
        <f>IFERROR(__xludf.DUMMYFUNCTION("""COMPUTED_VALUE"""),"AMAZON COM INC")</f>
        <v>AMAZON COM INC</v>
      </c>
      <c r="B6" s="27" t="str">
        <f>IFERROR(__xludf.DUMMYFUNCTION("""COMPUTED_VALUE"""),"Consumer Discretionary")</f>
        <v>Consumer Discretionary</v>
      </c>
      <c r="C6" s="27" t="str">
        <f>IFERROR(__xludf.DUMMYFUNCTION("""COMPUTED_VALUE"""),"United States")</f>
        <v>United States</v>
      </c>
      <c r="D6" s="27">
        <f>IFERROR(__xludf.DUMMYFUNCTION("""COMPUTED_VALUE"""),3.17)</f>
        <v>3.17</v>
      </c>
      <c r="E6" s="22">
        <f t="shared" si="2"/>
        <v>31.7</v>
      </c>
      <c r="F6" s="23" t="str">
        <f t="shared" si="3"/>
        <v/>
      </c>
      <c r="G6" s="23" t="str">
        <f t="shared" si="4"/>
        <v/>
      </c>
      <c r="H6" s="27" t="str">
        <f>IFERROR(__xludf.DUMMYFUNCTION("""COMPUTED_VALUE"""),"CSL LTD")</f>
        <v>CSL LTD</v>
      </c>
      <c r="I6" s="27" t="str">
        <f>IFERROR(__xludf.DUMMYFUNCTION("""COMPUTED_VALUE"""),"Healthcare")</f>
        <v>Healthcare</v>
      </c>
      <c r="J6" s="27" t="str">
        <f>IFERROR(__xludf.DUMMYFUNCTION("""COMPUTED_VALUE"""),"Australia")</f>
        <v>Australia</v>
      </c>
      <c r="K6" s="27">
        <f>IFERROR(__xludf.DUMMYFUNCTION("""COMPUTED_VALUE"""),6.30805714)</f>
        <v>6.30805714</v>
      </c>
      <c r="L6" s="22">
        <f t="shared" si="5"/>
        <v>63.0805714</v>
      </c>
    </row>
    <row r="7">
      <c r="A7" s="27" t="str">
        <f>IFERROR(__xludf.DUMMYFUNCTION("""COMPUTED_VALUE"""),"NVIDIA CORP")</f>
        <v>NVIDIA CORP</v>
      </c>
      <c r="B7" s="27" t="str">
        <f>IFERROR(__xludf.DUMMYFUNCTION("""COMPUTED_VALUE"""),"Information Technology")</f>
        <v>Information Technology</v>
      </c>
      <c r="C7" s="27" t="str">
        <f>IFERROR(__xludf.DUMMYFUNCTION("""COMPUTED_VALUE"""),"United States")</f>
        <v>United States</v>
      </c>
      <c r="D7" s="27">
        <f>IFERROR(__xludf.DUMMYFUNCTION("""COMPUTED_VALUE"""),2.95)</f>
        <v>2.95</v>
      </c>
      <c r="E7" s="22">
        <f t="shared" si="2"/>
        <v>29.5</v>
      </c>
      <c r="F7" s="23" t="str">
        <f t="shared" si="3"/>
        <v/>
      </c>
      <c r="G7" s="23" t="str">
        <f t="shared" si="4"/>
        <v/>
      </c>
      <c r="H7" s="27" t="str">
        <f>IFERROR(__xludf.DUMMYFUNCTION("""COMPUTED_VALUE"""),"NATIONAL AUSTRALIA BANK LTD")</f>
        <v>NATIONAL AUSTRALIA BANK LTD</v>
      </c>
      <c r="I7" s="27" t="str">
        <f>IFERROR(__xludf.DUMMYFUNCTION("""COMPUTED_VALUE"""),"Financials")</f>
        <v>Financials</v>
      </c>
      <c r="J7" s="27" t="str">
        <f>IFERROR(__xludf.DUMMYFUNCTION("""COMPUTED_VALUE"""),"Australia")</f>
        <v>Australia</v>
      </c>
      <c r="K7" s="27">
        <f>IFERROR(__xludf.DUMMYFUNCTION("""COMPUTED_VALUE"""),3.80182956)</f>
        <v>3.80182956</v>
      </c>
      <c r="L7" s="22">
        <f t="shared" si="5"/>
        <v>38.0182956</v>
      </c>
    </row>
    <row r="8">
      <c r="A8" s="27" t="str">
        <f>IFERROR(__xludf.DUMMYFUNCTION("""COMPUTED_VALUE"""),"ALPHABET INC CLASS A")</f>
        <v>ALPHABET INC CLASS A</v>
      </c>
      <c r="B8" s="27" t="str">
        <f>IFERROR(__xludf.DUMMYFUNCTION("""COMPUTED_VALUE"""),"Communication")</f>
        <v>Communication</v>
      </c>
      <c r="C8" s="27" t="str">
        <f>IFERROR(__xludf.DUMMYFUNCTION("""COMPUTED_VALUE"""),"United States")</f>
        <v>United States</v>
      </c>
      <c r="D8" s="27">
        <f>IFERROR(__xludf.DUMMYFUNCTION("""COMPUTED_VALUE"""),2.17)</f>
        <v>2.17</v>
      </c>
      <c r="E8" s="22">
        <f t="shared" si="2"/>
        <v>21.7</v>
      </c>
      <c r="F8" s="23" t="str">
        <f t="shared" si="3"/>
        <v/>
      </c>
      <c r="G8" s="23" t="str">
        <f t="shared" si="4"/>
        <v/>
      </c>
      <c r="H8" s="27" t="str">
        <f>IFERROR(__xludf.DUMMYFUNCTION("""COMPUTED_VALUE"""),"WESTPAC BANKING CORP")</f>
        <v>WESTPAC BANKING CORP</v>
      </c>
      <c r="I8" s="27" t="str">
        <f>IFERROR(__xludf.DUMMYFUNCTION("""COMPUTED_VALUE"""),"Financials")</f>
        <v>Financials</v>
      </c>
      <c r="J8" s="27" t="str">
        <f>IFERROR(__xludf.DUMMYFUNCTION("""COMPUTED_VALUE"""),"Australia")</f>
        <v>Australia</v>
      </c>
      <c r="K8" s="27">
        <f>IFERROR(__xludf.DUMMYFUNCTION("""COMPUTED_VALUE"""),3.44699569)</f>
        <v>3.44699569</v>
      </c>
      <c r="L8" s="22">
        <f t="shared" si="5"/>
        <v>34.4699569</v>
      </c>
    </row>
    <row r="9">
      <c r="A9" s="27" t="str">
        <f>IFERROR(__xludf.DUMMYFUNCTION("""COMPUTED_VALUE"""),"TESLA INC")</f>
        <v>TESLA INC</v>
      </c>
      <c r="B9" s="27" t="str">
        <f>IFERROR(__xludf.DUMMYFUNCTION("""COMPUTED_VALUE"""),"Consumer Discretionary")</f>
        <v>Consumer Discretionary</v>
      </c>
      <c r="C9" s="27" t="str">
        <f>IFERROR(__xludf.DUMMYFUNCTION("""COMPUTED_VALUE"""),"United States")</f>
        <v>United States</v>
      </c>
      <c r="D9" s="27">
        <f>IFERROR(__xludf.DUMMYFUNCTION("""COMPUTED_VALUE"""),1.88)</f>
        <v>1.88</v>
      </c>
      <c r="E9" s="22">
        <f t="shared" si="2"/>
        <v>18.8</v>
      </c>
      <c r="F9" s="23" t="str">
        <f t="shared" si="3"/>
        <v/>
      </c>
      <c r="G9" s="23" t="str">
        <f t="shared" si="4"/>
        <v/>
      </c>
      <c r="H9" s="27" t="str">
        <f>IFERROR(__xludf.DUMMYFUNCTION("""COMPUTED_VALUE"""),"MACQUARIE GROUP LTD")</f>
        <v>MACQUARIE GROUP LTD</v>
      </c>
      <c r="I9" s="27" t="str">
        <f>IFERROR(__xludf.DUMMYFUNCTION("""COMPUTED_VALUE"""),"Financials")</f>
        <v>Financials</v>
      </c>
      <c r="J9" s="27" t="str">
        <f>IFERROR(__xludf.DUMMYFUNCTION("""COMPUTED_VALUE"""),"Australia")</f>
        <v>Australia</v>
      </c>
      <c r="K9" s="27">
        <f>IFERROR(__xludf.DUMMYFUNCTION("""COMPUTED_VALUE"""),3.34864124)</f>
        <v>3.34864124</v>
      </c>
      <c r="L9" s="22">
        <f t="shared" si="5"/>
        <v>33.4864124</v>
      </c>
    </row>
    <row r="10">
      <c r="A10" s="27" t="str">
        <f>IFERROR(__xludf.DUMMYFUNCTION("""COMPUTED_VALUE"""),"META PLATFORMS INC CLASS A")</f>
        <v>META PLATFORMS INC CLASS A</v>
      </c>
      <c r="B10" s="27" t="str">
        <f>IFERROR(__xludf.DUMMYFUNCTION("""COMPUTED_VALUE"""),"Communication")</f>
        <v>Communication</v>
      </c>
      <c r="C10" s="27" t="str">
        <f>IFERROR(__xludf.DUMMYFUNCTION("""COMPUTED_VALUE"""),"United States")</f>
        <v>United States</v>
      </c>
      <c r="D10" s="27">
        <f>IFERROR(__xludf.DUMMYFUNCTION("""COMPUTED_VALUE"""),1.87)</f>
        <v>1.87</v>
      </c>
      <c r="E10" s="22">
        <f t="shared" si="2"/>
        <v>18.7</v>
      </c>
      <c r="F10" s="23" t="str">
        <f t="shared" si="3"/>
        <v/>
      </c>
      <c r="G10" s="23" t="str">
        <f t="shared" si="4"/>
        <v/>
      </c>
      <c r="H10" s="27" t="str">
        <f>IFERROR(__xludf.DUMMYFUNCTION("""COMPUTED_VALUE"""),"ANZ GROUP HOLDINGS LTD")</f>
        <v>ANZ GROUP HOLDINGS LTD</v>
      </c>
      <c r="I10" s="27" t="str">
        <f>IFERROR(__xludf.DUMMYFUNCTION("""COMPUTED_VALUE"""),"Financials")</f>
        <v>Financials</v>
      </c>
      <c r="J10" s="27" t="str">
        <f>IFERROR(__xludf.DUMMYFUNCTION("""COMPUTED_VALUE"""),"Australia")</f>
        <v>Australia</v>
      </c>
      <c r="K10" s="27">
        <f>IFERROR(__xludf.DUMMYFUNCTION("""COMPUTED_VALUE"""),3.30030041)</f>
        <v>3.30030041</v>
      </c>
      <c r="L10" s="22">
        <f t="shared" si="5"/>
        <v>33.0030041</v>
      </c>
    </row>
    <row r="11">
      <c r="A11" s="27" t="str">
        <f>IFERROR(__xludf.DUMMYFUNCTION("""COMPUTED_VALUE"""),"ALPHABET INC CLASS C")</f>
        <v>ALPHABET INC CLASS C</v>
      </c>
      <c r="B11" s="27" t="str">
        <f>IFERROR(__xludf.DUMMYFUNCTION("""COMPUTED_VALUE"""),"Communication")</f>
        <v>Communication</v>
      </c>
      <c r="C11" s="27" t="str">
        <f>IFERROR(__xludf.DUMMYFUNCTION("""COMPUTED_VALUE"""),"United States")</f>
        <v>United States</v>
      </c>
      <c r="D11" s="27">
        <f>IFERROR(__xludf.DUMMYFUNCTION("""COMPUTED_VALUE"""),1.86)</f>
        <v>1.86</v>
      </c>
      <c r="E11" s="22">
        <f t="shared" si="2"/>
        <v>18.6</v>
      </c>
      <c r="F11" s="23" t="str">
        <f t="shared" si="3"/>
        <v/>
      </c>
      <c r="G11" s="23" t="str">
        <f t="shared" si="4"/>
        <v/>
      </c>
      <c r="H11" s="27" t="str">
        <f>IFERROR(__xludf.DUMMYFUNCTION("""COMPUTED_VALUE"""),"WOODSIDE ENERGY GROUP LTD")</f>
        <v>WOODSIDE ENERGY GROUP LTD</v>
      </c>
      <c r="I11" s="27" t="str">
        <f>IFERROR(__xludf.DUMMYFUNCTION("""COMPUTED_VALUE"""),"Energy")</f>
        <v>Energy</v>
      </c>
      <c r="J11" s="27" t="str">
        <f>IFERROR(__xludf.DUMMYFUNCTION("""COMPUTED_VALUE"""),"Australia")</f>
        <v>Australia</v>
      </c>
      <c r="K11" s="27">
        <f>IFERROR(__xludf.DUMMYFUNCTION("""COMPUTED_VALUE"""),3.18957322)</f>
        <v>3.18957322</v>
      </c>
      <c r="L11" s="22">
        <f t="shared" si="5"/>
        <v>31.8957322</v>
      </c>
    </row>
    <row r="12">
      <c r="A12" s="27" t="str">
        <f>IFERROR(__xludf.DUMMYFUNCTION("""COMPUTED_VALUE"""),"BERKSHIRE HATHAWAY INC CLASS B")</f>
        <v>BERKSHIRE HATHAWAY INC CLASS B</v>
      </c>
      <c r="B12" s="27" t="str">
        <f>IFERROR(__xludf.DUMMYFUNCTION("""COMPUTED_VALUE"""),"Financials")</f>
        <v>Financials</v>
      </c>
      <c r="C12" s="27" t="str">
        <f>IFERROR(__xludf.DUMMYFUNCTION("""COMPUTED_VALUE"""),"United States")</f>
        <v>United States</v>
      </c>
      <c r="D12" s="27">
        <f>IFERROR(__xludf.DUMMYFUNCTION("""COMPUTED_VALUE"""),1.8)</f>
        <v>1.8</v>
      </c>
      <c r="E12" s="22">
        <f t="shared" si="2"/>
        <v>18</v>
      </c>
      <c r="F12" s="23" t="str">
        <f t="shared" si="3"/>
        <v/>
      </c>
      <c r="G12" s="23" t="str">
        <f t="shared" si="4"/>
        <v/>
      </c>
      <c r="H12" s="27" t="str">
        <f>IFERROR(__xludf.DUMMYFUNCTION("""COMPUTED_VALUE"""),"WESFARMERS LTD")</f>
        <v>WESFARMERS LTD</v>
      </c>
      <c r="I12" s="27" t="str">
        <f>IFERROR(__xludf.DUMMYFUNCTION("""COMPUTED_VALUE"""),"Consumer Discretionary")</f>
        <v>Consumer Discretionary</v>
      </c>
      <c r="J12" s="27" t="str">
        <f>IFERROR(__xludf.DUMMYFUNCTION("""COMPUTED_VALUE"""),"Australia")</f>
        <v>Australia</v>
      </c>
      <c r="K12" s="27">
        <f>IFERROR(__xludf.DUMMYFUNCTION("""COMPUTED_VALUE"""),2.60436275)</f>
        <v>2.60436275</v>
      </c>
      <c r="L12" s="22">
        <f t="shared" si="5"/>
        <v>26.0436275</v>
      </c>
    </row>
    <row r="13">
      <c r="A13" s="27" t="str">
        <f>IFERROR(__xludf.DUMMYFUNCTION("""COMPUTED_VALUE"""),"EXXON MOBIL CORP")</f>
        <v>EXXON MOBIL CORP</v>
      </c>
      <c r="B13" s="27" t="str">
        <f>IFERROR(__xludf.DUMMYFUNCTION("""COMPUTED_VALUE"""),"Energy")</f>
        <v>Energy</v>
      </c>
      <c r="C13" s="27" t="str">
        <f>IFERROR(__xludf.DUMMYFUNCTION("""COMPUTED_VALUE"""),"United States")</f>
        <v>United States</v>
      </c>
      <c r="D13" s="27">
        <f>IFERROR(__xludf.DUMMYFUNCTION("""COMPUTED_VALUE"""),1.32)</f>
        <v>1.32</v>
      </c>
      <c r="E13" s="22">
        <f t="shared" si="2"/>
        <v>13.2</v>
      </c>
      <c r="F13" s="23" t="str">
        <f t="shared" si="3"/>
        <v/>
      </c>
      <c r="G13" s="23" t="str">
        <f t="shared" si="4"/>
        <v/>
      </c>
      <c r="H13" s="27" t="str">
        <f>IFERROR(__xludf.DUMMYFUNCTION("""COMPUTED_VALUE"""),"TELSTRA GROUP LTD")</f>
        <v>TELSTRA GROUP LTD</v>
      </c>
      <c r="I13" s="27" t="str">
        <f>IFERROR(__xludf.DUMMYFUNCTION("""COMPUTED_VALUE"""),"Communication Services")</f>
        <v>Communication Services</v>
      </c>
      <c r="J13" s="27" t="str">
        <f>IFERROR(__xludf.DUMMYFUNCTION("""COMPUTED_VALUE"""),"Australia")</f>
        <v>Australia</v>
      </c>
      <c r="K13" s="27">
        <f>IFERROR(__xludf.DUMMYFUNCTION("""COMPUTED_VALUE"""),2.36760095)</f>
        <v>2.36760095</v>
      </c>
      <c r="L13" s="22">
        <f t="shared" si="5"/>
        <v>23.6760095</v>
      </c>
    </row>
    <row r="14">
      <c r="A14" s="27" t="str">
        <f>IFERROR(__xludf.DUMMYFUNCTION("""COMPUTED_VALUE"""),"UNITEDHEALTH GROUP INC")</f>
        <v>UNITEDHEALTH GROUP INC</v>
      </c>
      <c r="B14" s="27" t="str">
        <f>IFERROR(__xludf.DUMMYFUNCTION("""COMPUTED_VALUE"""),"Health Care")</f>
        <v>Health Care</v>
      </c>
      <c r="C14" s="27" t="str">
        <f>IFERROR(__xludf.DUMMYFUNCTION("""COMPUTED_VALUE"""),"United States")</f>
        <v>United States</v>
      </c>
      <c r="D14" s="27">
        <f>IFERROR(__xludf.DUMMYFUNCTION("""COMPUTED_VALUE"""),1.31)</f>
        <v>1.31</v>
      </c>
      <c r="E14" s="22">
        <f t="shared" si="2"/>
        <v>13.1</v>
      </c>
      <c r="F14" s="23" t="str">
        <f t="shared" si="3"/>
        <v/>
      </c>
      <c r="G14" s="23" t="str">
        <f t="shared" si="4"/>
        <v/>
      </c>
      <c r="H14" s="27" t="str">
        <f>IFERROR(__xludf.DUMMYFUNCTION("""COMPUTED_VALUE"""),"WOOLWORTHS GROUP LTD")</f>
        <v>WOOLWORTHS GROUP LTD</v>
      </c>
      <c r="I14" s="27" t="str">
        <f>IFERROR(__xludf.DUMMYFUNCTION("""COMPUTED_VALUE"""),"Consumer Staples")</f>
        <v>Consumer Staples</v>
      </c>
      <c r="J14" s="27" t="str">
        <f>IFERROR(__xludf.DUMMYFUNCTION("""COMPUTED_VALUE"""),"Australia")</f>
        <v>Australia</v>
      </c>
      <c r="K14" s="27">
        <f>IFERROR(__xludf.DUMMYFUNCTION("""COMPUTED_VALUE"""),2.21403718)</f>
        <v>2.21403718</v>
      </c>
      <c r="L14" s="22">
        <f t="shared" si="5"/>
        <v>22.1403718</v>
      </c>
    </row>
    <row r="15">
      <c r="A15" s="27" t="str">
        <f>IFERROR(__xludf.DUMMYFUNCTION("""COMPUTED_VALUE"""),"ELI LILLY")</f>
        <v>ELI LILLY</v>
      </c>
      <c r="B15" s="27" t="str">
        <f>IFERROR(__xludf.DUMMYFUNCTION("""COMPUTED_VALUE"""),"Health Care")</f>
        <v>Health Care</v>
      </c>
      <c r="C15" s="27" t="str">
        <f>IFERROR(__xludf.DUMMYFUNCTION("""COMPUTED_VALUE"""),"United States")</f>
        <v>United States</v>
      </c>
      <c r="D15" s="27">
        <f>IFERROR(__xludf.DUMMYFUNCTION("""COMPUTED_VALUE"""),1.2)</f>
        <v>1.2</v>
      </c>
      <c r="E15" s="22">
        <f t="shared" si="2"/>
        <v>12</v>
      </c>
      <c r="F15" s="23" t="str">
        <f t="shared" si="3"/>
        <v/>
      </c>
      <c r="G15" s="23" t="str">
        <f t="shared" si="4"/>
        <v/>
      </c>
      <c r="H15" s="27" t="str">
        <f>IFERROR(__xludf.DUMMYFUNCTION("""COMPUTED_VALUE"""),"TRANSURBAN GROUP")</f>
        <v>TRANSURBAN GROUP</v>
      </c>
      <c r="I15" s="27" t="str">
        <f>IFERROR(__xludf.DUMMYFUNCTION("""COMPUTED_VALUE"""),"Industrials")</f>
        <v>Industrials</v>
      </c>
      <c r="J15" s="27" t="str">
        <f>IFERROR(__xludf.DUMMYFUNCTION("""COMPUTED_VALUE"""),"Australia")</f>
        <v>Australia</v>
      </c>
      <c r="K15" s="27">
        <f>IFERROR(__xludf.DUMMYFUNCTION("""COMPUTED_VALUE"""),2.0961553)</f>
        <v>2.0961553</v>
      </c>
      <c r="L15" s="22">
        <f t="shared" si="5"/>
        <v>20.961553</v>
      </c>
    </row>
    <row r="16">
      <c r="A16" s="27" t="str">
        <f>IFERROR(__xludf.DUMMYFUNCTION("""COMPUTED_VALUE"""),"JPMORGAN CHASE &amp; CO")</f>
        <v>JPMORGAN CHASE &amp; CO</v>
      </c>
      <c r="B16" s="27" t="str">
        <f>IFERROR(__xludf.DUMMYFUNCTION("""COMPUTED_VALUE"""),"Financials")</f>
        <v>Financials</v>
      </c>
      <c r="C16" s="27" t="str">
        <f>IFERROR(__xludf.DUMMYFUNCTION("""COMPUTED_VALUE"""),"United States")</f>
        <v>United States</v>
      </c>
      <c r="D16" s="27">
        <f>IFERROR(__xludf.DUMMYFUNCTION("""COMPUTED_VALUE"""),1.19)</f>
        <v>1.19</v>
      </c>
      <c r="E16" s="22">
        <f t="shared" si="2"/>
        <v>11.9</v>
      </c>
      <c r="F16" s="23" t="str">
        <f t="shared" si="3"/>
        <v/>
      </c>
      <c r="G16" s="23" t="str">
        <f t="shared" si="4"/>
        <v/>
      </c>
      <c r="H16" s="27" t="str">
        <f>IFERROR(__xludf.DUMMYFUNCTION("""COMPUTED_VALUE"""),"RIO TINTO LTD")</f>
        <v>RIO TINTO LTD</v>
      </c>
      <c r="I16" s="27" t="str">
        <f>IFERROR(__xludf.DUMMYFUNCTION("""COMPUTED_VALUE"""),"Materials")</f>
        <v>Materials</v>
      </c>
      <c r="J16" s="27" t="str">
        <f>IFERROR(__xludf.DUMMYFUNCTION("""COMPUTED_VALUE"""),"Australia")</f>
        <v>Australia</v>
      </c>
      <c r="K16" s="27">
        <f>IFERROR(__xludf.DUMMYFUNCTION("""COMPUTED_VALUE"""),2.06371526)</f>
        <v>2.06371526</v>
      </c>
      <c r="L16" s="22">
        <f t="shared" si="5"/>
        <v>20.6371526</v>
      </c>
    </row>
    <row r="17">
      <c r="A17" s="27" t="str">
        <f>IFERROR(__xludf.DUMMYFUNCTION("""COMPUTED_VALUE"""),"JOHNSON &amp; JOHNSON")</f>
        <v>JOHNSON &amp; JOHNSON</v>
      </c>
      <c r="B17" s="27" t="str">
        <f>IFERROR(__xludf.DUMMYFUNCTION("""COMPUTED_VALUE"""),"Health Care")</f>
        <v>Health Care</v>
      </c>
      <c r="C17" s="27" t="str">
        <f>IFERROR(__xludf.DUMMYFUNCTION("""COMPUTED_VALUE"""),"United States")</f>
        <v>United States</v>
      </c>
      <c r="D17" s="27">
        <f>IFERROR(__xludf.DUMMYFUNCTION("""COMPUTED_VALUE"""),1.05)</f>
        <v>1.05</v>
      </c>
      <c r="E17" s="22">
        <f t="shared" si="2"/>
        <v>10.5</v>
      </c>
      <c r="F17" s="23" t="str">
        <f t="shared" si="3"/>
        <v/>
      </c>
      <c r="G17" s="23" t="str">
        <f t="shared" si="4"/>
        <v/>
      </c>
      <c r="H17" s="27" t="str">
        <f>IFERROR(__xludf.DUMMYFUNCTION("""COMPUTED_VALUE"""),"GOODMAN GROUP")</f>
        <v>GOODMAN GROUP</v>
      </c>
      <c r="I17" s="27" t="str">
        <f>IFERROR(__xludf.DUMMYFUNCTION("""COMPUTED_VALUE"""),"Real Estate")</f>
        <v>Real Estate</v>
      </c>
      <c r="J17" s="27" t="str">
        <f>IFERROR(__xludf.DUMMYFUNCTION("""COMPUTED_VALUE"""),"Australia")</f>
        <v>Australia</v>
      </c>
      <c r="K17" s="27">
        <f>IFERROR(__xludf.DUMMYFUNCTION("""COMPUTED_VALUE"""),1.75525794)</f>
        <v>1.75525794</v>
      </c>
      <c r="L17" s="22">
        <f t="shared" si="5"/>
        <v>17.5525794</v>
      </c>
    </row>
    <row r="18">
      <c r="A18" s="27" t="str">
        <f>IFERROR(__xludf.DUMMYFUNCTION("""COMPUTED_VALUE"""),"VISA INC CLASS A")</f>
        <v>VISA INC CLASS A</v>
      </c>
      <c r="B18" s="27" t="str">
        <f>IFERROR(__xludf.DUMMYFUNCTION("""COMPUTED_VALUE"""),"Financials")</f>
        <v>Financials</v>
      </c>
      <c r="C18" s="27" t="str">
        <f>IFERROR(__xludf.DUMMYFUNCTION("""COMPUTED_VALUE"""),"United States")</f>
        <v>United States</v>
      </c>
      <c r="D18" s="27">
        <f>IFERROR(__xludf.DUMMYFUNCTION("""COMPUTED_VALUE"""),1.03)</f>
        <v>1.03</v>
      </c>
      <c r="E18" s="22">
        <f t="shared" si="2"/>
        <v>10.3</v>
      </c>
      <c r="F18" s="23" t="str">
        <f t="shared" si="3"/>
        <v/>
      </c>
      <c r="G18" s="23" t="str">
        <f t="shared" si="4"/>
        <v/>
      </c>
      <c r="H18" s="27" t="str">
        <f>IFERROR(__xludf.DUMMYFUNCTION("""COMPUTED_VALUE"""),"FORTESCUE METALS GROUP LTD")</f>
        <v>FORTESCUE METALS GROUP LTD</v>
      </c>
      <c r="I18" s="27" t="str">
        <f>IFERROR(__xludf.DUMMYFUNCTION("""COMPUTED_VALUE"""),"Materials")</f>
        <v>Materials</v>
      </c>
      <c r="J18" s="27" t="str">
        <f>IFERROR(__xludf.DUMMYFUNCTION("""COMPUTED_VALUE"""),"Australia")</f>
        <v>Australia</v>
      </c>
      <c r="K18" s="27">
        <f>IFERROR(__xludf.DUMMYFUNCTION("""COMPUTED_VALUE"""),1.67421194)</f>
        <v>1.67421194</v>
      </c>
      <c r="L18" s="22">
        <f t="shared" si="5"/>
        <v>16.7421194</v>
      </c>
    </row>
    <row r="19">
      <c r="A19" s="27" t="str">
        <f>IFERROR(__xludf.DUMMYFUNCTION("""COMPUTED_VALUE"""),"PROCTER &amp; GAMBLE")</f>
        <v>PROCTER &amp; GAMBLE</v>
      </c>
      <c r="B19" s="27" t="str">
        <f>IFERROR(__xludf.DUMMYFUNCTION("""COMPUTED_VALUE"""),"Consumer Staples")</f>
        <v>Consumer Staples</v>
      </c>
      <c r="C19" s="27" t="str">
        <f>IFERROR(__xludf.DUMMYFUNCTION("""COMPUTED_VALUE"""),"United States")</f>
        <v>United States</v>
      </c>
      <c r="D19" s="27">
        <f>IFERROR(__xludf.DUMMYFUNCTION("""COMPUTED_VALUE"""),0.96)</f>
        <v>0.96</v>
      </c>
      <c r="E19" s="22">
        <f t="shared" si="2"/>
        <v>9.6</v>
      </c>
      <c r="F19" s="23" t="str">
        <f t="shared" si="3"/>
        <v/>
      </c>
      <c r="G19" s="23" t="str">
        <f t="shared" si="4"/>
        <v/>
      </c>
      <c r="H19" s="27" t="str">
        <f>IFERROR(__xludf.DUMMYFUNCTION("""COMPUTED_VALUE"""),"SANTOS LTD")</f>
        <v>SANTOS LTD</v>
      </c>
      <c r="I19" s="27" t="str">
        <f>IFERROR(__xludf.DUMMYFUNCTION("""COMPUTED_VALUE"""),"Energy")</f>
        <v>Energy</v>
      </c>
      <c r="J19" s="27" t="str">
        <f>IFERROR(__xludf.DUMMYFUNCTION("""COMPUTED_VALUE"""),"Australia")</f>
        <v>Australia</v>
      </c>
      <c r="K19" s="27">
        <f>IFERROR(__xludf.DUMMYFUNCTION("""COMPUTED_VALUE"""),1.11417624)</f>
        <v>1.11417624</v>
      </c>
      <c r="L19" s="22">
        <f t="shared" si="5"/>
        <v>11.1417624</v>
      </c>
    </row>
    <row r="20">
      <c r="A20" s="27" t="str">
        <f>IFERROR(__xludf.DUMMYFUNCTION("""COMPUTED_VALUE"""),"BROADCOM INC")</f>
        <v>BROADCOM INC</v>
      </c>
      <c r="B20" s="27" t="str">
        <f>IFERROR(__xludf.DUMMYFUNCTION("""COMPUTED_VALUE"""),"Information Technology")</f>
        <v>Information Technology</v>
      </c>
      <c r="C20" s="27" t="str">
        <f>IFERROR(__xludf.DUMMYFUNCTION("""COMPUTED_VALUE"""),"United States")</f>
        <v>United States</v>
      </c>
      <c r="D20" s="27">
        <f>IFERROR(__xludf.DUMMYFUNCTION("""COMPUTED_VALUE"""),0.95)</f>
        <v>0.95</v>
      </c>
      <c r="E20" s="22">
        <f t="shared" si="2"/>
        <v>9.5</v>
      </c>
      <c r="F20" s="23" t="str">
        <f t="shared" si="3"/>
        <v/>
      </c>
      <c r="G20" s="23" t="str">
        <f t="shared" si="4"/>
        <v/>
      </c>
      <c r="H20" s="27" t="str">
        <f>IFERROR(__xludf.DUMMYFUNCTION("""COMPUTED_VALUE"""),"NEWCREST MINING LTD")</f>
        <v>NEWCREST MINING LTD</v>
      </c>
      <c r="I20" s="27" t="str">
        <f>IFERROR(__xludf.DUMMYFUNCTION("""COMPUTED_VALUE"""),"Materials")</f>
        <v>Materials</v>
      </c>
      <c r="J20" s="27" t="str">
        <f>IFERROR(__xludf.DUMMYFUNCTION("""COMPUTED_VALUE"""),"Australia")</f>
        <v>Australia</v>
      </c>
      <c r="K20" s="27">
        <f>IFERROR(__xludf.DUMMYFUNCTION("""COMPUTED_VALUE"""),1.10806863)</f>
        <v>1.10806863</v>
      </c>
      <c r="L20" s="22">
        <f t="shared" si="5"/>
        <v>11.0806863</v>
      </c>
    </row>
    <row r="21">
      <c r="A21" s="27" t="str">
        <f>IFERROR(__xludf.DUMMYFUNCTION("""COMPUTED_VALUE"""),"MASTERCARD INC CLASS A")</f>
        <v>MASTERCARD INC CLASS A</v>
      </c>
      <c r="B21" s="27" t="str">
        <f>IFERROR(__xludf.DUMMYFUNCTION("""COMPUTED_VALUE"""),"Financials")</f>
        <v>Financials</v>
      </c>
      <c r="C21" s="27" t="str">
        <f>IFERROR(__xludf.DUMMYFUNCTION("""COMPUTED_VALUE"""),"United States")</f>
        <v>United States</v>
      </c>
      <c r="D21" s="27">
        <f>IFERROR(__xludf.DUMMYFUNCTION("""COMPUTED_VALUE"""),0.92)</f>
        <v>0.92</v>
      </c>
      <c r="E21" s="22">
        <f t="shared" si="2"/>
        <v>9.2</v>
      </c>
      <c r="F21" s="23" t="str">
        <f t="shared" si="3"/>
        <v/>
      </c>
      <c r="G21" s="23" t="str">
        <f t="shared" si="4"/>
        <v/>
      </c>
      <c r="H21" s="27" t="str">
        <f>IFERROR(__xludf.DUMMYFUNCTION("""COMPUTED_VALUE"""),"COLES GROUP LTD")</f>
        <v>COLES GROUP LTD</v>
      </c>
      <c r="I21" s="27" t="str">
        <f>IFERROR(__xludf.DUMMYFUNCTION("""COMPUTED_VALUE"""),"Consumer Staples")</f>
        <v>Consumer Staples</v>
      </c>
      <c r="J21" s="27" t="str">
        <f>IFERROR(__xludf.DUMMYFUNCTION("""COMPUTED_VALUE"""),"Australia")</f>
        <v>Australia</v>
      </c>
      <c r="K21" s="27">
        <f>IFERROR(__xludf.DUMMYFUNCTION("""COMPUTED_VALUE"""),1.10659429)</f>
        <v>1.10659429</v>
      </c>
      <c r="L21" s="22">
        <f t="shared" si="5"/>
        <v>11.0659429</v>
      </c>
    </row>
    <row r="22">
      <c r="A22" s="27" t="str">
        <f>IFERROR(__xludf.DUMMYFUNCTION("""COMPUTED_VALUE"""),"HOME DEPOT INC")</f>
        <v>HOME DEPOT INC</v>
      </c>
      <c r="B22" s="27" t="str">
        <f>IFERROR(__xludf.DUMMYFUNCTION("""COMPUTED_VALUE"""),"Consumer Discretionary")</f>
        <v>Consumer Discretionary</v>
      </c>
      <c r="C22" s="27" t="str">
        <f>IFERROR(__xludf.DUMMYFUNCTION("""COMPUTED_VALUE"""),"United States")</f>
        <v>United States</v>
      </c>
      <c r="D22" s="27">
        <f>IFERROR(__xludf.DUMMYFUNCTION("""COMPUTED_VALUE"""),0.84)</f>
        <v>0.84</v>
      </c>
      <c r="E22" s="22">
        <f t="shared" si="2"/>
        <v>8.4</v>
      </c>
      <c r="F22" s="23" t="str">
        <f t="shared" si="3"/>
        <v/>
      </c>
      <c r="G22" s="23" t="str">
        <f t="shared" si="4"/>
        <v/>
      </c>
      <c r="H22" s="27" t="str">
        <f>IFERROR(__xludf.DUMMYFUNCTION("""COMPUTED_VALUE"""),"QBE INSURANCE GROUP LTD")</f>
        <v>QBE INSURANCE GROUP LTD</v>
      </c>
      <c r="I22" s="27" t="str">
        <f>IFERROR(__xludf.DUMMYFUNCTION("""COMPUTED_VALUE"""),"Financials")</f>
        <v>Financials</v>
      </c>
      <c r="J22" s="27" t="str">
        <f>IFERROR(__xludf.DUMMYFUNCTION("""COMPUTED_VALUE"""),"Australia")</f>
        <v>Australia</v>
      </c>
      <c r="K22" s="27">
        <f>IFERROR(__xludf.DUMMYFUNCTION("""COMPUTED_VALUE"""),1.07617763)</f>
        <v>1.07617763</v>
      </c>
      <c r="L22" s="22">
        <f t="shared" si="5"/>
        <v>10.7617763</v>
      </c>
    </row>
    <row r="23">
      <c r="A23" s="27" t="str">
        <f>IFERROR(__xludf.DUMMYFUNCTION("""COMPUTED_VALUE"""),"CHEVRON CORP")</f>
        <v>CHEVRON CORP</v>
      </c>
      <c r="B23" s="27" t="str">
        <f>IFERROR(__xludf.DUMMYFUNCTION("""COMPUTED_VALUE"""),"Energy")</f>
        <v>Energy</v>
      </c>
      <c r="C23" s="27" t="str">
        <f>IFERROR(__xludf.DUMMYFUNCTION("""COMPUTED_VALUE"""),"United States")</f>
        <v>United States</v>
      </c>
      <c r="D23" s="27">
        <f>IFERROR(__xludf.DUMMYFUNCTION("""COMPUTED_VALUE"""),0.84)</f>
        <v>0.84</v>
      </c>
      <c r="E23" s="22">
        <f t="shared" si="2"/>
        <v>8.4</v>
      </c>
      <c r="F23" s="23" t="str">
        <f t="shared" si="3"/>
        <v/>
      </c>
      <c r="G23" s="23" t="str">
        <f t="shared" si="4"/>
        <v/>
      </c>
      <c r="H23" s="27" t="str">
        <f>IFERROR(__xludf.DUMMYFUNCTION("""COMPUTED_VALUE"""),"ARISTOCRAT LEISURE LTD")</f>
        <v>ARISTOCRAT LEISURE LTD</v>
      </c>
      <c r="I23" s="27" t="str">
        <f>IFERROR(__xludf.DUMMYFUNCTION("""COMPUTED_VALUE"""),"Consumer Discretionary")</f>
        <v>Consumer Discretionary</v>
      </c>
      <c r="J23" s="27" t="str">
        <f>IFERROR(__xludf.DUMMYFUNCTION("""COMPUTED_VALUE"""),"Australia")</f>
        <v>Australia</v>
      </c>
      <c r="K23" s="27">
        <f>IFERROR(__xludf.DUMMYFUNCTION("""COMPUTED_VALUE"""),1.05958359)</f>
        <v>1.05958359</v>
      </c>
      <c r="L23" s="22">
        <f t="shared" si="5"/>
        <v>10.5958359</v>
      </c>
    </row>
    <row r="24">
      <c r="A24" s="27" t="str">
        <f>IFERROR(__xludf.DUMMYFUNCTION("""COMPUTED_VALUE"""),"ABBVIE INC")</f>
        <v>ABBVIE INC</v>
      </c>
      <c r="B24" s="27" t="str">
        <f>IFERROR(__xludf.DUMMYFUNCTION("""COMPUTED_VALUE"""),"Health Care")</f>
        <v>Health Care</v>
      </c>
      <c r="C24" s="27" t="str">
        <f>IFERROR(__xludf.DUMMYFUNCTION("""COMPUTED_VALUE"""),"United States")</f>
        <v>United States</v>
      </c>
      <c r="D24" s="27">
        <f>IFERROR(__xludf.DUMMYFUNCTION("""COMPUTED_VALUE"""),0.74)</f>
        <v>0.74</v>
      </c>
      <c r="E24" s="22">
        <f t="shared" si="2"/>
        <v>7.4</v>
      </c>
      <c r="F24" s="23" t="str">
        <f t="shared" si="3"/>
        <v/>
      </c>
      <c r="G24" s="23" t="str">
        <f t="shared" si="4"/>
        <v/>
      </c>
      <c r="H24" s="27" t="str">
        <f>IFERROR(__xludf.DUMMYFUNCTION("""COMPUTED_VALUE"""),"BRAMBLES LTD")</f>
        <v>BRAMBLES LTD</v>
      </c>
      <c r="I24" s="27" t="str">
        <f>IFERROR(__xludf.DUMMYFUNCTION("""COMPUTED_VALUE"""),"Industrials")</f>
        <v>Industrials</v>
      </c>
      <c r="J24" s="27" t="str">
        <f>IFERROR(__xludf.DUMMYFUNCTION("""COMPUTED_VALUE"""),"Australia")</f>
        <v>Australia</v>
      </c>
      <c r="K24" s="27">
        <f>IFERROR(__xludf.DUMMYFUNCTION("""COMPUTED_VALUE"""),0.90847391)</f>
        <v>0.90847391</v>
      </c>
      <c r="L24" s="22">
        <f t="shared" si="5"/>
        <v>9.0847391</v>
      </c>
    </row>
    <row r="25">
      <c r="A25" s="27" t="str">
        <f>IFERROR(__xludf.DUMMYFUNCTION("""COMPUTED_VALUE"""),"MERCK &amp; CO INC")</f>
        <v>MERCK &amp; CO INC</v>
      </c>
      <c r="B25" s="27" t="str">
        <f>IFERROR(__xludf.DUMMYFUNCTION("""COMPUTED_VALUE"""),"Health Care")</f>
        <v>Health Care</v>
      </c>
      <c r="C25" s="27" t="str">
        <f>IFERROR(__xludf.DUMMYFUNCTION("""COMPUTED_VALUE"""),"United States")</f>
        <v>United States</v>
      </c>
      <c r="D25" s="27">
        <f>IFERROR(__xludf.DUMMYFUNCTION("""COMPUTED_VALUE"""),0.73)</f>
        <v>0.73</v>
      </c>
      <c r="E25" s="22">
        <f t="shared" si="2"/>
        <v>7.3</v>
      </c>
      <c r="F25" s="23" t="str">
        <f t="shared" si="3"/>
        <v/>
      </c>
      <c r="G25" s="23" t="str">
        <f t="shared" si="4"/>
        <v/>
      </c>
      <c r="H25" s="27" t="str">
        <f>IFERROR(__xludf.DUMMYFUNCTION("""COMPUTED_VALUE"""),"SOUTH32 LTD")</f>
        <v>SOUTH32 LTD</v>
      </c>
      <c r="I25" s="27" t="str">
        <f>IFERROR(__xludf.DUMMYFUNCTION("""COMPUTED_VALUE"""),"Materials")</f>
        <v>Materials</v>
      </c>
      <c r="J25" s="27" t="str">
        <f>IFERROR(__xludf.DUMMYFUNCTION("""COMPUTED_VALUE"""),"Australia")</f>
        <v>Australia</v>
      </c>
      <c r="K25" s="27">
        <f>IFERROR(__xludf.DUMMYFUNCTION("""COMPUTED_VALUE"""),0.84059895)</f>
        <v>0.84059895</v>
      </c>
      <c r="L25" s="22">
        <f t="shared" si="5"/>
        <v>8.4059895</v>
      </c>
    </row>
    <row r="26">
      <c r="A26" s="27" t="str">
        <f>IFERROR(__xludf.DUMMYFUNCTION("""COMPUTED_VALUE"""),"COSTCO WHOLESALE CORP")</f>
        <v>COSTCO WHOLESALE CORP</v>
      </c>
      <c r="B26" s="27" t="str">
        <f>IFERROR(__xludf.DUMMYFUNCTION("""COMPUTED_VALUE"""),"Consumer Staples")</f>
        <v>Consumer Staples</v>
      </c>
      <c r="C26" s="27" t="str">
        <f>IFERROR(__xludf.DUMMYFUNCTION("""COMPUTED_VALUE"""),"United States")</f>
        <v>United States</v>
      </c>
      <c r="D26" s="27">
        <f>IFERROR(__xludf.DUMMYFUNCTION("""COMPUTED_VALUE"""),0.7)</f>
        <v>0.7</v>
      </c>
      <c r="E26" s="22">
        <f t="shared" si="2"/>
        <v>7</v>
      </c>
      <c r="F26" s="23" t="str">
        <f t="shared" si="3"/>
        <v/>
      </c>
      <c r="G26" s="23" t="str">
        <f t="shared" si="4"/>
        <v/>
      </c>
      <c r="H26" s="27" t="str">
        <f>IFERROR(__xludf.DUMMYFUNCTION("""COMPUTED_VALUE"""),"JAMES HARDIE INDUSTRIES PLC")</f>
        <v>JAMES HARDIE INDUSTRIES PLC</v>
      </c>
      <c r="I26" s="27" t="str">
        <f>IFERROR(__xludf.DUMMYFUNCTION("""COMPUTED_VALUE"""),"Materials")</f>
        <v>Materials</v>
      </c>
      <c r="J26" s="27" t="str">
        <f>IFERROR(__xludf.DUMMYFUNCTION("""COMPUTED_VALUE"""),"Australia")</f>
        <v>Australia</v>
      </c>
      <c r="K26" s="27">
        <f>IFERROR(__xludf.DUMMYFUNCTION("""COMPUTED_VALUE"""),0.8235475)</f>
        <v>0.8235475</v>
      </c>
      <c r="L26" s="22">
        <f t="shared" si="5"/>
        <v>8.235475</v>
      </c>
    </row>
    <row r="27">
      <c r="A27" s="27" t="str">
        <f>IFERROR(__xludf.DUMMYFUNCTION("""COMPUTED_VALUE"""),"PEPSICO INC")</f>
        <v>PEPSICO INC</v>
      </c>
      <c r="B27" s="27" t="str">
        <f>IFERROR(__xludf.DUMMYFUNCTION("""COMPUTED_VALUE"""),"Consumer Staples")</f>
        <v>Consumer Staples</v>
      </c>
      <c r="C27" s="27" t="str">
        <f>IFERROR(__xludf.DUMMYFUNCTION("""COMPUTED_VALUE"""),"United States")</f>
        <v>United States</v>
      </c>
      <c r="D27" s="27">
        <f>IFERROR(__xludf.DUMMYFUNCTION("""COMPUTED_VALUE"""),0.65)</f>
        <v>0.65</v>
      </c>
      <c r="E27" s="22">
        <f t="shared" si="2"/>
        <v>6.5</v>
      </c>
      <c r="F27" s="23" t="str">
        <f t="shared" si="3"/>
        <v/>
      </c>
      <c r="G27" s="23" t="str">
        <f t="shared" si="4"/>
        <v/>
      </c>
      <c r="H27" s="27" t="str">
        <f>IFERROR(__xludf.DUMMYFUNCTION("""COMPUTED_VALUE"""),"SUNCORP GROUP LTD")</f>
        <v>SUNCORP GROUP LTD</v>
      </c>
      <c r="I27" s="27" t="str">
        <f>IFERROR(__xludf.DUMMYFUNCTION("""COMPUTED_VALUE"""),"Financials")</f>
        <v>Financials</v>
      </c>
      <c r="J27" s="27" t="str">
        <f>IFERROR(__xludf.DUMMYFUNCTION("""COMPUTED_VALUE"""),"Australia")</f>
        <v>Australia</v>
      </c>
      <c r="K27" s="27">
        <f>IFERROR(__xludf.DUMMYFUNCTION("""COMPUTED_VALUE"""),0.79143237)</f>
        <v>0.79143237</v>
      </c>
      <c r="L27" s="22">
        <f t="shared" si="5"/>
        <v>7.9143237</v>
      </c>
    </row>
    <row r="28">
      <c r="A28" s="27" t="str">
        <f>IFERROR(__xludf.DUMMYFUNCTION("""COMPUTED_VALUE"""),"WALMART INC")</f>
        <v>WALMART INC</v>
      </c>
      <c r="B28" s="27" t="str">
        <f>IFERROR(__xludf.DUMMYFUNCTION("""COMPUTED_VALUE"""),"Consumer Staples")</f>
        <v>Consumer Staples</v>
      </c>
      <c r="C28" s="27" t="str">
        <f>IFERROR(__xludf.DUMMYFUNCTION("""COMPUTED_VALUE"""),"United States")</f>
        <v>United States</v>
      </c>
      <c r="D28" s="27">
        <f>IFERROR(__xludf.DUMMYFUNCTION("""COMPUTED_VALUE"""),0.64)</f>
        <v>0.64</v>
      </c>
      <c r="E28" s="22">
        <f t="shared" si="2"/>
        <v>6.4</v>
      </c>
      <c r="F28" s="23" t="str">
        <f t="shared" si="3"/>
        <v/>
      </c>
      <c r="G28" s="23" t="str">
        <f t="shared" si="4"/>
        <v/>
      </c>
      <c r="H28" s="27" t="str">
        <f>IFERROR(__xludf.DUMMYFUNCTION("""COMPUTED_VALUE"""),"SONIC HEALTHCARE LTD")</f>
        <v>SONIC HEALTHCARE LTD</v>
      </c>
      <c r="I28" s="27" t="str">
        <f>IFERROR(__xludf.DUMMYFUNCTION("""COMPUTED_VALUE"""),"Healthcare")</f>
        <v>Healthcare</v>
      </c>
      <c r="J28" s="27" t="str">
        <f>IFERROR(__xludf.DUMMYFUNCTION("""COMPUTED_VALUE"""),"Australia")</f>
        <v>Australia</v>
      </c>
      <c r="K28" s="27">
        <f>IFERROR(__xludf.DUMMYFUNCTION("""COMPUTED_VALUE"""),0.74180001)</f>
        <v>0.74180001</v>
      </c>
      <c r="L28" s="22">
        <f t="shared" si="5"/>
        <v>7.4180001</v>
      </c>
    </row>
    <row r="29">
      <c r="A29" s="27" t="str">
        <f>IFERROR(__xludf.DUMMYFUNCTION("""COMPUTED_VALUE"""),"ADOBE INC")</f>
        <v>ADOBE INC</v>
      </c>
      <c r="B29" s="27" t="str">
        <f>IFERROR(__xludf.DUMMYFUNCTION("""COMPUTED_VALUE"""),"Information Technology")</f>
        <v>Information Technology</v>
      </c>
      <c r="C29" s="27" t="str">
        <f>IFERROR(__xludf.DUMMYFUNCTION("""COMPUTED_VALUE"""),"United States")</f>
        <v>United States</v>
      </c>
      <c r="D29" s="27">
        <f>IFERROR(__xludf.DUMMYFUNCTION("""COMPUTED_VALUE"""),0.64)</f>
        <v>0.64</v>
      </c>
      <c r="E29" s="22">
        <f t="shared" si="2"/>
        <v>6.4</v>
      </c>
      <c r="F29" s="23" t="str">
        <f t="shared" si="3"/>
        <v/>
      </c>
      <c r="G29" s="23" t="str">
        <f t="shared" si="4"/>
        <v/>
      </c>
      <c r="H29" s="27" t="str">
        <f>IFERROR(__xludf.DUMMYFUNCTION("""COMPUTED_VALUE"""),"COCHLEAR LTD")</f>
        <v>COCHLEAR LTD</v>
      </c>
      <c r="I29" s="27" t="str">
        <f>IFERROR(__xludf.DUMMYFUNCTION("""COMPUTED_VALUE"""),"Healthcare")</f>
        <v>Healthcare</v>
      </c>
      <c r="J29" s="27" t="str">
        <f>IFERROR(__xludf.DUMMYFUNCTION("""COMPUTED_VALUE"""),"Australia")</f>
        <v>Australia</v>
      </c>
      <c r="K29" s="27">
        <f>IFERROR(__xludf.DUMMYFUNCTION("""COMPUTED_VALUE"""),0.73811639)</f>
        <v>0.73811639</v>
      </c>
      <c r="L29" s="22">
        <f t="shared" si="5"/>
        <v>7.3811639</v>
      </c>
    </row>
    <row r="30">
      <c r="A30" s="27" t="str">
        <f>IFERROR(__xludf.DUMMYFUNCTION("""COMPUTED_VALUE"""),"CISCO SYSTEMS INC")</f>
        <v>CISCO SYSTEMS INC</v>
      </c>
      <c r="B30" s="27" t="str">
        <f>IFERROR(__xludf.DUMMYFUNCTION("""COMPUTED_VALUE"""),"Information Technology")</f>
        <v>Information Technology</v>
      </c>
      <c r="C30" s="27" t="str">
        <f>IFERROR(__xludf.DUMMYFUNCTION("""COMPUTED_VALUE"""),"United States")</f>
        <v>United States</v>
      </c>
      <c r="D30" s="27">
        <f>IFERROR(__xludf.DUMMYFUNCTION("""COMPUTED_VALUE"""),0.61)</f>
        <v>0.61</v>
      </c>
      <c r="E30" s="22">
        <f t="shared" si="2"/>
        <v>6.1</v>
      </c>
      <c r="F30" s="23" t="str">
        <f t="shared" si="3"/>
        <v/>
      </c>
      <c r="G30" s="23" t="str">
        <f t="shared" si="4"/>
        <v/>
      </c>
      <c r="H30" s="27" t="str">
        <f>IFERROR(__xludf.DUMMYFUNCTION("""COMPUTED_VALUE"""),"NORTHERN STAR RESOURCES LTD")</f>
        <v>NORTHERN STAR RESOURCES LTD</v>
      </c>
      <c r="I30" s="27" t="str">
        <f>IFERROR(__xludf.DUMMYFUNCTION("""COMPUTED_VALUE"""),"Materials")</f>
        <v>Materials</v>
      </c>
      <c r="J30" s="27" t="str">
        <f>IFERROR(__xludf.DUMMYFUNCTION("""COMPUTED_VALUE"""),"Australia")</f>
        <v>Australia</v>
      </c>
      <c r="K30" s="27">
        <f>IFERROR(__xludf.DUMMYFUNCTION("""COMPUTED_VALUE"""),0.70468781)</f>
        <v>0.70468781</v>
      </c>
      <c r="L30" s="22">
        <f t="shared" si="5"/>
        <v>7.0468781</v>
      </c>
    </row>
    <row r="31">
      <c r="A31" s="27" t="str">
        <f>IFERROR(__xludf.DUMMYFUNCTION("""COMPUTED_VALUE"""),"COCA-COLA")</f>
        <v>COCA-COLA</v>
      </c>
      <c r="B31" s="27" t="str">
        <f>IFERROR(__xludf.DUMMYFUNCTION("""COMPUTED_VALUE"""),"Consumer Staples")</f>
        <v>Consumer Staples</v>
      </c>
      <c r="C31" s="27" t="str">
        <f>IFERROR(__xludf.DUMMYFUNCTION("""COMPUTED_VALUE"""),"United States")</f>
        <v>United States</v>
      </c>
      <c r="D31" s="27">
        <f>IFERROR(__xludf.DUMMYFUNCTION("""COMPUTED_VALUE"""),0.6)</f>
        <v>0.6</v>
      </c>
      <c r="E31" s="22">
        <f t="shared" si="2"/>
        <v>6</v>
      </c>
      <c r="F31" s="23" t="str">
        <f t="shared" si="3"/>
        <v/>
      </c>
      <c r="G31" s="23" t="str">
        <f t="shared" si="4"/>
        <v/>
      </c>
      <c r="H31" s="27" t="str">
        <f>IFERROR(__xludf.DUMMYFUNCTION("""COMPUTED_VALUE"""),"XERO LTD")</f>
        <v>XERO LTD</v>
      </c>
      <c r="I31" s="27" t="str">
        <f>IFERROR(__xludf.DUMMYFUNCTION("""COMPUTED_VALUE"""),"Information Technology")</f>
        <v>Information Technology</v>
      </c>
      <c r="J31" s="27" t="str">
        <f>IFERROR(__xludf.DUMMYFUNCTION("""COMPUTED_VALUE"""),"Australia")</f>
        <v>Australia</v>
      </c>
      <c r="K31" s="27">
        <f>IFERROR(__xludf.DUMMYFUNCTION("""COMPUTED_VALUE"""),0.69968231)</f>
        <v>0.69968231</v>
      </c>
      <c r="L31" s="22">
        <f t="shared" si="5"/>
        <v>6.9968231</v>
      </c>
    </row>
    <row r="32">
      <c r="A32" s="27" t="str">
        <f>IFERROR(__xludf.DUMMYFUNCTION("""COMPUTED_VALUE"""),"SALESFORCE INC")</f>
        <v>SALESFORCE INC</v>
      </c>
      <c r="B32" s="27" t="str">
        <f>IFERROR(__xludf.DUMMYFUNCTION("""COMPUTED_VALUE"""),"Information Technology")</f>
        <v>Information Technology</v>
      </c>
      <c r="C32" s="27" t="str">
        <f>IFERROR(__xludf.DUMMYFUNCTION("""COMPUTED_VALUE"""),"United States")</f>
        <v>United States</v>
      </c>
      <c r="D32" s="27">
        <f>IFERROR(__xludf.DUMMYFUNCTION("""COMPUTED_VALUE"""),0.55)</f>
        <v>0.55</v>
      </c>
      <c r="E32" s="22">
        <f t="shared" si="2"/>
        <v>5.5</v>
      </c>
      <c r="F32" s="23" t="str">
        <f t="shared" si="3"/>
        <v/>
      </c>
      <c r="G32" s="23" t="str">
        <f t="shared" si="4"/>
        <v/>
      </c>
      <c r="H32" s="27" t="str">
        <f>IFERROR(__xludf.DUMMYFUNCTION("""COMPUTED_VALUE"""),"ORIGIN ENERGY LTD")</f>
        <v>ORIGIN ENERGY LTD</v>
      </c>
      <c r="I32" s="27" t="str">
        <f>IFERROR(__xludf.DUMMYFUNCTION("""COMPUTED_VALUE"""),"Utilities")</f>
        <v>Utilities</v>
      </c>
      <c r="J32" s="27" t="str">
        <f>IFERROR(__xludf.DUMMYFUNCTION("""COMPUTED_VALUE"""),"Australia")</f>
        <v>Australia</v>
      </c>
      <c r="K32" s="27">
        <f>IFERROR(__xludf.DUMMYFUNCTION("""COMPUTED_VALUE"""),0.68551618)</f>
        <v>0.68551618</v>
      </c>
      <c r="L32" s="22">
        <f t="shared" si="5"/>
        <v>6.8551618</v>
      </c>
    </row>
    <row r="33">
      <c r="A33" s="27" t="str">
        <f>IFERROR(__xludf.DUMMYFUNCTION("""COMPUTED_VALUE"""),"THERMO FISHER SCIENTIFIC INC")</f>
        <v>THERMO FISHER SCIENTIFIC INC</v>
      </c>
      <c r="B33" s="27" t="str">
        <f>IFERROR(__xludf.DUMMYFUNCTION("""COMPUTED_VALUE"""),"Health Care")</f>
        <v>Health Care</v>
      </c>
      <c r="C33" s="27" t="str">
        <f>IFERROR(__xludf.DUMMYFUNCTION("""COMPUTED_VALUE"""),"United States")</f>
        <v>United States</v>
      </c>
      <c r="D33" s="27">
        <f>IFERROR(__xludf.DUMMYFUNCTION("""COMPUTED_VALUE"""),0.54)</f>
        <v>0.54</v>
      </c>
      <c r="E33" s="22">
        <f t="shared" si="2"/>
        <v>5.4</v>
      </c>
      <c r="F33" s="23" t="str">
        <f t="shared" si="3"/>
        <v/>
      </c>
      <c r="G33" s="23" t="str">
        <f t="shared" si="4"/>
        <v/>
      </c>
      <c r="H33" s="27" t="str">
        <f>IFERROR(__xludf.DUMMYFUNCTION("""COMPUTED_VALUE"""),"SCENTRE GROUP")</f>
        <v>SCENTRE GROUP</v>
      </c>
      <c r="I33" s="27" t="str">
        <f>IFERROR(__xludf.DUMMYFUNCTION("""COMPUTED_VALUE"""),"Real Estate")</f>
        <v>Real Estate</v>
      </c>
      <c r="J33" s="27" t="str">
        <f>IFERROR(__xludf.DUMMYFUNCTION("""COMPUTED_VALUE"""),"Australia")</f>
        <v>Australia</v>
      </c>
      <c r="K33" s="27">
        <f>IFERROR(__xludf.DUMMYFUNCTION("""COMPUTED_VALUE"""),0.64054069)</f>
        <v>0.64054069</v>
      </c>
      <c r="L33" s="22">
        <f t="shared" si="5"/>
        <v>6.4054069</v>
      </c>
    </row>
    <row r="34">
      <c r="A34" s="27" t="str">
        <f>IFERROR(__xludf.DUMMYFUNCTION("""COMPUTED_VALUE"""),"MCDONALDS CORP")</f>
        <v>MCDONALDS CORP</v>
      </c>
      <c r="B34" s="27" t="str">
        <f>IFERROR(__xludf.DUMMYFUNCTION("""COMPUTED_VALUE"""),"Consumer Discretionary")</f>
        <v>Consumer Discretionary</v>
      </c>
      <c r="C34" s="27" t="str">
        <f>IFERROR(__xludf.DUMMYFUNCTION("""COMPUTED_VALUE"""),"United States")</f>
        <v>United States</v>
      </c>
      <c r="D34" s="27">
        <f>IFERROR(__xludf.DUMMYFUNCTION("""COMPUTED_VALUE"""),0.54)</f>
        <v>0.54</v>
      </c>
      <c r="E34" s="22">
        <f t="shared" si="2"/>
        <v>5.4</v>
      </c>
      <c r="F34" s="23" t="str">
        <f t="shared" si="3"/>
        <v/>
      </c>
      <c r="G34" s="23" t="str">
        <f t="shared" si="4"/>
        <v/>
      </c>
      <c r="H34" s="27" t="str">
        <f>IFERROR(__xludf.DUMMYFUNCTION("""COMPUTED_VALUE"""),"INSURANCE AUSTRALIA GROUP LTD")</f>
        <v>INSURANCE AUSTRALIA GROUP LTD</v>
      </c>
      <c r="I34" s="27" t="str">
        <f>IFERROR(__xludf.DUMMYFUNCTION("""COMPUTED_VALUE"""),"Financials")</f>
        <v>Financials</v>
      </c>
      <c r="J34" s="27" t="str">
        <f>IFERROR(__xludf.DUMMYFUNCTION("""COMPUTED_VALUE"""),"Australia")</f>
        <v>Australia</v>
      </c>
      <c r="K34" s="27">
        <f>IFERROR(__xludf.DUMMYFUNCTION("""COMPUTED_VALUE"""),0.63653629)</f>
        <v>0.63653629</v>
      </c>
      <c r="L34" s="22">
        <f t="shared" si="5"/>
        <v>6.3653629</v>
      </c>
    </row>
    <row r="35">
      <c r="A35" s="27" t="str">
        <f>IFERROR(__xludf.DUMMYFUNCTION("""COMPUTED_VALUE"""),"BANK OF AMERICA CORP")</f>
        <v>BANK OF AMERICA CORP</v>
      </c>
      <c r="B35" s="27" t="str">
        <f>IFERROR(__xludf.DUMMYFUNCTION("""COMPUTED_VALUE"""),"Financials")</f>
        <v>Financials</v>
      </c>
      <c r="C35" s="27" t="str">
        <f>IFERROR(__xludf.DUMMYFUNCTION("""COMPUTED_VALUE"""),"United States")</f>
        <v>United States</v>
      </c>
      <c r="D35" s="27">
        <f>IFERROR(__xludf.DUMMYFUNCTION("""COMPUTED_VALUE"""),0.53)</f>
        <v>0.53</v>
      </c>
      <c r="E35" s="22">
        <f t="shared" si="2"/>
        <v>5.3</v>
      </c>
      <c r="F35" s="23" t="str">
        <f t="shared" si="3"/>
        <v/>
      </c>
      <c r="G35" s="23" t="str">
        <f t="shared" si="4"/>
        <v/>
      </c>
      <c r="H35" s="27" t="str">
        <f>IFERROR(__xludf.DUMMYFUNCTION("""COMPUTED_VALUE"""),"PILBARA MINERALS LTD")</f>
        <v>PILBARA MINERALS LTD</v>
      </c>
      <c r="I35" s="27" t="str">
        <f>IFERROR(__xludf.DUMMYFUNCTION("""COMPUTED_VALUE"""),"Materials")</f>
        <v>Materials</v>
      </c>
      <c r="J35" s="27" t="str">
        <f>IFERROR(__xludf.DUMMYFUNCTION("""COMPUTED_VALUE"""),"Australia")</f>
        <v>Australia</v>
      </c>
      <c r="K35" s="27">
        <f>IFERROR(__xludf.DUMMYFUNCTION("""COMPUTED_VALUE"""),0.61735199)</f>
        <v>0.61735199</v>
      </c>
      <c r="L35" s="22">
        <f t="shared" si="5"/>
        <v>6.1735199</v>
      </c>
    </row>
    <row r="36">
      <c r="A36" s="27" t="str">
        <f>IFERROR(__xludf.DUMMYFUNCTION("""COMPUTED_VALUE"""),"ACCENTURE PLC CLASS A")</f>
        <v>ACCENTURE PLC CLASS A</v>
      </c>
      <c r="B36" s="27" t="str">
        <f>IFERROR(__xludf.DUMMYFUNCTION("""COMPUTED_VALUE"""),"Information Technology")</f>
        <v>Information Technology</v>
      </c>
      <c r="C36" s="27" t="str">
        <f>IFERROR(__xludf.DUMMYFUNCTION("""COMPUTED_VALUE"""),"United States")</f>
        <v>United States</v>
      </c>
      <c r="D36" s="27">
        <f>IFERROR(__xludf.DUMMYFUNCTION("""COMPUTED_VALUE"""),0.53)</f>
        <v>0.53</v>
      </c>
      <c r="E36" s="22">
        <f t="shared" si="2"/>
        <v>5.3</v>
      </c>
      <c r="F36" s="23" t="str">
        <f t="shared" si="3"/>
        <v/>
      </c>
      <c r="G36" s="23" t="str">
        <f t="shared" si="4"/>
        <v>overlap</v>
      </c>
      <c r="H36" s="27" t="str">
        <f>IFERROR(__xludf.DUMMYFUNCTION("""COMPUTED_VALUE"""),"RESMED INC")</f>
        <v>RESMED INC</v>
      </c>
      <c r="I36" s="27" t="str">
        <f>IFERROR(__xludf.DUMMYFUNCTION("""COMPUTED_VALUE"""),"Healthcare")</f>
        <v>Healthcare</v>
      </c>
      <c r="J36" s="27" t="str">
        <f>IFERROR(__xludf.DUMMYFUNCTION("""COMPUTED_VALUE"""),"Australia")</f>
        <v>Australia</v>
      </c>
      <c r="K36" s="27">
        <f>IFERROR(__xludf.DUMMYFUNCTION("""COMPUTED_VALUE"""),0.60387348)</f>
        <v>0.60387348</v>
      </c>
      <c r="L36" s="22">
        <f t="shared" si="5"/>
        <v>6.0387348</v>
      </c>
    </row>
    <row r="37">
      <c r="A37" s="27" t="str">
        <f>IFERROR(__xludf.DUMMYFUNCTION("""COMPUTED_VALUE"""),"COMCAST CORP CLASS A")</f>
        <v>COMCAST CORP CLASS A</v>
      </c>
      <c r="B37" s="27" t="str">
        <f>IFERROR(__xludf.DUMMYFUNCTION("""COMPUTED_VALUE"""),"Communication")</f>
        <v>Communication</v>
      </c>
      <c r="C37" s="27" t="str">
        <f>IFERROR(__xludf.DUMMYFUNCTION("""COMPUTED_VALUE"""),"United States")</f>
        <v>United States</v>
      </c>
      <c r="D37" s="27">
        <f>IFERROR(__xludf.DUMMYFUNCTION("""COMPUTED_VALUE"""),0.51)</f>
        <v>0.51</v>
      </c>
      <c r="E37" s="22">
        <f t="shared" si="2"/>
        <v>5.1</v>
      </c>
      <c r="F37" s="23" t="str">
        <f t="shared" si="3"/>
        <v/>
      </c>
      <c r="G37" s="23" t="str">
        <f t="shared" si="4"/>
        <v/>
      </c>
      <c r="H37" s="27" t="str">
        <f>IFERROR(__xludf.DUMMYFUNCTION("""COMPUTED_VALUE"""),"WISETECH GLOBAL LTD")</f>
        <v>WISETECH GLOBAL LTD</v>
      </c>
      <c r="I37" s="27" t="str">
        <f>IFERROR(__xludf.DUMMYFUNCTION("""COMPUTED_VALUE"""),"Information Technology")</f>
        <v>Information Technology</v>
      </c>
      <c r="J37" s="27" t="str">
        <f>IFERROR(__xludf.DUMMYFUNCTION("""COMPUTED_VALUE"""),"Australia")</f>
        <v>Australia</v>
      </c>
      <c r="K37" s="27">
        <f>IFERROR(__xludf.DUMMYFUNCTION("""COMPUTED_VALUE"""),0.58974536)</f>
        <v>0.58974536</v>
      </c>
      <c r="L37" s="22">
        <f t="shared" si="5"/>
        <v>5.8974536</v>
      </c>
    </row>
    <row r="38">
      <c r="A38" s="27" t="str">
        <f>IFERROR(__xludf.DUMMYFUNCTION("""COMPUTED_VALUE"""),"LINDE PLC")</f>
        <v>LINDE PLC</v>
      </c>
      <c r="B38" s="27" t="str">
        <f>IFERROR(__xludf.DUMMYFUNCTION("""COMPUTED_VALUE"""),"Materials")</f>
        <v>Materials</v>
      </c>
      <c r="C38" s="27" t="str">
        <f>IFERROR(__xludf.DUMMYFUNCTION("""COMPUTED_VALUE"""),"United States")</f>
        <v>United States</v>
      </c>
      <c r="D38" s="27">
        <f>IFERROR(__xludf.DUMMYFUNCTION("""COMPUTED_VALUE"""),0.5)</f>
        <v>0.5</v>
      </c>
      <c r="E38" s="22">
        <f t="shared" si="2"/>
        <v>5</v>
      </c>
      <c r="F38" s="23" t="str">
        <f t="shared" si="3"/>
        <v/>
      </c>
      <c r="G38" s="23" t="str">
        <f t="shared" si="4"/>
        <v/>
      </c>
      <c r="H38" s="27" t="str">
        <f>IFERROR(__xludf.DUMMYFUNCTION("""COMPUTED_VALUE"""),"COMPUTERSHARE LTD")</f>
        <v>COMPUTERSHARE LTD</v>
      </c>
      <c r="I38" s="27" t="str">
        <f>IFERROR(__xludf.DUMMYFUNCTION("""COMPUTED_VALUE"""),"Industrials")</f>
        <v>Industrials</v>
      </c>
      <c r="J38" s="27" t="str">
        <f>IFERROR(__xludf.DUMMYFUNCTION("""COMPUTED_VALUE"""),"Australia")</f>
        <v>Australia</v>
      </c>
      <c r="K38" s="27">
        <f>IFERROR(__xludf.DUMMYFUNCTION("""COMPUTED_VALUE"""),0.57098157)</f>
        <v>0.57098157</v>
      </c>
      <c r="L38" s="22">
        <f t="shared" si="5"/>
        <v>5.7098157</v>
      </c>
    </row>
    <row r="39">
      <c r="A39" s="27" t="str">
        <f>IFERROR(__xludf.DUMMYFUNCTION("""COMPUTED_VALUE"""),"PFIZER INC")</f>
        <v>PFIZER INC</v>
      </c>
      <c r="B39" s="27" t="str">
        <f>IFERROR(__xludf.DUMMYFUNCTION("""COMPUTED_VALUE"""),"Health Care")</f>
        <v>Health Care</v>
      </c>
      <c r="C39" s="27" t="str">
        <f>IFERROR(__xludf.DUMMYFUNCTION("""COMPUTED_VALUE"""),"United States")</f>
        <v>United States</v>
      </c>
      <c r="D39" s="27">
        <f>IFERROR(__xludf.DUMMYFUNCTION("""COMPUTED_VALUE"""),0.5)</f>
        <v>0.5</v>
      </c>
      <c r="E39" s="22">
        <f t="shared" si="2"/>
        <v>5</v>
      </c>
      <c r="F39" s="23" t="str">
        <f t="shared" si="3"/>
        <v/>
      </c>
      <c r="G39" s="23" t="str">
        <f t="shared" si="4"/>
        <v/>
      </c>
      <c r="H39" s="27" t="str">
        <f>IFERROR(__xludf.DUMMYFUNCTION("""COMPUTED_VALUE"""),"MINERAL RESOURCES LTD")</f>
        <v>MINERAL RESOURCES LTD</v>
      </c>
      <c r="I39" s="27" t="str">
        <f>IFERROR(__xludf.DUMMYFUNCTION("""COMPUTED_VALUE"""),"Materials")</f>
        <v>Materials</v>
      </c>
      <c r="J39" s="27" t="str">
        <f>IFERROR(__xludf.DUMMYFUNCTION("""COMPUTED_VALUE"""),"Australia")</f>
        <v>Australia</v>
      </c>
      <c r="K39" s="27">
        <f>IFERROR(__xludf.DUMMYFUNCTION("""COMPUTED_VALUE"""),0.5698361)</f>
        <v>0.5698361</v>
      </c>
      <c r="L39" s="22">
        <f t="shared" si="5"/>
        <v>5.698361</v>
      </c>
    </row>
    <row r="40">
      <c r="A40" s="27" t="str">
        <f>IFERROR(__xludf.DUMMYFUNCTION("""COMPUTED_VALUE"""),"ABBOTT LABORATORIES")</f>
        <v>ABBOTT LABORATORIES</v>
      </c>
      <c r="B40" s="27" t="str">
        <f>IFERROR(__xludf.DUMMYFUNCTION("""COMPUTED_VALUE"""),"Health Care")</f>
        <v>Health Care</v>
      </c>
      <c r="C40" s="27" t="str">
        <f>IFERROR(__xludf.DUMMYFUNCTION("""COMPUTED_VALUE"""),"United States")</f>
        <v>United States</v>
      </c>
      <c r="D40" s="27">
        <f>IFERROR(__xludf.DUMMYFUNCTION("""COMPUTED_VALUE"""),0.47)</f>
        <v>0.47</v>
      </c>
      <c r="E40" s="22">
        <f t="shared" si="2"/>
        <v>4.7</v>
      </c>
      <c r="F40" s="23" t="str">
        <f t="shared" si="3"/>
        <v/>
      </c>
      <c r="G40" s="23" t="str">
        <f t="shared" si="4"/>
        <v/>
      </c>
      <c r="H40" s="27" t="str">
        <f>IFERROR(__xludf.DUMMYFUNCTION("""COMPUTED_VALUE"""),"QANTAS AIRWAYS LTD")</f>
        <v>QANTAS AIRWAYS LTD</v>
      </c>
      <c r="I40" s="27" t="str">
        <f>IFERROR(__xludf.DUMMYFUNCTION("""COMPUTED_VALUE"""),"Industrials")</f>
        <v>Industrials</v>
      </c>
      <c r="J40" s="27" t="str">
        <f>IFERROR(__xludf.DUMMYFUNCTION("""COMPUTED_VALUE"""),"Australia")</f>
        <v>Australia</v>
      </c>
      <c r="K40" s="27">
        <f>IFERROR(__xludf.DUMMYFUNCTION("""COMPUTED_VALUE"""),0.56688354)</f>
        <v>0.56688354</v>
      </c>
      <c r="L40" s="22">
        <f t="shared" si="5"/>
        <v>5.6688354</v>
      </c>
    </row>
    <row r="41">
      <c r="A41" s="27" t="str">
        <f>IFERROR(__xludf.DUMMYFUNCTION("""COMPUTED_VALUE"""),"ORACLE CORP")</f>
        <v>ORACLE CORP</v>
      </c>
      <c r="B41" s="27" t="str">
        <f>IFERROR(__xludf.DUMMYFUNCTION("""COMPUTED_VALUE"""),"Information Technology")</f>
        <v>Information Technology</v>
      </c>
      <c r="C41" s="27" t="str">
        <f>IFERROR(__xludf.DUMMYFUNCTION("""COMPUTED_VALUE"""),"United States")</f>
        <v>United States</v>
      </c>
      <c r="D41" s="27">
        <f>IFERROR(__xludf.DUMMYFUNCTION("""COMPUTED_VALUE"""),0.46)</f>
        <v>0.46</v>
      </c>
      <c r="E41" s="22">
        <f t="shared" si="2"/>
        <v>4.6</v>
      </c>
      <c r="F41" s="23" t="str">
        <f t="shared" si="3"/>
        <v/>
      </c>
      <c r="G41" s="23" t="str">
        <f t="shared" si="4"/>
        <v/>
      </c>
      <c r="H41" s="27" t="str">
        <f>IFERROR(__xludf.DUMMYFUNCTION("""COMPUTED_VALUE"""),"ASX LTD")</f>
        <v>ASX LTD</v>
      </c>
      <c r="I41" s="27" t="str">
        <f>IFERROR(__xludf.DUMMYFUNCTION("""COMPUTED_VALUE"""),"Financials")</f>
        <v>Financials</v>
      </c>
      <c r="J41" s="27" t="str">
        <f>IFERROR(__xludf.DUMMYFUNCTION("""COMPUTED_VALUE"""),"Australia")</f>
        <v>Australia</v>
      </c>
      <c r="K41" s="27">
        <f>IFERROR(__xludf.DUMMYFUNCTION("""COMPUTED_VALUE"""),0.56167827)</f>
        <v>0.56167827</v>
      </c>
      <c r="L41" s="22">
        <f t="shared" si="5"/>
        <v>5.6167827</v>
      </c>
    </row>
    <row r="42">
      <c r="A42" s="27" t="str">
        <f>IFERROR(__xludf.DUMMYFUNCTION("""COMPUTED_VALUE"""),"NETFLIX INC")</f>
        <v>NETFLIX INC</v>
      </c>
      <c r="B42" s="27" t="str">
        <f>IFERROR(__xludf.DUMMYFUNCTION("""COMPUTED_VALUE"""),"Communication")</f>
        <v>Communication</v>
      </c>
      <c r="C42" s="27" t="str">
        <f>IFERROR(__xludf.DUMMYFUNCTION("""COMPUTED_VALUE"""),"United States")</f>
        <v>United States</v>
      </c>
      <c r="D42" s="27">
        <f>IFERROR(__xludf.DUMMYFUNCTION("""COMPUTED_VALUE"""),0.46)</f>
        <v>0.46</v>
      </c>
      <c r="E42" s="22">
        <f t="shared" si="2"/>
        <v>4.6</v>
      </c>
      <c r="F42" s="23" t="str">
        <f t="shared" si="3"/>
        <v/>
      </c>
      <c r="G42" s="23" t="str">
        <f t="shared" si="4"/>
        <v/>
      </c>
      <c r="H42" s="27" t="str">
        <f>IFERROR(__xludf.DUMMYFUNCTION("""COMPUTED_VALUE"""),"APA GROUP")</f>
        <v>APA GROUP</v>
      </c>
      <c r="I42" s="27" t="str">
        <f>IFERROR(__xludf.DUMMYFUNCTION("""COMPUTED_VALUE"""),"Utilities")</f>
        <v>Utilities</v>
      </c>
      <c r="J42" s="27" t="str">
        <f>IFERROR(__xludf.DUMMYFUNCTION("""COMPUTED_VALUE"""),"Australia")</f>
        <v>Australia</v>
      </c>
      <c r="K42" s="27">
        <f>IFERROR(__xludf.DUMMYFUNCTION("""COMPUTED_VALUE"""),0.54236477)</f>
        <v>0.54236477</v>
      </c>
      <c r="L42" s="22">
        <f t="shared" si="5"/>
        <v>5.4236477</v>
      </c>
    </row>
    <row r="43">
      <c r="A43" s="27" t="str">
        <f>IFERROR(__xludf.DUMMYFUNCTION("""COMPUTED_VALUE"""),"ADVANCED MICRO DEVICES INC")</f>
        <v>ADVANCED MICRO DEVICES INC</v>
      </c>
      <c r="B43" s="27" t="str">
        <f>IFERROR(__xludf.DUMMYFUNCTION("""COMPUTED_VALUE"""),"Information Technology")</f>
        <v>Information Technology</v>
      </c>
      <c r="C43" s="27" t="str">
        <f>IFERROR(__xludf.DUMMYFUNCTION("""COMPUTED_VALUE"""),"United States")</f>
        <v>United States</v>
      </c>
      <c r="D43" s="27">
        <f>IFERROR(__xludf.DUMMYFUNCTION("""COMPUTED_VALUE"""),0.46)</f>
        <v>0.46</v>
      </c>
      <c r="E43" s="22">
        <f t="shared" si="2"/>
        <v>4.6</v>
      </c>
      <c r="F43" s="23" t="str">
        <f t="shared" si="3"/>
        <v/>
      </c>
      <c r="G43" s="23" t="str">
        <f t="shared" si="4"/>
        <v/>
      </c>
      <c r="H43" s="27" t="str">
        <f>IFERROR(__xludf.DUMMYFUNCTION("""COMPUTED_VALUE"""),"LOTTERY CORP LTD/THE")</f>
        <v>LOTTERY CORP LTD/THE</v>
      </c>
      <c r="I43" s="27" t="str">
        <f>IFERROR(__xludf.DUMMYFUNCTION("""COMPUTED_VALUE"""),"Consumer Discretionary")</f>
        <v>Consumer Discretionary</v>
      </c>
      <c r="J43" s="27" t="str">
        <f>IFERROR(__xludf.DUMMYFUNCTION("""COMPUTED_VALUE"""),"Australia")</f>
        <v>Australia</v>
      </c>
      <c r="K43" s="27">
        <f>IFERROR(__xludf.DUMMYFUNCTION("""COMPUTED_VALUE"""),0.53701588)</f>
        <v>0.53701588</v>
      </c>
      <c r="L43" s="22">
        <f t="shared" si="5"/>
        <v>5.3701588</v>
      </c>
    </row>
    <row r="44">
      <c r="A44" s="27" t="str">
        <f>IFERROR(__xludf.DUMMYFUNCTION("""COMPUTED_VALUE"""),"DANAHER CORP")</f>
        <v>DANAHER CORP</v>
      </c>
      <c r="B44" s="27" t="str">
        <f>IFERROR(__xludf.DUMMYFUNCTION("""COMPUTED_VALUE"""),"Health Care")</f>
        <v>Health Care</v>
      </c>
      <c r="C44" s="27" t="str">
        <f>IFERROR(__xludf.DUMMYFUNCTION("""COMPUTED_VALUE"""),"United States")</f>
        <v>United States</v>
      </c>
      <c r="D44" s="27">
        <f>IFERROR(__xludf.DUMMYFUNCTION("""COMPUTED_VALUE"""),0.45)</f>
        <v>0.45</v>
      </c>
      <c r="E44" s="22">
        <f t="shared" si="2"/>
        <v>4.5</v>
      </c>
      <c r="F44" s="23" t="str">
        <f t="shared" si="3"/>
        <v/>
      </c>
      <c r="G44" s="23" t="str">
        <f t="shared" si="4"/>
        <v/>
      </c>
      <c r="H44" s="27" t="str">
        <f>IFERROR(__xludf.DUMMYFUNCTION("""COMPUTED_VALUE"""),"RAMSAY HEALTH CARE LTD")</f>
        <v>RAMSAY HEALTH CARE LTD</v>
      </c>
      <c r="I44" s="27" t="str">
        <f>IFERROR(__xludf.DUMMYFUNCTION("""COMPUTED_VALUE"""),"Healthcare")</f>
        <v>Healthcare</v>
      </c>
      <c r="J44" s="27" t="str">
        <f>IFERROR(__xludf.DUMMYFUNCTION("""COMPUTED_VALUE"""),"Australia")</f>
        <v>Australia</v>
      </c>
      <c r="K44" s="27">
        <f>IFERROR(__xludf.DUMMYFUNCTION("""COMPUTED_VALUE"""),0.49233536)</f>
        <v>0.49233536</v>
      </c>
      <c r="L44" s="22">
        <f t="shared" si="5"/>
        <v>4.9233536</v>
      </c>
    </row>
    <row r="45">
      <c r="A45" s="27" t="str">
        <f>IFERROR(__xludf.DUMMYFUNCTION("""COMPUTED_VALUE"""),"WELLS FARGO")</f>
        <v>WELLS FARGO</v>
      </c>
      <c r="B45" s="27" t="str">
        <f>IFERROR(__xludf.DUMMYFUNCTION("""COMPUTED_VALUE"""),"Financials")</f>
        <v>Financials</v>
      </c>
      <c r="C45" s="27" t="str">
        <f>IFERROR(__xludf.DUMMYFUNCTION("""COMPUTED_VALUE"""),"United States")</f>
        <v>United States</v>
      </c>
      <c r="D45" s="27">
        <f>IFERROR(__xludf.DUMMYFUNCTION("""COMPUTED_VALUE"""),0.41)</f>
        <v>0.41</v>
      </c>
      <c r="E45" s="22">
        <f t="shared" si="2"/>
        <v>4.1</v>
      </c>
      <c r="F45" s="23" t="str">
        <f t="shared" si="3"/>
        <v/>
      </c>
      <c r="G45" s="23" t="str">
        <f t="shared" si="4"/>
        <v/>
      </c>
      <c r="H45" s="27" t="str">
        <f>IFERROR(__xludf.DUMMYFUNCTION("""COMPUTED_VALUE"""),"IGO LTD")</f>
        <v>IGO LTD</v>
      </c>
      <c r="I45" s="27" t="str">
        <f>IFERROR(__xludf.DUMMYFUNCTION("""COMPUTED_VALUE"""),"Materials")</f>
        <v>Materials</v>
      </c>
      <c r="J45" s="27" t="str">
        <f>IFERROR(__xludf.DUMMYFUNCTION("""COMPUTED_VALUE"""),"Australia")</f>
        <v>Australia</v>
      </c>
      <c r="K45" s="27">
        <f>IFERROR(__xludf.DUMMYFUNCTION("""COMPUTED_VALUE"""),0.47505752)</f>
        <v>0.47505752</v>
      </c>
      <c r="L45" s="22">
        <f t="shared" si="5"/>
        <v>4.7505752</v>
      </c>
    </row>
    <row r="46">
      <c r="A46" s="27" t="str">
        <f>IFERROR(__xludf.DUMMYFUNCTION("""COMPUTED_VALUE"""),"INTEL CORPORATION CORP")</f>
        <v>INTEL CORPORATION CORP</v>
      </c>
      <c r="B46" s="27" t="str">
        <f>IFERROR(__xludf.DUMMYFUNCTION("""COMPUTED_VALUE"""),"Information Technology")</f>
        <v>Information Technology</v>
      </c>
      <c r="C46" s="27" t="str">
        <f>IFERROR(__xludf.DUMMYFUNCTION("""COMPUTED_VALUE"""),"United States")</f>
        <v>United States</v>
      </c>
      <c r="D46" s="27">
        <f>IFERROR(__xludf.DUMMYFUNCTION("""COMPUTED_VALUE"""),0.41)</f>
        <v>0.41</v>
      </c>
      <c r="E46" s="22">
        <f t="shared" si="2"/>
        <v>4.1</v>
      </c>
      <c r="F46" s="23" t="str">
        <f t="shared" si="3"/>
        <v/>
      </c>
      <c r="G46" s="23" t="str">
        <f t="shared" si="4"/>
        <v/>
      </c>
      <c r="H46" s="27" t="str">
        <f>IFERROR(__xludf.DUMMYFUNCTION("""COMPUTED_VALUE"""),"STOCKLAND")</f>
        <v>STOCKLAND</v>
      </c>
      <c r="I46" s="27" t="str">
        <f>IFERROR(__xludf.DUMMYFUNCTION("""COMPUTED_VALUE"""),"Real Estate")</f>
        <v>Real Estate</v>
      </c>
      <c r="J46" s="27" t="str">
        <f>IFERROR(__xludf.DUMMYFUNCTION("""COMPUTED_VALUE"""),"Australia")</f>
        <v>Australia</v>
      </c>
      <c r="K46" s="27">
        <f>IFERROR(__xludf.DUMMYFUNCTION("""COMPUTED_VALUE"""),0.46610731)</f>
        <v>0.46610731</v>
      </c>
      <c r="L46" s="22">
        <f t="shared" si="5"/>
        <v>4.6610731</v>
      </c>
    </row>
    <row r="47">
      <c r="A47" s="27" t="str">
        <f>IFERROR(__xludf.DUMMYFUNCTION("""COMPUTED_VALUE"""),"CONOCOPHILLIPS")</f>
        <v>CONOCOPHILLIPS</v>
      </c>
      <c r="B47" s="27" t="str">
        <f>IFERROR(__xludf.DUMMYFUNCTION("""COMPUTED_VALUE"""),"Energy")</f>
        <v>Energy</v>
      </c>
      <c r="C47" s="27" t="str">
        <f>IFERROR(__xludf.DUMMYFUNCTION("""COMPUTED_VALUE"""),"United States")</f>
        <v>United States</v>
      </c>
      <c r="D47" s="27">
        <f>IFERROR(__xludf.DUMMYFUNCTION("""COMPUTED_VALUE"""),0.41)</f>
        <v>0.41</v>
      </c>
      <c r="E47" s="22">
        <f t="shared" si="2"/>
        <v>4.1</v>
      </c>
      <c r="F47" s="23" t="str">
        <f t="shared" si="3"/>
        <v/>
      </c>
      <c r="G47" s="23" t="str">
        <f t="shared" si="4"/>
        <v/>
      </c>
      <c r="H47" s="27" t="str">
        <f>IFERROR(__xludf.DUMMYFUNCTION("""COMPUTED_VALUE"""),"MEDIBANK PVT LTD")</f>
        <v>MEDIBANK PVT LTD</v>
      </c>
      <c r="I47" s="27" t="str">
        <f>IFERROR(__xludf.DUMMYFUNCTION("""COMPUTED_VALUE"""),"Financials")</f>
        <v>Financials</v>
      </c>
      <c r="J47" s="27" t="str">
        <f>IFERROR(__xludf.DUMMYFUNCTION("""COMPUTED_VALUE"""),"Australia")</f>
        <v>Australia</v>
      </c>
      <c r="K47" s="27">
        <f>IFERROR(__xludf.DUMMYFUNCTION("""COMPUTED_VALUE"""),0.46406203)</f>
        <v>0.46406203</v>
      </c>
      <c r="L47" s="22">
        <f t="shared" si="5"/>
        <v>4.6406203</v>
      </c>
    </row>
    <row r="48">
      <c r="A48" s="27" t="str">
        <f>IFERROR(__xludf.DUMMYFUNCTION("""COMPUTED_VALUE"""),"WALT DISNEY")</f>
        <v>WALT DISNEY</v>
      </c>
      <c r="B48" s="27" t="str">
        <f>IFERROR(__xludf.DUMMYFUNCTION("""COMPUTED_VALUE"""),"Communication")</f>
        <v>Communication</v>
      </c>
      <c r="C48" s="27" t="str">
        <f>IFERROR(__xludf.DUMMYFUNCTION("""COMPUTED_VALUE"""),"United States")</f>
        <v>United States</v>
      </c>
      <c r="D48" s="27">
        <f>IFERROR(__xludf.DUMMYFUNCTION("""COMPUTED_VALUE"""),0.41)</f>
        <v>0.41</v>
      </c>
      <c r="E48" s="22">
        <f t="shared" si="2"/>
        <v>4.1</v>
      </c>
      <c r="F48" s="23" t="str">
        <f t="shared" si="3"/>
        <v/>
      </c>
      <c r="G48" s="23" t="str">
        <f t="shared" si="4"/>
        <v/>
      </c>
      <c r="H48" s="27" t="str">
        <f>IFERROR(__xludf.DUMMYFUNCTION("""COMPUTED_VALUE"""),"BLUESCOPE STEEL LTD")</f>
        <v>BLUESCOPE STEEL LTD</v>
      </c>
      <c r="I48" s="27" t="str">
        <f>IFERROR(__xludf.DUMMYFUNCTION("""COMPUTED_VALUE"""),"Materials")</f>
        <v>Materials</v>
      </c>
      <c r="J48" s="27" t="str">
        <f>IFERROR(__xludf.DUMMYFUNCTION("""COMPUTED_VALUE"""),"Australia")</f>
        <v>Australia</v>
      </c>
      <c r="K48" s="27">
        <f>IFERROR(__xludf.DUMMYFUNCTION("""COMPUTED_VALUE"""),0.45305604)</f>
        <v>0.45305604</v>
      </c>
      <c r="L48" s="22">
        <f t="shared" si="5"/>
        <v>4.5305604</v>
      </c>
    </row>
    <row r="49">
      <c r="A49" s="27" t="str">
        <f>IFERROR(__xludf.DUMMYFUNCTION("""COMPUTED_VALUE"""),"AMGEN INC")</f>
        <v>AMGEN INC</v>
      </c>
      <c r="B49" s="27" t="str">
        <f>IFERROR(__xludf.DUMMYFUNCTION("""COMPUTED_VALUE"""),"Health Care")</f>
        <v>Health Care</v>
      </c>
      <c r="C49" s="27" t="str">
        <f>IFERROR(__xludf.DUMMYFUNCTION("""COMPUTED_VALUE"""),"United States")</f>
        <v>United States</v>
      </c>
      <c r="D49" s="27">
        <f>IFERROR(__xludf.DUMMYFUNCTION("""COMPUTED_VALUE"""),0.4)</f>
        <v>0.4</v>
      </c>
      <c r="E49" s="22">
        <f t="shared" si="2"/>
        <v>4</v>
      </c>
      <c r="F49" s="23" t="str">
        <f t="shared" si="3"/>
        <v/>
      </c>
      <c r="G49" s="23" t="str">
        <f t="shared" si="4"/>
        <v/>
      </c>
      <c r="H49" s="27" t="str">
        <f>IFERROR(__xludf.DUMMYFUNCTION("""COMPUTED_VALUE"""),"ALLKEM LTD")</f>
        <v>ALLKEM LTD</v>
      </c>
      <c r="I49" s="27" t="str">
        <f>IFERROR(__xludf.DUMMYFUNCTION("""COMPUTED_VALUE"""),"Materials")</f>
        <v>Materials</v>
      </c>
      <c r="J49" s="27" t="str">
        <f>IFERROR(__xludf.DUMMYFUNCTION("""COMPUTED_VALUE"""),"Australia")</f>
        <v>Australia</v>
      </c>
      <c r="K49" s="27">
        <f>IFERROR(__xludf.DUMMYFUNCTION("""COMPUTED_VALUE"""),0.43369608)</f>
        <v>0.43369608</v>
      </c>
      <c r="L49" s="22">
        <f t="shared" si="5"/>
        <v>4.3369608</v>
      </c>
    </row>
    <row r="50">
      <c r="A50" s="27" t="str">
        <f>IFERROR(__xludf.DUMMYFUNCTION("""COMPUTED_VALUE"""),"TEXAS INSTRUMENT INC")</f>
        <v>TEXAS INSTRUMENT INC</v>
      </c>
      <c r="B50" s="27" t="str">
        <f>IFERROR(__xludf.DUMMYFUNCTION("""COMPUTED_VALUE"""),"Information Technology")</f>
        <v>Information Technology</v>
      </c>
      <c r="C50" s="27" t="str">
        <f>IFERROR(__xludf.DUMMYFUNCTION("""COMPUTED_VALUE"""),"United States")</f>
        <v>United States</v>
      </c>
      <c r="D50" s="27">
        <f>IFERROR(__xludf.DUMMYFUNCTION("""COMPUTED_VALUE"""),0.4)</f>
        <v>0.4</v>
      </c>
      <c r="E50" s="22">
        <f t="shared" si="2"/>
        <v>4</v>
      </c>
      <c r="F50" s="23" t="str">
        <f t="shared" si="3"/>
        <v/>
      </c>
      <c r="G50" s="23" t="str">
        <f t="shared" si="4"/>
        <v>overlap</v>
      </c>
      <c r="H50" s="27" t="str">
        <f>IFERROR(__xludf.DUMMYFUNCTION("""COMPUTED_VALUE"""),"AMCOR PLC")</f>
        <v>AMCOR PLC</v>
      </c>
      <c r="I50" s="27" t="str">
        <f>IFERROR(__xludf.DUMMYFUNCTION("""COMPUTED_VALUE"""),"Materials")</f>
        <v>Materials</v>
      </c>
      <c r="J50" s="27" t="str">
        <f>IFERROR(__xludf.DUMMYFUNCTION("""COMPUTED_VALUE"""),"Australia")</f>
        <v>Australia</v>
      </c>
      <c r="K50" s="27">
        <f>IFERROR(__xludf.DUMMYFUNCTION("""COMPUTED_VALUE"""),0.42161888)</f>
        <v>0.42161888</v>
      </c>
      <c r="L50" s="22">
        <f t="shared" si="5"/>
        <v>4.2161888</v>
      </c>
    </row>
    <row r="51">
      <c r="A51" s="27" t="str">
        <f>IFERROR(__xludf.DUMMYFUNCTION("""COMPUTED_VALUE"""),"PHILIP MORRIS INTERNATIONAL INC")</f>
        <v>PHILIP MORRIS INTERNATIONAL INC</v>
      </c>
      <c r="B51" s="27" t="str">
        <f>IFERROR(__xludf.DUMMYFUNCTION("""COMPUTED_VALUE"""),"Consumer Staples")</f>
        <v>Consumer Staples</v>
      </c>
      <c r="C51" s="27" t="str">
        <f>IFERROR(__xludf.DUMMYFUNCTION("""COMPUTED_VALUE"""),"United States")</f>
        <v>United States</v>
      </c>
      <c r="D51" s="27">
        <f>IFERROR(__xludf.DUMMYFUNCTION("""COMPUTED_VALUE"""),0.4)</f>
        <v>0.4</v>
      </c>
      <c r="E51" s="22">
        <f t="shared" si="2"/>
        <v>4</v>
      </c>
      <c r="F51" s="23" t="str">
        <f t="shared" si="3"/>
        <v/>
      </c>
      <c r="G51" s="23" t="str">
        <f t="shared" si="4"/>
        <v/>
      </c>
      <c r="H51" s="27" t="str">
        <f>IFERROR(__xludf.DUMMYFUNCTION("""COMPUTED_VALUE"""),"MIRVAC GROUP")</f>
        <v>MIRVAC GROUP</v>
      </c>
      <c r="I51" s="27" t="str">
        <f>IFERROR(__xludf.DUMMYFUNCTION("""COMPUTED_VALUE"""),"Real Estate")</f>
        <v>Real Estate</v>
      </c>
      <c r="J51" s="27" t="str">
        <f>IFERROR(__xludf.DUMMYFUNCTION("""COMPUTED_VALUE"""),"Australia")</f>
        <v>Australia</v>
      </c>
      <c r="K51" s="27">
        <f>IFERROR(__xludf.DUMMYFUNCTION("""COMPUTED_VALUE"""),0.41653145)</f>
        <v>0.41653145</v>
      </c>
      <c r="L51" s="22">
        <f t="shared" si="5"/>
        <v>4.1653145</v>
      </c>
    </row>
    <row r="52">
      <c r="A52" s="27" t="str">
        <f>IFERROR(__xludf.DUMMYFUNCTION("""COMPUTED_VALUE"""),"INTUIT INC")</f>
        <v>INTUIT INC</v>
      </c>
      <c r="B52" s="27" t="str">
        <f>IFERROR(__xludf.DUMMYFUNCTION("""COMPUTED_VALUE"""),"Information Technology")</f>
        <v>Information Technology</v>
      </c>
      <c r="C52" s="27" t="str">
        <f>IFERROR(__xludf.DUMMYFUNCTION("""COMPUTED_VALUE"""),"United States")</f>
        <v>United States</v>
      </c>
      <c r="D52" s="27">
        <f>IFERROR(__xludf.DUMMYFUNCTION("""COMPUTED_VALUE"""),0.4)</f>
        <v>0.4</v>
      </c>
      <c r="E52" s="22">
        <f t="shared" si="2"/>
        <v>4</v>
      </c>
      <c r="F52" s="23" t="str">
        <f t="shared" si="3"/>
        <v/>
      </c>
      <c r="G52" s="23" t="str">
        <f t="shared" si="4"/>
        <v/>
      </c>
      <c r="H52" s="27" t="str">
        <f>IFERROR(__xludf.DUMMYFUNCTION("""COMPUTED_VALUE"""),"DEXUS")</f>
        <v>DEXUS</v>
      </c>
      <c r="I52" s="27" t="str">
        <f>IFERROR(__xludf.DUMMYFUNCTION("""COMPUTED_VALUE"""),"Real Estate")</f>
        <v>Real Estate</v>
      </c>
      <c r="J52" s="27" t="str">
        <f>IFERROR(__xludf.DUMMYFUNCTION("""COMPUTED_VALUE"""),"Australia")</f>
        <v>Australia</v>
      </c>
      <c r="K52" s="27">
        <f>IFERROR(__xludf.DUMMYFUNCTION("""COMPUTED_VALUE"""),0.40126409)</f>
        <v>0.40126409</v>
      </c>
      <c r="L52" s="22">
        <f t="shared" si="5"/>
        <v>4.0126409</v>
      </c>
    </row>
    <row r="53">
      <c r="A53" s="27" t="str">
        <f>IFERROR(__xludf.DUMMYFUNCTION("""COMPUTED_VALUE"""),"CATERPILLAR INC")</f>
        <v>CATERPILLAR INC</v>
      </c>
      <c r="B53" s="27" t="str">
        <f>IFERROR(__xludf.DUMMYFUNCTION("""COMPUTED_VALUE"""),"Industrials")</f>
        <v>Industrials</v>
      </c>
      <c r="C53" s="27" t="str">
        <f>IFERROR(__xludf.DUMMYFUNCTION("""COMPUTED_VALUE"""),"United States")</f>
        <v>United States</v>
      </c>
      <c r="D53" s="27">
        <f>IFERROR(__xludf.DUMMYFUNCTION("""COMPUTED_VALUE"""),0.39)</f>
        <v>0.39</v>
      </c>
      <c r="E53" s="22">
        <f t="shared" si="2"/>
        <v>3.9</v>
      </c>
      <c r="F53" s="23" t="str">
        <f t="shared" si="3"/>
        <v/>
      </c>
      <c r="G53" s="23" t="str">
        <f t="shared" si="4"/>
        <v/>
      </c>
      <c r="H53" s="27" t="str">
        <f>IFERROR(__xludf.DUMMYFUNCTION("""COMPUTED_VALUE"""),"TREASURY WINE ESTATES LTD")</f>
        <v>TREASURY WINE ESTATES LTD</v>
      </c>
      <c r="I53" s="27" t="str">
        <f>IFERROR(__xludf.DUMMYFUNCTION("""COMPUTED_VALUE"""),"Consumer Staples")</f>
        <v>Consumer Staples</v>
      </c>
      <c r="J53" s="27" t="str">
        <f>IFERROR(__xludf.DUMMYFUNCTION("""COMPUTED_VALUE"""),"Australia")</f>
        <v>Australia</v>
      </c>
      <c r="K53" s="27">
        <f>IFERROR(__xludf.DUMMYFUNCTION("""COMPUTED_VALUE"""),0.38733298)</f>
        <v>0.38733298</v>
      </c>
      <c r="L53" s="22">
        <f t="shared" si="5"/>
        <v>3.8733298</v>
      </c>
    </row>
    <row r="54">
      <c r="A54" s="27" t="str">
        <f>IFERROR(__xludf.DUMMYFUNCTION("""COMPUTED_VALUE"""),"VERIZON COMMUNICATIONS INC")</f>
        <v>VERIZON COMMUNICATIONS INC</v>
      </c>
      <c r="B54" s="27" t="str">
        <f>IFERROR(__xludf.DUMMYFUNCTION("""COMPUTED_VALUE"""),"Communication")</f>
        <v>Communication</v>
      </c>
      <c r="C54" s="27" t="str">
        <f>IFERROR(__xludf.DUMMYFUNCTION("""COMPUTED_VALUE"""),"United States")</f>
        <v>United States</v>
      </c>
      <c r="D54" s="27">
        <f>IFERROR(__xludf.DUMMYFUNCTION("""COMPUTED_VALUE"""),0.38)</f>
        <v>0.38</v>
      </c>
      <c r="E54" s="22">
        <f t="shared" si="2"/>
        <v>3.8</v>
      </c>
      <c r="F54" s="23" t="str">
        <f t="shared" si="3"/>
        <v/>
      </c>
      <c r="G54" s="23" t="str">
        <f t="shared" si="4"/>
        <v/>
      </c>
      <c r="H54" s="27" t="str">
        <f>IFERROR(__xludf.DUMMYFUNCTION("""COMPUTED_VALUE"""),"CARSALES.COM LTD")</f>
        <v>CARSALES.COM LTD</v>
      </c>
      <c r="I54" s="27" t="str">
        <f>IFERROR(__xludf.DUMMYFUNCTION("""COMPUTED_VALUE"""),"Communication Services")</f>
        <v>Communication Services</v>
      </c>
      <c r="J54" s="27" t="str">
        <f>IFERROR(__xludf.DUMMYFUNCTION("""COMPUTED_VALUE"""),"Australia")</f>
        <v>Australia</v>
      </c>
      <c r="K54" s="27">
        <f>IFERROR(__xludf.DUMMYFUNCTION("""COMPUTED_VALUE"""),0.38448388)</f>
        <v>0.38448388</v>
      </c>
      <c r="L54" s="22">
        <f t="shared" si="5"/>
        <v>3.8448388</v>
      </c>
    </row>
    <row r="55">
      <c r="A55" s="27" t="str">
        <f>IFERROR(__xludf.DUMMYFUNCTION("""COMPUTED_VALUE"""),"INTERNATIONAL BUSINESS MACHINES CO")</f>
        <v>INTERNATIONAL BUSINESS MACHINES CO</v>
      </c>
      <c r="B55" s="27" t="str">
        <f>IFERROR(__xludf.DUMMYFUNCTION("""COMPUTED_VALUE"""),"Information Technology")</f>
        <v>Information Technology</v>
      </c>
      <c r="C55" s="27" t="str">
        <f>IFERROR(__xludf.DUMMYFUNCTION("""COMPUTED_VALUE"""),"United States")</f>
        <v>United States</v>
      </c>
      <c r="D55" s="27">
        <f>IFERROR(__xludf.DUMMYFUNCTION("""COMPUTED_VALUE"""),0.36)</f>
        <v>0.36</v>
      </c>
      <c r="E55" s="22">
        <f t="shared" si="2"/>
        <v>3.6</v>
      </c>
      <c r="F55" s="23" t="str">
        <f t="shared" si="3"/>
        <v/>
      </c>
      <c r="G55" s="23" t="str">
        <f t="shared" si="4"/>
        <v/>
      </c>
      <c r="H55" s="27" t="str">
        <f>IFERROR(__xludf.DUMMYFUNCTION("""COMPUTED_VALUE"""),"ENDEAVOUR GROUP LTD/AUSTRALIA")</f>
        <v>ENDEAVOUR GROUP LTD/AUSTRALIA</v>
      </c>
      <c r="I55" s="27" t="str">
        <f>IFERROR(__xludf.DUMMYFUNCTION("""COMPUTED_VALUE"""),"Consumer Staples")</f>
        <v>Consumer Staples</v>
      </c>
      <c r="J55" s="27" t="str">
        <f>IFERROR(__xludf.DUMMYFUNCTION("""COMPUTED_VALUE"""),"Australia")</f>
        <v>Australia</v>
      </c>
      <c r="K55" s="27">
        <f>IFERROR(__xludf.DUMMYFUNCTION("""COMPUTED_VALUE"""),0.3787063)</f>
        <v>0.3787063</v>
      </c>
      <c r="L55" s="22">
        <f t="shared" si="5"/>
        <v>3.787063</v>
      </c>
    </row>
    <row r="56">
      <c r="A56" s="27" t="str">
        <f>IFERROR(__xludf.DUMMYFUNCTION("""COMPUTED_VALUE"""),"UNION PACIFIC CORP")</f>
        <v>UNION PACIFIC CORP</v>
      </c>
      <c r="B56" s="27" t="str">
        <f>IFERROR(__xludf.DUMMYFUNCTION("""COMPUTED_VALUE"""),"Industrials")</f>
        <v>Industrials</v>
      </c>
      <c r="C56" s="27" t="str">
        <f>IFERROR(__xludf.DUMMYFUNCTION("""COMPUTED_VALUE"""),"United States")</f>
        <v>United States</v>
      </c>
      <c r="D56" s="27">
        <f>IFERROR(__xludf.DUMMYFUNCTION("""COMPUTED_VALUE"""),0.34)</f>
        <v>0.34</v>
      </c>
      <c r="E56" s="22">
        <f t="shared" si="2"/>
        <v>3.4</v>
      </c>
      <c r="F56" s="23" t="str">
        <f t="shared" si="3"/>
        <v/>
      </c>
      <c r="G56" s="23" t="str">
        <f t="shared" si="4"/>
        <v/>
      </c>
      <c r="H56" s="27" t="str">
        <f>IFERROR(__xludf.DUMMYFUNCTION("""COMPUTED_VALUE"""),"GPT GROUP/THE")</f>
        <v>GPT GROUP/THE</v>
      </c>
      <c r="I56" s="27" t="str">
        <f>IFERROR(__xludf.DUMMYFUNCTION("""COMPUTED_VALUE"""),"Real Estate")</f>
        <v>Real Estate</v>
      </c>
      <c r="J56" s="27" t="str">
        <f>IFERROR(__xludf.DUMMYFUNCTION("""COMPUTED_VALUE"""),"Australia")</f>
        <v>Australia</v>
      </c>
      <c r="K56" s="27">
        <f>IFERROR(__xludf.DUMMYFUNCTION("""COMPUTED_VALUE"""),0.36974782)</f>
        <v>0.36974782</v>
      </c>
      <c r="L56" s="22">
        <f t="shared" si="5"/>
        <v>3.6974782</v>
      </c>
    </row>
    <row r="57">
      <c r="A57" s="27" t="str">
        <f>IFERROR(__xludf.DUMMYFUNCTION("""COMPUTED_VALUE"""),"HONEYWELL INTERNATIONAL INC")</f>
        <v>HONEYWELL INTERNATIONAL INC</v>
      </c>
      <c r="B57" s="27" t="str">
        <f>IFERROR(__xludf.DUMMYFUNCTION("""COMPUTED_VALUE"""),"Industrials")</f>
        <v>Industrials</v>
      </c>
      <c r="C57" s="27" t="str">
        <f>IFERROR(__xludf.DUMMYFUNCTION("""COMPUTED_VALUE"""),"United States")</f>
        <v>United States</v>
      </c>
      <c r="D57" s="27">
        <f>IFERROR(__xludf.DUMMYFUNCTION("""COMPUTED_VALUE"""),0.34)</f>
        <v>0.34</v>
      </c>
      <c r="E57" s="22">
        <f t="shared" si="2"/>
        <v>3.4</v>
      </c>
      <c r="F57" s="23" t="str">
        <f t="shared" si="3"/>
        <v/>
      </c>
      <c r="G57" s="23" t="str">
        <f t="shared" si="4"/>
        <v/>
      </c>
      <c r="H57" s="27" t="str">
        <f>IFERROR(__xludf.DUMMYFUNCTION("""COMPUTED_VALUE"""),"WASHINGTON H SOUL PATTINSON &amp;")</f>
        <v>WASHINGTON H SOUL PATTINSON &amp;</v>
      </c>
      <c r="I57" s="27" t="str">
        <f>IFERROR(__xludf.DUMMYFUNCTION("""COMPUTED_VALUE"""),"Energy")</f>
        <v>Energy</v>
      </c>
      <c r="J57" s="27" t="str">
        <f>IFERROR(__xludf.DUMMYFUNCTION("""COMPUTED_VALUE"""),"Australia")</f>
        <v>Australia</v>
      </c>
      <c r="K57" s="27">
        <f>IFERROR(__xludf.DUMMYFUNCTION("""COMPUTED_VALUE"""),0.35039282)</f>
        <v>0.35039282</v>
      </c>
      <c r="L57" s="22">
        <f t="shared" si="5"/>
        <v>3.5039282</v>
      </c>
    </row>
    <row r="58">
      <c r="A58" s="27" t="str">
        <f>IFERROR(__xludf.DUMMYFUNCTION("""COMPUTED_VALUE"""),"QUALCOMM INC")</f>
        <v>QUALCOMM INC</v>
      </c>
      <c r="B58" s="27" t="str">
        <f>IFERROR(__xludf.DUMMYFUNCTION("""COMPUTED_VALUE"""),"Information Technology")</f>
        <v>Information Technology</v>
      </c>
      <c r="C58" s="27" t="str">
        <f>IFERROR(__xludf.DUMMYFUNCTION("""COMPUTED_VALUE"""),"United States")</f>
        <v>United States</v>
      </c>
      <c r="D58" s="27">
        <f>IFERROR(__xludf.DUMMYFUNCTION("""COMPUTED_VALUE"""),0.34)</f>
        <v>0.34</v>
      </c>
      <c r="E58" s="22">
        <f t="shared" si="2"/>
        <v>3.4</v>
      </c>
      <c r="F58" s="23" t="str">
        <f t="shared" si="3"/>
        <v/>
      </c>
      <c r="G58" s="23" t="str">
        <f t="shared" si="4"/>
        <v/>
      </c>
      <c r="H58" s="27" t="str">
        <f>IFERROR(__xludf.DUMMYFUNCTION("""COMPUTED_VALUE"""),"AMPOL LTD")</f>
        <v>AMPOL LTD</v>
      </c>
      <c r="I58" s="27" t="str">
        <f>IFERROR(__xludf.DUMMYFUNCTION("""COMPUTED_VALUE"""),"Energy")</f>
        <v>Energy</v>
      </c>
      <c r="J58" s="27" t="str">
        <f>IFERROR(__xludf.DUMMYFUNCTION("""COMPUTED_VALUE"""),"Australia")</f>
        <v>Australia</v>
      </c>
      <c r="K58" s="27">
        <f>IFERROR(__xludf.DUMMYFUNCTION("""COMPUTED_VALUE"""),0.34624003)</f>
        <v>0.34624003</v>
      </c>
      <c r="L58" s="22">
        <f t="shared" si="5"/>
        <v>3.4624003</v>
      </c>
    </row>
    <row r="59">
      <c r="A59" s="27" t="str">
        <f>IFERROR(__xludf.DUMMYFUNCTION("""COMPUTED_VALUE"""),"GENERAL ELECTRIC")</f>
        <v>GENERAL ELECTRIC</v>
      </c>
      <c r="B59" s="27" t="str">
        <f>IFERROR(__xludf.DUMMYFUNCTION("""COMPUTED_VALUE"""),"Industrials")</f>
        <v>Industrials</v>
      </c>
      <c r="C59" s="27" t="str">
        <f>IFERROR(__xludf.DUMMYFUNCTION("""COMPUTED_VALUE"""),"United States")</f>
        <v>United States</v>
      </c>
      <c r="D59" s="27">
        <f>IFERROR(__xludf.DUMMYFUNCTION("""COMPUTED_VALUE"""),0.34)</f>
        <v>0.34</v>
      </c>
      <c r="E59" s="22">
        <f t="shared" si="2"/>
        <v>3.4</v>
      </c>
      <c r="F59" s="23" t="str">
        <f t="shared" si="3"/>
        <v/>
      </c>
      <c r="G59" s="23" t="str">
        <f t="shared" si="4"/>
        <v/>
      </c>
      <c r="H59" s="27" t="str">
        <f>IFERROR(__xludf.DUMMYFUNCTION("""COMPUTED_VALUE"""),"ATLAS ARTERIA LTD")</f>
        <v>ATLAS ARTERIA LTD</v>
      </c>
      <c r="I59" s="27" t="str">
        <f>IFERROR(__xludf.DUMMYFUNCTION("""COMPUTED_VALUE"""),"Industrials")</f>
        <v>Industrials</v>
      </c>
      <c r="J59" s="27" t="str">
        <f>IFERROR(__xludf.DUMMYFUNCTION("""COMPUTED_VALUE"""),"Australia")</f>
        <v>Australia</v>
      </c>
      <c r="K59" s="27">
        <f>IFERROR(__xludf.DUMMYFUNCTION("""COMPUTED_VALUE"""),0.33552497)</f>
        <v>0.33552497</v>
      </c>
      <c r="L59" s="22">
        <f t="shared" si="5"/>
        <v>3.3552497</v>
      </c>
    </row>
    <row r="60">
      <c r="A60" s="27" t="str">
        <f>IFERROR(__xludf.DUMMYFUNCTION("""COMPUTED_VALUE"""),"LOWES COMPANIES INC")</f>
        <v>LOWES COMPANIES INC</v>
      </c>
      <c r="B60" s="27" t="str">
        <f>IFERROR(__xludf.DUMMYFUNCTION("""COMPUTED_VALUE"""),"Consumer Discretionary")</f>
        <v>Consumer Discretionary</v>
      </c>
      <c r="C60" s="27" t="str">
        <f>IFERROR(__xludf.DUMMYFUNCTION("""COMPUTED_VALUE"""),"United States")</f>
        <v>United States</v>
      </c>
      <c r="D60" s="27">
        <f>IFERROR(__xludf.DUMMYFUNCTION("""COMPUTED_VALUE"""),0.34)</f>
        <v>0.34</v>
      </c>
      <c r="E60" s="22">
        <f t="shared" si="2"/>
        <v>3.4</v>
      </c>
      <c r="F60" s="23" t="str">
        <f t="shared" si="3"/>
        <v/>
      </c>
      <c r="G60" s="23" t="str">
        <f t="shared" si="4"/>
        <v/>
      </c>
      <c r="H60" s="27" t="str">
        <f>IFERROR(__xludf.DUMMYFUNCTION("""COMPUTED_VALUE"""),"SEEK LTD")</f>
        <v>SEEK LTD</v>
      </c>
      <c r="I60" s="27" t="str">
        <f>IFERROR(__xludf.DUMMYFUNCTION("""COMPUTED_VALUE"""),"Communication Services")</f>
        <v>Communication Services</v>
      </c>
      <c r="J60" s="27" t="str">
        <f>IFERROR(__xludf.DUMMYFUNCTION("""COMPUTED_VALUE"""),"Australia")</f>
        <v>Australia</v>
      </c>
      <c r="K60" s="27">
        <f>IFERROR(__xludf.DUMMYFUNCTION("""COMPUTED_VALUE"""),0.33460039)</f>
        <v>0.33460039</v>
      </c>
      <c r="L60" s="22">
        <f t="shared" si="5"/>
        <v>3.3460039</v>
      </c>
    </row>
    <row r="61">
      <c r="A61" s="27" t="str">
        <f>IFERROR(__xludf.DUMMYFUNCTION("""COMPUTED_VALUE"""),"BRISTOL MYERS SQUIBB")</f>
        <v>BRISTOL MYERS SQUIBB</v>
      </c>
      <c r="B61" s="27" t="str">
        <f>IFERROR(__xludf.DUMMYFUNCTION("""COMPUTED_VALUE"""),"Health Care")</f>
        <v>Health Care</v>
      </c>
      <c r="C61" s="27" t="str">
        <f>IFERROR(__xludf.DUMMYFUNCTION("""COMPUTED_VALUE"""),"United States")</f>
        <v>United States</v>
      </c>
      <c r="D61" s="27">
        <f>IFERROR(__xludf.DUMMYFUNCTION("""COMPUTED_VALUE"""),0.34)</f>
        <v>0.34</v>
      </c>
      <c r="E61" s="22">
        <f t="shared" si="2"/>
        <v>3.4</v>
      </c>
      <c r="F61" s="23" t="str">
        <f t="shared" si="3"/>
        <v/>
      </c>
      <c r="G61" s="23" t="str">
        <f t="shared" si="4"/>
        <v/>
      </c>
      <c r="H61" s="27" t="str">
        <f>IFERROR(__xludf.DUMMYFUNCTION("""COMPUTED_VALUE"""),"ORICA LTD")</f>
        <v>ORICA LTD</v>
      </c>
      <c r="I61" s="27" t="str">
        <f>IFERROR(__xludf.DUMMYFUNCTION("""COMPUTED_VALUE"""),"Materials")</f>
        <v>Materials</v>
      </c>
      <c r="J61" s="27" t="str">
        <f>IFERROR(__xludf.DUMMYFUNCTION("""COMPUTED_VALUE"""),"Australia")</f>
        <v>Australia</v>
      </c>
      <c r="K61" s="27">
        <f>IFERROR(__xludf.DUMMYFUNCTION("""COMPUTED_VALUE"""),0.32653267)</f>
        <v>0.32653267</v>
      </c>
      <c r="L61" s="22">
        <f t="shared" si="5"/>
        <v>3.2653267</v>
      </c>
    </row>
    <row r="62">
      <c r="A62" s="27" t="str">
        <f>IFERROR(__xludf.DUMMYFUNCTION("""COMPUTED_VALUE"""),"S&amp;P GLOBAL INC")</f>
        <v>S&amp;P GLOBAL INC</v>
      </c>
      <c r="B62" s="27" t="str">
        <f>IFERROR(__xludf.DUMMYFUNCTION("""COMPUTED_VALUE"""),"Financials")</f>
        <v>Financials</v>
      </c>
      <c r="C62" s="27" t="str">
        <f>IFERROR(__xludf.DUMMYFUNCTION("""COMPUTED_VALUE"""),"United States")</f>
        <v>United States</v>
      </c>
      <c r="D62" s="27">
        <f>IFERROR(__xludf.DUMMYFUNCTION("""COMPUTED_VALUE"""),0.33)</f>
        <v>0.33</v>
      </c>
      <c r="E62" s="22">
        <f t="shared" si="2"/>
        <v>3.3</v>
      </c>
      <c r="F62" s="23" t="str">
        <f t="shared" si="3"/>
        <v/>
      </c>
      <c r="G62" s="23" t="str">
        <f t="shared" si="4"/>
        <v/>
      </c>
      <c r="H62" s="27" t="str">
        <f>IFERROR(__xludf.DUMMYFUNCTION("""COMPUTED_VALUE"""),"REA GROUP LTD")</f>
        <v>REA GROUP LTD</v>
      </c>
      <c r="I62" s="27" t="str">
        <f>IFERROR(__xludf.DUMMYFUNCTION("""COMPUTED_VALUE"""),"Communication Services")</f>
        <v>Communication Services</v>
      </c>
      <c r="J62" s="27" t="str">
        <f>IFERROR(__xludf.DUMMYFUNCTION("""COMPUTED_VALUE"""),"Australia")</f>
        <v>Australia</v>
      </c>
      <c r="K62" s="27">
        <f>IFERROR(__xludf.DUMMYFUNCTION("""COMPUTED_VALUE"""),0.32556373)</f>
        <v>0.32556373</v>
      </c>
      <c r="L62" s="22">
        <f t="shared" si="5"/>
        <v>3.2556373</v>
      </c>
    </row>
    <row r="63">
      <c r="A63" s="27" t="str">
        <f>IFERROR(__xludf.DUMMYFUNCTION("""COMPUTED_VALUE"""),"APPLIED MATERIAL INC")</f>
        <v>APPLIED MATERIAL INC</v>
      </c>
      <c r="B63" s="27" t="str">
        <f>IFERROR(__xludf.DUMMYFUNCTION("""COMPUTED_VALUE"""),"Information Technology")</f>
        <v>Information Technology</v>
      </c>
      <c r="C63" s="27" t="str">
        <f>IFERROR(__xludf.DUMMYFUNCTION("""COMPUTED_VALUE"""),"United States")</f>
        <v>United States</v>
      </c>
      <c r="D63" s="27">
        <f>IFERROR(__xludf.DUMMYFUNCTION("""COMPUTED_VALUE"""),0.32)</f>
        <v>0.32</v>
      </c>
      <c r="E63" s="22">
        <f t="shared" si="2"/>
        <v>3.2</v>
      </c>
      <c r="F63" s="23" t="str">
        <f t="shared" si="3"/>
        <v/>
      </c>
      <c r="G63" s="23" t="str">
        <f t="shared" si="4"/>
        <v/>
      </c>
      <c r="H63" s="27" t="str">
        <f>IFERROR(__xludf.DUMMYFUNCTION("""COMPUTED_VALUE"""),"LYNAS RARE EARTHS LTD")</f>
        <v>LYNAS RARE EARTHS LTD</v>
      </c>
      <c r="I63" s="27" t="str">
        <f>IFERROR(__xludf.DUMMYFUNCTION("""COMPUTED_VALUE"""),"Materials")</f>
        <v>Materials</v>
      </c>
      <c r="J63" s="27" t="str">
        <f>IFERROR(__xludf.DUMMYFUNCTION("""COMPUTED_VALUE"""),"Australia")</f>
        <v>Australia</v>
      </c>
      <c r="K63" s="27">
        <f>IFERROR(__xludf.DUMMYFUNCTION("""COMPUTED_VALUE"""),0.3220523)</f>
        <v>0.3220523</v>
      </c>
      <c r="L63" s="22">
        <f t="shared" si="5"/>
        <v>3.220523</v>
      </c>
    </row>
    <row r="64">
      <c r="A64" s="27" t="str">
        <f>IFERROR(__xludf.DUMMYFUNCTION("""COMPUTED_VALUE"""),"NEXTERA ENERGY INC")</f>
        <v>NEXTERA ENERGY INC</v>
      </c>
      <c r="B64" s="27" t="str">
        <f>IFERROR(__xludf.DUMMYFUNCTION("""COMPUTED_VALUE"""),"Utilities")</f>
        <v>Utilities</v>
      </c>
      <c r="C64" s="27" t="str">
        <f>IFERROR(__xludf.DUMMYFUNCTION("""COMPUTED_VALUE"""),"United States")</f>
        <v>United States</v>
      </c>
      <c r="D64" s="27">
        <f>IFERROR(__xludf.DUMMYFUNCTION("""COMPUTED_VALUE"""),0.32)</f>
        <v>0.32</v>
      </c>
      <c r="E64" s="22">
        <f t="shared" si="2"/>
        <v>3.2</v>
      </c>
      <c r="F64" s="23" t="str">
        <f t="shared" si="3"/>
        <v/>
      </c>
      <c r="G64" s="23" t="str">
        <f t="shared" si="4"/>
        <v/>
      </c>
      <c r="H64" s="27" t="str">
        <f>IFERROR(__xludf.DUMMYFUNCTION("""COMPUTED_VALUE"""),"VICINITY LTD")</f>
        <v>VICINITY LTD</v>
      </c>
      <c r="I64" s="27" t="str">
        <f>IFERROR(__xludf.DUMMYFUNCTION("""COMPUTED_VALUE"""),"Real Estate")</f>
        <v>Real Estate</v>
      </c>
      <c r="J64" s="27" t="str">
        <f>IFERROR(__xludf.DUMMYFUNCTION("""COMPUTED_VALUE"""),"Australia")</f>
        <v>Australia</v>
      </c>
      <c r="K64" s="27">
        <f>IFERROR(__xludf.DUMMYFUNCTION("""COMPUTED_VALUE"""),0.31791115)</f>
        <v>0.31791115</v>
      </c>
      <c r="L64" s="22">
        <f t="shared" si="5"/>
        <v>3.1791115</v>
      </c>
    </row>
    <row r="65">
      <c r="A65" s="27" t="str">
        <f>IFERROR(__xludf.DUMMYFUNCTION("""COMPUTED_VALUE"""),"SERVICENOW INC")</f>
        <v>SERVICENOW INC</v>
      </c>
      <c r="B65" s="27" t="str">
        <f>IFERROR(__xludf.DUMMYFUNCTION("""COMPUTED_VALUE"""),"Information Technology")</f>
        <v>Information Technology</v>
      </c>
      <c r="C65" s="27" t="str">
        <f>IFERROR(__xludf.DUMMYFUNCTION("""COMPUTED_VALUE"""),"United States")</f>
        <v>United States</v>
      </c>
      <c r="D65" s="27">
        <f>IFERROR(__xludf.DUMMYFUNCTION("""COMPUTED_VALUE"""),0.31)</f>
        <v>0.31</v>
      </c>
      <c r="E65" s="22">
        <f t="shared" si="2"/>
        <v>3.1</v>
      </c>
      <c r="F65" s="23" t="str">
        <f t="shared" si="3"/>
        <v/>
      </c>
      <c r="G65" s="23" t="str">
        <f t="shared" si="4"/>
        <v/>
      </c>
      <c r="H65" s="27" t="str">
        <f>IFERROR(__xludf.DUMMYFUNCTION("""COMPUTED_VALUE"""),"AURIZON HOLDINGS LTD")</f>
        <v>AURIZON HOLDINGS LTD</v>
      </c>
      <c r="I65" s="27" t="str">
        <f>IFERROR(__xludf.DUMMYFUNCTION("""COMPUTED_VALUE"""),"Industrials")</f>
        <v>Industrials</v>
      </c>
      <c r="J65" s="27" t="str">
        <f>IFERROR(__xludf.DUMMYFUNCTION("""COMPUTED_VALUE"""),"Australia")</f>
        <v>Australia</v>
      </c>
      <c r="K65" s="27">
        <f>IFERROR(__xludf.DUMMYFUNCTION("""COMPUTED_VALUE"""),0.30891501)</f>
        <v>0.30891501</v>
      </c>
      <c r="L65" s="22">
        <f t="shared" si="5"/>
        <v>3.0891501</v>
      </c>
    </row>
    <row r="66">
      <c r="A66" s="27" t="str">
        <f>IFERROR(__xludf.DUMMYFUNCTION("""COMPUTED_VALUE"""),"UNITED PARCEL SERVICE INC CLASS B")</f>
        <v>UNITED PARCEL SERVICE INC CLASS B</v>
      </c>
      <c r="B66" s="27" t="str">
        <f>IFERROR(__xludf.DUMMYFUNCTION("""COMPUTED_VALUE"""),"Industrials")</f>
        <v>Industrials</v>
      </c>
      <c r="C66" s="27" t="str">
        <f>IFERROR(__xludf.DUMMYFUNCTION("""COMPUTED_VALUE"""),"United States")</f>
        <v>United States</v>
      </c>
      <c r="D66" s="27">
        <f>IFERROR(__xludf.DUMMYFUNCTION("""COMPUTED_VALUE"""),0.31)</f>
        <v>0.31</v>
      </c>
      <c r="E66" s="22">
        <f t="shared" si="2"/>
        <v>3.1</v>
      </c>
      <c r="F66" s="23" t="str">
        <f t="shared" si="3"/>
        <v/>
      </c>
      <c r="G66" s="23" t="str">
        <f t="shared" si="4"/>
        <v/>
      </c>
      <c r="H66" s="27" t="str">
        <f>IFERROR(__xludf.DUMMYFUNCTION("""COMPUTED_VALUE"""),"NEXTDC LTD")</f>
        <v>NEXTDC LTD</v>
      </c>
      <c r="I66" s="27" t="str">
        <f>IFERROR(__xludf.DUMMYFUNCTION("""COMPUTED_VALUE"""),"Information Technology")</f>
        <v>Information Technology</v>
      </c>
      <c r="J66" s="27" t="str">
        <f>IFERROR(__xludf.DUMMYFUNCTION("""COMPUTED_VALUE"""),"Australia")</f>
        <v>Australia</v>
      </c>
      <c r="K66" s="27">
        <f>IFERROR(__xludf.DUMMYFUNCTION("""COMPUTED_VALUE"""),0.30075756)</f>
        <v>0.30075756</v>
      </c>
      <c r="L66" s="22">
        <f t="shared" si="5"/>
        <v>3.0075756</v>
      </c>
    </row>
    <row r="67">
      <c r="A67" s="27" t="str">
        <f>IFERROR(__xludf.DUMMYFUNCTION("""COMPUTED_VALUE"""),"BOOKING HOLDINGS INC")</f>
        <v>BOOKING HOLDINGS INC</v>
      </c>
      <c r="B67" s="27" t="str">
        <f>IFERROR(__xludf.DUMMYFUNCTION("""COMPUTED_VALUE"""),"Consumer Discretionary")</f>
        <v>Consumer Discretionary</v>
      </c>
      <c r="C67" s="27" t="str">
        <f>IFERROR(__xludf.DUMMYFUNCTION("""COMPUTED_VALUE"""),"United States")</f>
        <v>United States</v>
      </c>
      <c r="D67" s="27">
        <f>IFERROR(__xludf.DUMMYFUNCTION("""COMPUTED_VALUE"""),0.31)</f>
        <v>0.31</v>
      </c>
      <c r="E67" s="22">
        <f t="shared" si="2"/>
        <v>3.1</v>
      </c>
      <c r="F67" s="23" t="str">
        <f t="shared" si="3"/>
        <v/>
      </c>
      <c r="G67" s="23" t="str">
        <f t="shared" si="4"/>
        <v/>
      </c>
      <c r="H67" s="27" t="str">
        <f>IFERROR(__xludf.DUMMYFUNCTION("""COMPUTED_VALUE"""),"AGL ENERGY LTD")</f>
        <v>AGL ENERGY LTD</v>
      </c>
      <c r="I67" s="27" t="str">
        <f>IFERROR(__xludf.DUMMYFUNCTION("""COMPUTED_VALUE"""),"Utilities")</f>
        <v>Utilities</v>
      </c>
      <c r="J67" s="27" t="str">
        <f>IFERROR(__xludf.DUMMYFUNCTION("""COMPUTED_VALUE"""),"Australia")</f>
        <v>Australia</v>
      </c>
      <c r="K67" s="27">
        <f>IFERROR(__xludf.DUMMYFUNCTION("""COMPUTED_VALUE"""),0.29675838)</f>
        <v>0.29675838</v>
      </c>
      <c r="L67" s="22">
        <f t="shared" si="5"/>
        <v>2.9675838</v>
      </c>
    </row>
    <row r="68">
      <c r="A68" s="27" t="str">
        <f>IFERROR(__xludf.DUMMYFUNCTION("""COMPUTED_VALUE"""),"NIKE INC CLASS B")</f>
        <v>NIKE INC CLASS B</v>
      </c>
      <c r="B68" s="27" t="str">
        <f>IFERROR(__xludf.DUMMYFUNCTION("""COMPUTED_VALUE"""),"Consumer Discretionary")</f>
        <v>Consumer Discretionary</v>
      </c>
      <c r="C68" s="27" t="str">
        <f>IFERROR(__xludf.DUMMYFUNCTION("""COMPUTED_VALUE"""),"United States")</f>
        <v>United States</v>
      </c>
      <c r="D68" s="27">
        <f>IFERROR(__xludf.DUMMYFUNCTION("""COMPUTED_VALUE"""),0.3)</f>
        <v>0.3</v>
      </c>
      <c r="E68" s="22">
        <f t="shared" si="2"/>
        <v>3</v>
      </c>
      <c r="F68" s="23" t="str">
        <f t="shared" si="3"/>
        <v/>
      </c>
      <c r="G68" s="23" t="str">
        <f t="shared" si="4"/>
        <v/>
      </c>
      <c r="H68" s="27" t="str">
        <f>IFERROR(__xludf.DUMMYFUNCTION("""COMPUTED_VALUE"""),"EVOLUTION MINING LTD")</f>
        <v>EVOLUTION MINING LTD</v>
      </c>
      <c r="I68" s="27" t="str">
        <f>IFERROR(__xludf.DUMMYFUNCTION("""COMPUTED_VALUE"""),"Materials")</f>
        <v>Materials</v>
      </c>
      <c r="J68" s="27" t="str">
        <f>IFERROR(__xludf.DUMMYFUNCTION("""COMPUTED_VALUE"""),"Australia")</f>
        <v>Australia</v>
      </c>
      <c r="K68" s="27">
        <f>IFERROR(__xludf.DUMMYFUNCTION("""COMPUTED_VALUE"""),0.28674822)</f>
        <v>0.28674822</v>
      </c>
      <c r="L68" s="22">
        <f t="shared" si="5"/>
        <v>2.8674822</v>
      </c>
    </row>
    <row r="69">
      <c r="A69" s="27" t="str">
        <f>IFERROR(__xludf.DUMMYFUNCTION("""COMPUTED_VALUE"""),"BOEING")</f>
        <v>BOEING</v>
      </c>
      <c r="B69" s="27" t="str">
        <f>IFERROR(__xludf.DUMMYFUNCTION("""COMPUTED_VALUE"""),"Industrials")</f>
        <v>Industrials</v>
      </c>
      <c r="C69" s="27" t="str">
        <f>IFERROR(__xludf.DUMMYFUNCTION("""COMPUTED_VALUE"""),"United States")</f>
        <v>United States</v>
      </c>
      <c r="D69" s="27">
        <f>IFERROR(__xludf.DUMMYFUNCTION("""COMPUTED_VALUE"""),0.3)</f>
        <v>0.3</v>
      </c>
      <c r="E69" s="22">
        <f t="shared" si="2"/>
        <v>3</v>
      </c>
      <c r="F69" s="23" t="str">
        <f t="shared" si="3"/>
        <v/>
      </c>
      <c r="G69" s="23" t="str">
        <f t="shared" si="4"/>
        <v/>
      </c>
      <c r="H69" s="27" t="str">
        <f>IFERROR(__xludf.DUMMYFUNCTION("""COMPUTED_VALUE"""),"WORLEY LTD")</f>
        <v>WORLEY LTD</v>
      </c>
      <c r="I69" s="27" t="str">
        <f>IFERROR(__xludf.DUMMYFUNCTION("""COMPUTED_VALUE"""),"Industrials")</f>
        <v>Industrials</v>
      </c>
      <c r="J69" s="27" t="str">
        <f>IFERROR(__xludf.DUMMYFUNCTION("""COMPUTED_VALUE"""),"Australia")</f>
        <v>Australia</v>
      </c>
      <c r="K69" s="27">
        <f>IFERROR(__xludf.DUMMYFUNCTION("""COMPUTED_VALUE"""),0.27336141)</f>
        <v>0.27336141</v>
      </c>
      <c r="L69" s="22">
        <f t="shared" si="5"/>
        <v>2.7336141</v>
      </c>
    </row>
    <row r="70">
      <c r="A70" s="27" t="str">
        <f>IFERROR(__xludf.DUMMYFUNCTION("""COMPUTED_VALUE"""),"AT&amp;T INC")</f>
        <v>AT&amp;T INC</v>
      </c>
      <c r="B70" s="27" t="str">
        <f>IFERROR(__xludf.DUMMYFUNCTION("""COMPUTED_VALUE"""),"Communication")</f>
        <v>Communication</v>
      </c>
      <c r="C70" s="27" t="str">
        <f>IFERROR(__xludf.DUMMYFUNCTION("""COMPUTED_VALUE"""),"United States")</f>
        <v>United States</v>
      </c>
      <c r="D70" s="27">
        <f>IFERROR(__xludf.DUMMYFUNCTION("""COMPUTED_VALUE"""),0.3)</f>
        <v>0.3</v>
      </c>
      <c r="E70" s="22">
        <f t="shared" si="2"/>
        <v>3</v>
      </c>
      <c r="F70" s="23" t="str">
        <f t="shared" si="3"/>
        <v/>
      </c>
      <c r="G70" s="23" t="str">
        <f t="shared" si="4"/>
        <v/>
      </c>
      <c r="H70" s="27" t="str">
        <f>IFERROR(__xludf.DUMMYFUNCTION("""COMPUTED_VALUE"""),"WHITEHAVEN COAL LTD")</f>
        <v>WHITEHAVEN COAL LTD</v>
      </c>
      <c r="I70" s="27" t="str">
        <f>IFERROR(__xludf.DUMMYFUNCTION("""COMPUTED_VALUE"""),"Energy")</f>
        <v>Energy</v>
      </c>
      <c r="J70" s="27" t="str">
        <f>IFERROR(__xludf.DUMMYFUNCTION("""COMPUTED_VALUE"""),"Australia")</f>
        <v>Australia</v>
      </c>
      <c r="K70" s="27">
        <f>IFERROR(__xludf.DUMMYFUNCTION("""COMPUTED_VALUE"""),0.27214907)</f>
        <v>0.27214907</v>
      </c>
      <c r="L70" s="22">
        <f t="shared" si="5"/>
        <v>2.7214907</v>
      </c>
    </row>
    <row r="71">
      <c r="A71" s="27" t="str">
        <f>IFERROR(__xludf.DUMMYFUNCTION("""COMPUTED_VALUE"""),"GOLDMAN SACHS GROUP INC")</f>
        <v>GOLDMAN SACHS GROUP INC</v>
      </c>
      <c r="B71" s="27" t="str">
        <f>IFERROR(__xludf.DUMMYFUNCTION("""COMPUTED_VALUE"""),"Financials")</f>
        <v>Financials</v>
      </c>
      <c r="C71" s="27" t="str">
        <f>IFERROR(__xludf.DUMMYFUNCTION("""COMPUTED_VALUE"""),"United States")</f>
        <v>United States</v>
      </c>
      <c r="D71" s="27">
        <f>IFERROR(__xludf.DUMMYFUNCTION("""COMPUTED_VALUE"""),0.3)</f>
        <v>0.3</v>
      </c>
      <c r="E71" s="22">
        <f t="shared" si="2"/>
        <v>3</v>
      </c>
      <c r="F71" s="23" t="str">
        <f t="shared" si="3"/>
        <v/>
      </c>
      <c r="G71" s="23" t="str">
        <f t="shared" si="4"/>
        <v/>
      </c>
      <c r="H71" s="27" t="str">
        <f>IFERROR(__xludf.DUMMYFUNCTION("""COMPUTED_VALUE"""),"CLEANAWAY WASTE MANAGEMENT LTD")</f>
        <v>CLEANAWAY WASTE MANAGEMENT LTD</v>
      </c>
      <c r="I71" s="27" t="str">
        <f>IFERROR(__xludf.DUMMYFUNCTION("""COMPUTED_VALUE"""),"Industrials")</f>
        <v>Industrials</v>
      </c>
      <c r="J71" s="27" t="str">
        <f>IFERROR(__xludf.DUMMYFUNCTION("""COMPUTED_VALUE"""),"Australia")</f>
        <v>Australia</v>
      </c>
      <c r="K71" s="27">
        <f>IFERROR(__xludf.DUMMYFUNCTION("""COMPUTED_VALUE"""),0.27172148)</f>
        <v>0.27172148</v>
      </c>
      <c r="L71" s="22">
        <f t="shared" si="5"/>
        <v>2.7172148</v>
      </c>
    </row>
    <row r="72">
      <c r="A72" s="27" t="str">
        <f>IFERROR(__xludf.DUMMYFUNCTION("""COMPUTED_VALUE"""),"ELEVANCE HEALTH INC")</f>
        <v>ELEVANCE HEALTH INC</v>
      </c>
      <c r="B72" s="27" t="str">
        <f>IFERROR(__xludf.DUMMYFUNCTION("""COMPUTED_VALUE"""),"Health Care")</f>
        <v>Health Care</v>
      </c>
      <c r="C72" s="27" t="str">
        <f>IFERROR(__xludf.DUMMYFUNCTION("""COMPUTED_VALUE"""),"United States")</f>
        <v>United States</v>
      </c>
      <c r="D72" s="27">
        <f>IFERROR(__xludf.DUMMYFUNCTION("""COMPUTED_VALUE"""),0.29)</f>
        <v>0.29</v>
      </c>
      <c r="E72" s="22">
        <f t="shared" si="2"/>
        <v>2.9</v>
      </c>
      <c r="F72" s="23" t="str">
        <f t="shared" si="3"/>
        <v/>
      </c>
      <c r="G72" s="23" t="str">
        <f t="shared" si="4"/>
        <v/>
      </c>
      <c r="H72" s="27" t="str">
        <f>IFERROR(__xludf.DUMMYFUNCTION("""COMPUTED_VALUE"""),"REECE LTD")</f>
        <v>REECE LTD</v>
      </c>
      <c r="I72" s="27" t="str">
        <f>IFERROR(__xludf.DUMMYFUNCTION("""COMPUTED_VALUE"""),"Industrials")</f>
        <v>Industrials</v>
      </c>
      <c r="J72" s="27" t="str">
        <f>IFERROR(__xludf.DUMMYFUNCTION("""COMPUTED_VALUE"""),"Australia")</f>
        <v>Australia</v>
      </c>
      <c r="K72" s="27">
        <f>IFERROR(__xludf.DUMMYFUNCTION("""COMPUTED_VALUE"""),0.26190635)</f>
        <v>0.26190635</v>
      </c>
      <c r="L72" s="22">
        <f t="shared" si="5"/>
        <v>2.6190635</v>
      </c>
    </row>
    <row r="73">
      <c r="A73" s="27" t="str">
        <f>IFERROR(__xludf.DUMMYFUNCTION("""COMPUTED_VALUE"""),"DEERE")</f>
        <v>DEERE</v>
      </c>
      <c r="B73" s="27" t="str">
        <f>IFERROR(__xludf.DUMMYFUNCTION("""COMPUTED_VALUE"""),"Industrials")</f>
        <v>Industrials</v>
      </c>
      <c r="C73" s="27" t="str">
        <f>IFERROR(__xludf.DUMMYFUNCTION("""COMPUTED_VALUE"""),"United States")</f>
        <v>United States</v>
      </c>
      <c r="D73" s="27">
        <f>IFERROR(__xludf.DUMMYFUNCTION("""COMPUTED_VALUE"""),0.29)</f>
        <v>0.29</v>
      </c>
      <c r="E73" s="22">
        <f t="shared" si="2"/>
        <v>2.9</v>
      </c>
      <c r="F73" s="23" t="str">
        <f t="shared" si="3"/>
        <v/>
      </c>
      <c r="G73" s="23" t="str">
        <f t="shared" si="4"/>
        <v/>
      </c>
      <c r="H73" s="27" t="str">
        <f>IFERROR(__xludf.DUMMYFUNCTION("""COMPUTED_VALUE"""),"STEADFAST GROUP LTD")</f>
        <v>STEADFAST GROUP LTD</v>
      </c>
      <c r="I73" s="27" t="str">
        <f>IFERROR(__xludf.DUMMYFUNCTION("""COMPUTED_VALUE"""),"Financials")</f>
        <v>Financials</v>
      </c>
      <c r="J73" s="27" t="str">
        <f>IFERROR(__xludf.DUMMYFUNCTION("""COMPUTED_VALUE"""),"Australia")</f>
        <v>Australia</v>
      </c>
      <c r="K73" s="27">
        <f>IFERROR(__xludf.DUMMYFUNCTION("""COMPUTED_VALUE"""),0.25084353)</f>
        <v>0.25084353</v>
      </c>
      <c r="L73" s="22">
        <f t="shared" si="5"/>
        <v>2.5084353</v>
      </c>
    </row>
    <row r="74">
      <c r="A74" s="27" t="str">
        <f>IFERROR(__xludf.DUMMYFUNCTION("""COMPUTED_VALUE"""),"MORGAN STANLEY")</f>
        <v>MORGAN STANLEY</v>
      </c>
      <c r="B74" s="27" t="str">
        <f>IFERROR(__xludf.DUMMYFUNCTION("""COMPUTED_VALUE"""),"Financials")</f>
        <v>Financials</v>
      </c>
      <c r="C74" s="27" t="str">
        <f>IFERROR(__xludf.DUMMYFUNCTION("""COMPUTED_VALUE"""),"United States")</f>
        <v>United States</v>
      </c>
      <c r="D74" s="27">
        <f>IFERROR(__xludf.DUMMYFUNCTION("""COMPUTED_VALUE"""),0.29)</f>
        <v>0.29</v>
      </c>
      <c r="E74" s="22">
        <f t="shared" si="2"/>
        <v>2.9</v>
      </c>
      <c r="F74" s="23" t="str">
        <f t="shared" si="3"/>
        <v/>
      </c>
      <c r="G74" s="23" t="str">
        <f t="shared" si="4"/>
        <v/>
      </c>
      <c r="H74" s="27" t="str">
        <f>IFERROR(__xludf.DUMMYFUNCTION("""COMPUTED_VALUE"""),"ALS LTD")</f>
        <v>ALS LTD</v>
      </c>
      <c r="I74" s="27" t="str">
        <f>IFERROR(__xludf.DUMMYFUNCTION("""COMPUTED_VALUE"""),"Industrials")</f>
        <v>Industrials</v>
      </c>
      <c r="J74" s="27" t="str">
        <f>IFERROR(__xludf.DUMMYFUNCTION("""COMPUTED_VALUE"""),"Australia")</f>
        <v>Australia</v>
      </c>
      <c r="K74" s="27">
        <f>IFERROR(__xludf.DUMMYFUNCTION("""COMPUTED_VALUE"""),0.24793152)</f>
        <v>0.24793152</v>
      </c>
      <c r="L74" s="22">
        <f t="shared" si="5"/>
        <v>2.4793152</v>
      </c>
    </row>
    <row r="75">
      <c r="A75" s="27" t="str">
        <f>IFERROR(__xludf.DUMMYFUNCTION("""COMPUTED_VALUE"""),"RTX CORP")</f>
        <v>RTX CORP</v>
      </c>
      <c r="B75" s="27" t="str">
        <f>IFERROR(__xludf.DUMMYFUNCTION("""COMPUTED_VALUE"""),"Industrials")</f>
        <v>Industrials</v>
      </c>
      <c r="C75" s="27" t="str">
        <f>IFERROR(__xludf.DUMMYFUNCTION("""COMPUTED_VALUE"""),"United States")</f>
        <v>United States</v>
      </c>
      <c r="D75" s="27">
        <f>IFERROR(__xludf.DUMMYFUNCTION("""COMPUTED_VALUE"""),0.29)</f>
        <v>0.29</v>
      </c>
      <c r="E75" s="22">
        <f t="shared" si="2"/>
        <v>2.9</v>
      </c>
      <c r="F75" s="23" t="str">
        <f t="shared" si="3"/>
        <v/>
      </c>
      <c r="G75" s="23" t="str">
        <f t="shared" si="4"/>
        <v/>
      </c>
      <c r="H75" s="27" t="str">
        <f>IFERROR(__xludf.DUMMYFUNCTION("""COMPUTED_VALUE"""),"INCITEC PIVOT LTD")</f>
        <v>INCITEC PIVOT LTD</v>
      </c>
      <c r="I75" s="27" t="str">
        <f>IFERROR(__xludf.DUMMYFUNCTION("""COMPUTED_VALUE"""),"Materials")</f>
        <v>Materials</v>
      </c>
      <c r="J75" s="27" t="str">
        <f>IFERROR(__xludf.DUMMYFUNCTION("""COMPUTED_VALUE"""),"Australia")</f>
        <v>Australia</v>
      </c>
      <c r="K75" s="27">
        <f>IFERROR(__xludf.DUMMYFUNCTION("""COMPUTED_VALUE"""),0.24726234)</f>
        <v>0.24726234</v>
      </c>
      <c r="L75" s="22">
        <f t="shared" si="5"/>
        <v>2.4726234</v>
      </c>
    </row>
    <row r="76">
      <c r="A76" s="27" t="str">
        <f>IFERROR(__xludf.DUMMYFUNCTION("""COMPUTED_VALUE"""),"MEDTRONIC PLC")</f>
        <v>MEDTRONIC PLC</v>
      </c>
      <c r="B76" s="27" t="str">
        <f>IFERROR(__xludf.DUMMYFUNCTION("""COMPUTED_VALUE"""),"Health Care")</f>
        <v>Health Care</v>
      </c>
      <c r="C76" s="27" t="str">
        <f>IFERROR(__xludf.DUMMYFUNCTION("""COMPUTED_VALUE"""),"United States")</f>
        <v>United States</v>
      </c>
      <c r="D76" s="27">
        <f>IFERROR(__xludf.DUMMYFUNCTION("""COMPUTED_VALUE"""),0.29)</f>
        <v>0.29</v>
      </c>
      <c r="E76" s="22">
        <f t="shared" si="2"/>
        <v>2.9</v>
      </c>
      <c r="F76" s="23" t="str">
        <f t="shared" si="3"/>
        <v/>
      </c>
      <c r="G76" s="23" t="str">
        <f t="shared" si="4"/>
        <v/>
      </c>
      <c r="H76" s="27" t="str">
        <f>IFERROR(__xludf.DUMMYFUNCTION("""COMPUTED_VALUE"""),"LIONTOWN RESOURCES LTD")</f>
        <v>LIONTOWN RESOURCES LTD</v>
      </c>
      <c r="I76" s="27" t="str">
        <f>IFERROR(__xludf.DUMMYFUNCTION("""COMPUTED_VALUE"""),"Materials")</f>
        <v>Materials</v>
      </c>
      <c r="J76" s="27" t="str">
        <f>IFERROR(__xludf.DUMMYFUNCTION("""COMPUTED_VALUE"""),"Australia")</f>
        <v>Australia</v>
      </c>
      <c r="K76" s="27">
        <f>IFERROR(__xludf.DUMMYFUNCTION("""COMPUTED_VALUE"""),0.2404746)</f>
        <v>0.2404746</v>
      </c>
      <c r="L76" s="22">
        <f t="shared" si="5"/>
        <v>2.404746</v>
      </c>
    </row>
    <row r="77">
      <c r="A77" s="27" t="str">
        <f>IFERROR(__xludf.DUMMYFUNCTION("""COMPUTED_VALUE"""),"STARBUCKS CORP")</f>
        <v>STARBUCKS CORP</v>
      </c>
      <c r="B77" s="27" t="str">
        <f>IFERROR(__xludf.DUMMYFUNCTION("""COMPUTED_VALUE"""),"Consumer Discretionary")</f>
        <v>Consumer Discretionary</v>
      </c>
      <c r="C77" s="27" t="str">
        <f>IFERROR(__xludf.DUMMYFUNCTION("""COMPUTED_VALUE"""),"United States")</f>
        <v>United States</v>
      </c>
      <c r="D77" s="27">
        <f>IFERROR(__xludf.DUMMYFUNCTION("""COMPUTED_VALUE"""),0.29)</f>
        <v>0.29</v>
      </c>
      <c r="E77" s="22">
        <f t="shared" si="2"/>
        <v>2.9</v>
      </c>
      <c r="F77" s="23" t="str">
        <f t="shared" si="3"/>
        <v/>
      </c>
      <c r="G77" s="23" t="str">
        <f t="shared" si="4"/>
        <v/>
      </c>
      <c r="H77" s="27" t="str">
        <f>IFERROR(__xludf.DUMMYFUNCTION("""COMPUTED_VALUE"""),"IDP EDUCATION LTD")</f>
        <v>IDP EDUCATION LTD</v>
      </c>
      <c r="I77" s="27" t="str">
        <f>IFERROR(__xludf.DUMMYFUNCTION("""COMPUTED_VALUE"""),"Consumer Discretionary")</f>
        <v>Consumer Discretionary</v>
      </c>
      <c r="J77" s="27" t="str">
        <f>IFERROR(__xludf.DUMMYFUNCTION("""COMPUTED_VALUE"""),"Australia")</f>
        <v>Australia</v>
      </c>
      <c r="K77" s="27">
        <f>IFERROR(__xludf.DUMMYFUNCTION("""COMPUTED_VALUE"""),0.23882521)</f>
        <v>0.23882521</v>
      </c>
      <c r="L77" s="22">
        <f t="shared" si="5"/>
        <v>2.3882521</v>
      </c>
    </row>
    <row r="78">
      <c r="A78" s="27" t="str">
        <f>IFERROR(__xludf.DUMMYFUNCTION("""COMPUTED_VALUE"""),"INTUITIVE SURGICAL INC")</f>
        <v>INTUITIVE SURGICAL INC</v>
      </c>
      <c r="B78" s="27" t="str">
        <f>IFERROR(__xludf.DUMMYFUNCTION("""COMPUTED_VALUE"""),"Health Care")</f>
        <v>Health Care</v>
      </c>
      <c r="C78" s="27" t="str">
        <f>IFERROR(__xludf.DUMMYFUNCTION("""COMPUTED_VALUE"""),"United States")</f>
        <v>United States</v>
      </c>
      <c r="D78" s="27">
        <f>IFERROR(__xludf.DUMMYFUNCTION("""COMPUTED_VALUE"""),0.29)</f>
        <v>0.29</v>
      </c>
      <c r="E78" s="22">
        <f t="shared" si="2"/>
        <v>2.9</v>
      </c>
      <c r="F78" s="23" t="str">
        <f t="shared" si="3"/>
        <v/>
      </c>
      <c r="G78" s="23" t="str">
        <f t="shared" si="4"/>
        <v/>
      </c>
      <c r="H78" s="27" t="str">
        <f>IFERROR(__xludf.DUMMYFUNCTION("""COMPUTED_VALUE"""),"ILUKA RESOURCES LTD")</f>
        <v>ILUKA RESOURCES LTD</v>
      </c>
      <c r="I78" s="27" t="str">
        <f>IFERROR(__xludf.DUMMYFUNCTION("""COMPUTED_VALUE"""),"Materials")</f>
        <v>Materials</v>
      </c>
      <c r="J78" s="27" t="str">
        <f>IFERROR(__xludf.DUMMYFUNCTION("""COMPUTED_VALUE"""),"Australia")</f>
        <v>Australia</v>
      </c>
      <c r="K78" s="27">
        <f>IFERROR(__xludf.DUMMYFUNCTION("""COMPUTED_VALUE"""),0.23741506)</f>
        <v>0.23741506</v>
      </c>
      <c r="L78" s="22">
        <f t="shared" si="5"/>
        <v>2.3741506</v>
      </c>
    </row>
    <row r="79">
      <c r="A79" s="27" t="str">
        <f>IFERROR(__xludf.DUMMYFUNCTION("""COMPUTED_VALUE"""),"PROLOGIS REIT INC")</f>
        <v>PROLOGIS REIT INC</v>
      </c>
      <c r="B79" s="27" t="str">
        <f>IFERROR(__xludf.DUMMYFUNCTION("""COMPUTED_VALUE"""),"Real Estate")</f>
        <v>Real Estate</v>
      </c>
      <c r="C79" s="27" t="str">
        <f>IFERROR(__xludf.DUMMYFUNCTION("""COMPUTED_VALUE"""),"United States")</f>
        <v>United States</v>
      </c>
      <c r="D79" s="27">
        <f>IFERROR(__xludf.DUMMYFUNCTION("""COMPUTED_VALUE"""),0.29)</f>
        <v>0.29</v>
      </c>
      <c r="E79" s="22">
        <f t="shared" si="2"/>
        <v>2.9</v>
      </c>
      <c r="F79" s="23" t="str">
        <f t="shared" si="3"/>
        <v/>
      </c>
      <c r="G79" s="23" t="str">
        <f t="shared" si="4"/>
        <v/>
      </c>
      <c r="H79" s="27" t="str">
        <f>IFERROR(__xludf.DUMMYFUNCTION("""COMPUTED_VALUE"""),"CHARTER HALL GROUP")</f>
        <v>CHARTER HALL GROUP</v>
      </c>
      <c r="I79" s="27" t="str">
        <f>IFERROR(__xludf.DUMMYFUNCTION("""COMPUTED_VALUE"""),"Real Estate")</f>
        <v>Real Estate</v>
      </c>
      <c r="J79" s="27" t="str">
        <f>IFERROR(__xludf.DUMMYFUNCTION("""COMPUTED_VALUE"""),"Australia")</f>
        <v>Australia</v>
      </c>
      <c r="K79" s="27">
        <f>IFERROR(__xludf.DUMMYFUNCTION("""COMPUTED_VALUE"""),0.2369505)</f>
        <v>0.2369505</v>
      </c>
      <c r="L79" s="22">
        <f t="shared" si="5"/>
        <v>2.369505</v>
      </c>
    </row>
    <row r="80">
      <c r="A80" s="27" t="str">
        <f>IFERROR(__xludf.DUMMYFUNCTION("""COMPUTED_VALUE"""),"TJX INC")</f>
        <v>TJX INC</v>
      </c>
      <c r="B80" s="27" t="str">
        <f>IFERROR(__xludf.DUMMYFUNCTION("""COMPUTED_VALUE"""),"Consumer Discretionary")</f>
        <v>Consumer Discretionary</v>
      </c>
      <c r="C80" s="27" t="str">
        <f>IFERROR(__xludf.DUMMYFUNCTION("""COMPUTED_VALUE"""),"United States")</f>
        <v>United States</v>
      </c>
      <c r="D80" s="27">
        <f>IFERROR(__xludf.DUMMYFUNCTION("""COMPUTED_VALUE"""),0.29)</f>
        <v>0.29</v>
      </c>
      <c r="E80" s="22">
        <f t="shared" si="2"/>
        <v>2.9</v>
      </c>
      <c r="F80" s="23" t="str">
        <f t="shared" si="3"/>
        <v/>
      </c>
      <c r="G80" s="23" t="str">
        <f t="shared" si="4"/>
        <v/>
      </c>
      <c r="H80" s="27" t="str">
        <f>IFERROR(__xludf.DUMMYFUNCTION("""COMPUTED_VALUE"""),"LENDLEASE CORP LTD")</f>
        <v>LENDLEASE CORP LTD</v>
      </c>
      <c r="I80" s="27" t="str">
        <f>IFERROR(__xludf.DUMMYFUNCTION("""COMPUTED_VALUE"""),"Real Estate")</f>
        <v>Real Estate</v>
      </c>
      <c r="J80" s="27" t="str">
        <f>IFERROR(__xludf.DUMMYFUNCTION("""COMPUTED_VALUE"""),"Australia")</f>
        <v>Australia</v>
      </c>
      <c r="K80" s="27">
        <f>IFERROR(__xludf.DUMMYFUNCTION("""COMPUTED_VALUE"""),0.23645911)</f>
        <v>0.23645911</v>
      </c>
      <c r="L80" s="22">
        <f t="shared" si="5"/>
        <v>2.3645911</v>
      </c>
    </row>
    <row r="81">
      <c r="A81" s="27" t="str">
        <f>IFERROR(__xludf.DUMMYFUNCTION("""COMPUTED_VALUE"""),"AUTOMATIC DATA PROCESSING INC")</f>
        <v>AUTOMATIC DATA PROCESSING INC</v>
      </c>
      <c r="B81" s="27" t="str">
        <f>IFERROR(__xludf.DUMMYFUNCTION("""COMPUTED_VALUE"""),"Industrials")</f>
        <v>Industrials</v>
      </c>
      <c r="C81" s="27" t="str">
        <f>IFERROR(__xludf.DUMMYFUNCTION("""COMPUTED_VALUE"""),"United States")</f>
        <v>United States</v>
      </c>
      <c r="D81" s="27">
        <f>IFERROR(__xludf.DUMMYFUNCTION("""COMPUTED_VALUE"""),0.28)</f>
        <v>0.28</v>
      </c>
      <c r="E81" s="22">
        <f t="shared" si="2"/>
        <v>2.8</v>
      </c>
      <c r="F81" s="23" t="str">
        <f t="shared" si="3"/>
        <v/>
      </c>
      <c r="G81" s="23" t="str">
        <f t="shared" si="4"/>
        <v/>
      </c>
      <c r="H81" s="27" t="str">
        <f>IFERROR(__xludf.DUMMYFUNCTION("""COMPUTED_VALUE"""),"BENDIGO &amp; ADELAIDE BANK LTD")</f>
        <v>BENDIGO &amp; ADELAIDE BANK LTD</v>
      </c>
      <c r="I81" s="27" t="str">
        <f>IFERROR(__xludf.DUMMYFUNCTION("""COMPUTED_VALUE"""),"Financials")</f>
        <v>Financials</v>
      </c>
      <c r="J81" s="27" t="str">
        <f>IFERROR(__xludf.DUMMYFUNCTION("""COMPUTED_VALUE"""),"Australia")</f>
        <v>Australia</v>
      </c>
      <c r="K81" s="27">
        <f>IFERROR(__xludf.DUMMYFUNCTION("""COMPUTED_VALUE"""),0.22780792)</f>
        <v>0.22780792</v>
      </c>
      <c r="L81" s="22">
        <f t="shared" si="5"/>
        <v>2.2780792</v>
      </c>
    </row>
    <row r="82">
      <c r="A82" s="27" t="str">
        <f>IFERROR(__xludf.DUMMYFUNCTION("""COMPUTED_VALUE"""),"MARSH &amp; MCLENNAN INC")</f>
        <v>MARSH &amp; MCLENNAN INC</v>
      </c>
      <c r="B82" s="27" t="str">
        <f>IFERROR(__xludf.DUMMYFUNCTION("""COMPUTED_VALUE"""),"Financials")</f>
        <v>Financials</v>
      </c>
      <c r="C82" s="27" t="str">
        <f>IFERROR(__xludf.DUMMYFUNCTION("""COMPUTED_VALUE"""),"United States")</f>
        <v>United States</v>
      </c>
      <c r="D82" s="27">
        <f>IFERROR(__xludf.DUMMYFUNCTION("""COMPUTED_VALUE"""),0.26)</f>
        <v>0.26</v>
      </c>
      <c r="E82" s="22">
        <f t="shared" si="2"/>
        <v>2.6</v>
      </c>
      <c r="F82" s="23" t="str">
        <f t="shared" si="3"/>
        <v/>
      </c>
      <c r="G82" s="23" t="str">
        <f t="shared" si="4"/>
        <v/>
      </c>
      <c r="H82" s="27" t="str">
        <f>IFERROR(__xludf.DUMMYFUNCTION("""COMPUTED_VALUE"""),"QUBE HOLDINGS LTD")</f>
        <v>QUBE HOLDINGS LTD</v>
      </c>
      <c r="I82" s="27" t="str">
        <f>IFERROR(__xludf.DUMMYFUNCTION("""COMPUTED_VALUE"""),"Industrials")</f>
        <v>Industrials</v>
      </c>
      <c r="J82" s="27" t="str">
        <f>IFERROR(__xludf.DUMMYFUNCTION("""COMPUTED_VALUE"""),"Australia")</f>
        <v>Australia</v>
      </c>
      <c r="K82" s="27">
        <f>IFERROR(__xludf.DUMMYFUNCTION("""COMPUTED_VALUE"""),0.22097128)</f>
        <v>0.22097128</v>
      </c>
      <c r="L82" s="22">
        <f t="shared" si="5"/>
        <v>2.2097128</v>
      </c>
    </row>
    <row r="83">
      <c r="A83" s="27" t="str">
        <f>IFERROR(__xludf.DUMMYFUNCTION("""COMPUTED_VALUE"""),"MONDELEZ INTERNATIONAL INC CLASS A")</f>
        <v>MONDELEZ INTERNATIONAL INC CLASS A</v>
      </c>
      <c r="B83" s="27" t="str">
        <f>IFERROR(__xludf.DUMMYFUNCTION("""COMPUTED_VALUE"""),"Consumer Staples")</f>
        <v>Consumer Staples</v>
      </c>
      <c r="C83" s="27" t="str">
        <f>IFERROR(__xludf.DUMMYFUNCTION("""COMPUTED_VALUE"""),"United States")</f>
        <v>United States</v>
      </c>
      <c r="D83" s="27">
        <f>IFERROR(__xludf.DUMMYFUNCTION("""COMPUTED_VALUE"""),0.26)</f>
        <v>0.26</v>
      </c>
      <c r="E83" s="22">
        <f t="shared" si="2"/>
        <v>2.6</v>
      </c>
      <c r="F83" s="23" t="str">
        <f t="shared" si="3"/>
        <v/>
      </c>
      <c r="G83" s="23" t="str">
        <f t="shared" si="4"/>
        <v/>
      </c>
      <c r="H83" s="27" t="str">
        <f>IFERROR(__xludf.DUMMYFUNCTION("""COMPUTED_VALUE"""),"JB HI-FI LTD")</f>
        <v>JB HI-FI LTD</v>
      </c>
      <c r="I83" s="27" t="str">
        <f>IFERROR(__xludf.DUMMYFUNCTION("""COMPUTED_VALUE"""),"Consumer Discretionary")</f>
        <v>Consumer Discretionary</v>
      </c>
      <c r="J83" s="27" t="str">
        <f>IFERROR(__xludf.DUMMYFUNCTION("""COMPUTED_VALUE"""),"Australia")</f>
        <v>Australia</v>
      </c>
      <c r="K83" s="27">
        <f>IFERROR(__xludf.DUMMYFUNCTION("""COMPUTED_VALUE"""),0.22029924)</f>
        <v>0.22029924</v>
      </c>
      <c r="L83" s="22">
        <f t="shared" si="5"/>
        <v>2.2029924</v>
      </c>
    </row>
    <row r="84">
      <c r="A84" s="27" t="str">
        <f>IFERROR(__xludf.DUMMYFUNCTION("""COMPUTED_VALUE"""),"GILEAD SCIENCES INC")</f>
        <v>GILEAD SCIENCES INC</v>
      </c>
      <c r="B84" s="27" t="str">
        <f>IFERROR(__xludf.DUMMYFUNCTION("""COMPUTED_VALUE"""),"Health Care")</f>
        <v>Health Care</v>
      </c>
      <c r="C84" s="27" t="str">
        <f>IFERROR(__xludf.DUMMYFUNCTION("""COMPUTED_VALUE"""),"United States")</f>
        <v>United States</v>
      </c>
      <c r="D84" s="27">
        <f>IFERROR(__xludf.DUMMYFUNCTION("""COMPUTED_VALUE"""),0.26)</f>
        <v>0.26</v>
      </c>
      <c r="E84" s="22">
        <f t="shared" si="2"/>
        <v>2.6</v>
      </c>
      <c r="F84" s="23" t="str">
        <f t="shared" si="3"/>
        <v/>
      </c>
      <c r="G84" s="23" t="str">
        <f t="shared" si="4"/>
        <v/>
      </c>
      <c r="H84" s="27" t="str">
        <f>IFERROR(__xludf.DUMMYFUNCTION("""COMPUTED_VALUE"""),"TECHNOLOGY ONE LTD")</f>
        <v>TECHNOLOGY ONE LTD</v>
      </c>
      <c r="I84" s="27" t="str">
        <f>IFERROR(__xludf.DUMMYFUNCTION("""COMPUTED_VALUE"""),"Information Technology")</f>
        <v>Information Technology</v>
      </c>
      <c r="J84" s="27" t="str">
        <f>IFERROR(__xludf.DUMMYFUNCTION("""COMPUTED_VALUE"""),"Australia")</f>
        <v>Australia</v>
      </c>
      <c r="K84" s="27">
        <f>IFERROR(__xludf.DUMMYFUNCTION("""COMPUTED_VALUE"""),0.21017718)</f>
        <v>0.21017718</v>
      </c>
      <c r="L84" s="22">
        <f t="shared" si="5"/>
        <v>2.1017718</v>
      </c>
    </row>
    <row r="85">
      <c r="A85" s="27" t="str">
        <f>IFERROR(__xludf.DUMMYFUNCTION("""COMPUTED_VALUE"""),"STRYKER CORP")</f>
        <v>STRYKER CORP</v>
      </c>
      <c r="B85" s="27" t="str">
        <f>IFERROR(__xludf.DUMMYFUNCTION("""COMPUTED_VALUE"""),"Health Care")</f>
        <v>Health Care</v>
      </c>
      <c r="C85" s="27" t="str">
        <f>IFERROR(__xludf.DUMMYFUNCTION("""COMPUTED_VALUE"""),"United States")</f>
        <v>United States</v>
      </c>
      <c r="D85" s="27">
        <f>IFERROR(__xludf.DUMMYFUNCTION("""COMPUTED_VALUE"""),0.26)</f>
        <v>0.26</v>
      </c>
      <c r="E85" s="22">
        <f t="shared" si="2"/>
        <v>2.6</v>
      </c>
      <c r="F85" s="23" t="str">
        <f t="shared" si="3"/>
        <v/>
      </c>
      <c r="G85" s="23" t="str">
        <f t="shared" si="4"/>
        <v/>
      </c>
      <c r="H85" s="27" t="str">
        <f>IFERROR(__xludf.DUMMYFUNCTION("""COMPUTED_VALUE"""),"NIB HOLDINGS LTD/AUSTRALIA")</f>
        <v>NIB HOLDINGS LTD/AUSTRALIA</v>
      </c>
      <c r="I85" s="27" t="str">
        <f>IFERROR(__xludf.DUMMYFUNCTION("""COMPUTED_VALUE"""),"Financials")</f>
        <v>Financials</v>
      </c>
      <c r="J85" s="27" t="str">
        <f>IFERROR(__xludf.DUMMYFUNCTION("""COMPUTED_VALUE"""),"Australia")</f>
        <v>Australia</v>
      </c>
      <c r="K85" s="27">
        <f>IFERROR(__xludf.DUMMYFUNCTION("""COMPUTED_VALUE"""),0.19558821)</f>
        <v>0.19558821</v>
      </c>
      <c r="L85" s="22">
        <f t="shared" si="5"/>
        <v>1.9558821</v>
      </c>
    </row>
    <row r="86">
      <c r="A86" s="27" t="str">
        <f>IFERROR(__xludf.DUMMYFUNCTION("""COMPUTED_VALUE"""),"LOCKHEED MARTIN CORP")</f>
        <v>LOCKHEED MARTIN CORP</v>
      </c>
      <c r="B86" s="27" t="str">
        <f>IFERROR(__xludf.DUMMYFUNCTION("""COMPUTED_VALUE"""),"Industrials")</f>
        <v>Industrials</v>
      </c>
      <c r="C86" s="27" t="str">
        <f>IFERROR(__xludf.DUMMYFUNCTION("""COMPUTED_VALUE"""),"United States")</f>
        <v>United States</v>
      </c>
      <c r="D86" s="27">
        <f>IFERROR(__xludf.DUMMYFUNCTION("""COMPUTED_VALUE"""),0.26)</f>
        <v>0.26</v>
      </c>
      <c r="E86" s="22">
        <f t="shared" si="2"/>
        <v>2.6</v>
      </c>
      <c r="F86" s="23" t="str">
        <f t="shared" si="3"/>
        <v/>
      </c>
      <c r="G86" s="23" t="str">
        <f t="shared" si="4"/>
        <v/>
      </c>
      <c r="H86" s="27" t="str">
        <f>IFERROR(__xludf.DUMMYFUNCTION("""COMPUTED_VALUE"""),"SEVEN GROUP HOLDINGS LTD")</f>
        <v>SEVEN GROUP HOLDINGS LTD</v>
      </c>
      <c r="I86" s="27" t="str">
        <f>IFERROR(__xludf.DUMMYFUNCTION("""COMPUTED_VALUE"""),"Industrials")</f>
        <v>Industrials</v>
      </c>
      <c r="J86" s="27" t="str">
        <f>IFERROR(__xludf.DUMMYFUNCTION("""COMPUTED_VALUE"""),"Australia")</f>
        <v>Australia</v>
      </c>
      <c r="K86" s="27">
        <f>IFERROR(__xludf.DUMMYFUNCTION("""COMPUTED_VALUE"""),0.18454902)</f>
        <v>0.18454902</v>
      </c>
      <c r="L86" s="22">
        <f t="shared" si="5"/>
        <v>1.8454902</v>
      </c>
    </row>
    <row r="87">
      <c r="A87" s="27" t="str">
        <f>IFERROR(__xludf.DUMMYFUNCTION("""COMPUTED_VALUE"""),"VERTEX PHARMACEUTICALS INC")</f>
        <v>VERTEX PHARMACEUTICALS INC</v>
      </c>
      <c r="B87" s="27" t="str">
        <f>IFERROR(__xludf.DUMMYFUNCTION("""COMPUTED_VALUE"""),"Health Care")</f>
        <v>Health Care</v>
      </c>
      <c r="C87" s="27" t="str">
        <f>IFERROR(__xludf.DUMMYFUNCTION("""COMPUTED_VALUE"""),"United States")</f>
        <v>United States</v>
      </c>
      <c r="D87" s="27">
        <f>IFERROR(__xludf.DUMMYFUNCTION("""COMPUTED_VALUE"""),0.25)</f>
        <v>0.25</v>
      </c>
      <c r="E87" s="22">
        <f t="shared" si="2"/>
        <v>2.5</v>
      </c>
      <c r="F87" s="23" t="str">
        <f t="shared" si="3"/>
        <v/>
      </c>
      <c r="G87" s="23" t="str">
        <f t="shared" si="4"/>
        <v/>
      </c>
      <c r="H87" s="27" t="str">
        <f>IFERROR(__xludf.DUMMYFUNCTION("""COMPUTED_VALUE"""),"BANK OF QUEENSLAND LTD")</f>
        <v>BANK OF QUEENSLAND LTD</v>
      </c>
      <c r="I87" s="27" t="str">
        <f>IFERROR(__xludf.DUMMYFUNCTION("""COMPUTED_VALUE"""),"Financials")</f>
        <v>Financials</v>
      </c>
      <c r="J87" s="27" t="str">
        <f>IFERROR(__xludf.DUMMYFUNCTION("""COMPUTED_VALUE"""),"Australia")</f>
        <v>Australia</v>
      </c>
      <c r="K87" s="27">
        <f>IFERROR(__xludf.DUMMYFUNCTION("""COMPUTED_VALUE"""),0.16738127)</f>
        <v>0.16738127</v>
      </c>
      <c r="L87" s="22">
        <f t="shared" si="5"/>
        <v>1.6738127</v>
      </c>
    </row>
    <row r="88">
      <c r="A88" s="27" t="str">
        <f>IFERROR(__xludf.DUMMYFUNCTION("""COMPUTED_VALUE"""),"BLACKROCK INC")</f>
        <v>BLACKROCK INC</v>
      </c>
      <c r="B88" s="27" t="str">
        <f>IFERROR(__xludf.DUMMYFUNCTION("""COMPUTED_VALUE"""),"Financials")</f>
        <v>Financials</v>
      </c>
      <c r="C88" s="27" t="str">
        <f>IFERROR(__xludf.DUMMYFUNCTION("""COMPUTED_VALUE"""),"United States")</f>
        <v>United States</v>
      </c>
      <c r="D88" s="27">
        <f>IFERROR(__xludf.DUMMYFUNCTION("""COMPUTED_VALUE"""),0.25)</f>
        <v>0.25</v>
      </c>
      <c r="E88" s="22">
        <f t="shared" si="2"/>
        <v>2.5</v>
      </c>
      <c r="F88" s="23" t="str">
        <f t="shared" si="3"/>
        <v/>
      </c>
      <c r="G88" s="23" t="str">
        <f t="shared" si="4"/>
        <v/>
      </c>
      <c r="H88" s="27" t="str">
        <f>IFERROR(__xludf.DUMMYFUNCTION("""COMPUTED_VALUE"""),"FISHER &amp; PAYKEL HEALTHCARE COR")</f>
        <v>FISHER &amp; PAYKEL HEALTHCARE COR</v>
      </c>
      <c r="I88" s="27" t="str">
        <f>IFERROR(__xludf.DUMMYFUNCTION("""COMPUTED_VALUE"""),"Healthcare")</f>
        <v>Healthcare</v>
      </c>
      <c r="J88" s="27" t="str">
        <f>IFERROR(__xludf.DUMMYFUNCTION("""COMPUTED_VALUE"""),"Australia")</f>
        <v>Australia</v>
      </c>
      <c r="K88" s="27">
        <f>IFERROR(__xludf.DUMMYFUNCTION("""COMPUTED_VALUE"""),0.16171718)</f>
        <v>0.16171718</v>
      </c>
      <c r="L88" s="22">
        <f t="shared" si="5"/>
        <v>1.6171718</v>
      </c>
    </row>
    <row r="89">
      <c r="A89" s="27" t="str">
        <f>IFERROR(__xludf.DUMMYFUNCTION("""COMPUTED_VALUE"""),"CVS HEALTH CORP")</f>
        <v>CVS HEALTH CORP</v>
      </c>
      <c r="B89" s="27" t="str">
        <f>IFERROR(__xludf.DUMMYFUNCTION("""COMPUTED_VALUE"""),"Health Care")</f>
        <v>Health Care</v>
      </c>
      <c r="C89" s="27" t="str">
        <f>IFERROR(__xludf.DUMMYFUNCTION("""COMPUTED_VALUE"""),"United States")</f>
        <v>United States</v>
      </c>
      <c r="D89" s="27">
        <f>IFERROR(__xludf.DUMMYFUNCTION("""COMPUTED_VALUE"""),0.25)</f>
        <v>0.25</v>
      </c>
      <c r="E89" s="22">
        <f t="shared" si="2"/>
        <v>2.5</v>
      </c>
      <c r="F89" s="23" t="str">
        <f t="shared" si="3"/>
        <v/>
      </c>
      <c r="G89" s="23" t="str">
        <f t="shared" si="4"/>
        <v/>
      </c>
      <c r="H89" s="27" t="str">
        <f>IFERROR(__xludf.DUMMYFUNCTION("""COMPUTED_VALUE"""),"AMP LTD")</f>
        <v>AMP LTD</v>
      </c>
      <c r="I89" s="27" t="str">
        <f>IFERROR(__xludf.DUMMYFUNCTION("""COMPUTED_VALUE"""),"Financials")</f>
        <v>Financials</v>
      </c>
      <c r="J89" s="27" t="str">
        <f>IFERROR(__xludf.DUMMYFUNCTION("""COMPUTED_VALUE"""),"Australia")</f>
        <v>Australia</v>
      </c>
      <c r="K89" s="27">
        <f>IFERROR(__xludf.DUMMYFUNCTION("""COMPUTED_VALUE"""),0.15751172)</f>
        <v>0.15751172</v>
      </c>
      <c r="L89" s="22">
        <f t="shared" si="5"/>
        <v>1.5751172</v>
      </c>
    </row>
    <row r="90">
      <c r="A90" s="27" t="str">
        <f>IFERROR(__xludf.DUMMYFUNCTION("""COMPUTED_VALUE"""),"REGENERON PHARMACEUTICALS INC")</f>
        <v>REGENERON PHARMACEUTICALS INC</v>
      </c>
      <c r="B90" s="27" t="str">
        <f>IFERROR(__xludf.DUMMYFUNCTION("""COMPUTED_VALUE"""),"Health Care")</f>
        <v>Health Care</v>
      </c>
      <c r="C90" s="27" t="str">
        <f>IFERROR(__xludf.DUMMYFUNCTION("""COMPUTED_VALUE"""),"United States")</f>
        <v>United States</v>
      </c>
      <c r="D90" s="27">
        <f>IFERROR(__xludf.DUMMYFUNCTION("""COMPUTED_VALUE"""),0.25)</f>
        <v>0.25</v>
      </c>
      <c r="E90" s="22">
        <f t="shared" si="2"/>
        <v>2.5</v>
      </c>
      <c r="F90" s="23" t="str">
        <f t="shared" si="3"/>
        <v/>
      </c>
      <c r="G90" s="23" t="str">
        <f t="shared" si="4"/>
        <v/>
      </c>
      <c r="H90" s="27" t="str">
        <f>IFERROR(__xludf.DUMMYFUNCTION("""COMPUTED_VALUE"""),"PRO MEDICUS LTD")</f>
        <v>PRO MEDICUS LTD</v>
      </c>
      <c r="I90" s="27" t="str">
        <f>IFERROR(__xludf.DUMMYFUNCTION("""COMPUTED_VALUE"""),"Healthcare")</f>
        <v>Healthcare</v>
      </c>
      <c r="J90" s="27" t="str">
        <f>IFERROR(__xludf.DUMMYFUNCTION("""COMPUTED_VALUE"""),"Australia")</f>
        <v>Australia</v>
      </c>
      <c r="K90" s="27">
        <f>IFERROR(__xludf.DUMMYFUNCTION("""COMPUTED_VALUE"""),0.15712236)</f>
        <v>0.15712236</v>
      </c>
      <c r="L90" s="22">
        <f t="shared" si="5"/>
        <v>1.5712236</v>
      </c>
    </row>
    <row r="91">
      <c r="A91" s="27" t="str">
        <f>IFERROR(__xludf.DUMMYFUNCTION("""COMPUTED_VALUE"""),"ANALOG DEVICES INC")</f>
        <v>ANALOG DEVICES INC</v>
      </c>
      <c r="B91" s="27" t="str">
        <f>IFERROR(__xludf.DUMMYFUNCTION("""COMPUTED_VALUE"""),"Information Technology")</f>
        <v>Information Technology</v>
      </c>
      <c r="C91" s="27" t="str">
        <f>IFERROR(__xludf.DUMMYFUNCTION("""COMPUTED_VALUE"""),"United States")</f>
        <v>United States</v>
      </c>
      <c r="D91" s="27">
        <f>IFERROR(__xludf.DUMMYFUNCTION("""COMPUTED_VALUE"""),0.24)</f>
        <v>0.24</v>
      </c>
      <c r="E91" s="22">
        <f t="shared" si="2"/>
        <v>2.4</v>
      </c>
      <c r="F91" s="23" t="str">
        <f t="shared" si="3"/>
        <v/>
      </c>
      <c r="G91" s="23" t="str">
        <f t="shared" si="4"/>
        <v/>
      </c>
      <c r="H91" s="27" t="str">
        <f>IFERROR(__xludf.DUMMYFUNCTION("""COMPUTED_VALUE"""),"ANSELL LTD")</f>
        <v>ANSELL LTD</v>
      </c>
      <c r="I91" s="27" t="str">
        <f>IFERROR(__xludf.DUMMYFUNCTION("""COMPUTED_VALUE"""),"Healthcare")</f>
        <v>Healthcare</v>
      </c>
      <c r="J91" s="27" t="str">
        <f>IFERROR(__xludf.DUMMYFUNCTION("""COMPUTED_VALUE"""),"Australia")</f>
        <v>Australia</v>
      </c>
      <c r="K91" s="27">
        <f>IFERROR(__xludf.DUMMYFUNCTION("""COMPUTED_VALUE"""),0.15666087)</f>
        <v>0.15666087</v>
      </c>
      <c r="L91" s="22">
        <f t="shared" si="5"/>
        <v>1.5666087</v>
      </c>
    </row>
    <row r="92">
      <c r="A92" s="27" t="str">
        <f>IFERROR(__xludf.DUMMYFUNCTION("""COMPUTED_VALUE"""),"AMERICAN EXPRESS")</f>
        <v>AMERICAN EXPRESS</v>
      </c>
      <c r="B92" s="27" t="str">
        <f>IFERROR(__xludf.DUMMYFUNCTION("""COMPUTED_VALUE"""),"Financials")</f>
        <v>Financials</v>
      </c>
      <c r="C92" s="27" t="str">
        <f>IFERROR(__xludf.DUMMYFUNCTION("""COMPUTED_VALUE"""),"United States")</f>
        <v>United States</v>
      </c>
      <c r="D92" s="27">
        <f>IFERROR(__xludf.DUMMYFUNCTION("""COMPUTED_VALUE"""),0.24)</f>
        <v>0.24</v>
      </c>
      <c r="E92" s="22">
        <f t="shared" si="2"/>
        <v>2.4</v>
      </c>
      <c r="F92" s="23" t="str">
        <f t="shared" si="3"/>
        <v/>
      </c>
      <c r="G92" s="23" t="str">
        <f t="shared" si="4"/>
        <v/>
      </c>
      <c r="H92" s="27" t="str">
        <f>IFERROR(__xludf.DUMMYFUNCTION("""COMPUTED_VALUE"""),"ALTIUM LTD")</f>
        <v>ALTIUM LTD</v>
      </c>
      <c r="I92" s="27" t="str">
        <f>IFERROR(__xludf.DUMMYFUNCTION("""COMPUTED_VALUE"""),"Information Technology")</f>
        <v>Information Technology</v>
      </c>
      <c r="J92" s="27" t="str">
        <f>IFERROR(__xludf.DUMMYFUNCTION("""COMPUTED_VALUE"""),"Australia")</f>
        <v>Australia</v>
      </c>
      <c r="K92" s="27">
        <f>IFERROR(__xludf.DUMMYFUNCTION("""COMPUTED_VALUE"""),0.15617488)</f>
        <v>0.15617488</v>
      </c>
      <c r="L92" s="22">
        <f t="shared" si="5"/>
        <v>1.5617488</v>
      </c>
    </row>
    <row r="93">
      <c r="A93" s="27" t="str">
        <f>IFERROR(__xludf.DUMMYFUNCTION("""COMPUTED_VALUE"""),"CHUBB LTD")</f>
        <v>CHUBB LTD</v>
      </c>
      <c r="B93" s="27" t="str">
        <f>IFERROR(__xludf.DUMMYFUNCTION("""COMPUTED_VALUE"""),"Financials")</f>
        <v>Financials</v>
      </c>
      <c r="C93" s="27" t="str">
        <f>IFERROR(__xludf.DUMMYFUNCTION("""COMPUTED_VALUE"""),"United States")</f>
        <v>United States</v>
      </c>
      <c r="D93" s="27">
        <f>IFERROR(__xludf.DUMMYFUNCTION("""COMPUTED_VALUE"""),0.24)</f>
        <v>0.24</v>
      </c>
      <c r="E93" s="22">
        <f t="shared" si="2"/>
        <v>2.4</v>
      </c>
      <c r="F93" s="23" t="str">
        <f t="shared" si="3"/>
        <v/>
      </c>
      <c r="G93" s="23" t="str">
        <f t="shared" si="4"/>
        <v/>
      </c>
      <c r="H93" s="27" t="str">
        <f>IFERROR(__xludf.DUMMYFUNCTION("""COMPUTED_VALUE"""),"FLIGHT CENTRE TRAVEL GROUP LTD")</f>
        <v>FLIGHT CENTRE TRAVEL GROUP LTD</v>
      </c>
      <c r="I93" s="27" t="str">
        <f>IFERROR(__xludf.DUMMYFUNCTION("""COMPUTED_VALUE"""),"Consumer Discretionary")</f>
        <v>Consumer Discretionary</v>
      </c>
      <c r="J93" s="27" t="str">
        <f>IFERROR(__xludf.DUMMYFUNCTION("""COMPUTED_VALUE"""),"Australia")</f>
        <v>Australia</v>
      </c>
      <c r="K93" s="27">
        <f>IFERROR(__xludf.DUMMYFUNCTION("""COMPUTED_VALUE"""),0.15526669)</f>
        <v>0.15526669</v>
      </c>
      <c r="L93" s="22">
        <f t="shared" si="5"/>
        <v>1.5526669</v>
      </c>
    </row>
    <row r="94">
      <c r="A94" s="27" t="str">
        <f>IFERROR(__xludf.DUMMYFUNCTION("""COMPUTED_VALUE"""),"SCHLUMBERGER NV")</f>
        <v>SCHLUMBERGER NV</v>
      </c>
      <c r="B94" s="27" t="str">
        <f>IFERROR(__xludf.DUMMYFUNCTION("""COMPUTED_VALUE"""),"Energy")</f>
        <v>Energy</v>
      </c>
      <c r="C94" s="27" t="str">
        <f>IFERROR(__xludf.DUMMYFUNCTION("""COMPUTED_VALUE"""),"United States")</f>
        <v>United States</v>
      </c>
      <c r="D94" s="27">
        <f>IFERROR(__xludf.DUMMYFUNCTION("""COMPUTED_VALUE"""),0.24)</f>
        <v>0.24</v>
      </c>
      <c r="E94" s="22">
        <f t="shared" si="2"/>
        <v>2.4</v>
      </c>
      <c r="F94" s="23" t="str">
        <f t="shared" si="3"/>
        <v/>
      </c>
      <c r="G94" s="23" t="str">
        <f t="shared" si="4"/>
        <v/>
      </c>
      <c r="H94" s="27" t="str">
        <f>IFERROR(__xludf.DUMMYFUNCTION("""COMPUTED_VALUE"""),"METCASH LTD")</f>
        <v>METCASH LTD</v>
      </c>
      <c r="I94" s="27" t="str">
        <f>IFERROR(__xludf.DUMMYFUNCTION("""COMPUTED_VALUE"""),"Consumer Staples")</f>
        <v>Consumer Staples</v>
      </c>
      <c r="J94" s="27" t="str">
        <f>IFERROR(__xludf.DUMMYFUNCTION("""COMPUTED_VALUE"""),"Australia")</f>
        <v>Australia</v>
      </c>
      <c r="K94" s="27">
        <f>IFERROR(__xludf.DUMMYFUNCTION("""COMPUTED_VALUE"""),0.15344074)</f>
        <v>0.15344074</v>
      </c>
      <c r="L94" s="22">
        <f t="shared" si="5"/>
        <v>1.5344074</v>
      </c>
    </row>
    <row r="95">
      <c r="A95" s="27" t="str">
        <f>IFERROR(__xludf.DUMMYFUNCTION("""COMPUTED_VALUE"""),"EATON PLC")</f>
        <v>EATON PLC</v>
      </c>
      <c r="B95" s="27" t="str">
        <f>IFERROR(__xludf.DUMMYFUNCTION("""COMPUTED_VALUE"""),"Industrials")</f>
        <v>Industrials</v>
      </c>
      <c r="C95" s="27" t="str">
        <f>IFERROR(__xludf.DUMMYFUNCTION("""COMPUTED_VALUE"""),"United States")</f>
        <v>United States</v>
      </c>
      <c r="D95" s="27">
        <f>IFERROR(__xludf.DUMMYFUNCTION("""COMPUTED_VALUE"""),0.24)</f>
        <v>0.24</v>
      </c>
      <c r="E95" s="22">
        <f t="shared" si="2"/>
        <v>2.4</v>
      </c>
      <c r="F95" s="23" t="str">
        <f t="shared" si="3"/>
        <v/>
      </c>
      <c r="G95" s="23" t="str">
        <f t="shared" si="4"/>
        <v/>
      </c>
      <c r="H95" s="27" t="str">
        <f>IFERROR(__xludf.DUMMYFUNCTION("""COMPUTED_VALUE"""),"ALUMINA LTD")</f>
        <v>ALUMINA LTD</v>
      </c>
      <c r="I95" s="27" t="str">
        <f>IFERROR(__xludf.DUMMYFUNCTION("""COMPUTED_VALUE"""),"Materials")</f>
        <v>Materials</v>
      </c>
      <c r="J95" s="27" t="str">
        <f>IFERROR(__xludf.DUMMYFUNCTION("""COMPUTED_VALUE"""),"Australia")</f>
        <v>Australia</v>
      </c>
      <c r="K95" s="27">
        <f>IFERROR(__xludf.DUMMYFUNCTION("""COMPUTED_VALUE"""),0.15318796)</f>
        <v>0.15318796</v>
      </c>
      <c r="L95" s="22">
        <f t="shared" si="5"/>
        <v>1.5318796</v>
      </c>
    </row>
    <row r="96">
      <c r="A96" s="27" t="str">
        <f>IFERROR(__xludf.DUMMYFUNCTION("""COMPUTED_VALUE"""),"CIGNA")</f>
        <v>CIGNA</v>
      </c>
      <c r="B96" s="27" t="str">
        <f>IFERROR(__xludf.DUMMYFUNCTION("""COMPUTED_VALUE"""),"Health Care")</f>
        <v>Health Care</v>
      </c>
      <c r="C96" s="27" t="str">
        <f>IFERROR(__xludf.DUMMYFUNCTION("""COMPUTED_VALUE"""),"United States")</f>
        <v>United States</v>
      </c>
      <c r="D96" s="27">
        <f>IFERROR(__xludf.DUMMYFUNCTION("""COMPUTED_VALUE"""),0.24)</f>
        <v>0.24</v>
      </c>
      <c r="E96" s="22">
        <f t="shared" si="2"/>
        <v>2.4</v>
      </c>
      <c r="F96" s="23" t="str">
        <f t="shared" si="3"/>
        <v/>
      </c>
      <c r="G96" s="23" t="str">
        <f t="shared" si="4"/>
        <v/>
      </c>
      <c r="H96" s="27" t="str">
        <f>IFERROR(__xludf.DUMMYFUNCTION("""COMPUTED_VALUE"""),"NEW HOPE CORP LTD")</f>
        <v>NEW HOPE CORP LTD</v>
      </c>
      <c r="I96" s="27" t="str">
        <f>IFERROR(__xludf.DUMMYFUNCTION("""COMPUTED_VALUE"""),"Energy")</f>
        <v>Energy</v>
      </c>
      <c r="J96" s="27" t="str">
        <f>IFERROR(__xludf.DUMMYFUNCTION("""COMPUTED_VALUE"""),"Australia")</f>
        <v>Australia</v>
      </c>
      <c r="K96" s="27">
        <f>IFERROR(__xludf.DUMMYFUNCTION("""COMPUTED_VALUE"""),0.14198347)</f>
        <v>0.14198347</v>
      </c>
      <c r="L96" s="22">
        <f t="shared" si="5"/>
        <v>1.4198347</v>
      </c>
    </row>
    <row r="97">
      <c r="A97" s="27" t="str">
        <f>IFERROR(__xludf.DUMMYFUNCTION("""COMPUTED_VALUE"""),"LAM RESEARCH CORP")</f>
        <v>LAM RESEARCH CORP</v>
      </c>
      <c r="B97" s="27" t="str">
        <f>IFERROR(__xludf.DUMMYFUNCTION("""COMPUTED_VALUE"""),"Information Technology")</f>
        <v>Information Technology</v>
      </c>
      <c r="C97" s="27" t="str">
        <f>IFERROR(__xludf.DUMMYFUNCTION("""COMPUTED_VALUE"""),"United States")</f>
        <v>United States</v>
      </c>
      <c r="D97" s="27">
        <f>IFERROR(__xludf.DUMMYFUNCTION("""COMPUTED_VALUE"""),0.23)</f>
        <v>0.23</v>
      </c>
      <c r="E97" s="22">
        <f t="shared" si="2"/>
        <v>2.3</v>
      </c>
      <c r="F97" s="23" t="str">
        <f t="shared" si="3"/>
        <v/>
      </c>
      <c r="G97" s="23" t="str">
        <f t="shared" si="4"/>
        <v/>
      </c>
      <c r="H97" s="27" t="str">
        <f>IFERROR(__xludf.DUMMYFUNCTION("""COMPUTED_VALUE"""),"BLOCK INC")</f>
        <v>BLOCK INC</v>
      </c>
      <c r="I97" s="27" t="str">
        <f>IFERROR(__xludf.DUMMYFUNCTION("""COMPUTED_VALUE"""),"Financials")</f>
        <v>Financials</v>
      </c>
      <c r="J97" s="27" t="str">
        <f>IFERROR(__xludf.DUMMYFUNCTION("""COMPUTED_VALUE"""),"Australia")</f>
        <v>Australia</v>
      </c>
      <c r="K97" s="27">
        <f>IFERROR(__xludf.DUMMYFUNCTION("""COMPUTED_VALUE"""),0.13583447)</f>
        <v>0.13583447</v>
      </c>
      <c r="L97" s="22">
        <f t="shared" si="5"/>
        <v>1.3583447</v>
      </c>
    </row>
    <row r="98">
      <c r="A98" s="27" t="str">
        <f>IFERROR(__xludf.DUMMYFUNCTION("""COMPUTED_VALUE"""),"PROGRESSIVE CORP")</f>
        <v>PROGRESSIVE CORP</v>
      </c>
      <c r="B98" s="27" t="str">
        <f>IFERROR(__xludf.DUMMYFUNCTION("""COMPUTED_VALUE"""),"Financials")</f>
        <v>Financials</v>
      </c>
      <c r="C98" s="27" t="str">
        <f>IFERROR(__xludf.DUMMYFUNCTION("""COMPUTED_VALUE"""),"United States")</f>
        <v>United States</v>
      </c>
      <c r="D98" s="27">
        <f>IFERROR(__xludf.DUMMYFUNCTION("""COMPUTED_VALUE"""),0.23)</f>
        <v>0.23</v>
      </c>
      <c r="E98" s="22">
        <f t="shared" si="2"/>
        <v>2.3</v>
      </c>
      <c r="F98" s="23" t="str">
        <f t="shared" si="3"/>
        <v/>
      </c>
      <c r="G98" s="23" t="str">
        <f t="shared" si="4"/>
        <v/>
      </c>
      <c r="H98" s="27" t="str">
        <f>IFERROR(__xludf.DUMMYFUNCTION("""COMPUTED_VALUE"""),"PERPETUAL LTD")</f>
        <v>PERPETUAL LTD</v>
      </c>
      <c r="I98" s="27" t="str">
        <f>IFERROR(__xludf.DUMMYFUNCTION("""COMPUTED_VALUE"""),"Financials")</f>
        <v>Financials</v>
      </c>
      <c r="J98" s="27" t="str">
        <f>IFERROR(__xludf.DUMMYFUNCTION("""COMPUTED_VALUE"""),"Australia")</f>
        <v>Australia</v>
      </c>
      <c r="K98" s="27">
        <f>IFERROR(__xludf.DUMMYFUNCTION("""COMPUTED_VALUE"""),0.13385181)</f>
        <v>0.13385181</v>
      </c>
      <c r="L98" s="22">
        <f t="shared" si="5"/>
        <v>1.3385181</v>
      </c>
    </row>
    <row r="99">
      <c r="A99" s="27" t="str">
        <f>IFERROR(__xludf.DUMMYFUNCTION("""COMPUTED_VALUE"""),"CHARLES SCHWAB CORP")</f>
        <v>CHARLES SCHWAB CORP</v>
      </c>
      <c r="B99" s="27" t="str">
        <f>IFERROR(__xludf.DUMMYFUNCTION("""COMPUTED_VALUE"""),"Financials")</f>
        <v>Financials</v>
      </c>
      <c r="C99" s="27" t="str">
        <f>IFERROR(__xludf.DUMMYFUNCTION("""COMPUTED_VALUE"""),"United States")</f>
        <v>United States</v>
      </c>
      <c r="D99" s="27">
        <f>IFERROR(__xludf.DUMMYFUNCTION("""COMPUTED_VALUE"""),0.22)</f>
        <v>0.22</v>
      </c>
      <c r="E99" s="22">
        <f t="shared" si="2"/>
        <v>2.2</v>
      </c>
      <c r="F99" s="23" t="str">
        <f t="shared" si="3"/>
        <v/>
      </c>
      <c r="G99" s="23" t="str">
        <f t="shared" si="4"/>
        <v/>
      </c>
      <c r="H99" s="27" t="str">
        <f>IFERROR(__xludf.DUMMYFUNCTION("""COMPUTED_VALUE"""),"RELIANCE WORLDWIDE CORP LTD")</f>
        <v>RELIANCE WORLDWIDE CORP LTD</v>
      </c>
      <c r="I99" s="27" t="str">
        <f>IFERROR(__xludf.DUMMYFUNCTION("""COMPUTED_VALUE"""),"Industrials")</f>
        <v>Industrials</v>
      </c>
      <c r="J99" s="27" t="str">
        <f>IFERROR(__xludf.DUMMYFUNCTION("""COMPUTED_VALUE"""),"Australia")</f>
        <v>Australia</v>
      </c>
      <c r="K99" s="27">
        <f>IFERROR(__xludf.DUMMYFUNCTION("""COMPUTED_VALUE"""),0.13361582)</f>
        <v>0.13361582</v>
      </c>
      <c r="L99" s="22">
        <f t="shared" si="5"/>
        <v>1.3361582</v>
      </c>
    </row>
    <row r="100">
      <c r="A100" s="27" t="str">
        <f>IFERROR(__xludf.DUMMYFUNCTION("""COMPUTED_VALUE"""),"ZOETIS INC CLASS A")</f>
        <v>ZOETIS INC CLASS A</v>
      </c>
      <c r="B100" s="27" t="str">
        <f>IFERROR(__xludf.DUMMYFUNCTION("""COMPUTED_VALUE"""),"Health Care")</f>
        <v>Health Care</v>
      </c>
      <c r="C100" s="27" t="str">
        <f>IFERROR(__xludf.DUMMYFUNCTION("""COMPUTED_VALUE"""),"United States")</f>
        <v>United States</v>
      </c>
      <c r="D100" s="27">
        <f>IFERROR(__xludf.DUMMYFUNCTION("""COMPUTED_VALUE"""),0.22)</f>
        <v>0.22</v>
      </c>
      <c r="E100" s="22">
        <f t="shared" si="2"/>
        <v>2.2</v>
      </c>
      <c r="F100" s="23" t="str">
        <f t="shared" si="3"/>
        <v/>
      </c>
      <c r="G100" s="23" t="str">
        <f t="shared" si="4"/>
        <v/>
      </c>
      <c r="H100" s="27" t="str">
        <f>IFERROR(__xludf.DUMMYFUNCTION("""COMPUTED_VALUE"""),"CHALLENGER LTD")</f>
        <v>CHALLENGER LTD</v>
      </c>
      <c r="I100" s="27" t="str">
        <f>IFERROR(__xludf.DUMMYFUNCTION("""COMPUTED_VALUE"""),"Financials")</f>
        <v>Financials</v>
      </c>
      <c r="J100" s="27" t="str">
        <f>IFERROR(__xludf.DUMMYFUNCTION("""COMPUTED_VALUE"""),"Australia")</f>
        <v>Australia</v>
      </c>
      <c r="K100" s="27">
        <f>IFERROR(__xludf.DUMMYFUNCTION("""COMPUTED_VALUE"""),0.13329357)</f>
        <v>0.13329357</v>
      </c>
      <c r="L100" s="22">
        <f t="shared" si="5"/>
        <v>1.3329357</v>
      </c>
    </row>
    <row r="101">
      <c r="A101" s="27" t="str">
        <f>IFERROR(__xludf.DUMMYFUNCTION("""COMPUTED_VALUE"""),"CITIGROUP INC")</f>
        <v>CITIGROUP INC</v>
      </c>
      <c r="B101" s="27" t="str">
        <f>IFERROR(__xludf.DUMMYFUNCTION("""COMPUTED_VALUE"""),"Financials")</f>
        <v>Financials</v>
      </c>
      <c r="C101" s="27" t="str">
        <f>IFERROR(__xludf.DUMMYFUNCTION("""COMPUTED_VALUE"""),"United States")</f>
        <v>United States</v>
      </c>
      <c r="D101" s="27">
        <f>IFERROR(__xludf.DUMMYFUNCTION("""COMPUTED_VALUE"""),0.22)</f>
        <v>0.22</v>
      </c>
      <c r="E101" s="22">
        <f t="shared" si="2"/>
        <v>2.2</v>
      </c>
      <c r="F101" s="23" t="str">
        <f t="shared" si="3"/>
        <v/>
      </c>
      <c r="G101" s="23" t="str">
        <f t="shared" si="4"/>
        <v/>
      </c>
      <c r="H101" s="27" t="str">
        <f>IFERROR(__xludf.DUMMYFUNCTION("""COMPUTED_VALUE"""),"NINE ENTERTAINMENT CO HOLDINGS")</f>
        <v>NINE ENTERTAINMENT CO HOLDINGS</v>
      </c>
      <c r="I101" s="27" t="str">
        <f>IFERROR(__xludf.DUMMYFUNCTION("""COMPUTED_VALUE"""),"Communication Services")</f>
        <v>Communication Services</v>
      </c>
      <c r="J101" s="27" t="str">
        <f>IFERROR(__xludf.DUMMYFUNCTION("""COMPUTED_VALUE"""),"Australia")</f>
        <v>Australia</v>
      </c>
      <c r="K101" s="27">
        <f>IFERROR(__xludf.DUMMYFUNCTION("""COMPUTED_VALUE"""),0.13139114)</f>
        <v>0.13139114</v>
      </c>
      <c r="L101" s="22">
        <f t="shared" si="5"/>
        <v>1.3139114</v>
      </c>
    </row>
    <row r="102">
      <c r="A102" s="27" t="str">
        <f>IFERROR(__xludf.DUMMYFUNCTION("""COMPUTED_VALUE"""),"BOSTON SCIENTIFIC CORP")</f>
        <v>BOSTON SCIENTIFIC CORP</v>
      </c>
      <c r="B102" s="27" t="str">
        <f>IFERROR(__xludf.DUMMYFUNCTION("""COMPUTED_VALUE"""),"Health Care")</f>
        <v>Health Care</v>
      </c>
      <c r="C102" s="27" t="str">
        <f>IFERROR(__xludf.DUMMYFUNCTION("""COMPUTED_VALUE"""),"United States")</f>
        <v>United States</v>
      </c>
      <c r="D102" s="27">
        <f>IFERROR(__xludf.DUMMYFUNCTION("""COMPUTED_VALUE"""),0.22)</f>
        <v>0.22</v>
      </c>
      <c r="E102" s="22">
        <f t="shared" si="2"/>
        <v>2.2</v>
      </c>
      <c r="F102" s="23" t="str">
        <f t="shared" si="3"/>
        <v/>
      </c>
      <c r="G102" s="23" t="str">
        <f t="shared" si="4"/>
        <v/>
      </c>
      <c r="H102" s="27" t="str">
        <f>IFERROR(__xludf.DUMMYFUNCTION("""COMPUTED_VALUE"""),"NATIONAL STORAGE REIT")</f>
        <v>NATIONAL STORAGE REIT</v>
      </c>
      <c r="I102" s="27" t="str">
        <f>IFERROR(__xludf.DUMMYFUNCTION("""COMPUTED_VALUE"""),"Real Estate")</f>
        <v>Real Estate</v>
      </c>
      <c r="J102" s="27" t="str">
        <f>IFERROR(__xludf.DUMMYFUNCTION("""COMPUTED_VALUE"""),"Australia")</f>
        <v>Australia</v>
      </c>
      <c r="K102" s="27">
        <f>IFERROR(__xludf.DUMMYFUNCTION("""COMPUTED_VALUE"""),0.13121334)</f>
        <v>0.13121334</v>
      </c>
      <c r="L102" s="22">
        <f t="shared" si="5"/>
        <v>1.3121334</v>
      </c>
    </row>
    <row r="103">
      <c r="A103" s="27" t="str">
        <f>IFERROR(__xludf.DUMMYFUNCTION("""COMPUTED_VALUE"""),"BLACKSTONE INC")</f>
        <v>BLACKSTONE INC</v>
      </c>
      <c r="B103" s="27" t="str">
        <f>IFERROR(__xludf.DUMMYFUNCTION("""COMPUTED_VALUE"""),"Financials")</f>
        <v>Financials</v>
      </c>
      <c r="C103" s="27" t="str">
        <f>IFERROR(__xludf.DUMMYFUNCTION("""COMPUTED_VALUE"""),"United States")</f>
        <v>United States</v>
      </c>
      <c r="D103" s="27">
        <f>IFERROR(__xludf.DUMMYFUNCTION("""COMPUTED_VALUE"""),0.21)</f>
        <v>0.21</v>
      </c>
      <c r="E103" s="22">
        <f t="shared" si="2"/>
        <v>2.1</v>
      </c>
      <c r="F103" s="23" t="str">
        <f t="shared" si="3"/>
        <v/>
      </c>
      <c r="G103" s="23" t="str">
        <f t="shared" si="4"/>
        <v/>
      </c>
      <c r="H103" s="27" t="str">
        <f>IFERROR(__xludf.DUMMYFUNCTION("""COMPUTED_VALUE"""),"REGION RE LTD")</f>
        <v>REGION RE LTD</v>
      </c>
      <c r="I103" s="27" t="str">
        <f>IFERROR(__xludf.DUMMYFUNCTION("""COMPUTED_VALUE"""),"Real Estate")</f>
        <v>Real Estate</v>
      </c>
      <c r="J103" s="27" t="str">
        <f>IFERROR(__xludf.DUMMYFUNCTION("""COMPUTED_VALUE"""),"Australia")</f>
        <v>Australia</v>
      </c>
      <c r="K103" s="27">
        <f>IFERROR(__xludf.DUMMYFUNCTION("""COMPUTED_VALUE"""),0.12768158)</f>
        <v>0.12768158</v>
      </c>
      <c r="L103" s="22">
        <f t="shared" si="5"/>
        <v>1.2768158</v>
      </c>
    </row>
    <row r="104">
      <c r="A104" s="27" t="str">
        <f>IFERROR(__xludf.DUMMYFUNCTION("""COMPUTED_VALUE"""),"BECTON DICKINSON")</f>
        <v>BECTON DICKINSON</v>
      </c>
      <c r="B104" s="27" t="str">
        <f>IFERROR(__xludf.DUMMYFUNCTION("""COMPUTED_VALUE"""),"Health Care")</f>
        <v>Health Care</v>
      </c>
      <c r="C104" s="27" t="str">
        <f>IFERROR(__xludf.DUMMYFUNCTION("""COMPUTED_VALUE"""),"United States")</f>
        <v>United States</v>
      </c>
      <c r="D104" s="27">
        <f>IFERROR(__xludf.DUMMYFUNCTION("""COMPUTED_VALUE"""),0.21)</f>
        <v>0.21</v>
      </c>
      <c r="E104" s="22">
        <f t="shared" si="2"/>
        <v>2.1</v>
      </c>
      <c r="F104" s="23" t="str">
        <f t="shared" si="3"/>
        <v/>
      </c>
      <c r="G104" s="23" t="str">
        <f t="shared" si="4"/>
        <v/>
      </c>
      <c r="H104" s="27" t="str">
        <f>IFERROR(__xludf.DUMMYFUNCTION("""COMPUTED_VALUE"""),"TELIX PHARMACEUTICALS LTD")</f>
        <v>TELIX PHARMACEUTICALS LTD</v>
      </c>
      <c r="I104" s="27" t="str">
        <f>IFERROR(__xludf.DUMMYFUNCTION("""COMPUTED_VALUE"""),"Healthcare")</f>
        <v>Healthcare</v>
      </c>
      <c r="J104" s="27" t="str">
        <f>IFERROR(__xludf.DUMMYFUNCTION("""COMPUTED_VALUE"""),"Australia")</f>
        <v>Australia</v>
      </c>
      <c r="K104" s="27">
        <f>IFERROR(__xludf.DUMMYFUNCTION("""COMPUTED_VALUE"""),0.12586937)</f>
        <v>0.12586937</v>
      </c>
      <c r="L104" s="22">
        <f t="shared" si="5"/>
        <v>1.2586937</v>
      </c>
    </row>
    <row r="105">
      <c r="A105" s="27" t="str">
        <f>IFERROR(__xludf.DUMMYFUNCTION("""COMPUTED_VALUE"""),"AMERICAN TOWER REIT CORP")</f>
        <v>AMERICAN TOWER REIT CORP</v>
      </c>
      <c r="B105" s="27" t="str">
        <f>IFERROR(__xludf.DUMMYFUNCTION("""COMPUTED_VALUE"""),"Real Estate")</f>
        <v>Real Estate</v>
      </c>
      <c r="C105" s="27" t="str">
        <f>IFERROR(__xludf.DUMMYFUNCTION("""COMPUTED_VALUE"""),"United States")</f>
        <v>United States</v>
      </c>
      <c r="D105" s="27">
        <f>IFERROR(__xludf.DUMMYFUNCTION("""COMPUTED_VALUE"""),0.21)</f>
        <v>0.21</v>
      </c>
      <c r="E105" s="22">
        <f t="shared" si="2"/>
        <v>2.1</v>
      </c>
      <c r="F105" s="23" t="str">
        <f t="shared" si="3"/>
        <v/>
      </c>
      <c r="G105" s="23" t="str">
        <f t="shared" si="4"/>
        <v/>
      </c>
      <c r="H105" s="27" t="str">
        <f>IFERROR(__xludf.DUMMYFUNCTION("""COMPUTED_VALUE"""),"SANDFIRE RESOURCES LTD")</f>
        <v>SANDFIRE RESOURCES LTD</v>
      </c>
      <c r="I105" s="27" t="str">
        <f>IFERROR(__xludf.DUMMYFUNCTION("""COMPUTED_VALUE"""),"Materials")</f>
        <v>Materials</v>
      </c>
      <c r="J105" s="27" t="str">
        <f>IFERROR(__xludf.DUMMYFUNCTION("""COMPUTED_VALUE"""),"Australia")</f>
        <v>Australia</v>
      </c>
      <c r="K105" s="27">
        <f>IFERROR(__xludf.DUMMYFUNCTION("""COMPUTED_VALUE"""),0.12475332)</f>
        <v>0.12475332</v>
      </c>
      <c r="L105" s="22">
        <f t="shared" si="5"/>
        <v>1.2475332</v>
      </c>
    </row>
    <row r="106">
      <c r="A106" s="27" t="str">
        <f>IFERROR(__xludf.DUMMYFUNCTION("""COMPUTED_VALUE"""),"EOG RESOURCES INC")</f>
        <v>EOG RESOURCES INC</v>
      </c>
      <c r="B106" s="27" t="str">
        <f>IFERROR(__xludf.DUMMYFUNCTION("""COMPUTED_VALUE"""),"Energy")</f>
        <v>Energy</v>
      </c>
      <c r="C106" s="27" t="str">
        <f>IFERROR(__xludf.DUMMYFUNCTION("""COMPUTED_VALUE"""),"United States")</f>
        <v>United States</v>
      </c>
      <c r="D106" s="27">
        <f>IFERROR(__xludf.DUMMYFUNCTION("""COMPUTED_VALUE"""),0.21)</f>
        <v>0.21</v>
      </c>
      <c r="E106" s="22">
        <f t="shared" si="2"/>
        <v>2.1</v>
      </c>
      <c r="F106" s="23" t="str">
        <f t="shared" si="3"/>
        <v/>
      </c>
      <c r="G106" s="23" t="str">
        <f t="shared" si="4"/>
        <v/>
      </c>
      <c r="H106" s="27" t="str">
        <f>IFERROR(__xludf.DUMMYFUNCTION("""COMPUTED_VALUE"""),"WEBJET LTD")</f>
        <v>WEBJET LTD</v>
      </c>
      <c r="I106" s="27" t="str">
        <f>IFERROR(__xludf.DUMMYFUNCTION("""COMPUTED_VALUE"""),"Consumer Discretionary")</f>
        <v>Consumer Discretionary</v>
      </c>
      <c r="J106" s="27" t="str">
        <f>IFERROR(__xludf.DUMMYFUNCTION("""COMPUTED_VALUE"""),"Australia")</f>
        <v>Australia</v>
      </c>
      <c r="K106" s="27">
        <f>IFERROR(__xludf.DUMMYFUNCTION("""COMPUTED_VALUE"""),0.12349813)</f>
        <v>0.12349813</v>
      </c>
      <c r="L106" s="22">
        <f t="shared" si="5"/>
        <v>1.2349813</v>
      </c>
    </row>
    <row r="107">
      <c r="A107" s="27" t="str">
        <f>IFERROR(__xludf.DUMMYFUNCTION("""COMPUTED_VALUE"""),"ALTRIA GROUP INC")</f>
        <v>ALTRIA GROUP INC</v>
      </c>
      <c r="B107" s="27" t="str">
        <f>IFERROR(__xludf.DUMMYFUNCTION("""COMPUTED_VALUE"""),"Consumer Staples")</f>
        <v>Consumer Staples</v>
      </c>
      <c r="C107" s="27" t="str">
        <f>IFERROR(__xludf.DUMMYFUNCTION("""COMPUTED_VALUE"""),"United States")</f>
        <v>United States</v>
      </c>
      <c r="D107" s="27">
        <f>IFERROR(__xludf.DUMMYFUNCTION("""COMPUTED_VALUE"""),0.21)</f>
        <v>0.21</v>
      </c>
      <c r="E107" s="22">
        <f t="shared" si="2"/>
        <v>2.1</v>
      </c>
      <c r="F107" s="23" t="str">
        <f t="shared" si="3"/>
        <v/>
      </c>
      <c r="G107" s="23" t="str">
        <f t="shared" si="4"/>
        <v/>
      </c>
      <c r="H107" s="27" t="str">
        <f>IFERROR(__xludf.DUMMYFUNCTION("""COMPUTED_VALUE"""),"AUB GROUP LTD")</f>
        <v>AUB GROUP LTD</v>
      </c>
      <c r="I107" s="27" t="str">
        <f>IFERROR(__xludf.DUMMYFUNCTION("""COMPUTED_VALUE"""),"Financials")</f>
        <v>Financials</v>
      </c>
      <c r="J107" s="27" t="str">
        <f>IFERROR(__xludf.DUMMYFUNCTION("""COMPUTED_VALUE"""),"Australia")</f>
        <v>Australia</v>
      </c>
      <c r="K107" s="27">
        <f>IFERROR(__xludf.DUMMYFUNCTION("""COMPUTED_VALUE"""),0.12197471)</f>
        <v>0.12197471</v>
      </c>
      <c r="L107" s="22">
        <f t="shared" si="5"/>
        <v>1.2197471</v>
      </c>
    </row>
    <row r="108">
      <c r="A108" s="27" t="str">
        <f>IFERROR(__xludf.DUMMYFUNCTION("""COMPUTED_VALUE"""),"CME GROUP INC CLASS A")</f>
        <v>CME GROUP INC CLASS A</v>
      </c>
      <c r="B108" s="27" t="str">
        <f>IFERROR(__xludf.DUMMYFUNCTION("""COMPUTED_VALUE"""),"Financials")</f>
        <v>Financials</v>
      </c>
      <c r="C108" s="27" t="str">
        <f>IFERROR(__xludf.DUMMYFUNCTION("""COMPUTED_VALUE"""),"United States")</f>
        <v>United States</v>
      </c>
      <c r="D108" s="27">
        <f>IFERROR(__xludf.DUMMYFUNCTION("""COMPUTED_VALUE"""),0.2)</f>
        <v>0.2</v>
      </c>
      <c r="E108" s="22">
        <f t="shared" si="2"/>
        <v>2</v>
      </c>
      <c r="F108" s="23" t="str">
        <f t="shared" si="3"/>
        <v/>
      </c>
      <c r="G108" s="23" t="str">
        <f t="shared" si="4"/>
        <v/>
      </c>
      <c r="H108" s="27" t="str">
        <f>IFERROR(__xludf.DUMMYFUNCTION("""COMPUTED_VALUE"""),"CHARTER HALL LONG WALE REIT")</f>
        <v>CHARTER HALL LONG WALE REIT</v>
      </c>
      <c r="I108" s="27" t="str">
        <f>IFERROR(__xludf.DUMMYFUNCTION("""COMPUTED_VALUE"""),"Real Estate")</f>
        <v>Real Estate</v>
      </c>
      <c r="J108" s="27" t="str">
        <f>IFERROR(__xludf.DUMMYFUNCTION("""COMPUTED_VALUE"""),"Australia")</f>
        <v>Australia</v>
      </c>
      <c r="K108" s="27">
        <f>IFERROR(__xludf.DUMMYFUNCTION("""COMPUTED_VALUE"""),0.12120916)</f>
        <v>0.12120916</v>
      </c>
      <c r="L108" s="22">
        <f t="shared" si="5"/>
        <v>1.2120916</v>
      </c>
    </row>
    <row r="109">
      <c r="A109" s="27" t="str">
        <f>IFERROR(__xludf.DUMMYFUNCTION("""COMPUTED_VALUE"""),"T MOBILE US INC")</f>
        <v>T MOBILE US INC</v>
      </c>
      <c r="B109" s="27" t="str">
        <f>IFERROR(__xludf.DUMMYFUNCTION("""COMPUTED_VALUE"""),"Communication")</f>
        <v>Communication</v>
      </c>
      <c r="C109" s="27" t="str">
        <f>IFERROR(__xludf.DUMMYFUNCTION("""COMPUTED_VALUE"""),"United States")</f>
        <v>United States</v>
      </c>
      <c r="D109" s="27">
        <f>IFERROR(__xludf.DUMMYFUNCTION("""COMPUTED_VALUE"""),0.2)</f>
        <v>0.2</v>
      </c>
      <c r="E109" s="22">
        <f t="shared" si="2"/>
        <v>2</v>
      </c>
      <c r="F109" s="23" t="str">
        <f t="shared" si="3"/>
        <v/>
      </c>
      <c r="G109" s="23" t="str">
        <f t="shared" si="4"/>
        <v/>
      </c>
      <c r="H109" s="27" t="str">
        <f>IFERROR(__xludf.DUMMYFUNCTION("""COMPUTED_VALUE"""),"ORORA LTD")</f>
        <v>ORORA LTD</v>
      </c>
      <c r="I109" s="27" t="str">
        <f>IFERROR(__xludf.DUMMYFUNCTION("""COMPUTED_VALUE"""),"Materials")</f>
        <v>Materials</v>
      </c>
      <c r="J109" s="27" t="str">
        <f>IFERROR(__xludf.DUMMYFUNCTION("""COMPUTED_VALUE"""),"Australia")</f>
        <v>Australia</v>
      </c>
      <c r="K109" s="27">
        <f>IFERROR(__xludf.DUMMYFUNCTION("""COMPUTED_VALUE"""),0.12110165)</f>
        <v>0.12110165</v>
      </c>
      <c r="L109" s="22">
        <f t="shared" si="5"/>
        <v>1.2110165</v>
      </c>
    </row>
    <row r="110">
      <c r="A110" s="27" t="str">
        <f>IFERROR(__xludf.DUMMYFUNCTION("""COMPUTED_VALUE"""),"PALO ALTO NETWORKS INC")</f>
        <v>PALO ALTO NETWORKS INC</v>
      </c>
      <c r="B110" s="27" t="str">
        <f>IFERROR(__xludf.DUMMYFUNCTION("""COMPUTED_VALUE"""),"Information Technology")</f>
        <v>Information Technology</v>
      </c>
      <c r="C110" s="27" t="str">
        <f>IFERROR(__xludf.DUMMYFUNCTION("""COMPUTED_VALUE"""),"United States")</f>
        <v>United States</v>
      </c>
      <c r="D110" s="27">
        <f>IFERROR(__xludf.DUMMYFUNCTION("""COMPUTED_VALUE"""),0.2)</f>
        <v>0.2</v>
      </c>
      <c r="E110" s="22">
        <f t="shared" si="2"/>
        <v>2</v>
      </c>
      <c r="F110" s="23" t="str">
        <f t="shared" si="3"/>
        <v/>
      </c>
      <c r="G110" s="23" t="str">
        <f t="shared" si="4"/>
        <v/>
      </c>
      <c r="H110" s="27" t="str">
        <f>IFERROR(__xludf.DUMMYFUNCTION("""COMPUTED_VALUE"""),"TABCORP HOLDINGS LTD")</f>
        <v>TABCORP HOLDINGS LTD</v>
      </c>
      <c r="I110" s="27" t="str">
        <f>IFERROR(__xludf.DUMMYFUNCTION("""COMPUTED_VALUE"""),"Consumer Discretionary")</f>
        <v>Consumer Discretionary</v>
      </c>
      <c r="J110" s="27" t="str">
        <f>IFERROR(__xludf.DUMMYFUNCTION("""COMPUTED_VALUE"""),"Australia")</f>
        <v>Australia</v>
      </c>
      <c r="K110" s="27">
        <f>IFERROR(__xludf.DUMMYFUNCTION("""COMPUTED_VALUE"""),0.11775825)</f>
        <v>0.11775825</v>
      </c>
      <c r="L110" s="22">
        <f t="shared" si="5"/>
        <v>1.1775825</v>
      </c>
    </row>
    <row r="111">
      <c r="A111" s="27" t="str">
        <f>IFERROR(__xludf.DUMMYFUNCTION("""COMPUTED_VALUE"""),"MICRON TECHNOLOGY INC")</f>
        <v>MICRON TECHNOLOGY INC</v>
      </c>
      <c r="B111" s="27" t="str">
        <f>IFERROR(__xludf.DUMMYFUNCTION("""COMPUTED_VALUE"""),"Information Technology")</f>
        <v>Information Technology</v>
      </c>
      <c r="C111" s="27" t="str">
        <f>IFERROR(__xludf.DUMMYFUNCTION("""COMPUTED_VALUE"""),"United States")</f>
        <v>United States</v>
      </c>
      <c r="D111" s="27">
        <f>IFERROR(__xludf.DUMMYFUNCTION("""COMPUTED_VALUE"""),0.2)</f>
        <v>0.2</v>
      </c>
      <c r="E111" s="22">
        <f t="shared" si="2"/>
        <v>2</v>
      </c>
      <c r="F111" s="23" t="str">
        <f t="shared" si="3"/>
        <v/>
      </c>
      <c r="G111" s="23" t="str">
        <f t="shared" si="4"/>
        <v/>
      </c>
      <c r="H111" s="27" t="str">
        <f>IFERROR(__xludf.DUMMYFUNCTION("""COMPUTED_VALUE"""),"CORPORATE TRAVEL MANAGEMENT LT")</f>
        <v>CORPORATE TRAVEL MANAGEMENT LT</v>
      </c>
      <c r="I111" s="27" t="str">
        <f>IFERROR(__xludf.DUMMYFUNCTION("""COMPUTED_VALUE"""),"Consumer Discretionary")</f>
        <v>Consumer Discretionary</v>
      </c>
      <c r="J111" s="27" t="str">
        <f>IFERROR(__xludf.DUMMYFUNCTION("""COMPUTED_VALUE"""),"Australia")</f>
        <v>Australia</v>
      </c>
      <c r="K111" s="27">
        <f>IFERROR(__xludf.DUMMYFUNCTION("""COMPUTED_VALUE"""),0.11772831)</f>
        <v>0.11772831</v>
      </c>
      <c r="L111" s="22">
        <f t="shared" si="5"/>
        <v>1.1772831</v>
      </c>
    </row>
    <row r="112">
      <c r="A112" s="27" t="str">
        <f>IFERROR(__xludf.DUMMYFUNCTION("""COMPUTED_VALUE"""),"SOUTHERN")</f>
        <v>SOUTHERN</v>
      </c>
      <c r="B112" s="27" t="str">
        <f>IFERROR(__xludf.DUMMYFUNCTION("""COMPUTED_VALUE"""),"Utilities")</f>
        <v>Utilities</v>
      </c>
      <c r="C112" s="27" t="str">
        <f>IFERROR(__xludf.DUMMYFUNCTION("""COMPUTED_VALUE"""),"United States")</f>
        <v>United States</v>
      </c>
      <c r="D112" s="27">
        <f>IFERROR(__xludf.DUMMYFUNCTION("""COMPUTED_VALUE"""),0.2)</f>
        <v>0.2</v>
      </c>
      <c r="E112" s="22">
        <f t="shared" si="2"/>
        <v>2</v>
      </c>
      <c r="F112" s="23" t="str">
        <f t="shared" si="3"/>
        <v/>
      </c>
      <c r="G112" s="23" t="str">
        <f t="shared" si="4"/>
        <v/>
      </c>
      <c r="H112" s="27" t="str">
        <f>IFERROR(__xludf.DUMMYFUNCTION("""COMPUTED_VALUE"""),"VIVA ENERGY GROUP LTD")</f>
        <v>VIVA ENERGY GROUP LTD</v>
      </c>
      <c r="I112" s="27" t="str">
        <f>IFERROR(__xludf.DUMMYFUNCTION("""COMPUTED_VALUE"""),"Energy")</f>
        <v>Energy</v>
      </c>
      <c r="J112" s="27" t="str">
        <f>IFERROR(__xludf.DUMMYFUNCTION("""COMPUTED_VALUE"""),"Australia")</f>
        <v>Australia</v>
      </c>
      <c r="K112" s="27">
        <f>IFERROR(__xludf.DUMMYFUNCTION("""COMPUTED_VALUE"""),0.11673081)</f>
        <v>0.11673081</v>
      </c>
      <c r="L112" s="22">
        <f t="shared" si="5"/>
        <v>1.1673081</v>
      </c>
    </row>
    <row r="113">
      <c r="A113" s="27" t="str">
        <f>IFERROR(__xludf.DUMMYFUNCTION("""COMPUTED_VALUE"""),"SYNOPSYS INC")</f>
        <v>SYNOPSYS INC</v>
      </c>
      <c r="B113" s="27" t="str">
        <f>IFERROR(__xludf.DUMMYFUNCTION("""COMPUTED_VALUE"""),"Information Technology")</f>
        <v>Information Technology</v>
      </c>
      <c r="C113" s="27" t="str">
        <f>IFERROR(__xludf.DUMMYFUNCTION("""COMPUTED_VALUE"""),"United States")</f>
        <v>United States</v>
      </c>
      <c r="D113" s="27">
        <f>IFERROR(__xludf.DUMMYFUNCTION("""COMPUTED_VALUE"""),0.19)</f>
        <v>0.19</v>
      </c>
      <c r="E113" s="22">
        <f t="shared" si="2"/>
        <v>1.9</v>
      </c>
      <c r="F113" s="23" t="str">
        <f t="shared" si="3"/>
        <v/>
      </c>
      <c r="G113" s="23" t="str">
        <f t="shared" si="4"/>
        <v/>
      </c>
      <c r="H113" s="27" t="str">
        <f>IFERROR(__xludf.DUMMYFUNCTION("""COMPUTED_VALUE"""),"SIMS LTD")</f>
        <v>SIMS LTD</v>
      </c>
      <c r="I113" s="27" t="str">
        <f>IFERROR(__xludf.DUMMYFUNCTION("""COMPUTED_VALUE"""),"Materials")</f>
        <v>Materials</v>
      </c>
      <c r="J113" s="27" t="str">
        <f>IFERROR(__xludf.DUMMYFUNCTION("""COMPUTED_VALUE"""),"Australia")</f>
        <v>Australia</v>
      </c>
      <c r="K113" s="27">
        <f>IFERROR(__xludf.DUMMYFUNCTION("""COMPUTED_VALUE"""),0.11563485)</f>
        <v>0.11563485</v>
      </c>
      <c r="L113" s="22">
        <f t="shared" si="5"/>
        <v>1.1563485</v>
      </c>
    </row>
    <row r="114">
      <c r="A114" s="27" t="str">
        <f>IFERROR(__xludf.DUMMYFUNCTION("""COMPUTED_VALUE"""),"FISERV INC")</f>
        <v>FISERV INC</v>
      </c>
      <c r="B114" s="27" t="str">
        <f>IFERROR(__xludf.DUMMYFUNCTION("""COMPUTED_VALUE"""),"Financials")</f>
        <v>Financials</v>
      </c>
      <c r="C114" s="27" t="str">
        <f>IFERROR(__xludf.DUMMYFUNCTION("""COMPUTED_VALUE"""),"United States")</f>
        <v>United States</v>
      </c>
      <c r="D114" s="27">
        <f>IFERROR(__xludf.DUMMYFUNCTION("""COMPUTED_VALUE"""),0.19)</f>
        <v>0.19</v>
      </c>
      <c r="E114" s="22">
        <f t="shared" si="2"/>
        <v>1.9</v>
      </c>
      <c r="F114" s="23" t="str">
        <f t="shared" si="3"/>
        <v/>
      </c>
      <c r="G114" s="23" t="str">
        <f t="shared" si="4"/>
        <v/>
      </c>
      <c r="H114" s="27" t="str">
        <f>IFERROR(__xludf.DUMMYFUNCTION("""COMPUTED_VALUE"""),"CHAMPION IRON LTD")</f>
        <v>CHAMPION IRON LTD</v>
      </c>
      <c r="I114" s="27" t="str">
        <f>IFERROR(__xludf.DUMMYFUNCTION("""COMPUTED_VALUE"""),"Materials")</f>
        <v>Materials</v>
      </c>
      <c r="J114" s="27" t="str">
        <f>IFERROR(__xludf.DUMMYFUNCTION("""COMPUTED_VALUE"""),"Australia")</f>
        <v>Australia</v>
      </c>
      <c r="K114" s="27">
        <f>IFERROR(__xludf.DUMMYFUNCTION("""COMPUTED_VALUE"""),0.11540552)</f>
        <v>0.11540552</v>
      </c>
      <c r="L114" s="22">
        <f t="shared" si="5"/>
        <v>1.1540552</v>
      </c>
    </row>
    <row r="115">
      <c r="A115" s="27" t="str">
        <f>IFERROR(__xludf.DUMMYFUNCTION("""COMPUTED_VALUE"""),"DUKE ENERGY CORP")</f>
        <v>DUKE ENERGY CORP</v>
      </c>
      <c r="B115" s="27" t="str">
        <f>IFERROR(__xludf.DUMMYFUNCTION("""COMPUTED_VALUE"""),"Utilities")</f>
        <v>Utilities</v>
      </c>
      <c r="C115" s="27" t="str">
        <f>IFERROR(__xludf.DUMMYFUNCTION("""COMPUTED_VALUE"""),"United States")</f>
        <v>United States</v>
      </c>
      <c r="D115" s="27">
        <f>IFERROR(__xludf.DUMMYFUNCTION("""COMPUTED_VALUE"""),0.19)</f>
        <v>0.19</v>
      </c>
      <c r="E115" s="22">
        <f t="shared" si="2"/>
        <v>1.9</v>
      </c>
      <c r="F115" s="23" t="str">
        <f t="shared" si="3"/>
        <v/>
      </c>
      <c r="G115" s="23" t="str">
        <f t="shared" si="4"/>
        <v/>
      </c>
      <c r="H115" s="27" t="str">
        <f>IFERROR(__xludf.DUMMYFUNCTION("""COMPUTED_VALUE"""),"PERSEUS MINING LTD")</f>
        <v>PERSEUS MINING LTD</v>
      </c>
      <c r="I115" s="27" t="str">
        <f>IFERROR(__xludf.DUMMYFUNCTION("""COMPUTED_VALUE"""),"Materials")</f>
        <v>Materials</v>
      </c>
      <c r="J115" s="27" t="str">
        <f>IFERROR(__xludf.DUMMYFUNCTION("""COMPUTED_VALUE"""),"Australia")</f>
        <v>Australia</v>
      </c>
      <c r="K115" s="27">
        <f>IFERROR(__xludf.DUMMYFUNCTION("""COMPUTED_VALUE"""),0.11373657)</f>
        <v>0.11373657</v>
      </c>
      <c r="L115" s="22">
        <f t="shared" si="5"/>
        <v>1.1373657</v>
      </c>
    </row>
    <row r="116">
      <c r="A116" s="27" t="str">
        <f>IFERROR(__xludf.DUMMYFUNCTION("""COMPUTED_VALUE"""),"EQUINIX REIT INC")</f>
        <v>EQUINIX REIT INC</v>
      </c>
      <c r="B116" s="27" t="str">
        <f>IFERROR(__xludf.DUMMYFUNCTION("""COMPUTED_VALUE"""),"Real Estate")</f>
        <v>Real Estate</v>
      </c>
      <c r="C116" s="27" t="str">
        <f>IFERROR(__xludf.DUMMYFUNCTION("""COMPUTED_VALUE"""),"United States")</f>
        <v>United States</v>
      </c>
      <c r="D116" s="27">
        <f>IFERROR(__xludf.DUMMYFUNCTION("""COMPUTED_VALUE"""),0.19)</f>
        <v>0.19</v>
      </c>
      <c r="E116" s="22">
        <f t="shared" si="2"/>
        <v>1.9</v>
      </c>
      <c r="F116" s="23" t="str">
        <f t="shared" si="3"/>
        <v/>
      </c>
      <c r="G116" s="23" t="str">
        <f t="shared" si="4"/>
        <v/>
      </c>
      <c r="H116" s="27" t="str">
        <f>IFERROR(__xludf.DUMMYFUNCTION("""COMPUTED_VALUE"""),"DOWNER EDI LTD")</f>
        <v>DOWNER EDI LTD</v>
      </c>
      <c r="I116" s="27" t="str">
        <f>IFERROR(__xludf.DUMMYFUNCTION("""COMPUTED_VALUE"""),"Industrials")</f>
        <v>Industrials</v>
      </c>
      <c r="J116" s="27" t="str">
        <f>IFERROR(__xludf.DUMMYFUNCTION("""COMPUTED_VALUE"""),"Australia")</f>
        <v>Australia</v>
      </c>
      <c r="K116" s="27">
        <f>IFERROR(__xludf.DUMMYFUNCTION("""COMPUTED_VALUE"""),0.11181799)</f>
        <v>0.11181799</v>
      </c>
      <c r="L116" s="22">
        <f t="shared" si="5"/>
        <v>1.1181799</v>
      </c>
    </row>
    <row r="117">
      <c r="A117" s="27" t="str">
        <f>IFERROR(__xludf.DUMMYFUNCTION("""COMPUTED_VALUE"""),"ACTIVISION BLIZZARD INC")</f>
        <v>ACTIVISION BLIZZARD INC</v>
      </c>
      <c r="B117" s="27" t="str">
        <f>IFERROR(__xludf.DUMMYFUNCTION("""COMPUTED_VALUE"""),"Communication")</f>
        <v>Communication</v>
      </c>
      <c r="C117" s="27" t="str">
        <f>IFERROR(__xludf.DUMMYFUNCTION("""COMPUTED_VALUE"""),"United States")</f>
        <v>United States</v>
      </c>
      <c r="D117" s="27">
        <f>IFERROR(__xludf.DUMMYFUNCTION("""COMPUTED_VALUE"""),0.19)</f>
        <v>0.19</v>
      </c>
      <c r="E117" s="22">
        <f t="shared" si="2"/>
        <v>1.9</v>
      </c>
      <c r="F117" s="23" t="str">
        <f t="shared" si="3"/>
        <v/>
      </c>
      <c r="G117" s="23" t="str">
        <f t="shared" si="4"/>
        <v/>
      </c>
      <c r="H117" s="27" t="str">
        <f>IFERROR(__xludf.DUMMYFUNCTION("""COMPUTED_VALUE"""),"CHALICE MINING LTD")</f>
        <v>CHALICE MINING LTD</v>
      </c>
      <c r="I117" s="27" t="str">
        <f>IFERROR(__xludf.DUMMYFUNCTION("""COMPUTED_VALUE"""),"Materials")</f>
        <v>Materials</v>
      </c>
      <c r="J117" s="27" t="str">
        <f>IFERROR(__xludf.DUMMYFUNCTION("""COMPUTED_VALUE"""),"Australia")</f>
        <v>Australia</v>
      </c>
      <c r="K117" s="27">
        <f>IFERROR(__xludf.DUMMYFUNCTION("""COMPUTED_VALUE"""),0.11065096)</f>
        <v>0.11065096</v>
      </c>
      <c r="L117" s="22">
        <f t="shared" si="5"/>
        <v>1.1065096</v>
      </c>
    </row>
    <row r="118">
      <c r="A118" s="27" t="str">
        <f>IFERROR(__xludf.DUMMYFUNCTION("""COMPUTED_VALUE"""),"AON PLC CLASS A")</f>
        <v>AON PLC CLASS A</v>
      </c>
      <c r="B118" s="27" t="str">
        <f>IFERROR(__xludf.DUMMYFUNCTION("""COMPUTED_VALUE"""),"Financials")</f>
        <v>Financials</v>
      </c>
      <c r="C118" s="27" t="str">
        <f>IFERROR(__xludf.DUMMYFUNCTION("""COMPUTED_VALUE"""),"United States")</f>
        <v>United States</v>
      </c>
      <c r="D118" s="27">
        <f>IFERROR(__xludf.DUMMYFUNCTION("""COMPUTED_VALUE"""),0.19)</f>
        <v>0.19</v>
      </c>
      <c r="E118" s="22">
        <f t="shared" si="2"/>
        <v>1.9</v>
      </c>
      <c r="F118" s="23" t="str">
        <f t="shared" si="3"/>
        <v/>
      </c>
      <c r="G118" s="23" t="str">
        <f t="shared" si="4"/>
        <v/>
      </c>
      <c r="H118" s="27" t="str">
        <f>IFERROR(__xludf.DUMMYFUNCTION("""COMPUTED_VALUE"""),"CSR LTD")</f>
        <v>CSR LTD</v>
      </c>
      <c r="I118" s="27" t="str">
        <f>IFERROR(__xludf.DUMMYFUNCTION("""COMPUTED_VALUE"""),"Materials")</f>
        <v>Materials</v>
      </c>
      <c r="J118" s="27" t="str">
        <f>IFERROR(__xludf.DUMMYFUNCTION("""COMPUTED_VALUE"""),"Australia")</f>
        <v>Australia</v>
      </c>
      <c r="K118" s="27">
        <f>IFERROR(__xludf.DUMMYFUNCTION("""COMPUTED_VALUE"""),0.10958369)</f>
        <v>0.10958369</v>
      </c>
      <c r="L118" s="22">
        <f t="shared" si="5"/>
        <v>1.0958369</v>
      </c>
    </row>
    <row r="119">
      <c r="A119" s="27" t="str">
        <f>IFERROR(__xludf.DUMMYFUNCTION("""COMPUTED_VALUE"""),"PAYPAL HOLDINGS INC")</f>
        <v>PAYPAL HOLDINGS INC</v>
      </c>
      <c r="B119" s="27" t="str">
        <f>IFERROR(__xludf.DUMMYFUNCTION("""COMPUTED_VALUE"""),"Financials")</f>
        <v>Financials</v>
      </c>
      <c r="C119" s="27" t="str">
        <f>IFERROR(__xludf.DUMMYFUNCTION("""COMPUTED_VALUE"""),"United States")</f>
        <v>United States</v>
      </c>
      <c r="D119" s="27">
        <f>IFERROR(__xludf.DUMMYFUNCTION("""COMPUTED_VALUE"""),0.18)</f>
        <v>0.18</v>
      </c>
      <c r="E119" s="22">
        <f t="shared" si="2"/>
        <v>1.8</v>
      </c>
      <c r="F119" s="23" t="str">
        <f t="shared" si="3"/>
        <v/>
      </c>
      <c r="G119" s="23" t="str">
        <f t="shared" si="4"/>
        <v/>
      </c>
      <c r="H119" s="27" t="str">
        <f>IFERROR(__xludf.DUMMYFUNCTION("""COMPUTED_VALUE"""),"TPG TELECOM LTD")</f>
        <v>TPG TELECOM LTD</v>
      </c>
      <c r="I119" s="27" t="str">
        <f>IFERROR(__xludf.DUMMYFUNCTION("""COMPUTED_VALUE"""),"Communication Services")</f>
        <v>Communication Services</v>
      </c>
      <c r="J119" s="27" t="str">
        <f>IFERROR(__xludf.DUMMYFUNCTION("""COMPUTED_VALUE"""),"Australia")</f>
        <v>Australia</v>
      </c>
      <c r="K119" s="27">
        <f>IFERROR(__xludf.DUMMYFUNCTION("""COMPUTED_VALUE"""),0.10885324)</f>
        <v>0.10885324</v>
      </c>
      <c r="L119" s="22">
        <f t="shared" si="5"/>
        <v>1.0885324</v>
      </c>
    </row>
    <row r="120">
      <c r="A120" s="27" t="str">
        <f>IFERROR(__xludf.DUMMYFUNCTION("""COMPUTED_VALUE"""),"ILLINOIS TOOL INC")</f>
        <v>ILLINOIS TOOL INC</v>
      </c>
      <c r="B120" s="27" t="str">
        <f>IFERROR(__xludf.DUMMYFUNCTION("""COMPUTED_VALUE"""),"Industrials")</f>
        <v>Industrials</v>
      </c>
      <c r="C120" s="27" t="str">
        <f>IFERROR(__xludf.DUMMYFUNCTION("""COMPUTED_VALUE"""),"United States")</f>
        <v>United States</v>
      </c>
      <c r="D120" s="27">
        <f>IFERROR(__xludf.DUMMYFUNCTION("""COMPUTED_VALUE"""),0.18)</f>
        <v>0.18</v>
      </c>
      <c r="E120" s="22">
        <f t="shared" si="2"/>
        <v>1.8</v>
      </c>
      <c r="F120" s="23" t="str">
        <f t="shared" si="3"/>
        <v/>
      </c>
      <c r="G120" s="23" t="str">
        <f t="shared" si="4"/>
        <v/>
      </c>
      <c r="H120" s="27" t="str">
        <f>IFERROR(__xludf.DUMMYFUNCTION("""COMPUTED_VALUE"""),"A2 MILK CO LTD/THE")</f>
        <v>A2 MILK CO LTD/THE</v>
      </c>
      <c r="I120" s="27" t="str">
        <f>IFERROR(__xludf.DUMMYFUNCTION("""COMPUTED_VALUE"""),"Consumer Staples")</f>
        <v>Consumer Staples</v>
      </c>
      <c r="J120" s="27" t="str">
        <f>IFERROR(__xludf.DUMMYFUNCTION("""COMPUTED_VALUE"""),"Australia")</f>
        <v>Australia</v>
      </c>
      <c r="K120" s="27">
        <f>IFERROR(__xludf.DUMMYFUNCTION("""COMPUTED_VALUE"""),0.10317964)</f>
        <v>0.10317964</v>
      </c>
      <c r="L120" s="22">
        <f t="shared" si="5"/>
        <v>1.0317964</v>
      </c>
    </row>
    <row r="121">
      <c r="A121" s="27" t="str">
        <f>IFERROR(__xludf.DUMMYFUNCTION("""COMPUTED_VALUE"""),"AIR PRODUCTS AND CHEMICALS INC")</f>
        <v>AIR PRODUCTS AND CHEMICALS INC</v>
      </c>
      <c r="B121" s="27" t="str">
        <f>IFERROR(__xludf.DUMMYFUNCTION("""COMPUTED_VALUE"""),"Materials")</f>
        <v>Materials</v>
      </c>
      <c r="C121" s="27" t="str">
        <f>IFERROR(__xludf.DUMMYFUNCTION("""COMPUTED_VALUE"""),"United States")</f>
        <v>United States</v>
      </c>
      <c r="D121" s="27">
        <f>IFERROR(__xludf.DUMMYFUNCTION("""COMPUTED_VALUE"""),0.18)</f>
        <v>0.18</v>
      </c>
      <c r="E121" s="22">
        <f t="shared" si="2"/>
        <v>1.8</v>
      </c>
      <c r="F121" s="23" t="str">
        <f t="shared" si="3"/>
        <v/>
      </c>
      <c r="G121" s="23" t="str">
        <f t="shared" si="4"/>
        <v/>
      </c>
      <c r="H121" s="27" t="str">
        <f>IFERROR(__xludf.DUMMYFUNCTION("""COMPUTED_VALUE"""),"BRICKWORKS LTD")</f>
        <v>BRICKWORKS LTD</v>
      </c>
      <c r="I121" s="27" t="str">
        <f>IFERROR(__xludf.DUMMYFUNCTION("""COMPUTED_VALUE"""),"Materials")</f>
        <v>Materials</v>
      </c>
      <c r="J121" s="27" t="str">
        <f>IFERROR(__xludf.DUMMYFUNCTION("""COMPUTED_VALUE"""),"Australia")</f>
        <v>Australia</v>
      </c>
      <c r="K121" s="27">
        <f>IFERROR(__xludf.DUMMYFUNCTION("""COMPUTED_VALUE"""),0.10181141)</f>
        <v>0.10181141</v>
      </c>
      <c r="L121" s="22">
        <f t="shared" si="5"/>
        <v>1.0181141</v>
      </c>
    </row>
    <row r="122">
      <c r="A122" s="27" t="str">
        <f>IFERROR(__xludf.DUMMYFUNCTION("""COMPUTED_VALUE"""),"CADENCE DESIGN SYSTEMS INC")</f>
        <v>CADENCE DESIGN SYSTEMS INC</v>
      </c>
      <c r="B122" s="27" t="str">
        <f>IFERROR(__xludf.DUMMYFUNCTION("""COMPUTED_VALUE"""),"Information Technology")</f>
        <v>Information Technology</v>
      </c>
      <c r="C122" s="27" t="str">
        <f>IFERROR(__xludf.DUMMYFUNCTION("""COMPUTED_VALUE"""),"United States")</f>
        <v>United States</v>
      </c>
      <c r="D122" s="27">
        <f>IFERROR(__xludf.DUMMYFUNCTION("""COMPUTED_VALUE"""),0.18)</f>
        <v>0.18</v>
      </c>
      <c r="E122" s="22">
        <f t="shared" si="2"/>
        <v>1.8</v>
      </c>
      <c r="F122" s="23" t="str">
        <f t="shared" si="3"/>
        <v/>
      </c>
      <c r="G122" s="23" t="str">
        <f t="shared" si="4"/>
        <v/>
      </c>
      <c r="H122" s="27" t="str">
        <f>IFERROR(__xludf.DUMMYFUNCTION("""COMPUTED_VALUE"""),"DOMINO'S PIZZA ENTERPRISES LTD")</f>
        <v>DOMINO'S PIZZA ENTERPRISES LTD</v>
      </c>
      <c r="I122" s="27" t="str">
        <f>IFERROR(__xludf.DUMMYFUNCTION("""COMPUTED_VALUE"""),"Consumer Discretionary")</f>
        <v>Consumer Discretionary</v>
      </c>
      <c r="J122" s="27" t="str">
        <f>IFERROR(__xludf.DUMMYFUNCTION("""COMPUTED_VALUE"""),"Australia")</f>
        <v>Australia</v>
      </c>
      <c r="K122" s="27">
        <f>IFERROR(__xludf.DUMMYFUNCTION("""COMPUTED_VALUE"""),0.10145985)</f>
        <v>0.10145985</v>
      </c>
      <c r="L122" s="22">
        <f t="shared" si="5"/>
        <v>1.0145985</v>
      </c>
    </row>
    <row r="123">
      <c r="A123" s="27" t="str">
        <f>IFERROR(__xludf.DUMMYFUNCTION("""COMPUTED_VALUE"""),"INTERCONTINENTAL EXCHANGE INC")</f>
        <v>INTERCONTINENTAL EXCHANGE INC</v>
      </c>
      <c r="B123" s="27" t="str">
        <f>IFERROR(__xludf.DUMMYFUNCTION("""COMPUTED_VALUE"""),"Financials")</f>
        <v>Financials</v>
      </c>
      <c r="C123" s="27" t="str">
        <f>IFERROR(__xludf.DUMMYFUNCTION("""COMPUTED_VALUE"""),"United States")</f>
        <v>United States</v>
      </c>
      <c r="D123" s="27">
        <f>IFERROR(__xludf.DUMMYFUNCTION("""COMPUTED_VALUE"""),0.18)</f>
        <v>0.18</v>
      </c>
      <c r="E123" s="22">
        <f t="shared" si="2"/>
        <v>1.8</v>
      </c>
      <c r="F123" s="23" t="str">
        <f t="shared" si="3"/>
        <v/>
      </c>
      <c r="G123" s="23" t="str">
        <f t="shared" si="4"/>
        <v/>
      </c>
      <c r="H123" s="27" t="str">
        <f>IFERROR(__xludf.DUMMYFUNCTION("""COMPUTED_VALUE"""),"VIRGIN MONEY UK PLC")</f>
        <v>VIRGIN MONEY UK PLC</v>
      </c>
      <c r="I123" s="27" t="str">
        <f>IFERROR(__xludf.DUMMYFUNCTION("""COMPUTED_VALUE"""),"Financials")</f>
        <v>Financials</v>
      </c>
      <c r="J123" s="27" t="str">
        <f>IFERROR(__xludf.DUMMYFUNCTION("""COMPUTED_VALUE"""),"Australia")</f>
        <v>Australia</v>
      </c>
      <c r="K123" s="27">
        <f>IFERROR(__xludf.DUMMYFUNCTION("""COMPUTED_VALUE"""),0.09997941)</f>
        <v>0.09997941</v>
      </c>
      <c r="L123" s="22">
        <f t="shared" si="5"/>
        <v>0.9997941</v>
      </c>
    </row>
    <row r="124">
      <c r="A124" s="27" t="str">
        <f>IFERROR(__xludf.DUMMYFUNCTION("""COMPUTED_VALUE"""),"KLA CORP")</f>
        <v>KLA CORP</v>
      </c>
      <c r="B124" s="27" t="str">
        <f>IFERROR(__xludf.DUMMYFUNCTION("""COMPUTED_VALUE"""),"Information Technology")</f>
        <v>Information Technology</v>
      </c>
      <c r="C124" s="27" t="str">
        <f>IFERROR(__xludf.DUMMYFUNCTION("""COMPUTED_VALUE"""),"United States")</f>
        <v>United States</v>
      </c>
      <c r="D124" s="27">
        <f>IFERROR(__xludf.DUMMYFUNCTION("""COMPUTED_VALUE"""),0.17)</f>
        <v>0.17</v>
      </c>
      <c r="E124" s="22">
        <f t="shared" si="2"/>
        <v>1.7</v>
      </c>
      <c r="F124" s="23" t="str">
        <f t="shared" si="3"/>
        <v/>
      </c>
      <c r="G124" s="23" t="str">
        <f t="shared" si="4"/>
        <v/>
      </c>
      <c r="H124" s="27" t="str">
        <f>IFERROR(__xludf.DUMMYFUNCTION("""COMPUTED_VALUE"""),"BEACH ENERGY LTD")</f>
        <v>BEACH ENERGY LTD</v>
      </c>
      <c r="I124" s="27" t="str">
        <f>IFERROR(__xludf.DUMMYFUNCTION("""COMPUTED_VALUE"""),"Energy")</f>
        <v>Energy</v>
      </c>
      <c r="J124" s="27" t="str">
        <f>IFERROR(__xludf.DUMMYFUNCTION("""COMPUTED_VALUE"""),"Australia")</f>
        <v>Australia</v>
      </c>
      <c r="K124" s="27">
        <f>IFERROR(__xludf.DUMMYFUNCTION("""COMPUTED_VALUE"""),0.09951741)</f>
        <v>0.09951741</v>
      </c>
      <c r="L124" s="22">
        <f t="shared" si="5"/>
        <v>0.9951741</v>
      </c>
    </row>
    <row r="125">
      <c r="A125" s="27" t="str">
        <f>IFERROR(__xludf.DUMMYFUNCTION("""COMPUTED_VALUE"""),"NORTHROP GRUMMAN CORP")</f>
        <v>NORTHROP GRUMMAN CORP</v>
      </c>
      <c r="B125" s="27" t="str">
        <f>IFERROR(__xludf.DUMMYFUNCTION("""COMPUTED_VALUE"""),"Industrials")</f>
        <v>Industrials</v>
      </c>
      <c r="C125" s="27" t="str">
        <f>IFERROR(__xludf.DUMMYFUNCTION("""COMPUTED_VALUE"""),"United States")</f>
        <v>United States</v>
      </c>
      <c r="D125" s="27">
        <f>IFERROR(__xludf.DUMMYFUNCTION("""COMPUTED_VALUE"""),0.17)</f>
        <v>0.17</v>
      </c>
      <c r="E125" s="22">
        <f t="shared" si="2"/>
        <v>1.7</v>
      </c>
      <c r="F125" s="23" t="str">
        <f t="shared" si="3"/>
        <v/>
      </c>
      <c r="G125" s="23" t="str">
        <f t="shared" si="4"/>
        <v/>
      </c>
      <c r="H125" s="27" t="str">
        <f>IFERROR(__xludf.DUMMYFUNCTION("""COMPUTED_VALUE"""),"ARB CORP LTD")</f>
        <v>ARB CORP LTD</v>
      </c>
      <c r="I125" s="27" t="str">
        <f>IFERROR(__xludf.DUMMYFUNCTION("""COMPUTED_VALUE"""),"Consumer Discretionary")</f>
        <v>Consumer Discretionary</v>
      </c>
      <c r="J125" s="27" t="str">
        <f>IFERROR(__xludf.DUMMYFUNCTION("""COMPUTED_VALUE"""),"Australia")</f>
        <v>Australia</v>
      </c>
      <c r="K125" s="27">
        <f>IFERROR(__xludf.DUMMYFUNCTION("""COMPUTED_VALUE"""),0.09882832)</f>
        <v>0.09882832</v>
      </c>
      <c r="L125" s="22">
        <f t="shared" si="5"/>
        <v>0.9882832</v>
      </c>
    </row>
    <row r="126">
      <c r="A126" s="27" t="str">
        <f>IFERROR(__xludf.DUMMYFUNCTION("""COMPUTED_VALUE"""),"MARATHON PETROLEUM CORP")</f>
        <v>MARATHON PETROLEUM CORP</v>
      </c>
      <c r="B126" s="27" t="str">
        <f>IFERROR(__xludf.DUMMYFUNCTION("""COMPUTED_VALUE"""),"Energy")</f>
        <v>Energy</v>
      </c>
      <c r="C126" s="27" t="str">
        <f>IFERROR(__xludf.DUMMYFUNCTION("""COMPUTED_VALUE"""),"United States")</f>
        <v>United States</v>
      </c>
      <c r="D126" s="27">
        <f>IFERROR(__xludf.DUMMYFUNCTION("""COMPUTED_VALUE"""),0.17)</f>
        <v>0.17</v>
      </c>
      <c r="E126" s="22">
        <f t="shared" si="2"/>
        <v>1.7</v>
      </c>
      <c r="F126" s="23" t="str">
        <f t="shared" si="3"/>
        <v/>
      </c>
      <c r="G126" s="23" t="str">
        <f t="shared" si="4"/>
        <v/>
      </c>
      <c r="H126" s="27" t="str">
        <f>IFERROR(__xludf.DUMMYFUNCTION("""COMPUTED_VALUE"""),"PALADIN ENERGY LTD")</f>
        <v>PALADIN ENERGY LTD</v>
      </c>
      <c r="I126" s="27" t="str">
        <f>IFERROR(__xludf.DUMMYFUNCTION("""COMPUTED_VALUE"""),"Energy")</f>
        <v>Energy</v>
      </c>
      <c r="J126" s="27" t="str">
        <f>IFERROR(__xludf.DUMMYFUNCTION("""COMPUTED_VALUE"""),"Australia")</f>
        <v>Australia</v>
      </c>
      <c r="K126" s="27">
        <f>IFERROR(__xludf.DUMMYFUNCTION("""COMPUTED_VALUE"""),0.09507414)</f>
        <v>0.09507414</v>
      </c>
      <c r="L126" s="22">
        <f t="shared" si="5"/>
        <v>0.9507414</v>
      </c>
    </row>
    <row r="127">
      <c r="A127" s="27" t="str">
        <f>IFERROR(__xludf.DUMMYFUNCTION("""COMPUTED_VALUE"""),"FEDEX CORP")</f>
        <v>FEDEX CORP</v>
      </c>
      <c r="B127" s="27" t="str">
        <f>IFERROR(__xludf.DUMMYFUNCTION("""COMPUTED_VALUE"""),"Industrials")</f>
        <v>Industrials</v>
      </c>
      <c r="C127" s="27" t="str">
        <f>IFERROR(__xludf.DUMMYFUNCTION("""COMPUTED_VALUE"""),"United States")</f>
        <v>United States</v>
      </c>
      <c r="D127" s="27">
        <f>IFERROR(__xludf.DUMMYFUNCTION("""COMPUTED_VALUE"""),0.17)</f>
        <v>0.17</v>
      </c>
      <c r="E127" s="22">
        <f t="shared" si="2"/>
        <v>1.7</v>
      </c>
      <c r="F127" s="23" t="str">
        <f t="shared" si="3"/>
        <v/>
      </c>
      <c r="G127" s="23" t="str">
        <f t="shared" si="4"/>
        <v/>
      </c>
      <c r="H127" s="27" t="str">
        <f>IFERROR(__xludf.DUMMYFUNCTION("""COMPUTED_VALUE"""),"PREMIER INVESTMENTS LTD")</f>
        <v>PREMIER INVESTMENTS LTD</v>
      </c>
      <c r="I127" s="27" t="str">
        <f>IFERROR(__xludf.DUMMYFUNCTION("""COMPUTED_VALUE"""),"Consumer Discretionary")</f>
        <v>Consumer Discretionary</v>
      </c>
      <c r="J127" s="27" t="str">
        <f>IFERROR(__xludf.DUMMYFUNCTION("""COMPUTED_VALUE"""),"Australia")</f>
        <v>Australia</v>
      </c>
      <c r="K127" s="27">
        <f>IFERROR(__xludf.DUMMYFUNCTION("""COMPUTED_VALUE"""),0.09332331)</f>
        <v>0.09332331</v>
      </c>
      <c r="L127" s="22">
        <f t="shared" si="5"/>
        <v>0.9332331</v>
      </c>
    </row>
    <row r="128">
      <c r="A128" s="27" t="str">
        <f>IFERROR(__xludf.DUMMYFUNCTION("""COMPUTED_VALUE"""),"HUMANA INC")</f>
        <v>HUMANA INC</v>
      </c>
      <c r="B128" s="27" t="str">
        <f>IFERROR(__xludf.DUMMYFUNCTION("""COMPUTED_VALUE"""),"Health Care")</f>
        <v>Health Care</v>
      </c>
      <c r="C128" s="27" t="str">
        <f>IFERROR(__xludf.DUMMYFUNCTION("""COMPUTED_VALUE"""),"United States")</f>
        <v>United States</v>
      </c>
      <c r="D128" s="27">
        <f>IFERROR(__xludf.DUMMYFUNCTION("""COMPUTED_VALUE"""),0.17)</f>
        <v>0.17</v>
      </c>
      <c r="E128" s="22">
        <f t="shared" si="2"/>
        <v>1.7</v>
      </c>
      <c r="F128" s="23" t="str">
        <f t="shared" si="3"/>
        <v/>
      </c>
      <c r="G128" s="23" t="str">
        <f t="shared" si="4"/>
        <v/>
      </c>
      <c r="H128" s="27" t="str">
        <f>IFERROR(__xludf.DUMMYFUNCTION("""COMPUTED_VALUE"""),"IRESS LTD")</f>
        <v>IRESS LTD</v>
      </c>
      <c r="I128" s="27" t="str">
        <f>IFERROR(__xludf.DUMMYFUNCTION("""COMPUTED_VALUE"""),"Information Technology")</f>
        <v>Information Technology</v>
      </c>
      <c r="J128" s="27" t="str">
        <f>IFERROR(__xludf.DUMMYFUNCTION("""COMPUTED_VALUE"""),"Australia")</f>
        <v>Australia</v>
      </c>
      <c r="K128" s="27">
        <f>IFERROR(__xludf.DUMMYFUNCTION("""COMPUTED_VALUE"""),0.09161789)</f>
        <v>0.09161789</v>
      </c>
      <c r="L128" s="22">
        <f t="shared" si="5"/>
        <v>0.9161789</v>
      </c>
    </row>
    <row r="129">
      <c r="A129" s="27" t="str">
        <f>IFERROR(__xludf.DUMMYFUNCTION("""COMPUTED_VALUE"""),"CSX CORP")</f>
        <v>CSX CORP</v>
      </c>
      <c r="B129" s="27" t="str">
        <f>IFERROR(__xludf.DUMMYFUNCTION("""COMPUTED_VALUE"""),"Industrials")</f>
        <v>Industrials</v>
      </c>
      <c r="C129" s="27" t="str">
        <f>IFERROR(__xludf.DUMMYFUNCTION("""COMPUTED_VALUE"""),"United States")</f>
        <v>United States</v>
      </c>
      <c r="D129" s="27">
        <f>IFERROR(__xludf.DUMMYFUNCTION("""COMPUTED_VALUE"""),0.17)</f>
        <v>0.17</v>
      </c>
      <c r="E129" s="22">
        <f t="shared" si="2"/>
        <v>1.7</v>
      </c>
      <c r="F129" s="23" t="str">
        <f t="shared" si="3"/>
        <v/>
      </c>
      <c r="G129" s="23" t="str">
        <f t="shared" si="4"/>
        <v/>
      </c>
      <c r="H129" s="27" t="str">
        <f>IFERROR(__xludf.DUMMYFUNCTION("""COMPUTED_VALUE"""),"BAPCOR LTD")</f>
        <v>BAPCOR LTD</v>
      </c>
      <c r="I129" s="27" t="str">
        <f>IFERROR(__xludf.DUMMYFUNCTION("""COMPUTED_VALUE"""),"Consumer Discretionary")</f>
        <v>Consumer Discretionary</v>
      </c>
      <c r="J129" s="27" t="str">
        <f>IFERROR(__xludf.DUMMYFUNCTION("""COMPUTED_VALUE"""),"Australia")</f>
        <v>Australia</v>
      </c>
      <c r="K129" s="27">
        <f>IFERROR(__xludf.DUMMYFUNCTION("""COMPUTED_VALUE"""),0.08828923)</f>
        <v>0.08828923</v>
      </c>
      <c r="L129" s="22">
        <f t="shared" si="5"/>
        <v>0.8828923</v>
      </c>
    </row>
    <row r="130">
      <c r="A130" s="27" t="str">
        <f>IFERROR(__xludf.DUMMYFUNCTION("""COMPUTED_VALUE"""),"SHERWIN WILLIAMS")</f>
        <v>SHERWIN WILLIAMS</v>
      </c>
      <c r="B130" s="27" t="str">
        <f>IFERROR(__xludf.DUMMYFUNCTION("""COMPUTED_VALUE"""),"Materials")</f>
        <v>Materials</v>
      </c>
      <c r="C130" s="27" t="str">
        <f>IFERROR(__xludf.DUMMYFUNCTION("""COMPUTED_VALUE"""),"United States")</f>
        <v>United States</v>
      </c>
      <c r="D130" s="27">
        <f>IFERROR(__xludf.DUMMYFUNCTION("""COMPUTED_VALUE"""),0.17)</f>
        <v>0.17</v>
      </c>
      <c r="E130" s="22">
        <f t="shared" si="2"/>
        <v>1.7</v>
      </c>
      <c r="F130" s="23" t="str">
        <f t="shared" si="3"/>
        <v/>
      </c>
      <c r="G130" s="23" t="str">
        <f t="shared" si="4"/>
        <v/>
      </c>
      <c r="H130" s="27" t="str">
        <f>IFERROR(__xludf.DUMMYFUNCTION("""COMPUTED_VALUE"""),"HARVEY NORMAN HOLDINGS LTD")</f>
        <v>HARVEY NORMAN HOLDINGS LTD</v>
      </c>
      <c r="I130" s="27" t="str">
        <f>IFERROR(__xludf.DUMMYFUNCTION("""COMPUTED_VALUE"""),"Consumer Discretionary")</f>
        <v>Consumer Discretionary</v>
      </c>
      <c r="J130" s="27" t="str">
        <f>IFERROR(__xludf.DUMMYFUNCTION("""COMPUTED_VALUE"""),"Australia")</f>
        <v>Australia</v>
      </c>
      <c r="K130" s="27">
        <f>IFERROR(__xludf.DUMMYFUNCTION("""COMPUTED_VALUE"""),0.08808661)</f>
        <v>0.08808661</v>
      </c>
      <c r="L130" s="22">
        <f t="shared" si="5"/>
        <v>0.8808661</v>
      </c>
    </row>
    <row r="131">
      <c r="A131" s="27" t="str">
        <f>IFERROR(__xludf.DUMMYFUNCTION("""COMPUTED_VALUE"""),"MCKESSON CORP")</f>
        <v>MCKESSON CORP</v>
      </c>
      <c r="B131" s="27" t="str">
        <f>IFERROR(__xludf.DUMMYFUNCTION("""COMPUTED_VALUE"""),"Health Care")</f>
        <v>Health Care</v>
      </c>
      <c r="C131" s="27" t="str">
        <f>IFERROR(__xludf.DUMMYFUNCTION("""COMPUTED_VALUE"""),"United States")</f>
        <v>United States</v>
      </c>
      <c r="D131" s="27">
        <f>IFERROR(__xludf.DUMMYFUNCTION("""COMPUTED_VALUE"""),0.17)</f>
        <v>0.17</v>
      </c>
      <c r="E131" s="22">
        <f t="shared" si="2"/>
        <v>1.7</v>
      </c>
      <c r="F131" s="23" t="str">
        <f t="shared" si="3"/>
        <v/>
      </c>
      <c r="G131" s="23" t="str">
        <f t="shared" si="4"/>
        <v/>
      </c>
      <c r="H131" s="27" t="str">
        <f>IFERROR(__xludf.DUMMYFUNCTION("""COMPUTED_VALUE"""),"CHARTER HALL RETAIL REIT")</f>
        <v>CHARTER HALL RETAIL REIT</v>
      </c>
      <c r="I131" s="27" t="str">
        <f>IFERROR(__xludf.DUMMYFUNCTION("""COMPUTED_VALUE"""),"Real Estate")</f>
        <v>Real Estate</v>
      </c>
      <c r="J131" s="27" t="str">
        <f>IFERROR(__xludf.DUMMYFUNCTION("""COMPUTED_VALUE"""),"Australia")</f>
        <v>Australia</v>
      </c>
      <c r="K131" s="27">
        <f>IFERROR(__xludf.DUMMYFUNCTION("""COMPUTED_VALUE"""),0.0867478)</f>
        <v>0.0867478</v>
      </c>
      <c r="L131" s="22">
        <f t="shared" si="5"/>
        <v>0.867478</v>
      </c>
    </row>
    <row r="132">
      <c r="A132" s="27" t="str">
        <f>IFERROR(__xludf.DUMMYFUNCTION("""COMPUTED_VALUE"""),"COLGATE-PALMOLIVE")</f>
        <v>COLGATE-PALMOLIVE</v>
      </c>
      <c r="B132" s="27" t="str">
        <f>IFERROR(__xludf.DUMMYFUNCTION("""COMPUTED_VALUE"""),"Consumer Staples")</f>
        <v>Consumer Staples</v>
      </c>
      <c r="C132" s="27" t="str">
        <f>IFERROR(__xludf.DUMMYFUNCTION("""COMPUTED_VALUE"""),"United States")</f>
        <v>United States</v>
      </c>
      <c r="D132" s="27">
        <f>IFERROR(__xludf.DUMMYFUNCTION("""COMPUTED_VALUE"""),0.16)</f>
        <v>0.16</v>
      </c>
      <c r="E132" s="22">
        <f t="shared" si="2"/>
        <v>1.6</v>
      </c>
      <c r="F132" s="23" t="str">
        <f t="shared" si="3"/>
        <v/>
      </c>
      <c r="G132" s="23" t="str">
        <f t="shared" si="4"/>
        <v/>
      </c>
      <c r="H132" s="27" t="str">
        <f>IFERROR(__xludf.DUMMYFUNCTION("""COMPUTED_VALUE"""),"AUCKLAND INTERNATIONAL AIRPORT")</f>
        <v>AUCKLAND INTERNATIONAL AIRPORT</v>
      </c>
      <c r="I132" s="27" t="str">
        <f>IFERROR(__xludf.DUMMYFUNCTION("""COMPUTED_VALUE"""),"Industrials")</f>
        <v>Industrials</v>
      </c>
      <c r="J132" s="27" t="str">
        <f>IFERROR(__xludf.DUMMYFUNCTION("""COMPUTED_VALUE"""),"Australia")</f>
        <v>Australia</v>
      </c>
      <c r="K132" s="27">
        <f>IFERROR(__xludf.DUMMYFUNCTION("""COMPUTED_VALUE"""),0.08636888)</f>
        <v>0.08636888</v>
      </c>
      <c r="L132" s="22">
        <f t="shared" si="5"/>
        <v>0.8636888</v>
      </c>
    </row>
    <row r="133">
      <c r="A133" s="27" t="str">
        <f>IFERROR(__xludf.DUMMYFUNCTION("""COMPUTED_VALUE"""),"AIRBNB INC CLASS A")</f>
        <v>AIRBNB INC CLASS A</v>
      </c>
      <c r="B133" s="27" t="str">
        <f>IFERROR(__xludf.DUMMYFUNCTION("""COMPUTED_VALUE"""),"Consumer Discretionary")</f>
        <v>Consumer Discretionary</v>
      </c>
      <c r="C133" s="27" t="str">
        <f>IFERROR(__xludf.DUMMYFUNCTION("""COMPUTED_VALUE"""),"United States")</f>
        <v>United States</v>
      </c>
      <c r="D133" s="27">
        <f>IFERROR(__xludf.DUMMYFUNCTION("""COMPUTED_VALUE"""),0.16)</f>
        <v>0.16</v>
      </c>
      <c r="E133" s="22">
        <f t="shared" si="2"/>
        <v>1.6</v>
      </c>
      <c r="F133" s="23" t="str">
        <f t="shared" si="3"/>
        <v/>
      </c>
      <c r="G133" s="23" t="str">
        <f t="shared" si="4"/>
        <v/>
      </c>
      <c r="H133" s="27" t="str">
        <f>IFERROR(__xludf.DUMMYFUNCTION("""COMPUTED_VALUE"""),"EAGERS AUTOMOTIVE LTD")</f>
        <v>EAGERS AUTOMOTIVE LTD</v>
      </c>
      <c r="I133" s="27" t="str">
        <f>IFERROR(__xludf.DUMMYFUNCTION("""COMPUTED_VALUE"""),"Consumer Discretionary")</f>
        <v>Consumer Discretionary</v>
      </c>
      <c r="J133" s="27" t="str">
        <f>IFERROR(__xludf.DUMMYFUNCTION("""COMPUTED_VALUE"""),"Australia")</f>
        <v>Australia</v>
      </c>
      <c r="K133" s="27">
        <f>IFERROR(__xludf.DUMMYFUNCTION("""COMPUTED_VALUE"""),0.08592735)</f>
        <v>0.08592735</v>
      </c>
      <c r="L133" s="22">
        <f t="shared" si="5"/>
        <v>0.8592735</v>
      </c>
    </row>
    <row r="134">
      <c r="A134" s="27" t="str">
        <f>IFERROR(__xludf.DUMMYFUNCTION("""COMPUTED_VALUE"""),"WASTE MANAGEMENT INC")</f>
        <v>WASTE MANAGEMENT INC</v>
      </c>
      <c r="B134" s="27" t="str">
        <f>IFERROR(__xludf.DUMMYFUNCTION("""COMPUTED_VALUE"""),"Industrials")</f>
        <v>Industrials</v>
      </c>
      <c r="C134" s="27" t="str">
        <f>IFERROR(__xludf.DUMMYFUNCTION("""COMPUTED_VALUE"""),"United States")</f>
        <v>United States</v>
      </c>
      <c r="D134" s="27">
        <f>IFERROR(__xludf.DUMMYFUNCTION("""COMPUTED_VALUE"""),0.16)</f>
        <v>0.16</v>
      </c>
      <c r="E134" s="22">
        <f t="shared" si="2"/>
        <v>1.6</v>
      </c>
      <c r="F134" s="23" t="str">
        <f t="shared" si="3"/>
        <v/>
      </c>
      <c r="G134" s="23" t="str">
        <f t="shared" si="4"/>
        <v/>
      </c>
      <c r="H134" s="27" t="str">
        <f>IFERROR(__xludf.DUMMYFUNCTION("""COMPUTED_VALUE"""),"DETERRA ROYALTIES LTD")</f>
        <v>DETERRA ROYALTIES LTD</v>
      </c>
      <c r="I134" s="27" t="str">
        <f>IFERROR(__xludf.DUMMYFUNCTION("""COMPUTED_VALUE"""),"Materials")</f>
        <v>Materials</v>
      </c>
      <c r="J134" s="27" t="str">
        <f>IFERROR(__xludf.DUMMYFUNCTION("""COMPUTED_VALUE"""),"Australia")</f>
        <v>Australia</v>
      </c>
      <c r="K134" s="27">
        <f>IFERROR(__xludf.DUMMYFUNCTION("""COMPUTED_VALUE"""),0.08572153)</f>
        <v>0.08572153</v>
      </c>
      <c r="L134" s="22">
        <f t="shared" si="5"/>
        <v>0.8572153</v>
      </c>
    </row>
    <row r="135">
      <c r="A135" s="27" t="str">
        <f>IFERROR(__xludf.DUMMYFUNCTION("""COMPUTED_VALUE"""),"EMERSON ELECTRIC")</f>
        <v>EMERSON ELECTRIC</v>
      </c>
      <c r="B135" s="27" t="str">
        <f>IFERROR(__xludf.DUMMYFUNCTION("""COMPUTED_VALUE"""),"Industrials")</f>
        <v>Industrials</v>
      </c>
      <c r="C135" s="27" t="str">
        <f>IFERROR(__xludf.DUMMYFUNCTION("""COMPUTED_VALUE"""),"United States")</f>
        <v>United States</v>
      </c>
      <c r="D135" s="27">
        <f>IFERROR(__xludf.DUMMYFUNCTION("""COMPUTED_VALUE"""),0.15)</f>
        <v>0.15</v>
      </c>
      <c r="E135" s="22">
        <f t="shared" si="2"/>
        <v>1.5</v>
      </c>
      <c r="F135" s="23" t="str">
        <f t="shared" si="3"/>
        <v/>
      </c>
      <c r="G135" s="23" t="str">
        <f t="shared" si="4"/>
        <v/>
      </c>
      <c r="H135" s="27" t="str">
        <f>IFERROR(__xludf.DUMMYFUNCTION("""COMPUTED_VALUE"""),"WAYPOINT REIT LTD")</f>
        <v>WAYPOINT REIT LTD</v>
      </c>
      <c r="I135" s="27" t="str">
        <f>IFERROR(__xludf.DUMMYFUNCTION("""COMPUTED_VALUE"""),"Real Estate")</f>
        <v>Real Estate</v>
      </c>
      <c r="J135" s="27" t="str">
        <f>IFERROR(__xludf.DUMMYFUNCTION("""COMPUTED_VALUE"""),"Australia")</f>
        <v>Australia</v>
      </c>
      <c r="K135" s="27">
        <f>IFERROR(__xludf.DUMMYFUNCTION("""COMPUTED_VALUE"""),0.08564507)</f>
        <v>0.08564507</v>
      </c>
      <c r="L135" s="22">
        <f t="shared" si="5"/>
        <v>0.8564507</v>
      </c>
    </row>
    <row r="136">
      <c r="A136" s="27" t="str">
        <f>IFERROR(__xludf.DUMMYFUNCTION("""COMPUTED_VALUE"""),"OREILLY AUTOMOTIVE INC")</f>
        <v>OREILLY AUTOMOTIVE INC</v>
      </c>
      <c r="B136" s="27" t="str">
        <f>IFERROR(__xludf.DUMMYFUNCTION("""COMPUTED_VALUE"""),"Consumer Discretionary")</f>
        <v>Consumer Discretionary</v>
      </c>
      <c r="C136" s="27" t="str">
        <f>IFERROR(__xludf.DUMMYFUNCTION("""COMPUTED_VALUE"""),"United States")</f>
        <v>United States</v>
      </c>
      <c r="D136" s="27">
        <f>IFERROR(__xludf.DUMMYFUNCTION("""COMPUTED_VALUE"""),0.15)</f>
        <v>0.15</v>
      </c>
      <c r="E136" s="22">
        <f t="shared" si="2"/>
        <v>1.5</v>
      </c>
      <c r="F136" s="23" t="str">
        <f t="shared" si="3"/>
        <v/>
      </c>
      <c r="G136" s="23" t="str">
        <f t="shared" si="4"/>
        <v/>
      </c>
      <c r="H136" s="27" t="str">
        <f>IFERROR(__xludf.DUMMYFUNCTION("""COMPUTED_VALUE"""),"HUB24 LTD")</f>
        <v>HUB24 LTD</v>
      </c>
      <c r="I136" s="27" t="str">
        <f>IFERROR(__xludf.DUMMYFUNCTION("""COMPUTED_VALUE"""),"Financials")</f>
        <v>Financials</v>
      </c>
      <c r="J136" s="27" t="str">
        <f>IFERROR(__xludf.DUMMYFUNCTION("""COMPUTED_VALUE"""),"Australia")</f>
        <v>Australia</v>
      </c>
      <c r="K136" s="27">
        <f>IFERROR(__xludf.DUMMYFUNCTION("""COMPUTED_VALUE"""),0.08535592)</f>
        <v>0.08535592</v>
      </c>
      <c r="L136" s="22">
        <f t="shared" si="5"/>
        <v>0.8535592</v>
      </c>
    </row>
    <row r="137">
      <c r="A137" s="27" t="str">
        <f>IFERROR(__xludf.DUMMYFUNCTION("""COMPUTED_VALUE"""),"PHILLIPS")</f>
        <v>PHILLIPS</v>
      </c>
      <c r="B137" s="27" t="str">
        <f>IFERROR(__xludf.DUMMYFUNCTION("""COMPUTED_VALUE"""),"Energy")</f>
        <v>Energy</v>
      </c>
      <c r="C137" s="27" t="str">
        <f>IFERROR(__xludf.DUMMYFUNCTION("""COMPUTED_VALUE"""),"United States")</f>
        <v>United States</v>
      </c>
      <c r="D137" s="27">
        <f>IFERROR(__xludf.DUMMYFUNCTION("""COMPUTED_VALUE"""),0.15)</f>
        <v>0.15</v>
      </c>
      <c r="E137" s="22">
        <f t="shared" si="2"/>
        <v>1.5</v>
      </c>
      <c r="F137" s="23" t="str">
        <f t="shared" si="3"/>
        <v/>
      </c>
      <c r="G137" s="23" t="str">
        <f t="shared" si="4"/>
        <v/>
      </c>
      <c r="H137" s="27" t="str">
        <f>IFERROR(__xludf.DUMMYFUNCTION("""COMPUTED_VALUE"""),"SUPER RETAIL GROUP LTD")</f>
        <v>SUPER RETAIL GROUP LTD</v>
      </c>
      <c r="I137" s="27" t="str">
        <f>IFERROR(__xludf.DUMMYFUNCTION("""COMPUTED_VALUE"""),"Consumer Discretionary")</f>
        <v>Consumer Discretionary</v>
      </c>
      <c r="J137" s="27" t="str">
        <f>IFERROR(__xludf.DUMMYFUNCTION("""COMPUTED_VALUE"""),"Australia")</f>
        <v>Australia</v>
      </c>
      <c r="K137" s="27">
        <f>IFERROR(__xludf.DUMMYFUNCTION("""COMPUTED_VALUE"""),0.08492218)</f>
        <v>0.08492218</v>
      </c>
      <c r="L137" s="22">
        <f t="shared" si="5"/>
        <v>0.8492218</v>
      </c>
    </row>
    <row r="138">
      <c r="A138" s="27" t="str">
        <f>IFERROR(__xludf.DUMMYFUNCTION("""COMPUTED_VALUE"""),"PIONEER NATURAL RESOURCE")</f>
        <v>PIONEER NATURAL RESOURCE</v>
      </c>
      <c r="B138" s="27" t="str">
        <f>IFERROR(__xludf.DUMMYFUNCTION("""COMPUTED_VALUE"""),"Energy")</f>
        <v>Energy</v>
      </c>
      <c r="C138" s="27" t="str">
        <f>IFERROR(__xludf.DUMMYFUNCTION("""COMPUTED_VALUE"""),"United States")</f>
        <v>United States</v>
      </c>
      <c r="D138" s="27">
        <f>IFERROR(__xludf.DUMMYFUNCTION("""COMPUTED_VALUE"""),0.15)</f>
        <v>0.15</v>
      </c>
      <c r="E138" s="22">
        <f t="shared" si="2"/>
        <v>1.5</v>
      </c>
      <c r="F138" s="23" t="str">
        <f t="shared" si="3"/>
        <v/>
      </c>
      <c r="G138" s="23" t="str">
        <f t="shared" si="4"/>
        <v/>
      </c>
      <c r="H138" s="27" t="str">
        <f>IFERROR(__xludf.DUMMYFUNCTION("""COMPUTED_VALUE"""),"IPH LTD")</f>
        <v>IPH LTD</v>
      </c>
      <c r="I138" s="27" t="str">
        <f>IFERROR(__xludf.DUMMYFUNCTION("""COMPUTED_VALUE"""),"Industrials")</f>
        <v>Industrials</v>
      </c>
      <c r="J138" s="27" t="str">
        <f>IFERROR(__xludf.DUMMYFUNCTION("""COMPUTED_VALUE"""),"Australia")</f>
        <v>Australia</v>
      </c>
      <c r="K138" s="27">
        <f>IFERROR(__xludf.DUMMYFUNCTION("""COMPUTED_VALUE"""),0.08362714)</f>
        <v>0.08362714</v>
      </c>
      <c r="L138" s="22">
        <f t="shared" si="5"/>
        <v>0.8362714</v>
      </c>
    </row>
    <row r="139">
      <c r="A139" s="27" t="str">
        <f>IFERROR(__xludf.DUMMYFUNCTION("""COMPUTED_VALUE"""),"FREEPORT MCMORAN INC")</f>
        <v>FREEPORT MCMORAN INC</v>
      </c>
      <c r="B139" s="27" t="str">
        <f>IFERROR(__xludf.DUMMYFUNCTION("""COMPUTED_VALUE"""),"Materials")</f>
        <v>Materials</v>
      </c>
      <c r="C139" s="27" t="str">
        <f>IFERROR(__xludf.DUMMYFUNCTION("""COMPUTED_VALUE"""),"United States")</f>
        <v>United States</v>
      </c>
      <c r="D139" s="27">
        <f>IFERROR(__xludf.DUMMYFUNCTION("""COMPUTED_VALUE"""),0.15)</f>
        <v>0.15</v>
      </c>
      <c r="E139" s="22">
        <f t="shared" si="2"/>
        <v>1.5</v>
      </c>
      <c r="F139" s="23" t="str">
        <f t="shared" si="3"/>
        <v/>
      </c>
      <c r="G139" s="23" t="str">
        <f t="shared" si="4"/>
        <v/>
      </c>
      <c r="H139" s="27" t="str">
        <f>IFERROR(__xludf.DUMMYFUNCTION("""COMPUTED_VALUE"""),"GOLD ROAD RESOURCES LTD")</f>
        <v>GOLD ROAD RESOURCES LTD</v>
      </c>
      <c r="I139" s="27" t="str">
        <f>IFERROR(__xludf.DUMMYFUNCTION("""COMPUTED_VALUE"""),"Materials")</f>
        <v>Materials</v>
      </c>
      <c r="J139" s="27" t="str">
        <f>IFERROR(__xludf.DUMMYFUNCTION("""COMPUTED_VALUE"""),"Australia")</f>
        <v>Australia</v>
      </c>
      <c r="K139" s="27">
        <f>IFERROR(__xludf.DUMMYFUNCTION("""COMPUTED_VALUE"""),0.08174121)</f>
        <v>0.08174121</v>
      </c>
      <c r="L139" s="22">
        <f t="shared" si="5"/>
        <v>0.8174121</v>
      </c>
    </row>
    <row r="140">
      <c r="A140" s="27" t="str">
        <f>IFERROR(__xludf.DUMMYFUNCTION("""COMPUTED_VALUE"""),"ROPER TECHNOLOGIES INC")</f>
        <v>ROPER TECHNOLOGIES INC</v>
      </c>
      <c r="B140" s="27" t="str">
        <f>IFERROR(__xludf.DUMMYFUNCTION("""COMPUTED_VALUE"""),"Information Technology")</f>
        <v>Information Technology</v>
      </c>
      <c r="C140" s="27" t="str">
        <f>IFERROR(__xludf.DUMMYFUNCTION("""COMPUTED_VALUE"""),"United States")</f>
        <v>United States</v>
      </c>
      <c r="D140" s="27">
        <f>IFERROR(__xludf.DUMMYFUNCTION("""COMPUTED_VALUE"""),0.14)</f>
        <v>0.14</v>
      </c>
      <c r="E140" s="22">
        <f t="shared" si="2"/>
        <v>1.4</v>
      </c>
      <c r="F140" s="23" t="str">
        <f t="shared" si="3"/>
        <v/>
      </c>
      <c r="G140" s="23" t="str">
        <f t="shared" si="4"/>
        <v/>
      </c>
      <c r="H140" s="27" t="str">
        <f>IFERROR(__xludf.DUMMYFUNCTION("""COMPUTED_VALUE"""),"BWP TRUST")</f>
        <v>BWP TRUST</v>
      </c>
      <c r="I140" s="27" t="str">
        <f>IFERROR(__xludf.DUMMYFUNCTION("""COMPUTED_VALUE"""),"Real Estate")</f>
        <v>Real Estate</v>
      </c>
      <c r="J140" s="27" t="str">
        <f>IFERROR(__xludf.DUMMYFUNCTION("""COMPUTED_VALUE"""),"Australia")</f>
        <v>Australia</v>
      </c>
      <c r="K140" s="27">
        <f>IFERROR(__xludf.DUMMYFUNCTION("""COMPUTED_VALUE"""),0.08135485)</f>
        <v>0.08135485</v>
      </c>
      <c r="L140" s="22">
        <f t="shared" si="5"/>
        <v>0.8135485</v>
      </c>
    </row>
    <row r="141">
      <c r="A141" s="27" t="str">
        <f>IFERROR(__xludf.DUMMYFUNCTION("""COMPUTED_VALUE"""),"VALERO ENERGY CORP")</f>
        <v>VALERO ENERGY CORP</v>
      </c>
      <c r="B141" s="27" t="str">
        <f>IFERROR(__xludf.DUMMYFUNCTION("""COMPUTED_VALUE"""),"Energy")</f>
        <v>Energy</v>
      </c>
      <c r="C141" s="27" t="str">
        <f>IFERROR(__xludf.DUMMYFUNCTION("""COMPUTED_VALUE"""),"United States")</f>
        <v>United States</v>
      </c>
      <c r="D141" s="27">
        <f>IFERROR(__xludf.DUMMYFUNCTION("""COMPUTED_VALUE"""),0.14)</f>
        <v>0.14</v>
      </c>
      <c r="E141" s="22">
        <f t="shared" si="2"/>
        <v>1.4</v>
      </c>
      <c r="F141" s="23" t="str">
        <f t="shared" si="3"/>
        <v/>
      </c>
      <c r="G141" s="23" t="str">
        <f t="shared" si="4"/>
        <v/>
      </c>
      <c r="H141" s="27" t="str">
        <f>IFERROR(__xludf.DUMMYFUNCTION("""COMPUTED_VALUE"""),"BREVILLE GROUP LTD")</f>
        <v>BREVILLE GROUP LTD</v>
      </c>
      <c r="I141" s="27" t="str">
        <f>IFERROR(__xludf.DUMMYFUNCTION("""COMPUTED_VALUE"""),"Consumer Discretionary")</f>
        <v>Consumer Discretionary</v>
      </c>
      <c r="J141" s="27" t="str">
        <f>IFERROR(__xludf.DUMMYFUNCTION("""COMPUTED_VALUE"""),"Australia")</f>
        <v>Australia</v>
      </c>
      <c r="K141" s="27">
        <f>IFERROR(__xludf.DUMMYFUNCTION("""COMPUTED_VALUE"""),0.07903334)</f>
        <v>0.07903334</v>
      </c>
      <c r="L141" s="22">
        <f t="shared" si="5"/>
        <v>0.7903334</v>
      </c>
    </row>
    <row r="142">
      <c r="A142" s="27" t="str">
        <f>IFERROR(__xludf.DUMMYFUNCTION("""COMPUTED_VALUE"""),"NXP SEMICONDUCTORS NV")</f>
        <v>NXP SEMICONDUCTORS NV</v>
      </c>
      <c r="B142" s="27" t="str">
        <f>IFERROR(__xludf.DUMMYFUNCTION("""COMPUTED_VALUE"""),"Information Technology")</f>
        <v>Information Technology</v>
      </c>
      <c r="C142" s="27" t="str">
        <f>IFERROR(__xludf.DUMMYFUNCTION("""COMPUTED_VALUE"""),"United States")</f>
        <v>United States</v>
      </c>
      <c r="D142" s="27">
        <f>IFERROR(__xludf.DUMMYFUNCTION("""COMPUTED_VALUE"""),0.14)</f>
        <v>0.14</v>
      </c>
      <c r="E142" s="22">
        <f t="shared" si="2"/>
        <v>1.4</v>
      </c>
      <c r="F142" s="23" t="str">
        <f t="shared" si="3"/>
        <v/>
      </c>
      <c r="G142" s="23" t="str">
        <f t="shared" si="4"/>
        <v/>
      </c>
      <c r="H142" s="27" t="str">
        <f>IFERROR(__xludf.DUMMYFUNCTION("""COMPUTED_VALUE"""),"CORE LITHIUM LTD")</f>
        <v>CORE LITHIUM LTD</v>
      </c>
      <c r="I142" s="27" t="str">
        <f>IFERROR(__xludf.DUMMYFUNCTION("""COMPUTED_VALUE"""),"Materials")</f>
        <v>Materials</v>
      </c>
      <c r="J142" s="27" t="str">
        <f>IFERROR(__xludf.DUMMYFUNCTION("""COMPUTED_VALUE"""),"Australia")</f>
        <v>Australia</v>
      </c>
      <c r="K142" s="27">
        <f>IFERROR(__xludf.DUMMYFUNCTION("""COMPUTED_VALUE"""),0.07894022)</f>
        <v>0.07894022</v>
      </c>
      <c r="L142" s="22">
        <f t="shared" si="5"/>
        <v>0.7894022</v>
      </c>
    </row>
    <row r="143">
      <c r="A143" s="27" t="str">
        <f>IFERROR(__xludf.DUMMYFUNCTION("""COMPUTED_VALUE"""),"3M")</f>
        <v>3M</v>
      </c>
      <c r="B143" s="27" t="str">
        <f>IFERROR(__xludf.DUMMYFUNCTION("""COMPUTED_VALUE"""),"Industrials")</f>
        <v>Industrials</v>
      </c>
      <c r="C143" s="27" t="str">
        <f>IFERROR(__xludf.DUMMYFUNCTION("""COMPUTED_VALUE"""),"United States")</f>
        <v>United States</v>
      </c>
      <c r="D143" s="27">
        <f>IFERROR(__xludf.DUMMYFUNCTION("""COMPUTED_VALUE"""),0.14)</f>
        <v>0.14</v>
      </c>
      <c r="E143" s="22">
        <f t="shared" si="2"/>
        <v>1.4</v>
      </c>
      <c r="F143" s="23" t="str">
        <f t="shared" si="3"/>
        <v/>
      </c>
      <c r="G143" s="23" t="str">
        <f t="shared" si="4"/>
        <v/>
      </c>
      <c r="H143" s="27" t="str">
        <f>IFERROR(__xludf.DUMMYFUNCTION("""COMPUTED_VALUE"""),"CENTURIA INDUSTRIAL REIT")</f>
        <v>CENTURIA INDUSTRIAL REIT</v>
      </c>
      <c r="I143" s="27" t="str">
        <f>IFERROR(__xludf.DUMMYFUNCTION("""COMPUTED_VALUE"""),"Real Estate")</f>
        <v>Real Estate</v>
      </c>
      <c r="J143" s="27" t="str">
        <f>IFERROR(__xludf.DUMMYFUNCTION("""COMPUTED_VALUE"""),"Australia")</f>
        <v>Australia</v>
      </c>
      <c r="K143" s="27">
        <f>IFERROR(__xludf.DUMMYFUNCTION("""COMPUTED_VALUE"""),0.07774276)</f>
        <v>0.07774276</v>
      </c>
      <c r="L143" s="22">
        <f t="shared" si="5"/>
        <v>0.7774276</v>
      </c>
    </row>
    <row r="144">
      <c r="A144" s="27" t="str">
        <f>IFERROR(__xludf.DUMMYFUNCTION("""COMPUTED_VALUE"""),"BLK CSH FND TREASURY SL AGENCY")</f>
        <v>BLK CSH FND TREASURY SL AGENCY</v>
      </c>
      <c r="B144" s="27" t="str">
        <f>IFERROR(__xludf.DUMMYFUNCTION("""COMPUTED_VALUE"""),"Cash and/or Derivatives")</f>
        <v>Cash and/or Derivatives</v>
      </c>
      <c r="C144" s="27" t="str">
        <f>IFERROR(__xludf.DUMMYFUNCTION("""COMPUTED_VALUE"""),"United States")</f>
        <v>United States</v>
      </c>
      <c r="D144" s="27">
        <f>IFERROR(__xludf.DUMMYFUNCTION("""COMPUTED_VALUE"""),0.14)</f>
        <v>0.14</v>
      </c>
      <c r="E144" s="22">
        <f t="shared" si="2"/>
        <v>1.4</v>
      </c>
      <c r="F144" s="23" t="str">
        <f t="shared" si="3"/>
        <v/>
      </c>
      <c r="G144" s="23" t="str">
        <f t="shared" si="4"/>
        <v/>
      </c>
      <c r="H144" s="27" t="str">
        <f>IFERROR(__xludf.DUMMYFUNCTION("""COMPUTED_VALUE"""),"DE GREY MINING LTD")</f>
        <v>DE GREY MINING LTD</v>
      </c>
      <c r="I144" s="27" t="str">
        <f>IFERROR(__xludf.DUMMYFUNCTION("""COMPUTED_VALUE"""),"Materials")</f>
        <v>Materials</v>
      </c>
      <c r="J144" s="27" t="str">
        <f>IFERROR(__xludf.DUMMYFUNCTION("""COMPUTED_VALUE"""),"Australia")</f>
        <v>Australia</v>
      </c>
      <c r="K144" s="27">
        <f>IFERROR(__xludf.DUMMYFUNCTION("""COMPUTED_VALUE"""),0.07768882)</f>
        <v>0.07768882</v>
      </c>
      <c r="L144" s="22">
        <f t="shared" si="5"/>
        <v>0.7768882</v>
      </c>
    </row>
    <row r="145">
      <c r="A145" s="27" t="str">
        <f>IFERROR(__xludf.DUMMYFUNCTION("""COMPUTED_VALUE"""),"CHIPOTLE MEXICAN GRILL INC")</f>
        <v>CHIPOTLE MEXICAN GRILL INC</v>
      </c>
      <c r="B145" s="27" t="str">
        <f>IFERROR(__xludf.DUMMYFUNCTION("""COMPUTED_VALUE"""),"Consumer Discretionary")</f>
        <v>Consumer Discretionary</v>
      </c>
      <c r="C145" s="27" t="str">
        <f>IFERROR(__xludf.DUMMYFUNCTION("""COMPUTED_VALUE"""),"United States")</f>
        <v>United States</v>
      </c>
      <c r="D145" s="27">
        <f>IFERROR(__xludf.DUMMYFUNCTION("""COMPUTED_VALUE"""),0.14)</f>
        <v>0.14</v>
      </c>
      <c r="E145" s="22">
        <f t="shared" si="2"/>
        <v>1.4</v>
      </c>
      <c r="F145" s="23" t="str">
        <f t="shared" si="3"/>
        <v/>
      </c>
      <c r="G145" s="23" t="str">
        <f t="shared" si="4"/>
        <v/>
      </c>
      <c r="H145" s="27" t="str">
        <f>IFERROR(__xludf.DUMMYFUNCTION("""COMPUTED_VALUE"""),"NICKEL INDUSTRIES LTD")</f>
        <v>NICKEL INDUSTRIES LTD</v>
      </c>
      <c r="I145" s="27" t="str">
        <f>IFERROR(__xludf.DUMMYFUNCTION("""COMPUTED_VALUE"""),"Materials")</f>
        <v>Materials</v>
      </c>
      <c r="J145" s="27" t="str">
        <f>IFERROR(__xludf.DUMMYFUNCTION("""COMPUTED_VALUE"""),"Australia")</f>
        <v>Australia</v>
      </c>
      <c r="K145" s="27">
        <f>IFERROR(__xludf.DUMMYFUNCTION("""COMPUTED_VALUE"""),0.07745898)</f>
        <v>0.07745898</v>
      </c>
      <c r="L145" s="22">
        <f t="shared" si="5"/>
        <v>0.7745898</v>
      </c>
    </row>
    <row r="146">
      <c r="A146" s="27" t="str">
        <f>IFERROR(__xludf.DUMMYFUNCTION("""COMPUTED_VALUE"""),"TARGET CORP")</f>
        <v>TARGET CORP</v>
      </c>
      <c r="B146" s="27" t="str">
        <f>IFERROR(__xludf.DUMMYFUNCTION("""COMPUTED_VALUE"""),"Consumer Staples")</f>
        <v>Consumer Staples</v>
      </c>
      <c r="C146" s="27" t="str">
        <f>IFERROR(__xludf.DUMMYFUNCTION("""COMPUTED_VALUE"""),"United States")</f>
        <v>United States</v>
      </c>
      <c r="D146" s="27">
        <f>IFERROR(__xludf.DUMMYFUNCTION("""COMPUTED_VALUE"""),0.14)</f>
        <v>0.14</v>
      </c>
      <c r="E146" s="22">
        <f t="shared" si="2"/>
        <v>1.4</v>
      </c>
      <c r="F146" s="23" t="str">
        <f t="shared" si="3"/>
        <v/>
      </c>
      <c r="G146" s="23" t="str">
        <f t="shared" si="4"/>
        <v/>
      </c>
      <c r="H146" s="27" t="str">
        <f>IFERROR(__xludf.DUMMYFUNCTION("""COMPUTED_VALUE"""),"NUFARM LTD")</f>
        <v>NUFARM LTD</v>
      </c>
      <c r="I146" s="27" t="str">
        <f>IFERROR(__xludf.DUMMYFUNCTION("""COMPUTED_VALUE"""),"Materials")</f>
        <v>Materials</v>
      </c>
      <c r="J146" s="27" t="str">
        <f>IFERROR(__xludf.DUMMYFUNCTION("""COMPUTED_VALUE"""),"Australia")</f>
        <v>Australia</v>
      </c>
      <c r="K146" s="27">
        <f>IFERROR(__xludf.DUMMYFUNCTION("""COMPUTED_VALUE"""),0.07512818)</f>
        <v>0.07512818</v>
      </c>
      <c r="L146" s="22">
        <f t="shared" si="5"/>
        <v>0.7512818</v>
      </c>
    </row>
    <row r="147">
      <c r="A147" s="27" t="str">
        <f>IFERROR(__xludf.DUMMYFUNCTION("""COMPUTED_VALUE"""),"US BANCORP")</f>
        <v>US BANCORP</v>
      </c>
      <c r="B147" s="27" t="str">
        <f>IFERROR(__xludf.DUMMYFUNCTION("""COMPUTED_VALUE"""),"Financials")</f>
        <v>Financials</v>
      </c>
      <c r="C147" s="27" t="str">
        <f>IFERROR(__xludf.DUMMYFUNCTION("""COMPUTED_VALUE"""),"United States")</f>
        <v>United States</v>
      </c>
      <c r="D147" s="27">
        <f>IFERROR(__xludf.DUMMYFUNCTION("""COMPUTED_VALUE"""),0.14)</f>
        <v>0.14</v>
      </c>
      <c r="E147" s="22">
        <f t="shared" si="2"/>
        <v>1.4</v>
      </c>
      <c r="F147" s="23" t="str">
        <f t="shared" si="3"/>
        <v/>
      </c>
      <c r="G147" s="23" t="str">
        <f t="shared" si="4"/>
        <v/>
      </c>
      <c r="H147" s="27" t="str">
        <f>IFERROR(__xludf.DUMMYFUNCTION("""COMPUTED_VALUE"""),"HOMECO DAILY NEEDS REIT")</f>
        <v>HOMECO DAILY NEEDS REIT</v>
      </c>
      <c r="I147" s="27" t="str">
        <f>IFERROR(__xludf.DUMMYFUNCTION("""COMPUTED_VALUE"""),"Real Estate")</f>
        <v>Real Estate</v>
      </c>
      <c r="J147" s="27" t="str">
        <f>IFERROR(__xludf.DUMMYFUNCTION("""COMPUTED_VALUE"""),"Australia")</f>
        <v>Australia</v>
      </c>
      <c r="K147" s="27">
        <f>IFERROR(__xludf.DUMMYFUNCTION("""COMPUTED_VALUE"""),0.07512013)</f>
        <v>0.07512013</v>
      </c>
      <c r="L147" s="22">
        <f t="shared" si="5"/>
        <v>0.7512013</v>
      </c>
    </row>
    <row r="148">
      <c r="A148" s="27" t="str">
        <f>IFERROR(__xludf.DUMMYFUNCTION("""COMPUTED_VALUE"""),"HCA HEALTHCARE INC")</f>
        <v>HCA HEALTHCARE INC</v>
      </c>
      <c r="B148" s="27" t="str">
        <f>IFERROR(__xludf.DUMMYFUNCTION("""COMPUTED_VALUE"""),"Health Care")</f>
        <v>Health Care</v>
      </c>
      <c r="C148" s="27" t="str">
        <f>IFERROR(__xludf.DUMMYFUNCTION("""COMPUTED_VALUE"""),"United States")</f>
        <v>United States</v>
      </c>
      <c r="D148" s="27">
        <f>IFERROR(__xludf.DUMMYFUNCTION("""COMPUTED_VALUE"""),0.14)</f>
        <v>0.14</v>
      </c>
      <c r="E148" s="22">
        <f t="shared" si="2"/>
        <v>1.4</v>
      </c>
      <c r="F148" s="23" t="str">
        <f t="shared" si="3"/>
        <v/>
      </c>
      <c r="G148" s="23" t="str">
        <f t="shared" si="4"/>
        <v/>
      </c>
      <c r="H148" s="27" t="str">
        <f>IFERROR(__xludf.DUMMYFUNCTION("""COMPUTED_VALUE"""),"INSIGNIA FINANCIAL LTD")</f>
        <v>INSIGNIA FINANCIAL LTD</v>
      </c>
      <c r="I148" s="27" t="str">
        <f>IFERROR(__xludf.DUMMYFUNCTION("""COMPUTED_VALUE"""),"Financials")</f>
        <v>Financials</v>
      </c>
      <c r="J148" s="27" t="str">
        <f>IFERROR(__xludf.DUMMYFUNCTION("""COMPUTED_VALUE"""),"Australia")</f>
        <v>Australia</v>
      </c>
      <c r="K148" s="27">
        <f>IFERROR(__xludf.DUMMYFUNCTION("""COMPUTED_VALUE"""),0.07444041)</f>
        <v>0.07444041</v>
      </c>
      <c r="L148" s="22">
        <f t="shared" si="5"/>
        <v>0.7444041</v>
      </c>
    </row>
    <row r="149">
      <c r="A149" s="27" t="str">
        <f>IFERROR(__xludf.DUMMYFUNCTION("""COMPUTED_VALUE"""),"GENERAL DYNAMICS CORP")</f>
        <v>GENERAL DYNAMICS CORP</v>
      </c>
      <c r="B149" s="27" t="str">
        <f>IFERROR(__xludf.DUMMYFUNCTION("""COMPUTED_VALUE"""),"Industrials")</f>
        <v>Industrials</v>
      </c>
      <c r="C149" s="27" t="str">
        <f>IFERROR(__xludf.DUMMYFUNCTION("""COMPUTED_VALUE"""),"United States")</f>
        <v>United States</v>
      </c>
      <c r="D149" s="27">
        <f>IFERROR(__xludf.DUMMYFUNCTION("""COMPUTED_VALUE"""),0.14)</f>
        <v>0.14</v>
      </c>
      <c r="E149" s="22">
        <f t="shared" si="2"/>
        <v>1.4</v>
      </c>
      <c r="F149" s="23" t="str">
        <f t="shared" si="3"/>
        <v/>
      </c>
      <c r="G149" s="23" t="str">
        <f t="shared" si="4"/>
        <v/>
      </c>
      <c r="H149" s="27" t="str">
        <f>IFERROR(__xludf.DUMMYFUNCTION("""COMPUTED_VALUE"""),"VENTIA SERVICES GROUP PTY LTD")</f>
        <v>VENTIA SERVICES GROUP PTY LTD</v>
      </c>
      <c r="I149" s="27" t="str">
        <f>IFERROR(__xludf.DUMMYFUNCTION("""COMPUTED_VALUE"""),"Industrials")</f>
        <v>Industrials</v>
      </c>
      <c r="J149" s="27" t="str">
        <f>IFERROR(__xludf.DUMMYFUNCTION("""COMPUTED_VALUE"""),"Australia")</f>
        <v>Australia</v>
      </c>
      <c r="K149" s="27">
        <f>IFERROR(__xludf.DUMMYFUNCTION("""COMPUTED_VALUE"""),0.07434161)</f>
        <v>0.07434161</v>
      </c>
      <c r="L149" s="22">
        <f t="shared" si="5"/>
        <v>0.7434161</v>
      </c>
    </row>
    <row r="150">
      <c r="A150" s="27" t="str">
        <f>IFERROR(__xludf.DUMMYFUNCTION("""COMPUTED_VALUE"""),"PARKER-HANNIFIN CORP")</f>
        <v>PARKER-HANNIFIN CORP</v>
      </c>
      <c r="B150" s="27" t="str">
        <f>IFERROR(__xludf.DUMMYFUNCTION("""COMPUTED_VALUE"""),"Industrials")</f>
        <v>Industrials</v>
      </c>
      <c r="C150" s="27" t="str">
        <f>IFERROR(__xludf.DUMMYFUNCTION("""COMPUTED_VALUE"""),"United States")</f>
        <v>United States</v>
      </c>
      <c r="D150" s="27">
        <f>IFERROR(__xludf.DUMMYFUNCTION("""COMPUTED_VALUE"""),0.14)</f>
        <v>0.14</v>
      </c>
      <c r="E150" s="22">
        <f t="shared" si="2"/>
        <v>1.4</v>
      </c>
      <c r="F150" s="23" t="str">
        <f t="shared" si="3"/>
        <v/>
      </c>
      <c r="G150" s="23" t="str">
        <f t="shared" si="4"/>
        <v/>
      </c>
      <c r="H150" s="27" t="str">
        <f>IFERROR(__xludf.DUMMYFUNCTION("""COMPUTED_VALUE"""),"NETWEALTH GROUP LTD")</f>
        <v>NETWEALTH GROUP LTD</v>
      </c>
      <c r="I150" s="27" t="str">
        <f>IFERROR(__xludf.DUMMYFUNCTION("""COMPUTED_VALUE"""),"Financials")</f>
        <v>Financials</v>
      </c>
      <c r="J150" s="27" t="str">
        <f>IFERROR(__xludf.DUMMYFUNCTION("""COMPUTED_VALUE"""),"Australia")</f>
        <v>Australia</v>
      </c>
      <c r="K150" s="27">
        <f>IFERROR(__xludf.DUMMYFUNCTION("""COMPUTED_VALUE"""),0.07401941)</f>
        <v>0.07401941</v>
      </c>
      <c r="L150" s="22">
        <f t="shared" si="5"/>
        <v>0.7401941</v>
      </c>
    </row>
    <row r="151">
      <c r="A151" s="27" t="str">
        <f>IFERROR(__xludf.DUMMYFUNCTION("""COMPUTED_VALUE"""),"MOODYS CORP")</f>
        <v>MOODYS CORP</v>
      </c>
      <c r="B151" s="27" t="str">
        <f>IFERROR(__xludf.DUMMYFUNCTION("""COMPUTED_VALUE"""),"Financials")</f>
        <v>Financials</v>
      </c>
      <c r="C151" s="27" t="str">
        <f>IFERROR(__xludf.DUMMYFUNCTION("""COMPUTED_VALUE"""),"United States")</f>
        <v>United States</v>
      </c>
      <c r="D151" s="27">
        <f>IFERROR(__xludf.DUMMYFUNCTION("""COMPUTED_VALUE"""),0.14)</f>
        <v>0.14</v>
      </c>
      <c r="E151" s="22">
        <f t="shared" si="2"/>
        <v>1.4</v>
      </c>
      <c r="F151" s="23" t="str">
        <f t="shared" si="3"/>
        <v/>
      </c>
      <c r="G151" s="23" t="str">
        <f t="shared" si="4"/>
        <v/>
      </c>
      <c r="H151" s="27" t="str">
        <f>IFERROR(__xludf.DUMMYFUNCTION("""COMPUTED_VALUE"""),"PEXA GROUP LTD")</f>
        <v>PEXA GROUP LTD</v>
      </c>
      <c r="I151" s="27" t="str">
        <f>IFERROR(__xludf.DUMMYFUNCTION("""COMPUTED_VALUE"""),"Real Estate")</f>
        <v>Real Estate</v>
      </c>
      <c r="J151" s="27" t="str">
        <f>IFERROR(__xludf.DUMMYFUNCTION("""COMPUTED_VALUE"""),"Australia")</f>
        <v>Australia</v>
      </c>
      <c r="K151" s="27">
        <f>IFERROR(__xludf.DUMMYFUNCTION("""COMPUTED_VALUE"""),0.07374683)</f>
        <v>0.07374683</v>
      </c>
      <c r="L151" s="22">
        <f t="shared" si="5"/>
        <v>0.7374683</v>
      </c>
    </row>
    <row r="152">
      <c r="A152" s="27" t="str">
        <f>IFERROR(__xludf.DUMMYFUNCTION("""COMPUTED_VALUE"""),"AMPHENOL CORP CLASS A")</f>
        <v>AMPHENOL CORP CLASS A</v>
      </c>
      <c r="B152" s="27" t="str">
        <f>IFERROR(__xludf.DUMMYFUNCTION("""COMPUTED_VALUE"""),"Information Technology")</f>
        <v>Information Technology</v>
      </c>
      <c r="C152" s="27" t="str">
        <f>IFERROR(__xludf.DUMMYFUNCTION("""COMPUTED_VALUE"""),"United States")</f>
        <v>United States</v>
      </c>
      <c r="D152" s="27">
        <f>IFERROR(__xludf.DUMMYFUNCTION("""COMPUTED_VALUE"""),0.14)</f>
        <v>0.14</v>
      </c>
      <c r="E152" s="22">
        <f t="shared" si="2"/>
        <v>1.4</v>
      </c>
      <c r="F152" s="23" t="str">
        <f t="shared" si="3"/>
        <v/>
      </c>
      <c r="G152" s="23" t="str">
        <f t="shared" si="4"/>
        <v/>
      </c>
      <c r="H152" s="27" t="str">
        <f>IFERROR(__xludf.DUMMYFUNCTION("""COMPUTED_VALUE"""),"CHORUS LTD")</f>
        <v>CHORUS LTD</v>
      </c>
      <c r="I152" s="27" t="str">
        <f>IFERROR(__xludf.DUMMYFUNCTION("""COMPUTED_VALUE"""),"Communication Services")</f>
        <v>Communication Services</v>
      </c>
      <c r="J152" s="27" t="str">
        <f>IFERROR(__xludf.DUMMYFUNCTION("""COMPUTED_VALUE"""),"Australia")</f>
        <v>Australia</v>
      </c>
      <c r="K152" s="27">
        <f>IFERROR(__xludf.DUMMYFUNCTION("""COMPUTED_VALUE"""),0.07359589)</f>
        <v>0.07359589</v>
      </c>
      <c r="L152" s="22">
        <f t="shared" si="5"/>
        <v>0.7359589</v>
      </c>
    </row>
    <row r="153">
      <c r="A153" s="27" t="str">
        <f>IFERROR(__xludf.DUMMYFUNCTION("""COMPUTED_VALUE"""),"MARRIOTT INTERNATIONAL INC CLASS A")</f>
        <v>MARRIOTT INTERNATIONAL INC CLASS A</v>
      </c>
      <c r="B153" s="27" t="str">
        <f>IFERROR(__xludf.DUMMYFUNCTION("""COMPUTED_VALUE"""),"Consumer Discretionary")</f>
        <v>Consumer Discretionary</v>
      </c>
      <c r="C153" s="27" t="str">
        <f>IFERROR(__xludf.DUMMYFUNCTION("""COMPUTED_VALUE"""),"United States")</f>
        <v>United States</v>
      </c>
      <c r="D153" s="27">
        <f>IFERROR(__xludf.DUMMYFUNCTION("""COMPUTED_VALUE"""),0.14)</f>
        <v>0.14</v>
      </c>
      <c r="E153" s="22">
        <f t="shared" si="2"/>
        <v>1.4</v>
      </c>
      <c r="F153" s="23" t="str">
        <f t="shared" si="3"/>
        <v/>
      </c>
      <c r="G153" s="23" t="str">
        <f t="shared" si="4"/>
        <v/>
      </c>
      <c r="H153" s="27" t="str">
        <f>IFERROR(__xludf.DUMMYFUNCTION("""COMPUTED_VALUE"""),"GRAINCORP LTD")</f>
        <v>GRAINCORP LTD</v>
      </c>
      <c r="I153" s="27" t="str">
        <f>IFERROR(__xludf.DUMMYFUNCTION("""COMPUTED_VALUE"""),"Consumer Staples")</f>
        <v>Consumer Staples</v>
      </c>
      <c r="J153" s="27" t="str">
        <f>IFERROR(__xludf.DUMMYFUNCTION("""COMPUTED_VALUE"""),"Australia")</f>
        <v>Australia</v>
      </c>
      <c r="K153" s="27">
        <f>IFERROR(__xludf.DUMMYFUNCTION("""COMPUTED_VALUE"""),0.07314279)</f>
        <v>0.07314279</v>
      </c>
      <c r="L153" s="22">
        <f t="shared" si="5"/>
        <v>0.7314279</v>
      </c>
    </row>
    <row r="154">
      <c r="A154" s="27" t="str">
        <f>IFERROR(__xludf.DUMMYFUNCTION("""COMPUTED_VALUE"""),"ARTHUR J GALLAGHER")</f>
        <v>ARTHUR J GALLAGHER</v>
      </c>
      <c r="B154" s="27" t="str">
        <f>IFERROR(__xludf.DUMMYFUNCTION("""COMPUTED_VALUE"""),"Financials")</f>
        <v>Financials</v>
      </c>
      <c r="C154" s="27" t="str">
        <f>IFERROR(__xludf.DUMMYFUNCTION("""COMPUTED_VALUE"""),"United States")</f>
        <v>United States</v>
      </c>
      <c r="D154" s="27">
        <f>IFERROR(__xludf.DUMMYFUNCTION("""COMPUTED_VALUE"""),0.14)</f>
        <v>0.14</v>
      </c>
      <c r="E154" s="22">
        <f t="shared" si="2"/>
        <v>1.4</v>
      </c>
      <c r="F154" s="23" t="str">
        <f t="shared" si="3"/>
        <v/>
      </c>
      <c r="G154" s="23" t="str">
        <f t="shared" si="4"/>
        <v/>
      </c>
      <c r="H154" s="27" t="str">
        <f>IFERROR(__xludf.DUMMYFUNCTION("""COMPUTED_VALUE"""),"INVOCARE LTD")</f>
        <v>INVOCARE LTD</v>
      </c>
      <c r="I154" s="27" t="str">
        <f>IFERROR(__xludf.DUMMYFUNCTION("""COMPUTED_VALUE"""),"Consumer Discretionary")</f>
        <v>Consumer Discretionary</v>
      </c>
      <c r="J154" s="27" t="str">
        <f>IFERROR(__xludf.DUMMYFUNCTION("""COMPUTED_VALUE"""),"Australia")</f>
        <v>Australia</v>
      </c>
      <c r="K154" s="27">
        <f>IFERROR(__xludf.DUMMYFUNCTION("""COMPUTED_VALUE"""),0.06995602)</f>
        <v>0.06995602</v>
      </c>
      <c r="L154" s="22">
        <f t="shared" si="5"/>
        <v>0.6995602</v>
      </c>
    </row>
    <row r="155">
      <c r="A155" s="27" t="str">
        <f>IFERROR(__xludf.DUMMYFUNCTION("""COMPUTED_VALUE"""),"FORD MOTOR CO")</f>
        <v>FORD MOTOR CO</v>
      </c>
      <c r="B155" s="27" t="str">
        <f>IFERROR(__xludf.DUMMYFUNCTION("""COMPUTED_VALUE"""),"Consumer Discretionary")</f>
        <v>Consumer Discretionary</v>
      </c>
      <c r="C155" s="27" t="str">
        <f>IFERROR(__xludf.DUMMYFUNCTION("""COMPUTED_VALUE"""),"United States")</f>
        <v>United States</v>
      </c>
      <c r="D155" s="27">
        <f>IFERROR(__xludf.DUMMYFUNCTION("""COMPUTED_VALUE"""),0.14)</f>
        <v>0.14</v>
      </c>
      <c r="E155" s="22">
        <f t="shared" si="2"/>
        <v>1.4</v>
      </c>
      <c r="F155" s="23" t="str">
        <f t="shared" si="3"/>
        <v/>
      </c>
      <c r="G155" s="23" t="str">
        <f t="shared" si="4"/>
        <v/>
      </c>
      <c r="H155" s="27" t="str">
        <f>IFERROR(__xludf.DUMMYFUNCTION("""COMPUTED_VALUE"""),"REGIS RESOURCES LTD")</f>
        <v>REGIS RESOURCES LTD</v>
      </c>
      <c r="I155" s="27" t="str">
        <f>IFERROR(__xludf.DUMMYFUNCTION("""COMPUTED_VALUE"""),"Materials")</f>
        <v>Materials</v>
      </c>
      <c r="J155" s="27" t="str">
        <f>IFERROR(__xludf.DUMMYFUNCTION("""COMPUTED_VALUE"""),"Australia")</f>
        <v>Australia</v>
      </c>
      <c r="K155" s="27">
        <f>IFERROR(__xludf.DUMMYFUNCTION("""COMPUTED_VALUE"""),0.06888318)</f>
        <v>0.06888318</v>
      </c>
      <c r="L155" s="22">
        <f t="shared" si="5"/>
        <v>0.6888318</v>
      </c>
    </row>
    <row r="156">
      <c r="A156" s="27" t="str">
        <f>IFERROR(__xludf.DUMMYFUNCTION("""COMPUTED_VALUE"""),"PNC FINANCIAL SERVICES GROUP INC")</f>
        <v>PNC FINANCIAL SERVICES GROUP INC</v>
      </c>
      <c r="B156" s="27" t="str">
        <f>IFERROR(__xludf.DUMMYFUNCTION("""COMPUTED_VALUE"""),"Financials")</f>
        <v>Financials</v>
      </c>
      <c r="C156" s="27" t="str">
        <f>IFERROR(__xludf.DUMMYFUNCTION("""COMPUTED_VALUE"""),"United States")</f>
        <v>United States</v>
      </c>
      <c r="D156" s="27">
        <f>IFERROR(__xludf.DUMMYFUNCTION("""COMPUTED_VALUE"""),0.14)</f>
        <v>0.14</v>
      </c>
      <c r="E156" s="22">
        <f t="shared" si="2"/>
        <v>1.4</v>
      </c>
      <c r="F156" s="23" t="str">
        <f t="shared" si="3"/>
        <v/>
      </c>
      <c r="G156" s="23" t="str">
        <f t="shared" si="4"/>
        <v/>
      </c>
      <c r="H156" s="27" t="str">
        <f>IFERROR(__xludf.DUMMYFUNCTION("""COMPUTED_VALUE"""),"HEALIUS LTD")</f>
        <v>HEALIUS LTD</v>
      </c>
      <c r="I156" s="27" t="str">
        <f>IFERROR(__xludf.DUMMYFUNCTION("""COMPUTED_VALUE"""),"Healthcare")</f>
        <v>Healthcare</v>
      </c>
      <c r="J156" s="27" t="str">
        <f>IFERROR(__xludf.DUMMYFUNCTION("""COMPUTED_VALUE"""),"Australia")</f>
        <v>Australia</v>
      </c>
      <c r="K156" s="27">
        <f>IFERROR(__xludf.DUMMYFUNCTION("""COMPUTED_VALUE"""),0.06883125)</f>
        <v>0.06883125</v>
      </c>
      <c r="L156" s="22">
        <f t="shared" si="5"/>
        <v>0.6883125</v>
      </c>
    </row>
    <row r="157">
      <c r="A157" s="27" t="str">
        <f>IFERROR(__xludf.DUMMYFUNCTION("""COMPUTED_VALUE"""),"CARRIER GLOBAL CORP")</f>
        <v>CARRIER GLOBAL CORP</v>
      </c>
      <c r="B157" s="27" t="str">
        <f>IFERROR(__xludf.DUMMYFUNCTION("""COMPUTED_VALUE"""),"Industrials")</f>
        <v>Industrials</v>
      </c>
      <c r="C157" s="27" t="str">
        <f>IFERROR(__xludf.DUMMYFUNCTION("""COMPUTED_VALUE"""),"United States")</f>
        <v>United States</v>
      </c>
      <c r="D157" s="27">
        <f>IFERROR(__xludf.DUMMYFUNCTION("""COMPUTED_VALUE"""),0.13)</f>
        <v>0.13</v>
      </c>
      <c r="E157" s="22">
        <f t="shared" si="2"/>
        <v>1.3</v>
      </c>
      <c r="F157" s="23" t="str">
        <f t="shared" si="3"/>
        <v/>
      </c>
      <c r="G157" s="23" t="str">
        <f t="shared" si="4"/>
        <v/>
      </c>
      <c r="H157" s="27" t="str">
        <f>IFERROR(__xludf.DUMMYFUNCTION("""COMPUTED_VALUE"""),"BLACKMORES LTD")</f>
        <v>BLACKMORES LTD</v>
      </c>
      <c r="I157" s="27" t="str">
        <f>IFERROR(__xludf.DUMMYFUNCTION("""COMPUTED_VALUE"""),"Consumer Staples")</f>
        <v>Consumer Staples</v>
      </c>
      <c r="J157" s="27" t="str">
        <f>IFERROR(__xludf.DUMMYFUNCTION("""COMPUTED_VALUE"""),"Australia")</f>
        <v>Australia</v>
      </c>
      <c r="K157" s="27">
        <f>IFERROR(__xludf.DUMMYFUNCTION("""COMPUTED_VALUE"""),0.06768943)</f>
        <v>0.06768943</v>
      </c>
      <c r="L157" s="22">
        <f t="shared" si="5"/>
        <v>0.6768943</v>
      </c>
    </row>
    <row r="158">
      <c r="A158" s="27" t="str">
        <f>IFERROR(__xludf.DUMMYFUNCTION("""COMPUTED_VALUE"""),"TRANSDIGM GROUP INC")</f>
        <v>TRANSDIGM GROUP INC</v>
      </c>
      <c r="B158" s="27" t="str">
        <f>IFERROR(__xludf.DUMMYFUNCTION("""COMPUTED_VALUE"""),"Industrials")</f>
        <v>Industrials</v>
      </c>
      <c r="C158" s="27" t="str">
        <f>IFERROR(__xludf.DUMMYFUNCTION("""COMPUTED_VALUE"""),"United States")</f>
        <v>United States</v>
      </c>
      <c r="D158" s="27">
        <f>IFERROR(__xludf.DUMMYFUNCTION("""COMPUTED_VALUE"""),0.13)</f>
        <v>0.13</v>
      </c>
      <c r="E158" s="22">
        <f t="shared" si="2"/>
        <v>1.3</v>
      </c>
      <c r="F158" s="23" t="str">
        <f t="shared" si="3"/>
        <v/>
      </c>
      <c r="G158" s="23" t="str">
        <f t="shared" si="4"/>
        <v/>
      </c>
      <c r="H158" s="27" t="str">
        <f>IFERROR(__xludf.DUMMYFUNCTION("""COMPUTED_VALUE"""),"EVT LTD")</f>
        <v>EVT LTD</v>
      </c>
      <c r="I158" s="27" t="str">
        <f>IFERROR(__xludf.DUMMYFUNCTION("""COMPUTED_VALUE"""),"Communication Services")</f>
        <v>Communication Services</v>
      </c>
      <c r="J158" s="27" t="str">
        <f>IFERROR(__xludf.DUMMYFUNCTION("""COMPUTED_VALUE"""),"Australia")</f>
        <v>Australia</v>
      </c>
      <c r="K158" s="27">
        <f>IFERROR(__xludf.DUMMYFUNCTION("""COMPUTED_VALUE"""),0.06722741)</f>
        <v>0.06722741</v>
      </c>
      <c r="L158" s="22">
        <f t="shared" si="5"/>
        <v>0.6722741</v>
      </c>
    </row>
    <row r="159">
      <c r="A159" s="27" t="str">
        <f>IFERROR(__xludf.DUMMYFUNCTION("""COMPUTED_VALUE"""),"TRANE TECHNOLOGIES PLC")</f>
        <v>TRANE TECHNOLOGIES PLC</v>
      </c>
      <c r="B159" s="27" t="str">
        <f>IFERROR(__xludf.DUMMYFUNCTION("""COMPUTED_VALUE"""),"Industrials")</f>
        <v>Industrials</v>
      </c>
      <c r="C159" s="27" t="str">
        <f>IFERROR(__xludf.DUMMYFUNCTION("""COMPUTED_VALUE"""),"United States")</f>
        <v>United States</v>
      </c>
      <c r="D159" s="27">
        <f>IFERROR(__xludf.DUMMYFUNCTION("""COMPUTED_VALUE"""),0.13)</f>
        <v>0.13</v>
      </c>
      <c r="E159" s="22">
        <f t="shared" si="2"/>
        <v>1.3</v>
      </c>
      <c r="F159" s="23" t="str">
        <f t="shared" si="3"/>
        <v/>
      </c>
      <c r="G159" s="23" t="str">
        <f t="shared" si="4"/>
        <v/>
      </c>
      <c r="H159" s="27" t="str">
        <f>IFERROR(__xludf.DUMMYFUNCTION("""COMPUTED_VALUE"""),"RAMELIUS RESOURCES LTD")</f>
        <v>RAMELIUS RESOURCES LTD</v>
      </c>
      <c r="I159" s="27" t="str">
        <f>IFERROR(__xludf.DUMMYFUNCTION("""COMPUTED_VALUE"""),"Materials")</f>
        <v>Materials</v>
      </c>
      <c r="J159" s="27" t="str">
        <f>IFERROR(__xludf.DUMMYFUNCTION("""COMPUTED_VALUE"""),"Australia")</f>
        <v>Australia</v>
      </c>
      <c r="K159" s="27">
        <f>IFERROR(__xludf.DUMMYFUNCTION("""COMPUTED_VALUE"""),0.06643423)</f>
        <v>0.06643423</v>
      </c>
      <c r="L159" s="22">
        <f t="shared" si="5"/>
        <v>0.6643423</v>
      </c>
    </row>
    <row r="160">
      <c r="A160" s="27" t="str">
        <f>IFERROR(__xludf.DUMMYFUNCTION("""COMPUTED_VALUE"""),"AUTOZONE INC")</f>
        <v>AUTOZONE INC</v>
      </c>
      <c r="B160" s="27" t="str">
        <f>IFERROR(__xludf.DUMMYFUNCTION("""COMPUTED_VALUE"""),"Consumer Discretionary")</f>
        <v>Consumer Discretionary</v>
      </c>
      <c r="C160" s="27" t="str">
        <f>IFERROR(__xludf.DUMMYFUNCTION("""COMPUTED_VALUE"""),"United States")</f>
        <v>United States</v>
      </c>
      <c r="D160" s="27">
        <f>IFERROR(__xludf.DUMMYFUNCTION("""COMPUTED_VALUE"""),0.13)</f>
        <v>0.13</v>
      </c>
      <c r="E160" s="22">
        <f t="shared" si="2"/>
        <v>1.3</v>
      </c>
      <c r="F160" s="23" t="str">
        <f t="shared" si="3"/>
        <v/>
      </c>
      <c r="G160" s="23" t="str">
        <f t="shared" si="4"/>
        <v/>
      </c>
      <c r="H160" s="27" t="str">
        <f>IFERROR(__xludf.DUMMYFUNCTION("""COMPUTED_VALUE"""),"INGENIA COMMUNITIES GROUP")</f>
        <v>INGENIA COMMUNITIES GROUP</v>
      </c>
      <c r="I160" s="27" t="str">
        <f>IFERROR(__xludf.DUMMYFUNCTION("""COMPUTED_VALUE"""),"Real Estate")</f>
        <v>Real Estate</v>
      </c>
      <c r="J160" s="27" t="str">
        <f>IFERROR(__xludf.DUMMYFUNCTION("""COMPUTED_VALUE"""),"Australia")</f>
        <v>Australia</v>
      </c>
      <c r="K160" s="27">
        <f>IFERROR(__xludf.DUMMYFUNCTION("""COMPUTED_VALUE"""),0.06568967)</f>
        <v>0.06568967</v>
      </c>
      <c r="L160" s="22">
        <f t="shared" si="5"/>
        <v>0.6568967</v>
      </c>
    </row>
    <row r="161">
      <c r="A161" s="27" t="str">
        <f>IFERROR(__xludf.DUMMYFUNCTION("""COMPUTED_VALUE"""),"ARISTA NETWORKS INC")</f>
        <v>ARISTA NETWORKS INC</v>
      </c>
      <c r="B161" s="27" t="str">
        <f>IFERROR(__xludf.DUMMYFUNCTION("""COMPUTED_VALUE"""),"Information Technology")</f>
        <v>Information Technology</v>
      </c>
      <c r="C161" s="27" t="str">
        <f>IFERROR(__xludf.DUMMYFUNCTION("""COMPUTED_VALUE"""),"United States")</f>
        <v>United States</v>
      </c>
      <c r="D161" s="27">
        <f>IFERROR(__xludf.DUMMYFUNCTION("""COMPUTED_VALUE"""),0.13)</f>
        <v>0.13</v>
      </c>
      <c r="E161" s="22">
        <f t="shared" si="2"/>
        <v>1.3</v>
      </c>
      <c r="F161" s="23" t="str">
        <f t="shared" si="3"/>
        <v/>
      </c>
      <c r="G161" s="23" t="str">
        <f t="shared" si="4"/>
        <v/>
      </c>
      <c r="H161" s="27" t="str">
        <f>IFERROR(__xludf.DUMMYFUNCTION("""COMPUTED_VALUE"""),"STAR ENTERTAINMENT GRP LTD/THE")</f>
        <v>STAR ENTERTAINMENT GRP LTD/THE</v>
      </c>
      <c r="I161" s="27" t="str">
        <f>IFERROR(__xludf.DUMMYFUNCTION("""COMPUTED_VALUE"""),"Consumer Discretionary")</f>
        <v>Consumer Discretionary</v>
      </c>
      <c r="J161" s="27" t="str">
        <f>IFERROR(__xludf.DUMMYFUNCTION("""COMPUTED_VALUE"""),"Australia")</f>
        <v>Australia</v>
      </c>
      <c r="K161" s="27">
        <f>IFERROR(__xludf.DUMMYFUNCTION("""COMPUTED_VALUE"""),0.06406483)</f>
        <v>0.06406483</v>
      </c>
      <c r="L161" s="22">
        <f t="shared" si="5"/>
        <v>0.6406483</v>
      </c>
    </row>
    <row r="162">
      <c r="A162" s="27" t="str">
        <f>IFERROR(__xludf.DUMMYFUNCTION("""COMPUTED_VALUE"""),"MOTOROLA SOLUTIONS INC")</f>
        <v>MOTOROLA SOLUTIONS INC</v>
      </c>
      <c r="B162" s="27" t="str">
        <f>IFERROR(__xludf.DUMMYFUNCTION("""COMPUTED_VALUE"""),"Information Technology")</f>
        <v>Information Technology</v>
      </c>
      <c r="C162" s="27" t="str">
        <f>IFERROR(__xludf.DUMMYFUNCTION("""COMPUTED_VALUE"""),"United States")</f>
        <v>United States</v>
      </c>
      <c r="D162" s="27">
        <f>IFERROR(__xludf.DUMMYFUNCTION("""COMPUTED_VALUE"""),0.13)</f>
        <v>0.13</v>
      </c>
      <c r="E162" s="22">
        <f t="shared" si="2"/>
        <v>1.3</v>
      </c>
      <c r="F162" s="23" t="str">
        <f t="shared" si="3"/>
        <v/>
      </c>
      <c r="G162" s="23" t="str">
        <f t="shared" si="4"/>
        <v/>
      </c>
      <c r="H162" s="27" t="str">
        <f>IFERROR(__xludf.DUMMYFUNCTION("""COMPUTED_VALUE"""),"BELLEVUE GOLD LTD")</f>
        <v>BELLEVUE GOLD LTD</v>
      </c>
      <c r="I162" s="27" t="str">
        <f>IFERROR(__xludf.DUMMYFUNCTION("""COMPUTED_VALUE"""),"Materials")</f>
        <v>Materials</v>
      </c>
      <c r="J162" s="27" t="str">
        <f>IFERROR(__xludf.DUMMYFUNCTION("""COMPUTED_VALUE"""),"Australia")</f>
        <v>Australia</v>
      </c>
      <c r="K162" s="27">
        <f>IFERROR(__xludf.DUMMYFUNCTION("""COMPUTED_VALUE"""),0.06405179)</f>
        <v>0.06405179</v>
      </c>
      <c r="L162" s="22">
        <f t="shared" si="5"/>
        <v>0.6405179</v>
      </c>
    </row>
    <row r="163">
      <c r="A163" s="27" t="str">
        <f>IFERROR(__xludf.DUMMYFUNCTION("""COMPUTED_VALUE"""),"GENERAL MOTORS")</f>
        <v>GENERAL MOTORS</v>
      </c>
      <c r="B163" s="27" t="str">
        <f>IFERROR(__xludf.DUMMYFUNCTION("""COMPUTED_VALUE"""),"Consumer Discretionary")</f>
        <v>Consumer Discretionary</v>
      </c>
      <c r="C163" s="27" t="str">
        <f>IFERROR(__xludf.DUMMYFUNCTION("""COMPUTED_VALUE"""),"United States")</f>
        <v>United States</v>
      </c>
      <c r="D163" s="27">
        <f>IFERROR(__xludf.DUMMYFUNCTION("""COMPUTED_VALUE"""),0.13)</f>
        <v>0.13</v>
      </c>
      <c r="E163" s="22">
        <f t="shared" si="2"/>
        <v>1.3</v>
      </c>
      <c r="F163" s="23" t="str">
        <f t="shared" si="3"/>
        <v/>
      </c>
      <c r="G163" s="23" t="str">
        <f t="shared" si="4"/>
        <v/>
      </c>
      <c r="H163" s="27" t="str">
        <f>IFERROR(__xludf.DUMMYFUNCTION("""COMPUTED_VALUE"""),"CORONADO GLOBAL RESOURCES INC")</f>
        <v>CORONADO GLOBAL RESOURCES INC</v>
      </c>
      <c r="I163" s="27" t="str">
        <f>IFERROR(__xludf.DUMMYFUNCTION("""COMPUTED_VALUE"""),"Materials")</f>
        <v>Materials</v>
      </c>
      <c r="J163" s="27" t="str">
        <f>IFERROR(__xludf.DUMMYFUNCTION("""COMPUTED_VALUE"""),"Australia")</f>
        <v>Australia</v>
      </c>
      <c r="K163" s="27">
        <f>IFERROR(__xludf.DUMMYFUNCTION("""COMPUTED_VALUE"""),0.06344868)</f>
        <v>0.06344868</v>
      </c>
      <c r="L163" s="22">
        <f t="shared" si="5"/>
        <v>0.6344868</v>
      </c>
    </row>
    <row r="164">
      <c r="A164" s="27" t="str">
        <f>IFERROR(__xludf.DUMMYFUNCTION("""COMPUTED_VALUE"""),"CHARTER COMMUNICATIONS INC CLASS A")</f>
        <v>CHARTER COMMUNICATIONS INC CLASS A</v>
      </c>
      <c r="B164" s="27" t="str">
        <f>IFERROR(__xludf.DUMMYFUNCTION("""COMPUTED_VALUE"""),"Communication")</f>
        <v>Communication</v>
      </c>
      <c r="C164" s="27" t="str">
        <f>IFERROR(__xludf.DUMMYFUNCTION("""COMPUTED_VALUE"""),"United States")</f>
        <v>United States</v>
      </c>
      <c r="D164" s="27">
        <f>IFERROR(__xludf.DUMMYFUNCTION("""COMPUTED_VALUE"""),0.13)</f>
        <v>0.13</v>
      </c>
      <c r="E164" s="22">
        <f t="shared" si="2"/>
        <v>1.3</v>
      </c>
      <c r="F164" s="23" t="str">
        <f t="shared" si="3"/>
        <v/>
      </c>
      <c r="G164" s="23" t="str">
        <f t="shared" si="4"/>
        <v/>
      </c>
      <c r="H164" s="27" t="str">
        <f>IFERROR(__xludf.DUMMYFUNCTION("""COMPUTED_VALUE"""),"SAYONA MINING LTD")</f>
        <v>SAYONA MINING LTD</v>
      </c>
      <c r="I164" s="27" t="str">
        <f>IFERROR(__xludf.DUMMYFUNCTION("""COMPUTED_VALUE"""),"Materials")</f>
        <v>Materials</v>
      </c>
      <c r="J164" s="27" t="str">
        <f>IFERROR(__xludf.DUMMYFUNCTION("""COMPUTED_VALUE"""),"Australia")</f>
        <v>Australia</v>
      </c>
      <c r="K164" s="27">
        <f>IFERROR(__xludf.DUMMYFUNCTION("""COMPUTED_VALUE"""),0.06249013)</f>
        <v>0.06249013</v>
      </c>
      <c r="L164" s="22">
        <f t="shared" si="5"/>
        <v>0.6249013</v>
      </c>
    </row>
    <row r="165">
      <c r="A165" s="27" t="str">
        <f>IFERROR(__xludf.DUMMYFUNCTION("""COMPUTED_VALUE"""),"NORFOLK SOUTHERN CORP")</f>
        <v>NORFOLK SOUTHERN CORP</v>
      </c>
      <c r="B165" s="27" t="str">
        <f>IFERROR(__xludf.DUMMYFUNCTION("""COMPUTED_VALUE"""),"Industrials")</f>
        <v>Industrials</v>
      </c>
      <c r="C165" s="27" t="str">
        <f>IFERROR(__xludf.DUMMYFUNCTION("""COMPUTED_VALUE"""),"United States")</f>
        <v>United States</v>
      </c>
      <c r="D165" s="27">
        <f>IFERROR(__xludf.DUMMYFUNCTION("""COMPUTED_VALUE"""),0.12)</f>
        <v>0.12</v>
      </c>
      <c r="E165" s="22">
        <f t="shared" si="2"/>
        <v>1.2</v>
      </c>
      <c r="F165" s="23" t="str">
        <f t="shared" si="3"/>
        <v/>
      </c>
      <c r="G165" s="23" t="str">
        <f t="shared" si="4"/>
        <v/>
      </c>
      <c r="H165" s="27" t="str">
        <f>IFERROR(__xludf.DUMMYFUNCTION("""COMPUTED_VALUE"""),"ARENA REIT")</f>
        <v>ARENA REIT</v>
      </c>
      <c r="I165" s="27" t="str">
        <f>IFERROR(__xludf.DUMMYFUNCTION("""COMPUTED_VALUE"""),"Real Estate")</f>
        <v>Real Estate</v>
      </c>
      <c r="J165" s="27" t="str">
        <f>IFERROR(__xludf.DUMMYFUNCTION("""COMPUTED_VALUE"""),"Australia")</f>
        <v>Australia</v>
      </c>
      <c r="K165" s="27">
        <f>IFERROR(__xludf.DUMMYFUNCTION("""COMPUTED_VALUE"""),0.0621471)</f>
        <v>0.0621471</v>
      </c>
      <c r="L165" s="22">
        <f t="shared" si="5"/>
        <v>0.621471</v>
      </c>
    </row>
    <row r="166">
      <c r="A166" s="27" t="str">
        <f>IFERROR(__xludf.DUMMYFUNCTION("""COMPUTED_VALUE"""),"PACCAR INC")</f>
        <v>PACCAR INC</v>
      </c>
      <c r="B166" s="27" t="str">
        <f>IFERROR(__xludf.DUMMYFUNCTION("""COMPUTED_VALUE"""),"Industrials")</f>
        <v>Industrials</v>
      </c>
      <c r="C166" s="27" t="str">
        <f>IFERROR(__xludf.DUMMYFUNCTION("""COMPUTED_VALUE"""),"United States")</f>
        <v>United States</v>
      </c>
      <c r="D166" s="27">
        <f>IFERROR(__xludf.DUMMYFUNCTION("""COMPUTED_VALUE"""),0.12)</f>
        <v>0.12</v>
      </c>
      <c r="E166" s="22">
        <f t="shared" si="2"/>
        <v>1.2</v>
      </c>
      <c r="F166" s="23" t="str">
        <f t="shared" si="3"/>
        <v/>
      </c>
      <c r="G166" s="23" t="str">
        <f t="shared" si="4"/>
        <v/>
      </c>
      <c r="H166" s="27" t="str">
        <f>IFERROR(__xludf.DUMMYFUNCTION("""COMPUTED_VALUE"""),"PINNACLE INVESTMENT MANAGEMENT")</f>
        <v>PINNACLE INVESTMENT MANAGEMENT</v>
      </c>
      <c r="I166" s="27" t="str">
        <f>IFERROR(__xludf.DUMMYFUNCTION("""COMPUTED_VALUE"""),"Financials")</f>
        <v>Financials</v>
      </c>
      <c r="J166" s="27" t="str">
        <f>IFERROR(__xludf.DUMMYFUNCTION("""COMPUTED_VALUE"""),"Australia")</f>
        <v>Australia</v>
      </c>
      <c r="K166" s="27">
        <f>IFERROR(__xludf.DUMMYFUNCTION("""COMPUTED_VALUE"""),0.05989456)</f>
        <v>0.05989456</v>
      </c>
      <c r="L166" s="22">
        <f t="shared" si="5"/>
        <v>0.5989456</v>
      </c>
    </row>
    <row r="167">
      <c r="A167" s="27" t="str">
        <f>IFERROR(__xludf.DUMMYFUNCTION("""COMPUTED_VALUE"""),"AUTODESK INC")</f>
        <v>AUTODESK INC</v>
      </c>
      <c r="B167" s="27" t="str">
        <f>IFERROR(__xludf.DUMMYFUNCTION("""COMPUTED_VALUE"""),"Information Technology")</f>
        <v>Information Technology</v>
      </c>
      <c r="C167" s="27" t="str">
        <f>IFERROR(__xludf.DUMMYFUNCTION("""COMPUTED_VALUE"""),"United States")</f>
        <v>United States</v>
      </c>
      <c r="D167" s="27">
        <f>IFERROR(__xludf.DUMMYFUNCTION("""COMPUTED_VALUE"""),0.12)</f>
        <v>0.12</v>
      </c>
      <c r="E167" s="22">
        <f t="shared" si="2"/>
        <v>1.2</v>
      </c>
      <c r="F167" s="23" t="str">
        <f t="shared" si="3"/>
        <v/>
      </c>
      <c r="G167" s="23" t="str">
        <f t="shared" si="4"/>
        <v/>
      </c>
      <c r="H167" s="27" t="str">
        <f>IFERROR(__xludf.DUMMYFUNCTION("""COMPUTED_VALUE"""),"CREDIT CORP GROUP LTD")</f>
        <v>CREDIT CORP GROUP LTD</v>
      </c>
      <c r="I167" s="27" t="str">
        <f>IFERROR(__xludf.DUMMYFUNCTION("""COMPUTED_VALUE"""),"Financials")</f>
        <v>Financials</v>
      </c>
      <c r="J167" s="27" t="str">
        <f>IFERROR(__xludf.DUMMYFUNCTION("""COMPUTED_VALUE"""),"Australia")</f>
        <v>Australia</v>
      </c>
      <c r="K167" s="27">
        <f>IFERROR(__xludf.DUMMYFUNCTION("""COMPUTED_VALUE"""),0.05885566)</f>
        <v>0.05885566</v>
      </c>
      <c r="L167" s="22">
        <f t="shared" si="5"/>
        <v>0.5885566</v>
      </c>
    </row>
    <row r="168">
      <c r="A168" s="27" t="str">
        <f>IFERROR(__xludf.DUMMYFUNCTION("""COMPUTED_VALUE"""),"OCCIDENTAL PETROLEUM CORP")</f>
        <v>OCCIDENTAL PETROLEUM CORP</v>
      </c>
      <c r="B168" s="27" t="str">
        <f>IFERROR(__xludf.DUMMYFUNCTION("""COMPUTED_VALUE"""),"Energy")</f>
        <v>Energy</v>
      </c>
      <c r="C168" s="27" t="str">
        <f>IFERROR(__xludf.DUMMYFUNCTION("""COMPUTED_VALUE"""),"United States")</f>
        <v>United States</v>
      </c>
      <c r="D168" s="27">
        <f>IFERROR(__xludf.DUMMYFUNCTION("""COMPUTED_VALUE"""),0.12)</f>
        <v>0.12</v>
      </c>
      <c r="E168" s="22">
        <f t="shared" si="2"/>
        <v>1.2</v>
      </c>
      <c r="F168" s="23" t="str">
        <f t="shared" si="3"/>
        <v/>
      </c>
      <c r="G168" s="23" t="str">
        <f t="shared" si="4"/>
        <v/>
      </c>
      <c r="H168" s="27" t="str">
        <f>IFERROR(__xludf.DUMMYFUNCTION("""COMPUTED_VALUE"""),"GUD HOLDINGS LTD")</f>
        <v>GUD HOLDINGS LTD</v>
      </c>
      <c r="I168" s="27" t="str">
        <f>IFERROR(__xludf.DUMMYFUNCTION("""COMPUTED_VALUE"""),"Consumer Discretionary")</f>
        <v>Consumer Discretionary</v>
      </c>
      <c r="J168" s="27" t="str">
        <f>IFERROR(__xludf.DUMMYFUNCTION("""COMPUTED_VALUE"""),"Australia")</f>
        <v>Australia</v>
      </c>
      <c r="K168" s="27">
        <f>IFERROR(__xludf.DUMMYFUNCTION("""COMPUTED_VALUE"""),0.05823242)</f>
        <v>0.05823242</v>
      </c>
      <c r="L168" s="22">
        <f t="shared" si="5"/>
        <v>0.5823242</v>
      </c>
    </row>
    <row r="169">
      <c r="A169" s="27" t="str">
        <f>IFERROR(__xludf.DUMMYFUNCTION("""COMPUTED_VALUE"""),"AMERICAN INTERNATIONAL GROUP INC")</f>
        <v>AMERICAN INTERNATIONAL GROUP INC</v>
      </c>
      <c r="B169" s="27" t="str">
        <f>IFERROR(__xludf.DUMMYFUNCTION("""COMPUTED_VALUE"""),"Financials")</f>
        <v>Financials</v>
      </c>
      <c r="C169" s="27" t="str">
        <f>IFERROR(__xludf.DUMMYFUNCTION("""COMPUTED_VALUE"""),"United States")</f>
        <v>United States</v>
      </c>
      <c r="D169" s="27">
        <f>IFERROR(__xludf.DUMMYFUNCTION("""COMPUTED_VALUE"""),0.12)</f>
        <v>0.12</v>
      </c>
      <c r="E169" s="22">
        <f t="shared" si="2"/>
        <v>1.2</v>
      </c>
      <c r="F169" s="23" t="str">
        <f t="shared" si="3"/>
        <v/>
      </c>
      <c r="G169" s="23" t="str">
        <f t="shared" si="4"/>
        <v/>
      </c>
      <c r="H169" s="27" t="str">
        <f>IFERROR(__xludf.DUMMYFUNCTION("""COMPUTED_VALUE"""),"BORAL LTD")</f>
        <v>BORAL LTD</v>
      </c>
      <c r="I169" s="27" t="str">
        <f>IFERROR(__xludf.DUMMYFUNCTION("""COMPUTED_VALUE"""),"Materials")</f>
        <v>Materials</v>
      </c>
      <c r="J169" s="27" t="str">
        <f>IFERROR(__xludf.DUMMYFUNCTION("""COMPUTED_VALUE"""),"Australia")</f>
        <v>Australia</v>
      </c>
      <c r="K169" s="27">
        <f>IFERROR(__xludf.DUMMYFUNCTION("""COMPUTED_VALUE"""),0.05777578)</f>
        <v>0.05777578</v>
      </c>
      <c r="L169" s="22">
        <f t="shared" si="5"/>
        <v>0.5777578</v>
      </c>
    </row>
    <row r="170">
      <c r="A170" s="27" t="str">
        <f>IFERROR(__xludf.DUMMYFUNCTION("""COMPUTED_VALUE"""),"HESS CORP")</f>
        <v>HESS CORP</v>
      </c>
      <c r="B170" s="27" t="str">
        <f>IFERROR(__xludf.DUMMYFUNCTION("""COMPUTED_VALUE"""),"Energy")</f>
        <v>Energy</v>
      </c>
      <c r="C170" s="27" t="str">
        <f>IFERROR(__xludf.DUMMYFUNCTION("""COMPUTED_VALUE"""),"United States")</f>
        <v>United States</v>
      </c>
      <c r="D170" s="27">
        <f>IFERROR(__xludf.DUMMYFUNCTION("""COMPUTED_VALUE"""),0.12)</f>
        <v>0.12</v>
      </c>
      <c r="E170" s="22">
        <f t="shared" si="2"/>
        <v>1.2</v>
      </c>
      <c r="F170" s="23" t="str">
        <f t="shared" si="3"/>
        <v/>
      </c>
      <c r="G170" s="23" t="str">
        <f t="shared" si="4"/>
        <v/>
      </c>
      <c r="H170" s="27" t="str">
        <f>IFERROR(__xludf.DUMMYFUNCTION("""COMPUTED_VALUE"""),"FLETCHER BUILDING LTD")</f>
        <v>FLETCHER BUILDING LTD</v>
      </c>
      <c r="I170" s="27" t="str">
        <f>IFERROR(__xludf.DUMMYFUNCTION("""COMPUTED_VALUE"""),"Industrials")</f>
        <v>Industrials</v>
      </c>
      <c r="J170" s="27" t="str">
        <f>IFERROR(__xludf.DUMMYFUNCTION("""COMPUTED_VALUE"""),"Australia")</f>
        <v>Australia</v>
      </c>
      <c r="K170" s="27">
        <f>IFERROR(__xludf.DUMMYFUNCTION("""COMPUTED_VALUE"""),0.05762596)</f>
        <v>0.05762596</v>
      </c>
      <c r="L170" s="22">
        <f t="shared" si="5"/>
        <v>0.5762596</v>
      </c>
    </row>
    <row r="171">
      <c r="A171" s="27" t="str">
        <f>IFERROR(__xludf.DUMMYFUNCTION("""COMPUTED_VALUE"""),"ECOLAB INC")</f>
        <v>ECOLAB INC</v>
      </c>
      <c r="B171" s="27" t="str">
        <f>IFERROR(__xludf.DUMMYFUNCTION("""COMPUTED_VALUE"""),"Materials")</f>
        <v>Materials</v>
      </c>
      <c r="C171" s="27" t="str">
        <f>IFERROR(__xludf.DUMMYFUNCTION("""COMPUTED_VALUE"""),"United States")</f>
        <v>United States</v>
      </c>
      <c r="D171" s="27">
        <f>IFERROR(__xludf.DUMMYFUNCTION("""COMPUTED_VALUE"""),0.12)</f>
        <v>0.12</v>
      </c>
      <c r="E171" s="22">
        <f t="shared" si="2"/>
        <v>1.2</v>
      </c>
      <c r="F171" s="23" t="str">
        <f t="shared" si="3"/>
        <v/>
      </c>
      <c r="G171" s="23" t="str">
        <f t="shared" si="4"/>
        <v/>
      </c>
      <c r="H171" s="27" t="str">
        <f>IFERROR(__xludf.DUMMYFUNCTION("""COMPUTED_VALUE"""),"CAPRICORN METALS LTD")</f>
        <v>CAPRICORN METALS LTD</v>
      </c>
      <c r="I171" s="27" t="str">
        <f>IFERROR(__xludf.DUMMYFUNCTION("""COMPUTED_VALUE"""),"Materials")</f>
        <v>Materials</v>
      </c>
      <c r="J171" s="27" t="str">
        <f>IFERROR(__xludf.DUMMYFUNCTION("""COMPUTED_VALUE"""),"Australia")</f>
        <v>Australia</v>
      </c>
      <c r="K171" s="27">
        <f>IFERROR(__xludf.DUMMYFUNCTION("""COMPUTED_VALUE"""),0.05715486)</f>
        <v>0.05715486</v>
      </c>
      <c r="L171" s="22">
        <f t="shared" si="5"/>
        <v>0.5715486</v>
      </c>
    </row>
    <row r="172">
      <c r="A172" s="27" t="str">
        <f>IFERROR(__xludf.DUMMYFUNCTION("""COMPUTED_VALUE"""),"MICROCHIP TECHNOLOGY INC")</f>
        <v>MICROCHIP TECHNOLOGY INC</v>
      </c>
      <c r="B172" s="27" t="str">
        <f>IFERROR(__xludf.DUMMYFUNCTION("""COMPUTED_VALUE"""),"Information Technology")</f>
        <v>Information Technology</v>
      </c>
      <c r="C172" s="27" t="str">
        <f>IFERROR(__xludf.DUMMYFUNCTION("""COMPUTED_VALUE"""),"United States")</f>
        <v>United States</v>
      </c>
      <c r="D172" s="27">
        <f>IFERROR(__xludf.DUMMYFUNCTION("""COMPUTED_VALUE"""),0.12)</f>
        <v>0.12</v>
      </c>
      <c r="E172" s="22">
        <f t="shared" si="2"/>
        <v>1.2</v>
      </c>
      <c r="F172" s="23" t="str">
        <f t="shared" si="3"/>
        <v/>
      </c>
      <c r="G172" s="23" t="str">
        <f t="shared" si="4"/>
        <v/>
      </c>
      <c r="H172" s="27" t="str">
        <f>IFERROR(__xludf.DUMMYFUNCTION("""COMPUTED_VALUE"""),"SPARK NEW ZEALAND LTD")</f>
        <v>SPARK NEW ZEALAND LTD</v>
      </c>
      <c r="I172" s="27" t="str">
        <f>IFERROR(__xludf.DUMMYFUNCTION("""COMPUTED_VALUE"""),"Communication Services")</f>
        <v>Communication Services</v>
      </c>
      <c r="J172" s="27" t="str">
        <f>IFERROR(__xludf.DUMMYFUNCTION("""COMPUTED_VALUE"""),"Australia")</f>
        <v>Australia</v>
      </c>
      <c r="K172" s="27">
        <f>IFERROR(__xludf.DUMMYFUNCTION("""COMPUTED_VALUE"""),0.05427904)</f>
        <v>0.05427904</v>
      </c>
      <c r="L172" s="22">
        <f t="shared" si="5"/>
        <v>0.5427904</v>
      </c>
    </row>
    <row r="173">
      <c r="A173" s="27" t="str">
        <f>IFERROR(__xludf.DUMMYFUNCTION("""COMPUTED_VALUE"""),"SEMPRA")</f>
        <v>SEMPRA</v>
      </c>
      <c r="B173" s="27" t="str">
        <f>IFERROR(__xludf.DUMMYFUNCTION("""COMPUTED_VALUE"""),"Utilities")</f>
        <v>Utilities</v>
      </c>
      <c r="C173" s="27" t="str">
        <f>IFERROR(__xludf.DUMMYFUNCTION("""COMPUTED_VALUE"""),"United States")</f>
        <v>United States</v>
      </c>
      <c r="D173" s="27">
        <f>IFERROR(__xludf.DUMMYFUNCTION("""COMPUTED_VALUE"""),0.12)</f>
        <v>0.12</v>
      </c>
      <c r="E173" s="22">
        <f t="shared" si="2"/>
        <v>1.2</v>
      </c>
      <c r="F173" s="23" t="str">
        <f t="shared" si="3"/>
        <v/>
      </c>
      <c r="G173" s="23" t="str">
        <f t="shared" si="4"/>
        <v/>
      </c>
      <c r="H173" s="27" t="str">
        <f>IFERROR(__xludf.DUMMYFUNCTION("""COMPUTED_VALUE"""),"GQG PARTNERS INC")</f>
        <v>GQG PARTNERS INC</v>
      </c>
      <c r="I173" s="27" t="str">
        <f>IFERROR(__xludf.DUMMYFUNCTION("""COMPUTED_VALUE"""),"Financials")</f>
        <v>Financials</v>
      </c>
      <c r="J173" s="27" t="str">
        <f>IFERROR(__xludf.DUMMYFUNCTION("""COMPUTED_VALUE"""),"Australia")</f>
        <v>Australia</v>
      </c>
      <c r="K173" s="27">
        <f>IFERROR(__xludf.DUMMYFUNCTION("""COMPUTED_VALUE"""),0.05328987)</f>
        <v>0.05328987</v>
      </c>
      <c r="L173" s="22">
        <f t="shared" si="5"/>
        <v>0.5328987</v>
      </c>
    </row>
    <row r="174">
      <c r="A174" s="27" t="str">
        <f>IFERROR(__xludf.DUMMYFUNCTION("""COMPUTED_VALUE"""),"EDWARDS LIFESCIENCES CORP")</f>
        <v>EDWARDS LIFESCIENCES CORP</v>
      </c>
      <c r="B174" s="27" t="str">
        <f>IFERROR(__xludf.DUMMYFUNCTION("""COMPUTED_VALUE"""),"Health Care")</f>
        <v>Health Care</v>
      </c>
      <c r="C174" s="27" t="str">
        <f>IFERROR(__xludf.DUMMYFUNCTION("""COMPUTED_VALUE"""),"United States")</f>
        <v>United States</v>
      </c>
      <c r="D174" s="27">
        <f>IFERROR(__xludf.DUMMYFUNCTION("""COMPUTED_VALUE"""),0.12)</f>
        <v>0.12</v>
      </c>
      <c r="E174" s="22">
        <f t="shared" si="2"/>
        <v>1.2</v>
      </c>
      <c r="F174" s="23" t="str">
        <f t="shared" si="3"/>
        <v/>
      </c>
      <c r="G174" s="23" t="str">
        <f t="shared" si="4"/>
        <v/>
      </c>
      <c r="H174" s="27" t="str">
        <f>IFERROR(__xludf.DUMMYFUNCTION("""COMPUTED_VALUE"""),"MAGELLAN FINANCIAL GROUP LTD")</f>
        <v>MAGELLAN FINANCIAL GROUP LTD</v>
      </c>
      <c r="I174" s="27" t="str">
        <f>IFERROR(__xludf.DUMMYFUNCTION("""COMPUTED_VALUE"""),"Financials")</f>
        <v>Financials</v>
      </c>
      <c r="J174" s="27" t="str">
        <f>IFERROR(__xludf.DUMMYFUNCTION("""COMPUTED_VALUE"""),"Australia")</f>
        <v>Australia</v>
      </c>
      <c r="K174" s="27">
        <f>IFERROR(__xludf.DUMMYFUNCTION("""COMPUTED_VALUE"""),0.05313663)</f>
        <v>0.05313663</v>
      </c>
      <c r="L174" s="22">
        <f t="shared" si="5"/>
        <v>0.5313663</v>
      </c>
    </row>
    <row r="175">
      <c r="A175" s="27" t="str">
        <f>IFERROR(__xludf.DUMMYFUNCTION("""COMPUTED_VALUE"""),"AFLAC INC")</f>
        <v>AFLAC INC</v>
      </c>
      <c r="B175" s="27" t="str">
        <f>IFERROR(__xludf.DUMMYFUNCTION("""COMPUTED_VALUE"""),"Financials")</f>
        <v>Financials</v>
      </c>
      <c r="C175" s="27" t="str">
        <f>IFERROR(__xludf.DUMMYFUNCTION("""COMPUTED_VALUE"""),"United States")</f>
        <v>United States</v>
      </c>
      <c r="D175" s="27">
        <f>IFERROR(__xludf.DUMMYFUNCTION("""COMPUTED_VALUE"""),0.12)</f>
        <v>0.12</v>
      </c>
      <c r="E175" s="22">
        <f t="shared" si="2"/>
        <v>1.2</v>
      </c>
      <c r="F175" s="23" t="str">
        <f t="shared" si="3"/>
        <v/>
      </c>
      <c r="G175" s="23" t="str">
        <f t="shared" si="4"/>
        <v/>
      </c>
      <c r="H175" s="27" t="str">
        <f>IFERROR(__xludf.DUMMYFUNCTION("""COMPUTED_VALUE"""),"MEGAPORT LTD")</f>
        <v>MEGAPORT LTD</v>
      </c>
      <c r="I175" s="27" t="str">
        <f>IFERROR(__xludf.DUMMYFUNCTION("""COMPUTED_VALUE"""),"Information Technology")</f>
        <v>Information Technology</v>
      </c>
      <c r="J175" s="27" t="str">
        <f>IFERROR(__xludf.DUMMYFUNCTION("""COMPUTED_VALUE"""),"Australia")</f>
        <v>Australia</v>
      </c>
      <c r="K175" s="27">
        <f>IFERROR(__xludf.DUMMYFUNCTION("""COMPUTED_VALUE"""),0.05265052)</f>
        <v>0.05265052</v>
      </c>
      <c r="L175" s="22">
        <f t="shared" si="5"/>
        <v>0.5265052</v>
      </c>
    </row>
    <row r="176">
      <c r="A176" s="27" t="str">
        <f>IFERROR(__xludf.DUMMYFUNCTION("""COMPUTED_VALUE"""),"WILLIAMS INC")</f>
        <v>WILLIAMS INC</v>
      </c>
      <c r="B176" s="27" t="str">
        <f>IFERROR(__xludf.DUMMYFUNCTION("""COMPUTED_VALUE"""),"Energy")</f>
        <v>Energy</v>
      </c>
      <c r="C176" s="27" t="str">
        <f>IFERROR(__xludf.DUMMYFUNCTION("""COMPUTED_VALUE"""),"United States")</f>
        <v>United States</v>
      </c>
      <c r="D176" s="27">
        <f>IFERROR(__xludf.DUMMYFUNCTION("""COMPUTED_VALUE"""),0.12)</f>
        <v>0.12</v>
      </c>
      <c r="E176" s="22">
        <f t="shared" si="2"/>
        <v>1.2</v>
      </c>
      <c r="F176" s="23" t="str">
        <f t="shared" si="3"/>
        <v/>
      </c>
      <c r="G176" s="23" t="str">
        <f t="shared" si="4"/>
        <v/>
      </c>
      <c r="H176" s="27" t="str">
        <f>IFERROR(__xludf.DUMMYFUNCTION("""COMPUTED_VALUE"""),"MONADELPHOUS GROUP LTD")</f>
        <v>MONADELPHOUS GROUP LTD</v>
      </c>
      <c r="I176" s="27" t="str">
        <f>IFERROR(__xludf.DUMMYFUNCTION("""COMPUTED_VALUE"""),"Industrials")</f>
        <v>Industrials</v>
      </c>
      <c r="J176" s="27" t="str">
        <f>IFERROR(__xludf.DUMMYFUNCTION("""COMPUTED_VALUE"""),"Australia")</f>
        <v>Australia</v>
      </c>
      <c r="K176" s="27">
        <f>IFERROR(__xludf.DUMMYFUNCTION("""COMPUTED_VALUE"""),0.05223693)</f>
        <v>0.05223693</v>
      </c>
      <c r="L176" s="22">
        <f t="shared" si="5"/>
        <v>0.5223693</v>
      </c>
    </row>
    <row r="177">
      <c r="A177" s="27" t="str">
        <f>IFERROR(__xludf.DUMMYFUNCTION("""COMPUTED_VALUE"""),"CINTAS CORP")</f>
        <v>CINTAS CORP</v>
      </c>
      <c r="B177" s="27" t="str">
        <f>IFERROR(__xludf.DUMMYFUNCTION("""COMPUTED_VALUE"""),"Industrials")</f>
        <v>Industrials</v>
      </c>
      <c r="C177" s="27" t="str">
        <f>IFERROR(__xludf.DUMMYFUNCTION("""COMPUTED_VALUE"""),"United States")</f>
        <v>United States</v>
      </c>
      <c r="D177" s="27">
        <f>IFERROR(__xludf.DUMMYFUNCTION("""COMPUTED_VALUE"""),0.12)</f>
        <v>0.12</v>
      </c>
      <c r="E177" s="22">
        <f t="shared" si="2"/>
        <v>1.2</v>
      </c>
      <c r="F177" s="23" t="str">
        <f t="shared" si="3"/>
        <v/>
      </c>
      <c r="G177" s="23" t="str">
        <f t="shared" si="4"/>
        <v/>
      </c>
      <c r="H177" s="27" t="str">
        <f>IFERROR(__xludf.DUMMYFUNCTION("""COMPUTED_VALUE"""),"NANOSONICS LTD")</f>
        <v>NANOSONICS LTD</v>
      </c>
      <c r="I177" s="27" t="str">
        <f>IFERROR(__xludf.DUMMYFUNCTION("""COMPUTED_VALUE"""),"Healthcare")</f>
        <v>Healthcare</v>
      </c>
      <c r="J177" s="27" t="str">
        <f>IFERROR(__xludf.DUMMYFUNCTION("""COMPUTED_VALUE"""),"Australia")</f>
        <v>Australia</v>
      </c>
      <c r="K177" s="27">
        <f>IFERROR(__xludf.DUMMYFUNCTION("""COMPUTED_VALUE"""),0.05190204)</f>
        <v>0.05190204</v>
      </c>
      <c r="L177" s="22">
        <f t="shared" si="5"/>
        <v>0.5190204</v>
      </c>
    </row>
    <row r="178">
      <c r="A178" s="27" t="str">
        <f>IFERROR(__xludf.DUMMYFUNCTION("""COMPUTED_VALUE"""),"PUBLIC STORAGE REIT")</f>
        <v>PUBLIC STORAGE REIT</v>
      </c>
      <c r="B178" s="27" t="str">
        <f>IFERROR(__xludf.DUMMYFUNCTION("""COMPUTED_VALUE"""),"Real Estate")</f>
        <v>Real Estate</v>
      </c>
      <c r="C178" s="27" t="str">
        <f>IFERROR(__xludf.DUMMYFUNCTION("""COMPUTED_VALUE"""),"United States")</f>
        <v>United States</v>
      </c>
      <c r="D178" s="27">
        <f>IFERROR(__xludf.DUMMYFUNCTION("""COMPUTED_VALUE"""),0.12)</f>
        <v>0.12</v>
      </c>
      <c r="E178" s="22">
        <f t="shared" si="2"/>
        <v>1.2</v>
      </c>
      <c r="F178" s="23" t="str">
        <f t="shared" si="3"/>
        <v/>
      </c>
      <c r="G178" s="23" t="str">
        <f t="shared" si="4"/>
        <v/>
      </c>
      <c r="H178" s="27" t="str">
        <f>IFERROR(__xludf.DUMMYFUNCTION("""COMPUTED_VALUE"""),"COSTA GROUP HOLDINGS LTD")</f>
        <v>COSTA GROUP HOLDINGS LTD</v>
      </c>
      <c r="I178" s="27" t="str">
        <f>IFERROR(__xludf.DUMMYFUNCTION("""COMPUTED_VALUE"""),"Consumer Staples")</f>
        <v>Consumer Staples</v>
      </c>
      <c r="J178" s="27" t="str">
        <f>IFERROR(__xludf.DUMMYFUNCTION("""COMPUTED_VALUE"""),"Australia")</f>
        <v>Australia</v>
      </c>
      <c r="K178" s="27">
        <f>IFERROR(__xludf.DUMMYFUNCTION("""COMPUTED_VALUE"""),0.05125511)</f>
        <v>0.05125511</v>
      </c>
      <c r="L178" s="22">
        <f t="shared" si="5"/>
        <v>0.5125511</v>
      </c>
    </row>
    <row r="179">
      <c r="A179" s="27" t="str">
        <f>IFERROR(__xludf.DUMMYFUNCTION("""COMPUTED_VALUE"""),"WELLTOWER INC")</f>
        <v>WELLTOWER INC</v>
      </c>
      <c r="B179" s="27" t="str">
        <f>IFERROR(__xludf.DUMMYFUNCTION("""COMPUTED_VALUE"""),"Real Estate")</f>
        <v>Real Estate</v>
      </c>
      <c r="C179" s="27" t="str">
        <f>IFERROR(__xludf.DUMMYFUNCTION("""COMPUTED_VALUE"""),"United States")</f>
        <v>United States</v>
      </c>
      <c r="D179" s="27">
        <f>IFERROR(__xludf.DUMMYFUNCTION("""COMPUTED_VALUE"""),0.12)</f>
        <v>0.12</v>
      </c>
      <c r="E179" s="22">
        <f t="shared" si="2"/>
        <v>1.2</v>
      </c>
      <c r="F179" s="23" t="str">
        <f t="shared" si="3"/>
        <v/>
      </c>
      <c r="G179" s="23" t="str">
        <f t="shared" si="4"/>
        <v/>
      </c>
      <c r="H179" s="27" t="str">
        <f>IFERROR(__xludf.DUMMYFUNCTION("""COMPUTED_VALUE"""),"LOVISA HOLDINGS LTD")</f>
        <v>LOVISA HOLDINGS LTD</v>
      </c>
      <c r="I179" s="27" t="str">
        <f>IFERROR(__xludf.DUMMYFUNCTION("""COMPUTED_VALUE"""),"Consumer Discretionary")</f>
        <v>Consumer Discretionary</v>
      </c>
      <c r="J179" s="27" t="str">
        <f>IFERROR(__xludf.DUMMYFUNCTION("""COMPUTED_VALUE"""),"Australia")</f>
        <v>Australia</v>
      </c>
      <c r="K179" s="27">
        <f>IFERROR(__xludf.DUMMYFUNCTION("""COMPUTED_VALUE"""),0.05087048)</f>
        <v>0.05087048</v>
      </c>
      <c r="L179" s="22">
        <f t="shared" si="5"/>
        <v>0.5087048</v>
      </c>
    </row>
    <row r="180">
      <c r="A180" s="27" t="str">
        <f>IFERROR(__xludf.DUMMYFUNCTION("""COMPUTED_VALUE"""),"MSCI INC")</f>
        <v>MSCI INC</v>
      </c>
      <c r="B180" s="27" t="str">
        <f>IFERROR(__xludf.DUMMYFUNCTION("""COMPUTED_VALUE"""),"Financials")</f>
        <v>Financials</v>
      </c>
      <c r="C180" s="27" t="str">
        <f>IFERROR(__xludf.DUMMYFUNCTION("""COMPUTED_VALUE"""),"United States")</f>
        <v>United States</v>
      </c>
      <c r="D180" s="27">
        <f>IFERROR(__xludf.DUMMYFUNCTION("""COMPUTED_VALUE"""),0.11)</f>
        <v>0.11</v>
      </c>
      <c r="E180" s="22">
        <f t="shared" si="2"/>
        <v>1.1</v>
      </c>
      <c r="F180" s="23" t="str">
        <f t="shared" si="3"/>
        <v/>
      </c>
      <c r="G180" s="23" t="str">
        <f t="shared" si="4"/>
        <v/>
      </c>
      <c r="H180" s="27" t="str">
        <f>IFERROR(__xludf.DUMMYFUNCTION("""COMPUTED_VALUE"""),"ABACUS PROPERTY GROUP")</f>
        <v>ABACUS PROPERTY GROUP</v>
      </c>
      <c r="I180" s="27" t="str">
        <f>IFERROR(__xludf.DUMMYFUNCTION("""COMPUTED_VALUE"""),"Real Estate")</f>
        <v>Real Estate</v>
      </c>
      <c r="J180" s="27" t="str">
        <f>IFERROR(__xludf.DUMMYFUNCTION("""COMPUTED_VALUE"""),"Australia")</f>
        <v>Australia</v>
      </c>
      <c r="K180" s="27">
        <f>IFERROR(__xludf.DUMMYFUNCTION("""COMPUTED_VALUE"""),0.05060506)</f>
        <v>0.05060506</v>
      </c>
      <c r="L180" s="22">
        <f t="shared" si="5"/>
        <v>0.5060506</v>
      </c>
    </row>
    <row r="181">
      <c r="A181" s="27" t="str">
        <f>IFERROR(__xludf.DUMMYFUNCTION("""COMPUTED_VALUE"""),"KIMBERLY CLARK CORP")</f>
        <v>KIMBERLY CLARK CORP</v>
      </c>
      <c r="B181" s="27" t="str">
        <f>IFERROR(__xludf.DUMMYFUNCTION("""COMPUTED_VALUE"""),"Consumer Staples")</f>
        <v>Consumer Staples</v>
      </c>
      <c r="C181" s="27" t="str">
        <f>IFERROR(__xludf.DUMMYFUNCTION("""COMPUTED_VALUE"""),"United States")</f>
        <v>United States</v>
      </c>
      <c r="D181" s="27">
        <f>IFERROR(__xludf.DUMMYFUNCTION("""COMPUTED_VALUE"""),0.11)</f>
        <v>0.11</v>
      </c>
      <c r="E181" s="22">
        <f t="shared" si="2"/>
        <v>1.1</v>
      </c>
      <c r="F181" s="23" t="str">
        <f t="shared" si="3"/>
        <v/>
      </c>
      <c r="G181" s="23" t="str">
        <f t="shared" si="4"/>
        <v/>
      </c>
      <c r="H181" s="27" t="str">
        <f>IFERROR(__xludf.DUMMYFUNCTION("""COMPUTED_VALUE"""),"CENTURIA CAPITAL GROUP")</f>
        <v>CENTURIA CAPITAL GROUP</v>
      </c>
      <c r="I181" s="27" t="str">
        <f>IFERROR(__xludf.DUMMYFUNCTION("""COMPUTED_VALUE"""),"Real Estate")</f>
        <v>Real Estate</v>
      </c>
      <c r="J181" s="27" t="str">
        <f>IFERROR(__xludf.DUMMYFUNCTION("""COMPUTED_VALUE"""),"Australia")</f>
        <v>Australia</v>
      </c>
      <c r="K181" s="27">
        <f>IFERROR(__xludf.DUMMYFUNCTION("""COMPUTED_VALUE"""),0.05035544)</f>
        <v>0.05035544</v>
      </c>
      <c r="L181" s="22">
        <f t="shared" si="5"/>
        <v>0.5035544</v>
      </c>
    </row>
    <row r="182">
      <c r="A182" s="27" t="str">
        <f>IFERROR(__xludf.DUMMYFUNCTION("""COMPUTED_VALUE"""),"ARCHER DANIELS MIDLAND")</f>
        <v>ARCHER DANIELS MIDLAND</v>
      </c>
      <c r="B182" s="27" t="str">
        <f>IFERROR(__xludf.DUMMYFUNCTION("""COMPUTED_VALUE"""),"Consumer Staples")</f>
        <v>Consumer Staples</v>
      </c>
      <c r="C182" s="27" t="str">
        <f>IFERROR(__xludf.DUMMYFUNCTION("""COMPUTED_VALUE"""),"United States")</f>
        <v>United States</v>
      </c>
      <c r="D182" s="27">
        <f>IFERROR(__xludf.DUMMYFUNCTION("""COMPUTED_VALUE"""),0.11)</f>
        <v>0.11</v>
      </c>
      <c r="E182" s="22">
        <f t="shared" si="2"/>
        <v>1.1</v>
      </c>
      <c r="F182" s="23" t="str">
        <f t="shared" si="3"/>
        <v/>
      </c>
      <c r="G182" s="23" t="str">
        <f t="shared" si="4"/>
        <v/>
      </c>
      <c r="H182" s="27" t="str">
        <f>IFERROR(__xludf.DUMMYFUNCTION("""COMPUTED_VALUE"""),"YANCOAL AUSTRALIA LTD")</f>
        <v>YANCOAL AUSTRALIA LTD</v>
      </c>
      <c r="I182" s="27" t="str">
        <f>IFERROR(__xludf.DUMMYFUNCTION("""COMPUTED_VALUE"""),"Energy")</f>
        <v>Energy</v>
      </c>
      <c r="J182" s="27" t="str">
        <f>IFERROR(__xludf.DUMMYFUNCTION("""COMPUTED_VALUE"""),"Australia")</f>
        <v>Australia</v>
      </c>
      <c r="K182" s="27">
        <f>IFERROR(__xludf.DUMMYFUNCTION("""COMPUTED_VALUE"""),0.04934084)</f>
        <v>0.04934084</v>
      </c>
      <c r="L182" s="22">
        <f t="shared" si="5"/>
        <v>0.4934084</v>
      </c>
    </row>
    <row r="183">
      <c r="A183" s="27" t="str">
        <f>IFERROR(__xludf.DUMMYFUNCTION("""COMPUTED_VALUE"""),"ON SEMICONDUCTOR CORP")</f>
        <v>ON SEMICONDUCTOR CORP</v>
      </c>
      <c r="B183" s="27" t="str">
        <f>IFERROR(__xludf.DUMMYFUNCTION("""COMPUTED_VALUE"""),"Information Technology")</f>
        <v>Information Technology</v>
      </c>
      <c r="C183" s="27" t="str">
        <f>IFERROR(__xludf.DUMMYFUNCTION("""COMPUTED_VALUE"""),"United States")</f>
        <v>United States</v>
      </c>
      <c r="D183" s="27">
        <f>IFERROR(__xludf.DUMMYFUNCTION("""COMPUTED_VALUE"""),0.11)</f>
        <v>0.11</v>
      </c>
      <c r="E183" s="22">
        <f t="shared" si="2"/>
        <v>1.1</v>
      </c>
      <c r="F183" s="23" t="str">
        <f t="shared" si="3"/>
        <v/>
      </c>
      <c r="G183" s="23" t="str">
        <f t="shared" si="4"/>
        <v/>
      </c>
      <c r="H183" s="27" t="str">
        <f>IFERROR(__xludf.DUMMYFUNCTION("""COMPUTED_VALUE"""),"KAROON ENERGY LTD")</f>
        <v>KAROON ENERGY LTD</v>
      </c>
      <c r="I183" s="27" t="str">
        <f>IFERROR(__xludf.DUMMYFUNCTION("""COMPUTED_VALUE"""),"Energy")</f>
        <v>Energy</v>
      </c>
      <c r="J183" s="27" t="str">
        <f>IFERROR(__xludf.DUMMYFUNCTION("""COMPUTED_VALUE"""),"Australia")</f>
        <v>Australia</v>
      </c>
      <c r="K183" s="27">
        <f>IFERROR(__xludf.DUMMYFUNCTION("""COMPUTED_VALUE"""),0.04909929)</f>
        <v>0.04909929</v>
      </c>
      <c r="L183" s="22">
        <f t="shared" si="5"/>
        <v>0.4909929</v>
      </c>
    </row>
    <row r="184">
      <c r="A184" s="27" t="str">
        <f>IFERROR(__xludf.DUMMYFUNCTION("""COMPUTED_VALUE"""),"CONSTELLATION BRANDS INC CLASS A")</f>
        <v>CONSTELLATION BRANDS INC CLASS A</v>
      </c>
      <c r="B184" s="27" t="str">
        <f>IFERROR(__xludf.DUMMYFUNCTION("""COMPUTED_VALUE"""),"Consumer Staples")</f>
        <v>Consumer Staples</v>
      </c>
      <c r="C184" s="27" t="str">
        <f>IFERROR(__xludf.DUMMYFUNCTION("""COMPUTED_VALUE"""),"United States")</f>
        <v>United States</v>
      </c>
      <c r="D184" s="27">
        <f>IFERROR(__xludf.DUMMYFUNCTION("""COMPUTED_VALUE"""),0.11)</f>
        <v>0.11</v>
      </c>
      <c r="E184" s="22">
        <f t="shared" si="2"/>
        <v>1.1</v>
      </c>
      <c r="F184" s="23" t="str">
        <f t="shared" si="3"/>
        <v/>
      </c>
      <c r="G184" s="23" t="str">
        <f t="shared" si="4"/>
        <v/>
      </c>
      <c r="H184" s="27" t="str">
        <f>IFERROR(__xludf.DUMMYFUNCTION("""COMPUTED_VALUE"""),"LIFESTYLE COMMUNITIES LTD")</f>
        <v>LIFESTYLE COMMUNITIES LTD</v>
      </c>
      <c r="I184" s="27" t="str">
        <f>IFERROR(__xludf.DUMMYFUNCTION("""COMPUTED_VALUE"""),"Real Estate")</f>
        <v>Real Estate</v>
      </c>
      <c r="J184" s="27" t="str">
        <f>IFERROR(__xludf.DUMMYFUNCTION("""COMPUTED_VALUE"""),"Australia")</f>
        <v>Australia</v>
      </c>
      <c r="K184" s="27">
        <f>IFERROR(__xludf.DUMMYFUNCTION("""COMPUTED_VALUE"""),0.04864459)</f>
        <v>0.04864459</v>
      </c>
      <c r="L184" s="22">
        <f t="shared" si="5"/>
        <v>0.4864459</v>
      </c>
    </row>
    <row r="185">
      <c r="A185" s="27" t="str">
        <f>IFERROR(__xludf.DUMMYFUNCTION("""COMPUTED_VALUE"""),"HILTON WORLDWIDE HOLDINGS INC")</f>
        <v>HILTON WORLDWIDE HOLDINGS INC</v>
      </c>
      <c r="B185" s="27" t="str">
        <f>IFERROR(__xludf.DUMMYFUNCTION("""COMPUTED_VALUE"""),"Consumer Discretionary")</f>
        <v>Consumer Discretionary</v>
      </c>
      <c r="C185" s="27" t="str">
        <f>IFERROR(__xludf.DUMMYFUNCTION("""COMPUTED_VALUE"""),"United States")</f>
        <v>United States</v>
      </c>
      <c r="D185" s="27">
        <f>IFERROR(__xludf.DUMMYFUNCTION("""COMPUTED_VALUE"""),0.11)</f>
        <v>0.11</v>
      </c>
      <c r="E185" s="22">
        <f t="shared" si="2"/>
        <v>1.1</v>
      </c>
      <c r="F185" s="23" t="str">
        <f t="shared" si="3"/>
        <v/>
      </c>
      <c r="G185" s="23" t="str">
        <f t="shared" si="4"/>
        <v/>
      </c>
      <c r="H185" s="27" t="str">
        <f>IFERROR(__xludf.DUMMYFUNCTION("""COMPUTED_VALUE"""),"LINK ADMINISTRATION HOLDINGS L")</f>
        <v>LINK ADMINISTRATION HOLDINGS L</v>
      </c>
      <c r="I185" s="27" t="str">
        <f>IFERROR(__xludf.DUMMYFUNCTION("""COMPUTED_VALUE"""),"Industrials")</f>
        <v>Industrials</v>
      </c>
      <c r="J185" s="27" t="str">
        <f>IFERROR(__xludf.DUMMYFUNCTION("""COMPUTED_VALUE"""),"Australia")</f>
        <v>Australia</v>
      </c>
      <c r="K185" s="27">
        <f>IFERROR(__xludf.DUMMYFUNCTION("""COMPUTED_VALUE"""),0.04699119)</f>
        <v>0.04699119</v>
      </c>
      <c r="L185" s="22">
        <f t="shared" si="5"/>
        <v>0.4699119</v>
      </c>
    </row>
    <row r="186">
      <c r="A186" s="27" t="str">
        <f>IFERROR(__xludf.DUMMYFUNCTION("""COMPUTED_VALUE"""),"CROWN CASTLE INC")</f>
        <v>CROWN CASTLE INC</v>
      </c>
      <c r="B186" s="27" t="str">
        <f>IFERROR(__xludf.DUMMYFUNCTION("""COMPUTED_VALUE"""),"Real Estate")</f>
        <v>Real Estate</v>
      </c>
      <c r="C186" s="27" t="str">
        <f>IFERROR(__xludf.DUMMYFUNCTION("""COMPUTED_VALUE"""),"United States")</f>
        <v>United States</v>
      </c>
      <c r="D186" s="27">
        <f>IFERROR(__xludf.DUMMYFUNCTION("""COMPUTED_VALUE"""),0.11)</f>
        <v>0.11</v>
      </c>
      <c r="E186" s="22">
        <f t="shared" si="2"/>
        <v>1.1</v>
      </c>
      <c r="F186" s="23" t="str">
        <f t="shared" si="3"/>
        <v/>
      </c>
      <c r="G186" s="23" t="str">
        <f t="shared" si="4"/>
        <v/>
      </c>
      <c r="H186" s="27" t="str">
        <f>IFERROR(__xludf.DUMMYFUNCTION("""COMPUTED_VALUE"""),"JUDO CAPITAL HOLDINGS LTD")</f>
        <v>JUDO CAPITAL HOLDINGS LTD</v>
      </c>
      <c r="I186" s="27" t="str">
        <f>IFERROR(__xludf.DUMMYFUNCTION("""COMPUTED_VALUE"""),"Financials")</f>
        <v>Financials</v>
      </c>
      <c r="J186" s="27" t="str">
        <f>IFERROR(__xludf.DUMMYFUNCTION("""COMPUTED_VALUE"""),"Australia")</f>
        <v>Australia</v>
      </c>
      <c r="K186" s="27">
        <f>IFERROR(__xludf.DUMMYFUNCTION("""COMPUTED_VALUE"""),0.04695543)</f>
        <v>0.04695543</v>
      </c>
      <c r="L186" s="22">
        <f t="shared" si="5"/>
        <v>0.4695543</v>
      </c>
    </row>
    <row r="187">
      <c r="A187" s="27" t="str">
        <f>IFERROR(__xludf.DUMMYFUNCTION("""COMPUTED_VALUE"""),"METLIFE INC")</f>
        <v>METLIFE INC</v>
      </c>
      <c r="B187" s="27" t="str">
        <f>IFERROR(__xludf.DUMMYFUNCTION("""COMPUTED_VALUE"""),"Financials")</f>
        <v>Financials</v>
      </c>
      <c r="C187" s="27" t="str">
        <f>IFERROR(__xludf.DUMMYFUNCTION("""COMPUTED_VALUE"""),"United States")</f>
        <v>United States</v>
      </c>
      <c r="D187" s="27">
        <f>IFERROR(__xludf.DUMMYFUNCTION("""COMPUTED_VALUE"""),0.11)</f>
        <v>0.11</v>
      </c>
      <c r="E187" s="22">
        <f t="shared" si="2"/>
        <v>1.1</v>
      </c>
      <c r="F187" s="23" t="str">
        <f t="shared" si="3"/>
        <v/>
      </c>
      <c r="G187" s="23" t="str">
        <f t="shared" si="4"/>
        <v/>
      </c>
      <c r="H187" s="27" t="str">
        <f>IFERROR(__xludf.DUMMYFUNCTION("""COMPUTED_VALUE"""),"NEWS CORP")</f>
        <v>NEWS CORP</v>
      </c>
      <c r="I187" s="27" t="str">
        <f>IFERROR(__xludf.DUMMYFUNCTION("""COMPUTED_VALUE"""),"Communication Services")</f>
        <v>Communication Services</v>
      </c>
      <c r="J187" s="27" t="str">
        <f>IFERROR(__xludf.DUMMYFUNCTION("""COMPUTED_VALUE"""),"Australia")</f>
        <v>Australia</v>
      </c>
      <c r="K187" s="27">
        <f>IFERROR(__xludf.DUMMYFUNCTION("""COMPUTED_VALUE"""),0.04666728)</f>
        <v>0.04666728</v>
      </c>
      <c r="L187" s="22">
        <f t="shared" si="5"/>
        <v>0.4666728</v>
      </c>
    </row>
    <row r="188">
      <c r="A188" s="27" t="str">
        <f>IFERROR(__xludf.DUMMYFUNCTION("""COMPUTED_VALUE"""),"MONSTER BEVERAGE CORP")</f>
        <v>MONSTER BEVERAGE CORP</v>
      </c>
      <c r="B188" s="27" t="str">
        <f>IFERROR(__xludf.DUMMYFUNCTION("""COMPUTED_VALUE"""),"Consumer Staples")</f>
        <v>Consumer Staples</v>
      </c>
      <c r="C188" s="27" t="str">
        <f>IFERROR(__xludf.DUMMYFUNCTION("""COMPUTED_VALUE"""),"United States")</f>
        <v>United States</v>
      </c>
      <c r="D188" s="27">
        <f>IFERROR(__xludf.DUMMYFUNCTION("""COMPUTED_VALUE"""),0.11)</f>
        <v>0.11</v>
      </c>
      <c r="E188" s="22">
        <f t="shared" si="2"/>
        <v>1.1</v>
      </c>
      <c r="F188" s="23" t="str">
        <f t="shared" si="3"/>
        <v/>
      </c>
      <c r="G188" s="23" t="str">
        <f t="shared" si="4"/>
        <v/>
      </c>
      <c r="H188" s="27" t="str">
        <f>IFERROR(__xludf.DUMMYFUNCTION("""COMPUTED_VALUE"""),"JOHNS LYNG GROUP LTD")</f>
        <v>JOHNS LYNG GROUP LTD</v>
      </c>
      <c r="I188" s="27" t="str">
        <f>IFERROR(__xludf.DUMMYFUNCTION("""COMPUTED_VALUE"""),"Industrials")</f>
        <v>Industrials</v>
      </c>
      <c r="J188" s="27" t="str">
        <f>IFERROR(__xludf.DUMMYFUNCTION("""COMPUTED_VALUE"""),"Australia")</f>
        <v>Australia</v>
      </c>
      <c r="K188" s="27">
        <f>IFERROR(__xludf.DUMMYFUNCTION("""COMPUTED_VALUE"""),0.04634215)</f>
        <v>0.04634215</v>
      </c>
      <c r="L188" s="22">
        <f t="shared" si="5"/>
        <v>0.4634215</v>
      </c>
    </row>
    <row r="189">
      <c r="A189" s="27" t="str">
        <f>IFERROR(__xludf.DUMMYFUNCTION("""COMPUTED_VALUE"""),"NUCOR CORP")</f>
        <v>NUCOR CORP</v>
      </c>
      <c r="B189" s="27" t="str">
        <f>IFERROR(__xludf.DUMMYFUNCTION("""COMPUTED_VALUE"""),"Materials")</f>
        <v>Materials</v>
      </c>
      <c r="C189" s="27" t="str">
        <f>IFERROR(__xludf.DUMMYFUNCTION("""COMPUTED_VALUE"""),"United States")</f>
        <v>United States</v>
      </c>
      <c r="D189" s="27">
        <f>IFERROR(__xludf.DUMMYFUNCTION("""COMPUTED_VALUE"""),0.11)</f>
        <v>0.11</v>
      </c>
      <c r="E189" s="22">
        <f t="shared" si="2"/>
        <v>1.1</v>
      </c>
      <c r="F189" s="23" t="str">
        <f t="shared" si="3"/>
        <v/>
      </c>
      <c r="G189" s="23" t="str">
        <f t="shared" si="4"/>
        <v/>
      </c>
      <c r="H189" s="27" t="str">
        <f>IFERROR(__xludf.DUMMYFUNCTION("""COMPUTED_VALUE"""),"CHARTER HALL SOCIAL INFRASTRUC")</f>
        <v>CHARTER HALL SOCIAL INFRASTRUC</v>
      </c>
      <c r="I189" s="27" t="str">
        <f>IFERROR(__xludf.DUMMYFUNCTION("""COMPUTED_VALUE"""),"Real Estate")</f>
        <v>Real Estate</v>
      </c>
      <c r="J189" s="27" t="str">
        <f>IFERROR(__xludf.DUMMYFUNCTION("""COMPUTED_VALUE"""),"Australia")</f>
        <v>Australia</v>
      </c>
      <c r="K189" s="27">
        <f>IFERROR(__xludf.DUMMYFUNCTION("""COMPUTED_VALUE"""),0.04601572)</f>
        <v>0.04601572</v>
      </c>
      <c r="L189" s="22">
        <f t="shared" si="5"/>
        <v>0.4601572</v>
      </c>
    </row>
    <row r="190">
      <c r="A190" s="27" t="str">
        <f>IFERROR(__xludf.DUMMYFUNCTION("""COMPUTED_VALUE"""),"TE CONNECTIVITY LTD")</f>
        <v>TE CONNECTIVITY LTD</v>
      </c>
      <c r="B190" s="27" t="str">
        <f>IFERROR(__xludf.DUMMYFUNCTION("""COMPUTED_VALUE"""),"Information Technology")</f>
        <v>Information Technology</v>
      </c>
      <c r="C190" s="27" t="str">
        <f>IFERROR(__xludf.DUMMYFUNCTION("""COMPUTED_VALUE"""),"United States")</f>
        <v>United States</v>
      </c>
      <c r="D190" s="27">
        <f>IFERROR(__xludf.DUMMYFUNCTION("""COMPUTED_VALUE"""),0.11)</f>
        <v>0.11</v>
      </c>
      <c r="E190" s="22">
        <f t="shared" si="2"/>
        <v>1.1</v>
      </c>
      <c r="F190" s="23" t="str">
        <f t="shared" si="3"/>
        <v/>
      </c>
      <c r="G190" s="23" t="str">
        <f t="shared" si="4"/>
        <v/>
      </c>
      <c r="H190" s="27" t="str">
        <f>IFERROR(__xludf.DUMMYFUNCTION("""COMPUTED_VALUE"""),"HELIA GROUP LTD")</f>
        <v>HELIA GROUP LTD</v>
      </c>
      <c r="I190" s="27" t="str">
        <f>IFERROR(__xludf.DUMMYFUNCTION("""COMPUTED_VALUE"""),"Financials")</f>
        <v>Financials</v>
      </c>
      <c r="J190" s="27" t="str">
        <f>IFERROR(__xludf.DUMMYFUNCTION("""COMPUTED_VALUE"""),"Australia")</f>
        <v>Australia</v>
      </c>
      <c r="K190" s="27">
        <f>IFERROR(__xludf.DUMMYFUNCTION("""COMPUTED_VALUE"""),0.04546973)</f>
        <v>0.04546973</v>
      </c>
      <c r="L190" s="22">
        <f t="shared" si="5"/>
        <v>0.4546973</v>
      </c>
    </row>
    <row r="191">
      <c r="A191" s="27" t="str">
        <f>IFERROR(__xludf.DUMMYFUNCTION("""COMPUTED_VALUE"""),"AMERICAN ELECTRIC POWER INC")</f>
        <v>AMERICAN ELECTRIC POWER INC</v>
      </c>
      <c r="B191" s="27" t="str">
        <f>IFERROR(__xludf.DUMMYFUNCTION("""COMPUTED_VALUE"""),"Utilities")</f>
        <v>Utilities</v>
      </c>
      <c r="C191" s="27" t="str">
        <f>IFERROR(__xludf.DUMMYFUNCTION("""COMPUTED_VALUE"""),"United States")</f>
        <v>United States</v>
      </c>
      <c r="D191" s="27">
        <f>IFERROR(__xludf.DUMMYFUNCTION("""COMPUTED_VALUE"""),0.11)</f>
        <v>0.11</v>
      </c>
      <c r="E191" s="22">
        <f t="shared" si="2"/>
        <v>1.1</v>
      </c>
      <c r="F191" s="23" t="str">
        <f t="shared" si="3"/>
        <v/>
      </c>
      <c r="G191" s="23" t="str">
        <f t="shared" si="4"/>
        <v/>
      </c>
      <c r="H191" s="27" t="str">
        <f>IFERROR(__xludf.DUMMYFUNCTION("""COMPUTED_VALUE"""),"SILVER LAKE RESOURCES LTD")</f>
        <v>SILVER LAKE RESOURCES LTD</v>
      </c>
      <c r="I191" s="27" t="str">
        <f>IFERROR(__xludf.DUMMYFUNCTION("""COMPUTED_VALUE"""),"Materials")</f>
        <v>Materials</v>
      </c>
      <c r="J191" s="27" t="str">
        <f>IFERROR(__xludf.DUMMYFUNCTION("""COMPUTED_VALUE"""),"Australia")</f>
        <v>Australia</v>
      </c>
      <c r="K191" s="27">
        <f>IFERROR(__xludf.DUMMYFUNCTION("""COMPUTED_VALUE"""),0.04477771)</f>
        <v>0.04477771</v>
      </c>
      <c r="L191" s="22">
        <f t="shared" si="5"/>
        <v>0.4477771</v>
      </c>
    </row>
    <row r="192">
      <c r="A192" s="27" t="str">
        <f>IFERROR(__xludf.DUMMYFUNCTION("""COMPUTED_VALUE"""),"TRAVELERS COMPANIES INC")</f>
        <v>TRAVELERS COMPANIES INC</v>
      </c>
      <c r="B192" s="27" t="str">
        <f>IFERROR(__xludf.DUMMYFUNCTION("""COMPUTED_VALUE"""),"Financials")</f>
        <v>Financials</v>
      </c>
      <c r="C192" s="27" t="str">
        <f>IFERROR(__xludf.DUMMYFUNCTION("""COMPUTED_VALUE"""),"United States")</f>
        <v>United States</v>
      </c>
      <c r="D192" s="27">
        <f>IFERROR(__xludf.DUMMYFUNCTION("""COMPUTED_VALUE"""),0.11)</f>
        <v>0.11</v>
      </c>
      <c r="E192" s="22">
        <f t="shared" si="2"/>
        <v>1.1</v>
      </c>
      <c r="F192" s="23" t="str">
        <f t="shared" si="3"/>
        <v/>
      </c>
      <c r="G192" s="23" t="str">
        <f t="shared" si="4"/>
        <v/>
      </c>
      <c r="H192" s="27" t="str">
        <f>IFERROR(__xludf.DUMMYFUNCTION("""COMPUTED_VALUE"""),"IMDEX LTD")</f>
        <v>IMDEX LTD</v>
      </c>
      <c r="I192" s="27" t="str">
        <f>IFERROR(__xludf.DUMMYFUNCTION("""COMPUTED_VALUE"""),"Materials")</f>
        <v>Materials</v>
      </c>
      <c r="J192" s="27" t="str">
        <f>IFERROR(__xludf.DUMMYFUNCTION("""COMPUTED_VALUE"""),"Australia")</f>
        <v>Australia</v>
      </c>
      <c r="K192" s="27">
        <f>IFERROR(__xludf.DUMMYFUNCTION("""COMPUTED_VALUE"""),0.04441069)</f>
        <v>0.04441069</v>
      </c>
      <c r="L192" s="22">
        <f t="shared" si="5"/>
        <v>0.4441069</v>
      </c>
    </row>
    <row r="193">
      <c r="A193" s="27" t="str">
        <f>IFERROR(__xludf.DUMMYFUNCTION("""COMPUTED_VALUE"""),"FORTINET INC")</f>
        <v>FORTINET INC</v>
      </c>
      <c r="B193" s="27" t="str">
        <f>IFERROR(__xludf.DUMMYFUNCTION("""COMPUTED_VALUE"""),"Information Technology")</f>
        <v>Information Technology</v>
      </c>
      <c r="C193" s="27" t="str">
        <f>IFERROR(__xludf.DUMMYFUNCTION("""COMPUTED_VALUE"""),"United States")</f>
        <v>United States</v>
      </c>
      <c r="D193" s="27">
        <f>IFERROR(__xludf.DUMMYFUNCTION("""COMPUTED_VALUE"""),0.11)</f>
        <v>0.11</v>
      </c>
      <c r="E193" s="22">
        <f t="shared" si="2"/>
        <v>1.1</v>
      </c>
      <c r="F193" s="23" t="str">
        <f t="shared" si="3"/>
        <v/>
      </c>
      <c r="G193" s="23" t="str">
        <f t="shared" si="4"/>
        <v/>
      </c>
      <c r="H193" s="27" t="str">
        <f>IFERROR(__xludf.DUMMYFUNCTION("""COMPUTED_VALUE"""),"ELDERS LTD")</f>
        <v>ELDERS LTD</v>
      </c>
      <c r="I193" s="27" t="str">
        <f>IFERROR(__xludf.DUMMYFUNCTION("""COMPUTED_VALUE"""),"Consumer Staples")</f>
        <v>Consumer Staples</v>
      </c>
      <c r="J193" s="27" t="str">
        <f>IFERROR(__xludf.DUMMYFUNCTION("""COMPUTED_VALUE"""),"Australia")</f>
        <v>Australia</v>
      </c>
      <c r="K193" s="27">
        <f>IFERROR(__xludf.DUMMYFUNCTION("""COMPUTED_VALUE"""),0.0437318)</f>
        <v>0.0437318</v>
      </c>
      <c r="L193" s="22">
        <f t="shared" si="5"/>
        <v>0.437318</v>
      </c>
    </row>
    <row r="194">
      <c r="A194" s="27" t="str">
        <f>IFERROR(__xludf.DUMMYFUNCTION("""COMPUTED_VALUE"""),"ROSS STORES INC")</f>
        <v>ROSS STORES INC</v>
      </c>
      <c r="B194" s="27" t="str">
        <f>IFERROR(__xludf.DUMMYFUNCTION("""COMPUTED_VALUE"""),"Consumer Discretionary")</f>
        <v>Consumer Discretionary</v>
      </c>
      <c r="C194" s="27" t="str">
        <f>IFERROR(__xludf.DUMMYFUNCTION("""COMPUTED_VALUE"""),"United States")</f>
        <v>United States</v>
      </c>
      <c r="D194" s="27">
        <f>IFERROR(__xludf.DUMMYFUNCTION("""COMPUTED_VALUE"""),0.11)</f>
        <v>0.11</v>
      </c>
      <c r="E194" s="22">
        <f t="shared" si="2"/>
        <v>1.1</v>
      </c>
      <c r="F194" s="23" t="str">
        <f t="shared" si="3"/>
        <v/>
      </c>
      <c r="G194" s="23" t="str">
        <f t="shared" si="4"/>
        <v/>
      </c>
      <c r="H194" s="27" t="str">
        <f>IFERROR(__xludf.DUMMYFUNCTION("""COMPUTED_VALUE"""),"POLYNOVO LTD")</f>
        <v>POLYNOVO LTD</v>
      </c>
      <c r="I194" s="27" t="str">
        <f>IFERROR(__xludf.DUMMYFUNCTION("""COMPUTED_VALUE"""),"Healthcare")</f>
        <v>Healthcare</v>
      </c>
      <c r="J194" s="27" t="str">
        <f>IFERROR(__xludf.DUMMYFUNCTION("""COMPUTED_VALUE"""),"Australia")</f>
        <v>Australia</v>
      </c>
      <c r="K194" s="27">
        <f>IFERROR(__xludf.DUMMYFUNCTION("""COMPUTED_VALUE"""),0.0436616)</f>
        <v>0.0436616</v>
      </c>
      <c r="L194" s="22">
        <f t="shared" si="5"/>
        <v>0.436616</v>
      </c>
    </row>
    <row r="195">
      <c r="A195" s="27" t="str">
        <f>IFERROR(__xludf.DUMMYFUNCTION("""COMPUTED_VALUE"""),"ONEOK INC")</f>
        <v>ONEOK INC</v>
      </c>
      <c r="B195" s="27" t="str">
        <f>IFERROR(__xludf.DUMMYFUNCTION("""COMPUTED_VALUE"""),"Energy")</f>
        <v>Energy</v>
      </c>
      <c r="C195" s="27" t="str">
        <f>IFERROR(__xludf.DUMMYFUNCTION("""COMPUTED_VALUE"""),"United States")</f>
        <v>United States</v>
      </c>
      <c r="D195" s="27">
        <f>IFERROR(__xludf.DUMMYFUNCTION("""COMPUTED_VALUE"""),0.1)</f>
        <v>0.1</v>
      </c>
      <c r="E195" s="22">
        <f t="shared" si="2"/>
        <v>1</v>
      </c>
      <c r="F195" s="23" t="str">
        <f t="shared" si="3"/>
        <v/>
      </c>
      <c r="G195" s="23" t="str">
        <f t="shared" si="4"/>
        <v/>
      </c>
      <c r="H195" s="27" t="str">
        <f>IFERROR(__xludf.DUMMYFUNCTION("""COMPUTED_VALUE"""),"INGHAMS GROUP LTD")</f>
        <v>INGHAMS GROUP LTD</v>
      </c>
      <c r="I195" s="27" t="str">
        <f>IFERROR(__xludf.DUMMYFUNCTION("""COMPUTED_VALUE"""),"Consumer Staples")</f>
        <v>Consumer Staples</v>
      </c>
      <c r="J195" s="27" t="str">
        <f>IFERROR(__xludf.DUMMYFUNCTION("""COMPUTED_VALUE"""),"Australia")</f>
        <v>Australia</v>
      </c>
      <c r="K195" s="27">
        <f>IFERROR(__xludf.DUMMYFUNCTION("""COMPUTED_VALUE"""),0.04176104)</f>
        <v>0.04176104</v>
      </c>
      <c r="L195" s="22">
        <f t="shared" si="5"/>
        <v>0.4176104</v>
      </c>
    </row>
    <row r="196">
      <c r="A196" s="27" t="str">
        <f>IFERROR(__xludf.DUMMYFUNCTION("""COMPUTED_VALUE"""),"COPART INC")</f>
        <v>COPART INC</v>
      </c>
      <c r="B196" s="27" t="str">
        <f>IFERROR(__xludf.DUMMYFUNCTION("""COMPUTED_VALUE"""),"Industrials")</f>
        <v>Industrials</v>
      </c>
      <c r="C196" s="27" t="str">
        <f>IFERROR(__xludf.DUMMYFUNCTION("""COMPUTED_VALUE"""),"United States")</f>
        <v>United States</v>
      </c>
      <c r="D196" s="27">
        <f>IFERROR(__xludf.DUMMYFUNCTION("""COMPUTED_VALUE"""),0.1)</f>
        <v>0.1</v>
      </c>
      <c r="E196" s="22">
        <f t="shared" si="2"/>
        <v>1</v>
      </c>
      <c r="F196" s="23" t="str">
        <f t="shared" si="3"/>
        <v/>
      </c>
      <c r="G196" s="23" t="str">
        <f t="shared" si="4"/>
        <v/>
      </c>
      <c r="H196" s="27" t="str">
        <f>IFERROR(__xludf.DUMMYFUNCTION("""COMPUTED_VALUE"""),"DOMAIN HOLDINGS AUSTRALIA LTD")</f>
        <v>DOMAIN HOLDINGS AUSTRALIA LTD</v>
      </c>
      <c r="I196" s="27" t="str">
        <f>IFERROR(__xludf.DUMMYFUNCTION("""COMPUTED_VALUE"""),"Communication Services")</f>
        <v>Communication Services</v>
      </c>
      <c r="J196" s="27" t="str">
        <f>IFERROR(__xludf.DUMMYFUNCTION("""COMPUTED_VALUE"""),"Australia")</f>
        <v>Australia</v>
      </c>
      <c r="K196" s="27">
        <f>IFERROR(__xludf.DUMMYFUNCTION("""COMPUTED_VALUE"""),0.04100628)</f>
        <v>0.04100628</v>
      </c>
      <c r="L196" s="22">
        <f t="shared" si="5"/>
        <v>0.4100628</v>
      </c>
    </row>
    <row r="197">
      <c r="A197" s="27" t="str">
        <f>IFERROR(__xludf.DUMMYFUNCTION("""COMPUTED_VALUE"""),"EXELON CORP")</f>
        <v>EXELON CORP</v>
      </c>
      <c r="B197" s="27" t="str">
        <f>IFERROR(__xludf.DUMMYFUNCTION("""COMPUTED_VALUE"""),"Utilities")</f>
        <v>Utilities</v>
      </c>
      <c r="C197" s="27" t="str">
        <f>IFERROR(__xludf.DUMMYFUNCTION("""COMPUTED_VALUE"""),"United States")</f>
        <v>United States</v>
      </c>
      <c r="D197" s="27">
        <f>IFERROR(__xludf.DUMMYFUNCTION("""COMPUTED_VALUE"""),0.1)</f>
        <v>0.1</v>
      </c>
      <c r="E197" s="22">
        <f t="shared" si="2"/>
        <v>1</v>
      </c>
      <c r="F197" s="23" t="str">
        <f t="shared" si="3"/>
        <v/>
      </c>
      <c r="G197" s="23" t="str">
        <f t="shared" si="4"/>
        <v/>
      </c>
      <c r="H197" s="27" t="str">
        <f>IFERROR(__xludf.DUMMYFUNCTION("""COMPUTED_VALUE"""),"COLLINS FOODS LTD")</f>
        <v>COLLINS FOODS LTD</v>
      </c>
      <c r="I197" s="27" t="str">
        <f>IFERROR(__xludf.DUMMYFUNCTION("""COMPUTED_VALUE"""),"Consumer Discretionary")</f>
        <v>Consumer Discretionary</v>
      </c>
      <c r="J197" s="27" t="str">
        <f>IFERROR(__xludf.DUMMYFUNCTION("""COMPUTED_VALUE"""),"Australia")</f>
        <v>Australia</v>
      </c>
      <c r="K197" s="27">
        <f>IFERROR(__xludf.DUMMYFUNCTION("""COMPUTED_VALUE"""),0.03917926)</f>
        <v>0.03917926</v>
      </c>
      <c r="L197" s="22">
        <f t="shared" si="5"/>
        <v>0.3917926</v>
      </c>
    </row>
    <row r="198">
      <c r="A198" s="27" t="str">
        <f>IFERROR(__xludf.DUMMYFUNCTION("""COMPUTED_VALUE"""),"TRUIST FINANCIAL CORP")</f>
        <v>TRUIST FINANCIAL CORP</v>
      </c>
      <c r="B198" s="27" t="str">
        <f>IFERROR(__xludf.DUMMYFUNCTION("""COMPUTED_VALUE"""),"Financials")</f>
        <v>Financials</v>
      </c>
      <c r="C198" s="27" t="str">
        <f>IFERROR(__xludf.DUMMYFUNCTION("""COMPUTED_VALUE"""),"United States")</f>
        <v>United States</v>
      </c>
      <c r="D198" s="27">
        <f>IFERROR(__xludf.DUMMYFUNCTION("""COMPUTED_VALUE"""),0.1)</f>
        <v>0.1</v>
      </c>
      <c r="E198" s="22">
        <f t="shared" si="2"/>
        <v>1</v>
      </c>
      <c r="F198" s="23" t="str">
        <f t="shared" si="3"/>
        <v/>
      </c>
      <c r="G198" s="23" t="str">
        <f t="shared" si="4"/>
        <v/>
      </c>
      <c r="H198" s="27" t="str">
        <f>IFERROR(__xludf.DUMMYFUNCTION("""COMPUTED_VALUE"""),"BEGA CHEESE LTD")</f>
        <v>BEGA CHEESE LTD</v>
      </c>
      <c r="I198" s="27" t="str">
        <f>IFERROR(__xludf.DUMMYFUNCTION("""COMPUTED_VALUE"""),"Consumer Staples")</f>
        <v>Consumer Staples</v>
      </c>
      <c r="J198" s="27" t="str">
        <f>IFERROR(__xludf.DUMMYFUNCTION("""COMPUTED_VALUE"""),"Australia")</f>
        <v>Australia</v>
      </c>
      <c r="K198" s="27">
        <f>IFERROR(__xludf.DUMMYFUNCTION("""COMPUTED_VALUE"""),0.03794653)</f>
        <v>0.03794653</v>
      </c>
      <c r="L198" s="22">
        <f t="shared" si="5"/>
        <v>0.3794653</v>
      </c>
    </row>
    <row r="199">
      <c r="A199" s="27" t="str">
        <f>IFERROR(__xludf.DUMMYFUNCTION("""COMPUTED_VALUE"""),"PAYCHEX INC")</f>
        <v>PAYCHEX INC</v>
      </c>
      <c r="B199" s="27" t="str">
        <f>IFERROR(__xludf.DUMMYFUNCTION("""COMPUTED_VALUE"""),"Industrials")</f>
        <v>Industrials</v>
      </c>
      <c r="C199" s="27" t="str">
        <f>IFERROR(__xludf.DUMMYFUNCTION("""COMPUTED_VALUE"""),"United States")</f>
        <v>United States</v>
      </c>
      <c r="D199" s="27">
        <f>IFERROR(__xludf.DUMMYFUNCTION("""COMPUTED_VALUE"""),0.1)</f>
        <v>0.1</v>
      </c>
      <c r="E199" s="22">
        <f t="shared" si="2"/>
        <v>1</v>
      </c>
      <c r="F199" s="23" t="str">
        <f t="shared" si="3"/>
        <v/>
      </c>
      <c r="G199" s="23" t="str">
        <f t="shared" si="4"/>
        <v/>
      </c>
      <c r="H199" s="27" t="str">
        <f>IFERROR(__xludf.DUMMYFUNCTION("""COMPUTED_VALUE"""),"GROWTHPOINT PROPERTIES AUSTRAL")</f>
        <v>GROWTHPOINT PROPERTIES AUSTRAL</v>
      </c>
      <c r="I199" s="27" t="str">
        <f>IFERROR(__xludf.DUMMYFUNCTION("""COMPUTED_VALUE"""),"Real Estate")</f>
        <v>Real Estate</v>
      </c>
      <c r="J199" s="27" t="str">
        <f>IFERROR(__xludf.DUMMYFUNCTION("""COMPUTED_VALUE"""),"Australia")</f>
        <v>Australia</v>
      </c>
      <c r="K199" s="27">
        <f>IFERROR(__xludf.DUMMYFUNCTION("""COMPUTED_VALUE"""),0.03678126)</f>
        <v>0.03678126</v>
      </c>
      <c r="L199" s="22">
        <f t="shared" si="5"/>
        <v>0.3678126</v>
      </c>
    </row>
    <row r="200">
      <c r="A200" s="27" t="str">
        <f>IFERROR(__xludf.DUMMYFUNCTION("""COMPUTED_VALUE"""),"HALLIBURTON")</f>
        <v>HALLIBURTON</v>
      </c>
      <c r="B200" s="27" t="str">
        <f>IFERROR(__xludf.DUMMYFUNCTION("""COMPUTED_VALUE"""),"Energy")</f>
        <v>Energy</v>
      </c>
      <c r="C200" s="27" t="str">
        <f>IFERROR(__xludf.DUMMYFUNCTION("""COMPUTED_VALUE"""),"United States")</f>
        <v>United States</v>
      </c>
      <c r="D200" s="27">
        <f>IFERROR(__xludf.DUMMYFUNCTION("""COMPUTED_VALUE"""),0.1)</f>
        <v>0.1</v>
      </c>
      <c r="E200" s="22">
        <f t="shared" si="2"/>
        <v>1</v>
      </c>
      <c r="F200" s="23" t="str">
        <f t="shared" si="3"/>
        <v/>
      </c>
      <c r="G200" s="23" t="str">
        <f t="shared" si="4"/>
        <v/>
      </c>
      <c r="H200" s="27" t="str">
        <f>IFERROR(__xludf.DUMMYFUNCTION("""COMPUTED_VALUE"""),"WEST AFRICAN RESOURCES LTD")</f>
        <v>WEST AFRICAN RESOURCES LTD</v>
      </c>
      <c r="I200" s="27" t="str">
        <f>IFERROR(__xludf.DUMMYFUNCTION("""COMPUTED_VALUE"""),"Materials")</f>
        <v>Materials</v>
      </c>
      <c r="J200" s="27" t="str">
        <f>IFERROR(__xludf.DUMMYFUNCTION("""COMPUTED_VALUE"""),"Australia")</f>
        <v>Australia</v>
      </c>
      <c r="K200" s="27">
        <f>IFERROR(__xludf.DUMMYFUNCTION("""COMPUTED_VALUE"""),0.03616184)</f>
        <v>0.03616184</v>
      </c>
      <c r="L200" s="22">
        <f t="shared" si="5"/>
        <v>0.3616184</v>
      </c>
    </row>
    <row r="201">
      <c r="A201" s="27" t="str">
        <f>IFERROR(__xludf.DUMMYFUNCTION("""COMPUTED_VALUE"""),"GENERAL MILLS INC")</f>
        <v>GENERAL MILLS INC</v>
      </c>
      <c r="B201" s="27" t="str">
        <f>IFERROR(__xludf.DUMMYFUNCTION("""COMPUTED_VALUE"""),"Consumer Staples")</f>
        <v>Consumer Staples</v>
      </c>
      <c r="C201" s="27" t="str">
        <f>IFERROR(__xludf.DUMMYFUNCTION("""COMPUTED_VALUE"""),"United States")</f>
        <v>United States</v>
      </c>
      <c r="D201" s="27">
        <f>IFERROR(__xludf.DUMMYFUNCTION("""COMPUTED_VALUE"""),0.1)</f>
        <v>0.1</v>
      </c>
      <c r="E201" s="22">
        <f t="shared" si="2"/>
        <v>1</v>
      </c>
      <c r="F201" s="23" t="str">
        <f t="shared" si="3"/>
        <v/>
      </c>
      <c r="G201" s="23" t="str">
        <f t="shared" si="4"/>
        <v/>
      </c>
      <c r="H201" s="27" t="str">
        <f>IFERROR(__xludf.DUMMYFUNCTION("""COMPUTED_VALUE"""),"PLATINUM ASSET MANAGEMENT LTD")</f>
        <v>PLATINUM ASSET MANAGEMENT LTD</v>
      </c>
      <c r="I201" s="27" t="str">
        <f>IFERROR(__xludf.DUMMYFUNCTION("""COMPUTED_VALUE"""),"Financials")</f>
        <v>Financials</v>
      </c>
      <c r="J201" s="27" t="str">
        <f>IFERROR(__xludf.DUMMYFUNCTION("""COMPUTED_VALUE"""),"Australia")</f>
        <v>Australia</v>
      </c>
      <c r="K201" s="27">
        <f>IFERROR(__xludf.DUMMYFUNCTION("""COMPUTED_VALUE"""),0.03304102)</f>
        <v>0.03304102</v>
      </c>
      <c r="L201" s="22">
        <f t="shared" si="5"/>
        <v>0.3304102</v>
      </c>
    </row>
    <row r="202">
      <c r="A202" s="27" t="str">
        <f>IFERROR(__xludf.DUMMYFUNCTION("""COMPUTED_VALUE"""),"CENTENE CORP")</f>
        <v>CENTENE CORP</v>
      </c>
      <c r="B202" s="27" t="str">
        <f>IFERROR(__xludf.DUMMYFUNCTION("""COMPUTED_VALUE"""),"Health Care")</f>
        <v>Health Care</v>
      </c>
      <c r="C202" s="27" t="str">
        <f>IFERROR(__xludf.DUMMYFUNCTION("""COMPUTED_VALUE"""),"United States")</f>
        <v>United States</v>
      </c>
      <c r="D202" s="27">
        <f>IFERROR(__xludf.DUMMYFUNCTION("""COMPUTED_VALUE"""),0.1)</f>
        <v>0.1</v>
      </c>
      <c r="E202" s="22">
        <f t="shared" si="2"/>
        <v>1</v>
      </c>
      <c r="F202" s="23" t="str">
        <f t="shared" si="3"/>
        <v/>
      </c>
      <c r="G202" s="23" t="str">
        <f t="shared" si="4"/>
        <v/>
      </c>
      <c r="H202" s="27" t="str">
        <f>IFERROR(__xludf.DUMMYFUNCTION("""COMPUTED_VALUE"""),"LAKE RESOURCES NL")</f>
        <v>LAKE RESOURCES NL</v>
      </c>
      <c r="I202" s="27" t="str">
        <f>IFERROR(__xludf.DUMMYFUNCTION("""COMPUTED_VALUE"""),"Materials")</f>
        <v>Materials</v>
      </c>
      <c r="J202" s="27" t="str">
        <f>IFERROR(__xludf.DUMMYFUNCTION("""COMPUTED_VALUE"""),"Australia")</f>
        <v>Australia</v>
      </c>
      <c r="K202" s="27">
        <f>IFERROR(__xludf.DUMMYFUNCTION("""COMPUTED_VALUE"""),0.02914323)</f>
        <v>0.02914323</v>
      </c>
      <c r="L202" s="22">
        <f t="shared" si="5"/>
        <v>0.2914323</v>
      </c>
    </row>
    <row r="203">
      <c r="A203" s="27" t="str">
        <f>IFERROR(__xludf.DUMMYFUNCTION("""COMPUTED_VALUE"""),"BIOGEN INC")</f>
        <v>BIOGEN INC</v>
      </c>
      <c r="B203" s="27" t="str">
        <f>IFERROR(__xludf.DUMMYFUNCTION("""COMPUTED_VALUE"""),"Health Care")</f>
        <v>Health Care</v>
      </c>
      <c r="C203" s="27" t="str">
        <f>IFERROR(__xludf.DUMMYFUNCTION("""COMPUTED_VALUE"""),"United States")</f>
        <v>United States</v>
      </c>
      <c r="D203" s="27">
        <f>IFERROR(__xludf.DUMMYFUNCTION("""COMPUTED_VALUE"""),0.1)</f>
        <v>0.1</v>
      </c>
      <c r="E203" s="22">
        <f t="shared" si="2"/>
        <v>1</v>
      </c>
      <c r="F203" s="23" t="str">
        <f t="shared" si="3"/>
        <v/>
      </c>
      <c r="G203" s="23" t="str">
        <f t="shared" si="4"/>
        <v/>
      </c>
      <c r="H203" s="27" t="str">
        <f>IFERROR(__xludf.DUMMYFUNCTION("""COMPUTED_VALUE"""),"NEUREN PHARMACEUTICALS LTD")</f>
        <v>NEUREN PHARMACEUTICALS LTD</v>
      </c>
      <c r="I203" s="27" t="str">
        <f>IFERROR(__xludf.DUMMYFUNCTION("""COMPUTED_VALUE"""),"Healthcare")</f>
        <v>Healthcare</v>
      </c>
      <c r="J203" s="27" t="str">
        <f>IFERROR(__xludf.DUMMYFUNCTION("""COMPUTED_VALUE"""),"Australia")</f>
        <v>Australia</v>
      </c>
      <c r="K203" s="27">
        <f>IFERROR(__xludf.DUMMYFUNCTION("""COMPUTED_VALUE"""),2.4486E-4)</f>
        <v>0.00024486</v>
      </c>
      <c r="L203" s="22">
        <f t="shared" si="5"/>
        <v>0.0024486</v>
      </c>
    </row>
    <row r="204">
      <c r="A204" s="27" t="str">
        <f>IFERROR(__xludf.DUMMYFUNCTION("""COMPUTED_VALUE"""),"DEXCOM INC")</f>
        <v>DEXCOM INC</v>
      </c>
      <c r="B204" s="27" t="str">
        <f>IFERROR(__xludf.DUMMYFUNCTION("""COMPUTED_VALUE"""),"Health Care")</f>
        <v>Health Care</v>
      </c>
      <c r="C204" s="27" t="str">
        <f>IFERROR(__xludf.DUMMYFUNCTION("""COMPUTED_VALUE"""),"United States")</f>
        <v>United States</v>
      </c>
      <c r="D204" s="27">
        <f>IFERROR(__xludf.DUMMYFUNCTION("""COMPUTED_VALUE"""),0.1)</f>
        <v>0.1</v>
      </c>
      <c r="E204" s="22">
        <f t="shared" si="2"/>
        <v>1</v>
      </c>
      <c r="F204" s="23" t="str">
        <f t="shared" si="3"/>
        <v/>
      </c>
      <c r="G204" s="23" t="str">
        <f t="shared" si="4"/>
        <v/>
      </c>
      <c r="H204" s="27" t="str">
        <f>IFERROR(__xludf.DUMMYFUNCTION("""COMPUTED_VALUE"""),"SPI 200 FUTURES SEP23")</f>
        <v>SPI 200 FUTURES SEP23</v>
      </c>
      <c r="I204" s="27"/>
      <c r="J204" s="27"/>
      <c r="K204" s="27"/>
      <c r="L204" s="22">
        <f t="shared" si="5"/>
        <v>0</v>
      </c>
    </row>
    <row r="205">
      <c r="A205" s="27" t="str">
        <f>IFERROR(__xludf.DUMMYFUNCTION("""COMPUTED_VALUE"""),"CAPITAL ONE FINANCIAL CORP")</f>
        <v>CAPITAL ONE FINANCIAL CORP</v>
      </c>
      <c r="B205" s="27" t="str">
        <f>IFERROR(__xludf.DUMMYFUNCTION("""COMPUTED_VALUE"""),"Financials")</f>
        <v>Financials</v>
      </c>
      <c r="C205" s="27" t="str">
        <f>IFERROR(__xludf.DUMMYFUNCTION("""COMPUTED_VALUE"""),"United States")</f>
        <v>United States</v>
      </c>
      <c r="D205" s="27">
        <f>IFERROR(__xludf.DUMMYFUNCTION("""COMPUTED_VALUE"""),0.1)</f>
        <v>0.1</v>
      </c>
      <c r="E205" s="22">
        <f t="shared" si="2"/>
        <v>1</v>
      </c>
      <c r="F205" s="23" t="str">
        <f t="shared" si="3"/>
        <v/>
      </c>
      <c r="G205" s="23" t="str">
        <f t="shared" si="4"/>
        <v/>
      </c>
      <c r="H205" s="27" t="str">
        <f>IFERROR(__xludf.DUMMYFUNCTION("""COMPUTED_VALUE"""),"AUD - AUSTRALIA DOLLAR")</f>
        <v>AUD - AUSTRALIA DOLLAR</v>
      </c>
      <c r="I205" s="27"/>
      <c r="J205" s="27"/>
      <c r="K205" s="27">
        <f>IFERROR(__xludf.DUMMYFUNCTION("""COMPUTED_VALUE"""),0.5173428)</f>
        <v>0.5173428</v>
      </c>
      <c r="L205" s="22">
        <f t="shared" si="5"/>
        <v>5.173428</v>
      </c>
    </row>
    <row r="206">
      <c r="A206" s="27" t="str">
        <f>IFERROR(__xludf.DUMMYFUNCTION("""COMPUTED_VALUE"""),"BAKER HUGHES CLASS A")</f>
        <v>BAKER HUGHES CLASS A</v>
      </c>
      <c r="B206" s="27" t="str">
        <f>IFERROR(__xludf.DUMMYFUNCTION("""COMPUTED_VALUE"""),"Energy")</f>
        <v>Energy</v>
      </c>
      <c r="C206" s="27" t="str">
        <f>IFERROR(__xludf.DUMMYFUNCTION("""COMPUTED_VALUE"""),"United States")</f>
        <v>United States</v>
      </c>
      <c r="D206" s="27">
        <f>IFERROR(__xludf.DUMMYFUNCTION("""COMPUTED_VALUE"""),0.1)</f>
        <v>0.1</v>
      </c>
      <c r="E206" s="22">
        <f t="shared" si="2"/>
        <v>1</v>
      </c>
      <c r="F206" s="23" t="str">
        <f t="shared" si="3"/>
        <v/>
      </c>
      <c r="G206" s="23" t="str">
        <f t="shared" si="4"/>
        <v/>
      </c>
      <c r="H206" s="27"/>
      <c r="I206" s="27"/>
      <c r="J206" s="27"/>
      <c r="K206" s="27"/>
      <c r="L206" s="22">
        <f t="shared" si="5"/>
        <v>0</v>
      </c>
    </row>
    <row r="207">
      <c r="A207" s="27" t="str">
        <f>IFERROR(__xludf.DUMMYFUNCTION("""COMPUTED_VALUE"""),"DOMINION ENERGY INC")</f>
        <v>DOMINION ENERGY INC</v>
      </c>
      <c r="B207" s="27" t="str">
        <f>IFERROR(__xludf.DUMMYFUNCTION("""COMPUTED_VALUE"""),"Utilities")</f>
        <v>Utilities</v>
      </c>
      <c r="C207" s="27" t="str">
        <f>IFERROR(__xludf.DUMMYFUNCTION("""COMPUTED_VALUE"""),"United States")</f>
        <v>United States</v>
      </c>
      <c r="D207" s="27">
        <f>IFERROR(__xludf.DUMMYFUNCTION("""COMPUTED_VALUE"""),0.1)</f>
        <v>0.1</v>
      </c>
      <c r="E207" s="22">
        <f t="shared" si="2"/>
        <v>1</v>
      </c>
      <c r="F207" s="23" t="str">
        <f t="shared" si="3"/>
        <v/>
      </c>
      <c r="G207" s="23" t="str">
        <f t="shared" si="4"/>
        <v/>
      </c>
      <c r="H207" s="27"/>
      <c r="I207" s="27"/>
      <c r="J207" s="27"/>
      <c r="K207" s="27"/>
      <c r="L207" s="22">
        <f t="shared" si="5"/>
        <v>0</v>
      </c>
    </row>
    <row r="208">
      <c r="A208" s="27" t="str">
        <f>IFERROR(__xludf.DUMMYFUNCTION("""COMPUTED_VALUE"""),"OLD DOMINION FREIGHT LINE INC")</f>
        <v>OLD DOMINION FREIGHT LINE INC</v>
      </c>
      <c r="B208" s="27" t="str">
        <f>IFERROR(__xludf.DUMMYFUNCTION("""COMPUTED_VALUE"""),"Industrials")</f>
        <v>Industrials</v>
      </c>
      <c r="C208" s="27" t="str">
        <f>IFERROR(__xludf.DUMMYFUNCTION("""COMPUTED_VALUE"""),"United States")</f>
        <v>United States</v>
      </c>
      <c r="D208" s="27">
        <f>IFERROR(__xludf.DUMMYFUNCTION("""COMPUTED_VALUE"""),0.1)</f>
        <v>0.1</v>
      </c>
      <c r="E208" s="22">
        <f t="shared" si="2"/>
        <v>1</v>
      </c>
      <c r="F208" s="23" t="str">
        <f t="shared" si="3"/>
        <v/>
      </c>
      <c r="G208" s="23" t="str">
        <f t="shared" si="4"/>
        <v/>
      </c>
      <c r="H208" s="27"/>
      <c r="I208" s="27"/>
      <c r="J208" s="27"/>
      <c r="K208" s="27"/>
      <c r="L208" s="22">
        <f t="shared" si="5"/>
        <v>0</v>
      </c>
    </row>
    <row r="209">
      <c r="A209" s="27" t="str">
        <f>IFERROR(__xludf.DUMMYFUNCTION("""COMPUTED_VALUE"""),"IDEXX LABORATORIES INC")</f>
        <v>IDEXX LABORATORIES INC</v>
      </c>
      <c r="B209" s="27" t="str">
        <f>IFERROR(__xludf.DUMMYFUNCTION("""COMPUTED_VALUE"""),"Health Care")</f>
        <v>Health Care</v>
      </c>
      <c r="C209" s="27" t="str">
        <f>IFERROR(__xludf.DUMMYFUNCTION("""COMPUTED_VALUE"""),"United States")</f>
        <v>United States</v>
      </c>
      <c r="D209" s="27">
        <f>IFERROR(__xludf.DUMMYFUNCTION("""COMPUTED_VALUE"""),0.1)</f>
        <v>0.1</v>
      </c>
      <c r="E209" s="22">
        <f t="shared" si="2"/>
        <v>1</v>
      </c>
      <c r="F209" s="23" t="str">
        <f t="shared" si="3"/>
        <v/>
      </c>
      <c r="G209" s="23" t="str">
        <f t="shared" si="4"/>
        <v/>
      </c>
      <c r="H209" s="27"/>
      <c r="I209" s="27"/>
      <c r="J209" s="27"/>
      <c r="K209" s="27"/>
      <c r="L209" s="22">
        <f t="shared" si="5"/>
        <v>0</v>
      </c>
    </row>
    <row r="210">
      <c r="A210" s="27" t="str">
        <f>IFERROR(__xludf.DUMMYFUNCTION("""COMPUTED_VALUE"""),"IQVIA HOLDINGS INC")</f>
        <v>IQVIA HOLDINGS INC</v>
      </c>
      <c r="B210" s="27" t="str">
        <f>IFERROR(__xludf.DUMMYFUNCTION("""COMPUTED_VALUE"""),"Health Care")</f>
        <v>Health Care</v>
      </c>
      <c r="C210" s="27" t="str">
        <f>IFERROR(__xludf.DUMMYFUNCTION("""COMPUTED_VALUE"""),"United States")</f>
        <v>United States</v>
      </c>
      <c r="D210" s="27">
        <f>IFERROR(__xludf.DUMMYFUNCTION("""COMPUTED_VALUE"""),0.1)</f>
        <v>0.1</v>
      </c>
      <c r="E210" s="22">
        <f t="shared" si="2"/>
        <v>1</v>
      </c>
      <c r="F210" s="23" t="str">
        <f t="shared" si="3"/>
        <v/>
      </c>
      <c r="G210" s="23" t="str">
        <f t="shared" si="4"/>
        <v/>
      </c>
      <c r="H210" s="27"/>
      <c r="I210" s="27"/>
      <c r="J210" s="27"/>
      <c r="K210" s="27"/>
      <c r="L210" s="22">
        <f t="shared" si="5"/>
        <v>0</v>
      </c>
    </row>
    <row r="211">
      <c r="A211" s="27" t="str">
        <f>IFERROR(__xludf.DUMMYFUNCTION("""COMPUTED_VALUE"""),"JOHNSON CONTROLS INTERNATIONAL PLC")</f>
        <v>JOHNSON CONTROLS INTERNATIONAL PLC</v>
      </c>
      <c r="B211" s="27" t="str">
        <f>IFERROR(__xludf.DUMMYFUNCTION("""COMPUTED_VALUE"""),"Industrials")</f>
        <v>Industrials</v>
      </c>
      <c r="C211" s="27" t="str">
        <f>IFERROR(__xludf.DUMMYFUNCTION("""COMPUTED_VALUE"""),"United States")</f>
        <v>United States</v>
      </c>
      <c r="D211" s="27">
        <f>IFERROR(__xludf.DUMMYFUNCTION("""COMPUTED_VALUE"""),0.1)</f>
        <v>0.1</v>
      </c>
      <c r="E211" s="22">
        <f t="shared" si="2"/>
        <v>1</v>
      </c>
      <c r="F211" s="23" t="str">
        <f t="shared" si="3"/>
        <v/>
      </c>
      <c r="G211" s="23" t="str">
        <f t="shared" si="4"/>
        <v/>
      </c>
      <c r="H211" s="27"/>
      <c r="I211" s="27"/>
      <c r="J211" s="27"/>
      <c r="K211" s="27"/>
      <c r="L211" s="22">
        <f t="shared" si="5"/>
        <v>0</v>
      </c>
    </row>
    <row r="212">
      <c r="A212" s="27" t="str">
        <f>IFERROR(__xludf.DUMMYFUNCTION("""COMPUTED_VALUE"""),"CORTEVA INC")</f>
        <v>CORTEVA INC</v>
      </c>
      <c r="B212" s="27" t="str">
        <f>IFERROR(__xludf.DUMMYFUNCTION("""COMPUTED_VALUE"""),"Materials")</f>
        <v>Materials</v>
      </c>
      <c r="C212" s="27" t="str">
        <f>IFERROR(__xludf.DUMMYFUNCTION("""COMPUTED_VALUE"""),"United States")</f>
        <v>United States</v>
      </c>
      <c r="D212" s="27">
        <f>IFERROR(__xludf.DUMMYFUNCTION("""COMPUTED_VALUE"""),0.1)</f>
        <v>0.1</v>
      </c>
      <c r="E212" s="22">
        <f t="shared" si="2"/>
        <v>1</v>
      </c>
      <c r="F212" s="23" t="str">
        <f t="shared" si="3"/>
        <v/>
      </c>
      <c r="G212" s="23" t="str">
        <f t="shared" si="4"/>
        <v/>
      </c>
      <c r="H212" s="27"/>
      <c r="I212" s="27"/>
      <c r="J212" s="27"/>
      <c r="K212" s="27"/>
      <c r="L212" s="22">
        <f t="shared" si="5"/>
        <v>0</v>
      </c>
    </row>
    <row r="213">
      <c r="A213" s="27" t="str">
        <f>IFERROR(__xludf.DUMMYFUNCTION("""COMPUTED_VALUE"""),"DIGITAL REALTY TRUST REIT INC")</f>
        <v>DIGITAL REALTY TRUST REIT INC</v>
      </c>
      <c r="B213" s="27" t="str">
        <f>IFERROR(__xludf.DUMMYFUNCTION("""COMPUTED_VALUE"""),"Real Estate")</f>
        <v>Real Estate</v>
      </c>
      <c r="C213" s="27" t="str">
        <f>IFERROR(__xludf.DUMMYFUNCTION("""COMPUTED_VALUE"""),"United States")</f>
        <v>United States</v>
      </c>
      <c r="D213" s="27">
        <f>IFERROR(__xludf.DUMMYFUNCTION("""COMPUTED_VALUE"""),0.1)</f>
        <v>0.1</v>
      </c>
      <c r="E213" s="22">
        <f t="shared" si="2"/>
        <v>1</v>
      </c>
      <c r="F213" s="23" t="str">
        <f t="shared" si="3"/>
        <v/>
      </c>
      <c r="G213" s="23" t="str">
        <f t="shared" si="4"/>
        <v/>
      </c>
      <c r="H213" s="27"/>
      <c r="I213" s="27"/>
      <c r="J213" s="27"/>
      <c r="K213" s="27"/>
      <c r="L213" s="22">
        <f t="shared" si="5"/>
        <v>0</v>
      </c>
    </row>
    <row r="214">
      <c r="A214" s="27" t="str">
        <f>IFERROR(__xludf.DUMMYFUNCTION("""COMPUTED_VALUE"""),"DOW INC")</f>
        <v>DOW INC</v>
      </c>
      <c r="B214" s="27" t="str">
        <f>IFERROR(__xludf.DUMMYFUNCTION("""COMPUTED_VALUE"""),"Materials")</f>
        <v>Materials</v>
      </c>
      <c r="C214" s="27" t="str">
        <f>IFERROR(__xludf.DUMMYFUNCTION("""COMPUTED_VALUE"""),"United States")</f>
        <v>United States</v>
      </c>
      <c r="D214" s="27">
        <f>IFERROR(__xludf.DUMMYFUNCTION("""COMPUTED_VALUE"""),0.1)</f>
        <v>0.1</v>
      </c>
      <c r="E214" s="22">
        <f t="shared" si="2"/>
        <v>1</v>
      </c>
      <c r="F214" s="23" t="str">
        <f t="shared" si="3"/>
        <v/>
      </c>
      <c r="G214" s="23" t="str">
        <f t="shared" si="4"/>
        <v/>
      </c>
      <c r="H214" s="27"/>
      <c r="I214" s="27"/>
      <c r="J214" s="27"/>
      <c r="K214" s="27"/>
      <c r="L214" s="22">
        <f t="shared" si="5"/>
        <v>0</v>
      </c>
    </row>
    <row r="215">
      <c r="A215" s="27" t="str">
        <f>IFERROR(__xludf.DUMMYFUNCTION("""COMPUTED_VALUE"""),"SIMON PROPERTY GROUP REIT INC")</f>
        <v>SIMON PROPERTY GROUP REIT INC</v>
      </c>
      <c r="B215" s="27" t="str">
        <f>IFERROR(__xludf.DUMMYFUNCTION("""COMPUTED_VALUE"""),"Real Estate")</f>
        <v>Real Estate</v>
      </c>
      <c r="C215" s="27" t="str">
        <f>IFERROR(__xludf.DUMMYFUNCTION("""COMPUTED_VALUE"""),"United States")</f>
        <v>United States</v>
      </c>
      <c r="D215" s="27">
        <f>IFERROR(__xludf.DUMMYFUNCTION("""COMPUTED_VALUE"""),0.1)</f>
        <v>0.1</v>
      </c>
      <c r="E215" s="22">
        <f t="shared" si="2"/>
        <v>1</v>
      </c>
      <c r="F215" s="23" t="str">
        <f t="shared" si="3"/>
        <v/>
      </c>
      <c r="G215" s="23" t="str">
        <f t="shared" si="4"/>
        <v/>
      </c>
      <c r="H215" s="27"/>
      <c r="I215" s="27"/>
      <c r="J215" s="27"/>
      <c r="K215" s="27"/>
      <c r="L215" s="22">
        <f t="shared" si="5"/>
        <v>0</v>
      </c>
    </row>
    <row r="216">
      <c r="A216" s="27" t="str">
        <f>IFERROR(__xludf.DUMMYFUNCTION("""COMPUTED_VALUE"""),"REALTY INCOME REIT CORP")</f>
        <v>REALTY INCOME REIT CORP</v>
      </c>
      <c r="B216" s="27" t="str">
        <f>IFERROR(__xludf.DUMMYFUNCTION("""COMPUTED_VALUE"""),"Real Estate")</f>
        <v>Real Estate</v>
      </c>
      <c r="C216" s="27" t="str">
        <f>IFERROR(__xludf.DUMMYFUNCTION("""COMPUTED_VALUE"""),"United States")</f>
        <v>United States</v>
      </c>
      <c r="D216" s="27">
        <f>IFERROR(__xludf.DUMMYFUNCTION("""COMPUTED_VALUE"""),0.1)</f>
        <v>0.1</v>
      </c>
      <c r="E216" s="22">
        <f t="shared" si="2"/>
        <v>1</v>
      </c>
      <c r="F216" s="23" t="str">
        <f t="shared" si="3"/>
        <v/>
      </c>
      <c r="G216" s="23" t="str">
        <f t="shared" si="4"/>
        <v/>
      </c>
      <c r="H216" s="27"/>
      <c r="I216" s="27"/>
      <c r="J216" s="27"/>
      <c r="K216" s="27"/>
      <c r="L216" s="22">
        <f t="shared" si="5"/>
        <v>0</v>
      </c>
    </row>
    <row r="217">
      <c r="A217" s="27" t="str">
        <f>IFERROR(__xludf.DUMMYFUNCTION("""COMPUTED_VALUE"""),"CONSTELLATION ENERGY CORP")</f>
        <v>CONSTELLATION ENERGY CORP</v>
      </c>
      <c r="B217" s="27" t="str">
        <f>IFERROR(__xludf.DUMMYFUNCTION("""COMPUTED_VALUE"""),"Utilities")</f>
        <v>Utilities</v>
      </c>
      <c r="C217" s="27" t="str">
        <f>IFERROR(__xludf.DUMMYFUNCTION("""COMPUTED_VALUE"""),"United States")</f>
        <v>United States</v>
      </c>
      <c r="D217" s="27">
        <f>IFERROR(__xludf.DUMMYFUNCTION("""COMPUTED_VALUE"""),0.1)</f>
        <v>0.1</v>
      </c>
      <c r="E217" s="22">
        <f t="shared" si="2"/>
        <v>1</v>
      </c>
      <c r="F217" s="23" t="str">
        <f t="shared" si="3"/>
        <v/>
      </c>
      <c r="G217" s="23" t="str">
        <f t="shared" si="4"/>
        <v/>
      </c>
      <c r="H217" s="27"/>
      <c r="I217" s="27"/>
      <c r="J217" s="27"/>
      <c r="K217" s="27"/>
      <c r="L217" s="22">
        <f t="shared" si="5"/>
        <v>0</v>
      </c>
    </row>
    <row r="218">
      <c r="A218" s="27" t="str">
        <f>IFERROR(__xludf.DUMMYFUNCTION("""COMPUTED_VALUE"""),"VERISK ANALYTICS INC")</f>
        <v>VERISK ANALYTICS INC</v>
      </c>
      <c r="B218" s="27" t="str">
        <f>IFERROR(__xludf.DUMMYFUNCTION("""COMPUTED_VALUE"""),"Industrials")</f>
        <v>Industrials</v>
      </c>
      <c r="C218" s="27" t="str">
        <f>IFERROR(__xludf.DUMMYFUNCTION("""COMPUTED_VALUE"""),"United States")</f>
        <v>United States</v>
      </c>
      <c r="D218" s="27">
        <f>IFERROR(__xludf.DUMMYFUNCTION("""COMPUTED_VALUE"""),0.1)</f>
        <v>0.1</v>
      </c>
      <c r="E218" s="22">
        <f t="shared" si="2"/>
        <v>1</v>
      </c>
      <c r="F218" s="23" t="str">
        <f t="shared" si="3"/>
        <v/>
      </c>
      <c r="G218" s="23" t="str">
        <f t="shared" si="4"/>
        <v/>
      </c>
      <c r="H218" s="27"/>
      <c r="I218" s="27"/>
      <c r="J218" s="27"/>
      <c r="K218" s="27"/>
      <c r="L218" s="22">
        <f t="shared" si="5"/>
        <v>0</v>
      </c>
    </row>
    <row r="219">
      <c r="A219" s="27" t="str">
        <f>IFERROR(__xludf.DUMMYFUNCTION("""COMPUTED_VALUE"""),"YUM BRANDS INC")</f>
        <v>YUM BRANDS INC</v>
      </c>
      <c r="B219" s="27" t="str">
        <f>IFERROR(__xludf.DUMMYFUNCTION("""COMPUTED_VALUE"""),"Consumer Discretionary")</f>
        <v>Consumer Discretionary</v>
      </c>
      <c r="C219" s="27" t="str">
        <f>IFERROR(__xludf.DUMMYFUNCTION("""COMPUTED_VALUE"""),"United States")</f>
        <v>United States</v>
      </c>
      <c r="D219" s="27">
        <f>IFERROR(__xludf.DUMMYFUNCTION("""COMPUTED_VALUE"""),0.1)</f>
        <v>0.1</v>
      </c>
      <c r="E219" s="22">
        <f t="shared" si="2"/>
        <v>1</v>
      </c>
      <c r="F219" s="23" t="str">
        <f t="shared" si="3"/>
        <v/>
      </c>
      <c r="G219" s="23" t="str">
        <f t="shared" si="4"/>
        <v/>
      </c>
      <c r="H219" s="27"/>
      <c r="I219" s="27"/>
      <c r="J219" s="27"/>
      <c r="K219" s="27"/>
      <c r="L219" s="22">
        <f t="shared" si="5"/>
        <v>0</v>
      </c>
    </row>
    <row r="220">
      <c r="A220" s="27" t="str">
        <f>IFERROR(__xludf.DUMMYFUNCTION("""COMPUTED_VALUE"""),"KENVUE INC")</f>
        <v>KENVUE INC</v>
      </c>
      <c r="B220" s="27" t="str">
        <f>IFERROR(__xludf.DUMMYFUNCTION("""COMPUTED_VALUE"""),"Consumer Staples")</f>
        <v>Consumer Staples</v>
      </c>
      <c r="C220" s="27" t="str">
        <f>IFERROR(__xludf.DUMMYFUNCTION("""COMPUTED_VALUE"""),"United States")</f>
        <v>United States</v>
      </c>
      <c r="D220" s="27">
        <f>IFERROR(__xludf.DUMMYFUNCTION("""COMPUTED_VALUE"""),0.1)</f>
        <v>0.1</v>
      </c>
      <c r="E220" s="22">
        <f t="shared" si="2"/>
        <v>1</v>
      </c>
      <c r="F220" s="23" t="str">
        <f t="shared" si="3"/>
        <v/>
      </c>
      <c r="G220" s="23" t="str">
        <f t="shared" si="4"/>
        <v/>
      </c>
      <c r="H220" s="27"/>
      <c r="I220" s="27"/>
      <c r="J220" s="27"/>
      <c r="K220" s="27"/>
      <c r="L220" s="22">
        <f t="shared" si="5"/>
        <v>0</v>
      </c>
    </row>
    <row r="221">
      <c r="A221" s="27" t="str">
        <f>IFERROR(__xludf.DUMMYFUNCTION("""COMPUTED_VALUE"""),"PRUDENTIAL FINANCIAL INC")</f>
        <v>PRUDENTIAL FINANCIAL INC</v>
      </c>
      <c r="B221" s="27" t="str">
        <f>IFERROR(__xludf.DUMMYFUNCTION("""COMPUTED_VALUE"""),"Financials")</f>
        <v>Financials</v>
      </c>
      <c r="C221" s="27" t="str">
        <f>IFERROR(__xludf.DUMMYFUNCTION("""COMPUTED_VALUE"""),"United States")</f>
        <v>United States</v>
      </c>
      <c r="D221" s="27">
        <f>IFERROR(__xludf.DUMMYFUNCTION("""COMPUTED_VALUE"""),0.1)</f>
        <v>0.1</v>
      </c>
      <c r="E221" s="22">
        <f t="shared" si="2"/>
        <v>1</v>
      </c>
      <c r="F221" s="23" t="str">
        <f t="shared" si="3"/>
        <v/>
      </c>
      <c r="G221" s="23" t="str">
        <f t="shared" si="4"/>
        <v/>
      </c>
      <c r="H221" s="27"/>
      <c r="I221" s="27"/>
      <c r="J221" s="27"/>
      <c r="K221" s="27"/>
      <c r="L221" s="22">
        <f t="shared" si="5"/>
        <v>0</v>
      </c>
    </row>
    <row r="222">
      <c r="A222" s="27" t="str">
        <f>IFERROR(__xludf.DUMMYFUNCTION("""COMPUTED_VALUE"""),"AMETEK INC")</f>
        <v>AMETEK INC</v>
      </c>
      <c r="B222" s="27" t="str">
        <f>IFERROR(__xludf.DUMMYFUNCTION("""COMPUTED_VALUE"""),"Industrials")</f>
        <v>Industrials</v>
      </c>
      <c r="C222" s="27" t="str">
        <f>IFERROR(__xludf.DUMMYFUNCTION("""COMPUTED_VALUE"""),"United States")</f>
        <v>United States</v>
      </c>
      <c r="D222" s="27">
        <f>IFERROR(__xludf.DUMMYFUNCTION("""COMPUTED_VALUE"""),0.1)</f>
        <v>0.1</v>
      </c>
      <c r="E222" s="22">
        <f t="shared" si="2"/>
        <v>1</v>
      </c>
      <c r="F222" s="23" t="str">
        <f t="shared" si="3"/>
        <v/>
      </c>
      <c r="G222" s="23" t="str">
        <f t="shared" si="4"/>
        <v/>
      </c>
      <c r="H222" s="27"/>
      <c r="I222" s="27"/>
      <c r="J222" s="27"/>
      <c r="K222" s="27"/>
      <c r="L222" s="22">
        <f t="shared" si="5"/>
        <v>0</v>
      </c>
    </row>
    <row r="223">
      <c r="A223" s="27" t="str">
        <f>IFERROR(__xludf.DUMMYFUNCTION("""COMPUTED_VALUE"""),"COGNIZANT TECHNOLOGY SOLUTIONS COR")</f>
        <v>COGNIZANT TECHNOLOGY SOLUTIONS COR</v>
      </c>
      <c r="B223" s="27" t="str">
        <f>IFERROR(__xludf.DUMMYFUNCTION("""COMPUTED_VALUE"""),"Information Technology")</f>
        <v>Information Technology</v>
      </c>
      <c r="C223" s="27" t="str">
        <f>IFERROR(__xludf.DUMMYFUNCTION("""COMPUTED_VALUE"""),"United States")</f>
        <v>United States</v>
      </c>
      <c r="D223" s="27">
        <f>IFERROR(__xludf.DUMMYFUNCTION("""COMPUTED_VALUE"""),0.09)</f>
        <v>0.09</v>
      </c>
      <c r="E223" s="22">
        <f t="shared" si="2"/>
        <v>0.9</v>
      </c>
      <c r="F223" s="23" t="str">
        <f t="shared" si="3"/>
        <v/>
      </c>
      <c r="G223" s="23" t="str">
        <f t="shared" si="4"/>
        <v/>
      </c>
      <c r="H223" s="27"/>
      <c r="I223" s="27"/>
      <c r="J223" s="27"/>
      <c r="K223" s="27"/>
      <c r="L223" s="22">
        <f t="shared" si="5"/>
        <v>0</v>
      </c>
    </row>
    <row r="224">
      <c r="A224" s="27" t="str">
        <f>IFERROR(__xludf.DUMMYFUNCTION("""COMPUTED_VALUE"""),"DUPONT DE NEMOURS INC")</f>
        <v>DUPONT DE NEMOURS INC</v>
      </c>
      <c r="B224" s="27" t="str">
        <f>IFERROR(__xludf.DUMMYFUNCTION("""COMPUTED_VALUE"""),"Materials")</f>
        <v>Materials</v>
      </c>
      <c r="C224" s="27" t="str">
        <f>IFERROR(__xludf.DUMMYFUNCTION("""COMPUTED_VALUE"""),"United States")</f>
        <v>United States</v>
      </c>
      <c r="D224" s="27">
        <f>IFERROR(__xludf.DUMMYFUNCTION("""COMPUTED_VALUE"""),0.09)</f>
        <v>0.09</v>
      </c>
      <c r="E224" s="22">
        <f t="shared" si="2"/>
        <v>0.9</v>
      </c>
      <c r="F224" s="23" t="str">
        <f t="shared" si="3"/>
        <v/>
      </c>
      <c r="G224" s="23" t="str">
        <f t="shared" si="4"/>
        <v/>
      </c>
      <c r="H224" s="27"/>
      <c r="I224" s="27"/>
      <c r="J224" s="27"/>
      <c r="K224" s="27"/>
      <c r="L224" s="22">
        <f t="shared" si="5"/>
        <v>0</v>
      </c>
    </row>
    <row r="225">
      <c r="A225" s="27" t="str">
        <f>IFERROR(__xludf.DUMMYFUNCTION("""COMPUTED_VALUE"""),"PG&amp;E CORP")</f>
        <v>PG&amp;E CORP</v>
      </c>
      <c r="B225" s="27" t="str">
        <f>IFERROR(__xludf.DUMMYFUNCTION("""COMPUTED_VALUE"""),"Utilities")</f>
        <v>Utilities</v>
      </c>
      <c r="C225" s="27" t="str">
        <f>IFERROR(__xludf.DUMMYFUNCTION("""COMPUTED_VALUE"""),"United States")</f>
        <v>United States</v>
      </c>
      <c r="D225" s="27">
        <f>IFERROR(__xludf.DUMMYFUNCTION("""COMPUTED_VALUE"""),0.09)</f>
        <v>0.09</v>
      </c>
      <c r="E225" s="22">
        <f t="shared" si="2"/>
        <v>0.9</v>
      </c>
      <c r="F225" s="23" t="str">
        <f t="shared" si="3"/>
        <v/>
      </c>
      <c r="G225" s="23" t="str">
        <f t="shared" si="4"/>
        <v/>
      </c>
      <c r="H225" s="27"/>
      <c r="I225" s="27"/>
      <c r="J225" s="27"/>
      <c r="K225" s="27"/>
      <c r="L225" s="22">
        <f t="shared" si="5"/>
        <v>0</v>
      </c>
    </row>
    <row r="226">
      <c r="A226" s="27" t="str">
        <f>IFERROR(__xludf.DUMMYFUNCTION("""COMPUTED_VALUE"""),"AMERIPRISE FINANCE INC")</f>
        <v>AMERIPRISE FINANCE INC</v>
      </c>
      <c r="B226" s="27" t="str">
        <f>IFERROR(__xludf.DUMMYFUNCTION("""COMPUTED_VALUE"""),"Financials")</f>
        <v>Financials</v>
      </c>
      <c r="C226" s="27" t="str">
        <f>IFERROR(__xludf.DUMMYFUNCTION("""COMPUTED_VALUE"""),"United States")</f>
        <v>United States</v>
      </c>
      <c r="D226" s="27">
        <f>IFERROR(__xludf.DUMMYFUNCTION("""COMPUTED_VALUE"""),0.09)</f>
        <v>0.09</v>
      </c>
      <c r="E226" s="22">
        <f t="shared" si="2"/>
        <v>0.9</v>
      </c>
      <c r="F226" s="23" t="str">
        <f t="shared" si="3"/>
        <v/>
      </c>
      <c r="G226" s="23" t="str">
        <f t="shared" si="4"/>
        <v/>
      </c>
      <c r="H226" s="27"/>
      <c r="I226" s="27"/>
      <c r="J226" s="27"/>
      <c r="K226" s="27"/>
      <c r="L226" s="22">
        <f t="shared" si="5"/>
        <v>0</v>
      </c>
    </row>
    <row r="227">
      <c r="A227" s="27" t="str">
        <f>IFERROR(__xludf.DUMMYFUNCTION("""COMPUTED_VALUE"""),"SYSCO CORP")</f>
        <v>SYSCO CORP</v>
      </c>
      <c r="B227" s="27" t="str">
        <f>IFERROR(__xludf.DUMMYFUNCTION("""COMPUTED_VALUE"""),"Consumer Staples")</f>
        <v>Consumer Staples</v>
      </c>
      <c r="C227" s="27" t="str">
        <f>IFERROR(__xludf.DUMMYFUNCTION("""COMPUTED_VALUE"""),"United States")</f>
        <v>United States</v>
      </c>
      <c r="D227" s="27">
        <f>IFERROR(__xludf.DUMMYFUNCTION("""COMPUTED_VALUE"""),0.09)</f>
        <v>0.09</v>
      </c>
      <c r="E227" s="22">
        <f t="shared" si="2"/>
        <v>0.9</v>
      </c>
      <c r="F227" s="23" t="str">
        <f t="shared" si="3"/>
        <v/>
      </c>
      <c r="G227" s="23" t="str">
        <f t="shared" si="4"/>
        <v/>
      </c>
      <c r="H227" s="27"/>
      <c r="I227" s="27"/>
      <c r="J227" s="27"/>
      <c r="K227" s="27"/>
      <c r="L227" s="22">
        <f t="shared" si="5"/>
        <v>0</v>
      </c>
    </row>
    <row r="228">
      <c r="A228" s="27" t="str">
        <f>IFERROR(__xludf.DUMMYFUNCTION("""COMPUTED_VALUE"""),"BANK OF NEW YORK MELLON CORP")</f>
        <v>BANK OF NEW YORK MELLON CORP</v>
      </c>
      <c r="B228" s="27" t="str">
        <f>IFERROR(__xludf.DUMMYFUNCTION("""COMPUTED_VALUE"""),"Financials")</f>
        <v>Financials</v>
      </c>
      <c r="C228" s="27" t="str">
        <f>IFERROR(__xludf.DUMMYFUNCTION("""COMPUTED_VALUE"""),"United States")</f>
        <v>United States</v>
      </c>
      <c r="D228" s="27">
        <f>IFERROR(__xludf.DUMMYFUNCTION("""COMPUTED_VALUE"""),0.09)</f>
        <v>0.09</v>
      </c>
      <c r="E228" s="22">
        <f t="shared" si="2"/>
        <v>0.9</v>
      </c>
      <c r="F228" s="23" t="str">
        <f t="shared" si="3"/>
        <v/>
      </c>
      <c r="G228" s="23" t="str">
        <f t="shared" si="4"/>
        <v/>
      </c>
      <c r="H228" s="27"/>
      <c r="I228" s="27"/>
      <c r="J228" s="27"/>
      <c r="K228" s="27"/>
      <c r="L228" s="22">
        <f t="shared" si="5"/>
        <v>0</v>
      </c>
    </row>
    <row r="229">
      <c r="A229" s="27" t="str">
        <f>IFERROR(__xludf.DUMMYFUNCTION("""COMPUTED_VALUE"""),"MODERNA INC")</f>
        <v>MODERNA INC</v>
      </c>
      <c r="B229" s="27" t="str">
        <f>IFERROR(__xludf.DUMMYFUNCTION("""COMPUTED_VALUE"""),"Health Care")</f>
        <v>Health Care</v>
      </c>
      <c r="C229" s="27" t="str">
        <f>IFERROR(__xludf.DUMMYFUNCTION("""COMPUTED_VALUE"""),"United States")</f>
        <v>United States</v>
      </c>
      <c r="D229" s="27">
        <f>IFERROR(__xludf.DUMMYFUNCTION("""COMPUTED_VALUE"""),0.09)</f>
        <v>0.09</v>
      </c>
      <c r="E229" s="22">
        <f t="shared" si="2"/>
        <v>0.9</v>
      </c>
      <c r="F229" s="23" t="str">
        <f t="shared" si="3"/>
        <v/>
      </c>
      <c r="G229" s="23" t="str">
        <f t="shared" si="4"/>
        <v/>
      </c>
      <c r="H229" s="27"/>
      <c r="I229" s="27"/>
      <c r="J229" s="27"/>
      <c r="K229" s="27"/>
      <c r="L229" s="22">
        <f t="shared" si="5"/>
        <v>0</v>
      </c>
    </row>
    <row r="230">
      <c r="A230" s="27" t="str">
        <f>IFERROR(__xludf.DUMMYFUNCTION("""COMPUTED_VALUE"""),"D R HORTON INC")</f>
        <v>D R HORTON INC</v>
      </c>
      <c r="B230" s="27" t="str">
        <f>IFERROR(__xludf.DUMMYFUNCTION("""COMPUTED_VALUE"""),"Consumer Discretionary")</f>
        <v>Consumer Discretionary</v>
      </c>
      <c r="C230" s="27" t="str">
        <f>IFERROR(__xludf.DUMMYFUNCTION("""COMPUTED_VALUE"""),"United States")</f>
        <v>United States</v>
      </c>
      <c r="D230" s="27">
        <f>IFERROR(__xludf.DUMMYFUNCTION("""COMPUTED_VALUE"""),0.09)</f>
        <v>0.09</v>
      </c>
      <c r="E230" s="22">
        <f t="shared" si="2"/>
        <v>0.9</v>
      </c>
      <c r="F230" s="23" t="str">
        <f t="shared" si="3"/>
        <v/>
      </c>
      <c r="G230" s="23" t="str">
        <f t="shared" si="4"/>
        <v/>
      </c>
      <c r="H230" s="27"/>
      <c r="I230" s="27"/>
      <c r="J230" s="27"/>
      <c r="K230" s="27"/>
      <c r="L230" s="22">
        <f t="shared" si="5"/>
        <v>0</v>
      </c>
    </row>
    <row r="231">
      <c r="A231" s="27" t="str">
        <f>IFERROR(__xludf.DUMMYFUNCTION("""COMPUTED_VALUE"""),"OTIS WORLDWIDE CORP")</f>
        <v>OTIS WORLDWIDE CORP</v>
      </c>
      <c r="B231" s="27" t="str">
        <f>IFERROR(__xludf.DUMMYFUNCTION("""COMPUTED_VALUE"""),"Industrials")</f>
        <v>Industrials</v>
      </c>
      <c r="C231" s="27" t="str">
        <f>IFERROR(__xludf.DUMMYFUNCTION("""COMPUTED_VALUE"""),"United States")</f>
        <v>United States</v>
      </c>
      <c r="D231" s="27">
        <f>IFERROR(__xludf.DUMMYFUNCTION("""COMPUTED_VALUE"""),0.09)</f>
        <v>0.09</v>
      </c>
      <c r="E231" s="22">
        <f t="shared" si="2"/>
        <v>0.9</v>
      </c>
      <c r="F231" s="23" t="str">
        <f t="shared" si="3"/>
        <v/>
      </c>
      <c r="G231" s="23" t="str">
        <f t="shared" si="4"/>
        <v/>
      </c>
      <c r="H231" s="27"/>
      <c r="I231" s="27"/>
      <c r="J231" s="27"/>
      <c r="K231" s="27"/>
      <c r="L231" s="22">
        <f t="shared" si="5"/>
        <v>0</v>
      </c>
    </row>
    <row r="232">
      <c r="A232" s="27" t="str">
        <f>IFERROR(__xludf.DUMMYFUNCTION("""COMPUTED_VALUE"""),"AGILENT TECHNOLOGIES INC")</f>
        <v>AGILENT TECHNOLOGIES INC</v>
      </c>
      <c r="B232" s="27" t="str">
        <f>IFERROR(__xludf.DUMMYFUNCTION("""COMPUTED_VALUE"""),"Health Care")</f>
        <v>Health Care</v>
      </c>
      <c r="C232" s="27" t="str">
        <f>IFERROR(__xludf.DUMMYFUNCTION("""COMPUTED_VALUE"""),"United States")</f>
        <v>United States</v>
      </c>
      <c r="D232" s="27">
        <f>IFERROR(__xludf.DUMMYFUNCTION("""COMPUTED_VALUE"""),0.09)</f>
        <v>0.09</v>
      </c>
      <c r="E232" s="22">
        <f t="shared" si="2"/>
        <v>0.9</v>
      </c>
      <c r="F232" s="23" t="str">
        <f t="shared" si="3"/>
        <v/>
      </c>
      <c r="G232" s="23" t="str">
        <f t="shared" si="4"/>
        <v/>
      </c>
      <c r="H232" s="27"/>
      <c r="I232" s="27"/>
      <c r="J232" s="27"/>
      <c r="K232" s="27"/>
      <c r="L232" s="22">
        <f t="shared" si="5"/>
        <v>0</v>
      </c>
    </row>
    <row r="233">
      <c r="A233" s="27" t="str">
        <f>IFERROR(__xludf.DUMMYFUNCTION("""COMPUTED_VALUE"""),"FIDELITY NATIONAL INFORMATION SERV")</f>
        <v>FIDELITY NATIONAL INFORMATION SERV</v>
      </c>
      <c r="B233" s="27" t="str">
        <f>IFERROR(__xludf.DUMMYFUNCTION("""COMPUTED_VALUE"""),"Financials")</f>
        <v>Financials</v>
      </c>
      <c r="C233" s="27" t="str">
        <f>IFERROR(__xludf.DUMMYFUNCTION("""COMPUTED_VALUE"""),"United States")</f>
        <v>United States</v>
      </c>
      <c r="D233" s="27">
        <f>IFERROR(__xludf.DUMMYFUNCTION("""COMPUTED_VALUE"""),0.09)</f>
        <v>0.09</v>
      </c>
      <c r="E233" s="22">
        <f t="shared" si="2"/>
        <v>0.9</v>
      </c>
      <c r="F233" s="23" t="str">
        <f t="shared" si="3"/>
        <v/>
      </c>
      <c r="G233" s="23" t="str">
        <f t="shared" si="4"/>
        <v/>
      </c>
      <c r="H233" s="27"/>
      <c r="I233" s="27"/>
      <c r="J233" s="27"/>
      <c r="K233" s="27"/>
      <c r="L233" s="22">
        <f t="shared" si="5"/>
        <v>0</v>
      </c>
    </row>
    <row r="234">
      <c r="A234" s="27" t="str">
        <f>IFERROR(__xludf.DUMMYFUNCTION("""COMPUTED_VALUE"""),"ESTEE LAUDER INC CLASS A")</f>
        <v>ESTEE LAUDER INC CLASS A</v>
      </c>
      <c r="B234" s="27" t="str">
        <f>IFERROR(__xludf.DUMMYFUNCTION("""COMPUTED_VALUE"""),"Consumer Staples")</f>
        <v>Consumer Staples</v>
      </c>
      <c r="C234" s="27" t="str">
        <f>IFERROR(__xludf.DUMMYFUNCTION("""COMPUTED_VALUE"""),"United States")</f>
        <v>United States</v>
      </c>
      <c r="D234" s="27">
        <f>IFERROR(__xludf.DUMMYFUNCTION("""COMPUTED_VALUE"""),0.09)</f>
        <v>0.09</v>
      </c>
      <c r="E234" s="22">
        <f t="shared" si="2"/>
        <v>0.9</v>
      </c>
      <c r="F234" s="23" t="str">
        <f t="shared" si="3"/>
        <v/>
      </c>
      <c r="G234" s="23" t="str">
        <f t="shared" si="4"/>
        <v/>
      </c>
      <c r="H234" s="27"/>
      <c r="I234" s="27"/>
      <c r="J234" s="27"/>
      <c r="K234" s="27"/>
      <c r="L234" s="22">
        <f t="shared" si="5"/>
        <v>0</v>
      </c>
    </row>
    <row r="235">
      <c r="A235" s="27" t="str">
        <f>IFERROR(__xludf.DUMMYFUNCTION("""COMPUTED_VALUE"""),"ROCKWELL AUTOMATION INC")</f>
        <v>ROCKWELL AUTOMATION INC</v>
      </c>
      <c r="B235" s="27" t="str">
        <f>IFERROR(__xludf.DUMMYFUNCTION("""COMPUTED_VALUE"""),"Industrials")</f>
        <v>Industrials</v>
      </c>
      <c r="C235" s="27" t="str">
        <f>IFERROR(__xludf.DUMMYFUNCTION("""COMPUTED_VALUE"""),"United States")</f>
        <v>United States</v>
      </c>
      <c r="D235" s="27">
        <f>IFERROR(__xludf.DUMMYFUNCTION("""COMPUTED_VALUE"""),0.09)</f>
        <v>0.09</v>
      </c>
      <c r="E235" s="22">
        <f t="shared" si="2"/>
        <v>0.9</v>
      </c>
      <c r="F235" s="23" t="str">
        <f t="shared" si="3"/>
        <v/>
      </c>
      <c r="G235" s="23" t="str">
        <f t="shared" si="4"/>
        <v/>
      </c>
      <c r="H235" s="27"/>
      <c r="I235" s="27"/>
      <c r="J235" s="27"/>
      <c r="K235" s="27"/>
      <c r="L235" s="22">
        <f t="shared" si="5"/>
        <v>0</v>
      </c>
    </row>
    <row r="236">
      <c r="A236" s="27" t="str">
        <f>IFERROR(__xludf.DUMMYFUNCTION("""COMPUTED_VALUE"""),"CUMMINS INC")</f>
        <v>CUMMINS INC</v>
      </c>
      <c r="B236" s="27" t="str">
        <f>IFERROR(__xludf.DUMMYFUNCTION("""COMPUTED_VALUE"""),"Industrials")</f>
        <v>Industrials</v>
      </c>
      <c r="C236" s="27" t="str">
        <f>IFERROR(__xludf.DUMMYFUNCTION("""COMPUTED_VALUE"""),"United States")</f>
        <v>United States</v>
      </c>
      <c r="D236" s="27">
        <f>IFERROR(__xludf.DUMMYFUNCTION("""COMPUTED_VALUE"""),0.09)</f>
        <v>0.09</v>
      </c>
      <c r="E236" s="22">
        <f t="shared" si="2"/>
        <v>0.9</v>
      </c>
      <c r="F236" s="23" t="str">
        <f t="shared" si="3"/>
        <v/>
      </c>
      <c r="G236" s="23" t="str">
        <f t="shared" si="4"/>
        <v/>
      </c>
      <c r="H236" s="27"/>
      <c r="I236" s="27"/>
      <c r="J236" s="27"/>
      <c r="K236" s="27"/>
      <c r="L236" s="22">
        <f t="shared" si="5"/>
        <v>0</v>
      </c>
    </row>
    <row r="237">
      <c r="A237" s="27" t="str">
        <f>IFERROR(__xludf.DUMMYFUNCTION("""COMPUTED_VALUE"""),"L3HARRIS TECHNOLOGIES INC")</f>
        <v>L3HARRIS TECHNOLOGIES INC</v>
      </c>
      <c r="B237" s="27" t="str">
        <f>IFERROR(__xludf.DUMMYFUNCTION("""COMPUTED_VALUE"""),"Industrials")</f>
        <v>Industrials</v>
      </c>
      <c r="C237" s="27" t="str">
        <f>IFERROR(__xludf.DUMMYFUNCTION("""COMPUTED_VALUE"""),"United States")</f>
        <v>United States</v>
      </c>
      <c r="D237" s="27">
        <f>IFERROR(__xludf.DUMMYFUNCTION("""COMPUTED_VALUE"""),0.09)</f>
        <v>0.09</v>
      </c>
      <c r="E237" s="22">
        <f t="shared" si="2"/>
        <v>0.9</v>
      </c>
      <c r="F237" s="23" t="str">
        <f t="shared" si="3"/>
        <v/>
      </c>
      <c r="G237" s="23" t="str">
        <f t="shared" si="4"/>
        <v/>
      </c>
      <c r="H237" s="27"/>
      <c r="I237" s="27"/>
      <c r="J237" s="27"/>
      <c r="K237" s="27"/>
      <c r="L237" s="22">
        <f t="shared" si="5"/>
        <v>0</v>
      </c>
    </row>
    <row r="238">
      <c r="A238" s="27" t="str">
        <f>IFERROR(__xludf.DUMMYFUNCTION("""COMPUTED_VALUE"""),"KINDER MORGAN INC")</f>
        <v>KINDER MORGAN INC</v>
      </c>
      <c r="B238" s="27" t="str">
        <f>IFERROR(__xludf.DUMMYFUNCTION("""COMPUTED_VALUE"""),"Energy")</f>
        <v>Energy</v>
      </c>
      <c r="C238" s="27" t="str">
        <f>IFERROR(__xludf.DUMMYFUNCTION("""COMPUTED_VALUE"""),"United States")</f>
        <v>United States</v>
      </c>
      <c r="D238" s="27">
        <f>IFERROR(__xludf.DUMMYFUNCTION("""COMPUTED_VALUE"""),0.09)</f>
        <v>0.09</v>
      </c>
      <c r="E238" s="22">
        <f t="shared" si="2"/>
        <v>0.9</v>
      </c>
      <c r="F238" s="23" t="str">
        <f t="shared" si="3"/>
        <v/>
      </c>
      <c r="G238" s="23" t="str">
        <f t="shared" si="4"/>
        <v/>
      </c>
      <c r="H238" s="27"/>
      <c r="I238" s="27"/>
      <c r="J238" s="27"/>
      <c r="K238" s="27"/>
      <c r="L238" s="22">
        <f t="shared" si="5"/>
        <v>0</v>
      </c>
    </row>
    <row r="239">
      <c r="A239" s="27" t="str">
        <f>IFERROR(__xludf.DUMMYFUNCTION("""COMPUTED_VALUE"""),"FASTENAL")</f>
        <v>FASTENAL</v>
      </c>
      <c r="B239" s="27" t="str">
        <f>IFERROR(__xludf.DUMMYFUNCTION("""COMPUTED_VALUE"""),"Industrials")</f>
        <v>Industrials</v>
      </c>
      <c r="C239" s="27" t="str">
        <f>IFERROR(__xludf.DUMMYFUNCTION("""COMPUTED_VALUE"""),"United States")</f>
        <v>United States</v>
      </c>
      <c r="D239" s="27">
        <f>IFERROR(__xludf.DUMMYFUNCTION("""COMPUTED_VALUE"""),0.09)</f>
        <v>0.09</v>
      </c>
      <c r="E239" s="22">
        <f t="shared" si="2"/>
        <v>0.9</v>
      </c>
      <c r="F239" s="23" t="str">
        <f t="shared" si="3"/>
        <v/>
      </c>
      <c r="G239" s="23" t="str">
        <f t="shared" si="4"/>
        <v/>
      </c>
      <c r="H239" s="27"/>
      <c r="I239" s="27"/>
      <c r="J239" s="27"/>
      <c r="K239" s="27"/>
      <c r="L239" s="22">
        <f t="shared" si="5"/>
        <v>0</v>
      </c>
    </row>
    <row r="240">
      <c r="A240" s="27" t="str">
        <f>IFERROR(__xludf.DUMMYFUNCTION("""COMPUTED_VALUE"""),"KEURIG DR PEPPER INC")</f>
        <v>KEURIG DR PEPPER INC</v>
      </c>
      <c r="B240" s="27" t="str">
        <f>IFERROR(__xludf.DUMMYFUNCTION("""COMPUTED_VALUE"""),"Consumer Staples")</f>
        <v>Consumer Staples</v>
      </c>
      <c r="C240" s="27" t="str">
        <f>IFERROR(__xludf.DUMMYFUNCTION("""COMPUTED_VALUE"""),"United States")</f>
        <v>United States</v>
      </c>
      <c r="D240" s="27">
        <f>IFERROR(__xludf.DUMMYFUNCTION("""COMPUTED_VALUE"""),0.09)</f>
        <v>0.09</v>
      </c>
      <c r="E240" s="22">
        <f t="shared" si="2"/>
        <v>0.9</v>
      </c>
      <c r="F240" s="23" t="str">
        <f t="shared" si="3"/>
        <v/>
      </c>
      <c r="G240" s="23" t="str">
        <f t="shared" si="4"/>
        <v/>
      </c>
      <c r="H240" s="27"/>
      <c r="I240" s="27"/>
      <c r="J240" s="27"/>
      <c r="K240" s="27"/>
      <c r="L240" s="22">
        <f t="shared" si="5"/>
        <v>0</v>
      </c>
    </row>
    <row r="241">
      <c r="A241" s="27" t="str">
        <f>IFERROR(__xludf.DUMMYFUNCTION("""COMPUTED_VALUE"""),"XCEL ENERGY INC")</f>
        <v>XCEL ENERGY INC</v>
      </c>
      <c r="B241" s="27" t="str">
        <f>IFERROR(__xludf.DUMMYFUNCTION("""COMPUTED_VALUE"""),"Utilities")</f>
        <v>Utilities</v>
      </c>
      <c r="C241" s="27" t="str">
        <f>IFERROR(__xludf.DUMMYFUNCTION("""COMPUTED_VALUE"""),"United States")</f>
        <v>United States</v>
      </c>
      <c r="D241" s="27">
        <f>IFERROR(__xludf.DUMMYFUNCTION("""COMPUTED_VALUE"""),0.09)</f>
        <v>0.09</v>
      </c>
      <c r="E241" s="22">
        <f t="shared" si="2"/>
        <v>0.9</v>
      </c>
      <c r="F241" s="23" t="str">
        <f t="shared" si="3"/>
        <v/>
      </c>
      <c r="G241" s="23" t="str">
        <f t="shared" si="4"/>
        <v/>
      </c>
      <c r="H241" s="27"/>
      <c r="I241" s="27"/>
      <c r="J241" s="27"/>
      <c r="K241" s="27"/>
      <c r="L241" s="22">
        <f t="shared" si="5"/>
        <v>0</v>
      </c>
    </row>
    <row r="242">
      <c r="A242" s="27" t="str">
        <f>IFERROR(__xludf.DUMMYFUNCTION("""COMPUTED_VALUE"""),"COSTAR GROUP INC")</f>
        <v>COSTAR GROUP INC</v>
      </c>
      <c r="B242" s="27" t="str">
        <f>IFERROR(__xludf.DUMMYFUNCTION("""COMPUTED_VALUE"""),"Real Estate")</f>
        <v>Real Estate</v>
      </c>
      <c r="C242" s="27" t="str">
        <f>IFERROR(__xludf.DUMMYFUNCTION("""COMPUTED_VALUE"""),"United States")</f>
        <v>United States</v>
      </c>
      <c r="D242" s="27">
        <f>IFERROR(__xludf.DUMMYFUNCTION("""COMPUTED_VALUE"""),0.09)</f>
        <v>0.09</v>
      </c>
      <c r="E242" s="22">
        <f t="shared" si="2"/>
        <v>0.9</v>
      </c>
      <c r="F242" s="23" t="str">
        <f t="shared" si="3"/>
        <v/>
      </c>
      <c r="G242" s="23" t="str">
        <f t="shared" si="4"/>
        <v/>
      </c>
      <c r="H242" s="27"/>
      <c r="I242" s="27"/>
      <c r="J242" s="27"/>
      <c r="K242" s="27"/>
      <c r="L242" s="22">
        <f t="shared" si="5"/>
        <v>0</v>
      </c>
    </row>
    <row r="243">
      <c r="A243" s="27" t="str">
        <f>IFERROR(__xludf.DUMMYFUNCTION("""COMPUTED_VALUE"""),"DEVON ENERGY CORP")</f>
        <v>DEVON ENERGY CORP</v>
      </c>
      <c r="B243" s="27" t="str">
        <f>IFERROR(__xludf.DUMMYFUNCTION("""COMPUTED_VALUE"""),"Energy")</f>
        <v>Energy</v>
      </c>
      <c r="C243" s="27" t="str">
        <f>IFERROR(__xludf.DUMMYFUNCTION("""COMPUTED_VALUE"""),"United States")</f>
        <v>United States</v>
      </c>
      <c r="D243" s="27">
        <f>IFERROR(__xludf.DUMMYFUNCTION("""COMPUTED_VALUE"""),0.09)</f>
        <v>0.09</v>
      </c>
      <c r="E243" s="22">
        <f t="shared" si="2"/>
        <v>0.9</v>
      </c>
      <c r="F243" s="23" t="str">
        <f t="shared" si="3"/>
        <v/>
      </c>
      <c r="G243" s="23" t="str">
        <f t="shared" si="4"/>
        <v/>
      </c>
      <c r="H243" s="27"/>
      <c r="I243" s="27"/>
      <c r="J243" s="27"/>
      <c r="K243" s="27"/>
      <c r="L243" s="22">
        <f t="shared" si="5"/>
        <v>0</v>
      </c>
    </row>
    <row r="244">
      <c r="A244" s="27" t="str">
        <f>IFERROR(__xludf.DUMMYFUNCTION("""COMPUTED_VALUE"""),"WW GRAINGER INC")</f>
        <v>WW GRAINGER INC</v>
      </c>
      <c r="B244" s="27" t="str">
        <f>IFERROR(__xludf.DUMMYFUNCTION("""COMPUTED_VALUE"""),"Industrials")</f>
        <v>Industrials</v>
      </c>
      <c r="C244" s="27" t="str">
        <f>IFERROR(__xludf.DUMMYFUNCTION("""COMPUTED_VALUE"""),"United States")</f>
        <v>United States</v>
      </c>
      <c r="D244" s="27">
        <f>IFERROR(__xludf.DUMMYFUNCTION("""COMPUTED_VALUE"""),0.09)</f>
        <v>0.09</v>
      </c>
      <c r="E244" s="22">
        <f t="shared" si="2"/>
        <v>0.9</v>
      </c>
      <c r="F244" s="23" t="str">
        <f t="shared" si="3"/>
        <v/>
      </c>
      <c r="G244" s="23" t="str">
        <f t="shared" si="4"/>
        <v/>
      </c>
      <c r="H244" s="27"/>
      <c r="I244" s="27"/>
      <c r="J244" s="27"/>
      <c r="K244" s="27"/>
      <c r="L244" s="22">
        <f t="shared" si="5"/>
        <v>0</v>
      </c>
    </row>
    <row r="245">
      <c r="A245" s="27" t="str">
        <f>IFERROR(__xludf.DUMMYFUNCTION("""COMPUTED_VALUE"""),"PPG INDUSTRIES INC")</f>
        <v>PPG INDUSTRIES INC</v>
      </c>
      <c r="B245" s="27" t="str">
        <f>IFERROR(__xludf.DUMMYFUNCTION("""COMPUTED_VALUE"""),"Materials")</f>
        <v>Materials</v>
      </c>
      <c r="C245" s="27" t="str">
        <f>IFERROR(__xludf.DUMMYFUNCTION("""COMPUTED_VALUE"""),"United States")</f>
        <v>United States</v>
      </c>
      <c r="D245" s="27">
        <f>IFERROR(__xludf.DUMMYFUNCTION("""COMPUTED_VALUE"""),0.09)</f>
        <v>0.09</v>
      </c>
      <c r="E245" s="22">
        <f t="shared" si="2"/>
        <v>0.9</v>
      </c>
      <c r="F245" s="23" t="str">
        <f t="shared" si="3"/>
        <v/>
      </c>
      <c r="G245" s="23" t="str">
        <f t="shared" si="4"/>
        <v/>
      </c>
      <c r="H245" s="27"/>
      <c r="I245" s="27"/>
      <c r="J245" s="27"/>
      <c r="K245" s="27"/>
      <c r="L245" s="22">
        <f t="shared" si="5"/>
        <v>0</v>
      </c>
    </row>
    <row r="246">
      <c r="A246" s="27" t="str">
        <f>IFERROR(__xludf.DUMMYFUNCTION("""COMPUTED_VALUE"""),"UNITED RENTALS INC")</f>
        <v>UNITED RENTALS INC</v>
      </c>
      <c r="B246" s="27" t="str">
        <f>IFERROR(__xludf.DUMMYFUNCTION("""COMPUTED_VALUE"""),"Industrials")</f>
        <v>Industrials</v>
      </c>
      <c r="C246" s="27" t="str">
        <f>IFERROR(__xludf.DUMMYFUNCTION("""COMPUTED_VALUE"""),"United States")</f>
        <v>United States</v>
      </c>
      <c r="D246" s="27">
        <f>IFERROR(__xludf.DUMMYFUNCTION("""COMPUTED_VALUE"""),0.08)</f>
        <v>0.08</v>
      </c>
      <c r="E246" s="22">
        <f t="shared" si="2"/>
        <v>0.8</v>
      </c>
      <c r="F246" s="23" t="str">
        <f t="shared" si="3"/>
        <v/>
      </c>
      <c r="G246" s="23" t="str">
        <f t="shared" si="4"/>
        <v/>
      </c>
      <c r="H246" s="27"/>
      <c r="I246" s="27"/>
      <c r="J246" s="27"/>
      <c r="K246" s="27"/>
      <c r="L246" s="22">
        <f t="shared" si="5"/>
        <v>0</v>
      </c>
    </row>
    <row r="247">
      <c r="A247" s="27" t="str">
        <f>IFERROR(__xludf.DUMMYFUNCTION("""COMPUTED_VALUE"""),"CENCORA INC")</f>
        <v>CENCORA INC</v>
      </c>
      <c r="B247" s="27" t="str">
        <f>IFERROR(__xludf.DUMMYFUNCTION("""COMPUTED_VALUE"""),"Health Care")</f>
        <v>Health Care</v>
      </c>
      <c r="C247" s="27" t="str">
        <f>IFERROR(__xludf.DUMMYFUNCTION("""COMPUTED_VALUE"""),"United States")</f>
        <v>United States</v>
      </c>
      <c r="D247" s="27">
        <f>IFERROR(__xludf.DUMMYFUNCTION("""COMPUTED_VALUE"""),0.08)</f>
        <v>0.08</v>
      </c>
      <c r="E247" s="22">
        <f t="shared" si="2"/>
        <v>0.8</v>
      </c>
      <c r="F247" s="23" t="str">
        <f t="shared" si="3"/>
        <v/>
      </c>
      <c r="G247" s="23" t="str">
        <f t="shared" si="4"/>
        <v/>
      </c>
      <c r="H247" s="27"/>
      <c r="I247" s="27"/>
      <c r="J247" s="27"/>
      <c r="K247" s="27"/>
      <c r="L247" s="22">
        <f t="shared" si="5"/>
        <v>0</v>
      </c>
    </row>
    <row r="248">
      <c r="A248" s="27" t="str">
        <f>IFERROR(__xludf.DUMMYFUNCTION("""COMPUTED_VALUE"""),"ARCH CAPITAL GROUP LTD")</f>
        <v>ARCH CAPITAL GROUP LTD</v>
      </c>
      <c r="B248" s="27" t="str">
        <f>IFERROR(__xludf.DUMMYFUNCTION("""COMPUTED_VALUE"""),"Financials")</f>
        <v>Financials</v>
      </c>
      <c r="C248" s="27" t="str">
        <f>IFERROR(__xludf.DUMMYFUNCTION("""COMPUTED_VALUE"""),"United States")</f>
        <v>United States</v>
      </c>
      <c r="D248" s="27">
        <f>IFERROR(__xludf.DUMMYFUNCTION("""COMPUTED_VALUE"""),0.08)</f>
        <v>0.08</v>
      </c>
      <c r="E248" s="22">
        <f t="shared" si="2"/>
        <v>0.8</v>
      </c>
      <c r="F248" s="23" t="str">
        <f t="shared" si="3"/>
        <v/>
      </c>
      <c r="G248" s="23" t="str">
        <f t="shared" si="4"/>
        <v/>
      </c>
      <c r="H248" s="27"/>
      <c r="I248" s="27"/>
      <c r="J248" s="27"/>
      <c r="K248" s="27"/>
      <c r="L248" s="22">
        <f t="shared" si="5"/>
        <v>0</v>
      </c>
    </row>
    <row r="249">
      <c r="A249" s="27" t="str">
        <f>IFERROR(__xludf.DUMMYFUNCTION("""COMPUTED_VALUE"""),"HERSHEY FOODS")</f>
        <v>HERSHEY FOODS</v>
      </c>
      <c r="B249" s="27" t="str">
        <f>IFERROR(__xludf.DUMMYFUNCTION("""COMPUTED_VALUE"""),"Consumer Staples")</f>
        <v>Consumer Staples</v>
      </c>
      <c r="C249" s="27" t="str">
        <f>IFERROR(__xludf.DUMMYFUNCTION("""COMPUTED_VALUE"""),"United States")</f>
        <v>United States</v>
      </c>
      <c r="D249" s="27">
        <f>IFERROR(__xludf.DUMMYFUNCTION("""COMPUTED_VALUE"""),0.08)</f>
        <v>0.08</v>
      </c>
      <c r="E249" s="22">
        <f t="shared" si="2"/>
        <v>0.8</v>
      </c>
      <c r="F249" s="23" t="str">
        <f t="shared" si="3"/>
        <v/>
      </c>
      <c r="G249" s="23" t="str">
        <f t="shared" si="4"/>
        <v/>
      </c>
      <c r="H249" s="27"/>
      <c r="I249" s="27"/>
      <c r="J249" s="27"/>
      <c r="K249" s="27"/>
      <c r="L249" s="22">
        <f t="shared" si="5"/>
        <v>0</v>
      </c>
    </row>
    <row r="250">
      <c r="A250" s="27" t="str">
        <f>IFERROR(__xludf.DUMMYFUNCTION("""COMPUTED_VALUE"""),"GLOBAL PAYMENTS INC")</f>
        <v>GLOBAL PAYMENTS INC</v>
      </c>
      <c r="B250" s="27" t="str">
        <f>IFERROR(__xludf.DUMMYFUNCTION("""COMPUTED_VALUE"""),"Financials")</f>
        <v>Financials</v>
      </c>
      <c r="C250" s="27" t="str">
        <f>IFERROR(__xludf.DUMMYFUNCTION("""COMPUTED_VALUE"""),"United States")</f>
        <v>United States</v>
      </c>
      <c r="D250" s="27">
        <f>IFERROR(__xludf.DUMMYFUNCTION("""COMPUTED_VALUE"""),0.08)</f>
        <v>0.08</v>
      </c>
      <c r="E250" s="22">
        <f t="shared" si="2"/>
        <v>0.8</v>
      </c>
      <c r="F250" s="23" t="str">
        <f t="shared" si="3"/>
        <v/>
      </c>
      <c r="G250" s="23" t="str">
        <f t="shared" si="4"/>
        <v/>
      </c>
      <c r="H250" s="27"/>
      <c r="I250" s="27"/>
      <c r="J250" s="27"/>
      <c r="K250" s="27"/>
      <c r="L250" s="22">
        <f t="shared" si="5"/>
        <v>0</v>
      </c>
    </row>
    <row r="251">
      <c r="A251" s="27" t="str">
        <f>IFERROR(__xludf.DUMMYFUNCTION("""COMPUTED_VALUE"""),"VICI PPTYS INC")</f>
        <v>VICI PPTYS INC</v>
      </c>
      <c r="B251" s="27" t="str">
        <f>IFERROR(__xludf.DUMMYFUNCTION("""COMPUTED_VALUE"""),"Real Estate")</f>
        <v>Real Estate</v>
      </c>
      <c r="C251" s="27" t="str">
        <f>IFERROR(__xludf.DUMMYFUNCTION("""COMPUTED_VALUE"""),"United States")</f>
        <v>United States</v>
      </c>
      <c r="D251" s="27">
        <f>IFERROR(__xludf.DUMMYFUNCTION("""COMPUTED_VALUE"""),0.08)</f>
        <v>0.08</v>
      </c>
      <c r="E251" s="22">
        <f t="shared" si="2"/>
        <v>0.8</v>
      </c>
      <c r="F251" s="23" t="str">
        <f t="shared" si="3"/>
        <v/>
      </c>
      <c r="G251" s="23" t="str">
        <f t="shared" si="4"/>
        <v/>
      </c>
      <c r="H251" s="27"/>
      <c r="I251" s="27"/>
      <c r="J251" s="27"/>
      <c r="K251" s="27"/>
      <c r="L251" s="22">
        <f t="shared" si="5"/>
        <v>0</v>
      </c>
    </row>
    <row r="252">
      <c r="A252" s="27" t="str">
        <f>IFERROR(__xludf.DUMMYFUNCTION("""COMPUTED_VALUE"""),"REPUBLIC SERVICES INC")</f>
        <v>REPUBLIC SERVICES INC</v>
      </c>
      <c r="B252" s="27" t="str">
        <f>IFERROR(__xludf.DUMMYFUNCTION("""COMPUTED_VALUE"""),"Industrials")</f>
        <v>Industrials</v>
      </c>
      <c r="C252" s="27" t="str">
        <f>IFERROR(__xludf.DUMMYFUNCTION("""COMPUTED_VALUE"""),"United States")</f>
        <v>United States</v>
      </c>
      <c r="D252" s="27">
        <f>IFERROR(__xludf.DUMMYFUNCTION("""COMPUTED_VALUE"""),0.08)</f>
        <v>0.08</v>
      </c>
      <c r="E252" s="22">
        <f t="shared" si="2"/>
        <v>0.8</v>
      </c>
      <c r="F252" s="23" t="str">
        <f t="shared" si="3"/>
        <v/>
      </c>
      <c r="G252" s="23" t="str">
        <f t="shared" si="4"/>
        <v/>
      </c>
      <c r="H252" s="27"/>
      <c r="I252" s="27"/>
      <c r="J252" s="27"/>
      <c r="K252" s="27"/>
      <c r="L252" s="22">
        <f t="shared" si="5"/>
        <v>0</v>
      </c>
    </row>
    <row r="253">
      <c r="A253" s="27" t="str">
        <f>IFERROR(__xludf.DUMMYFUNCTION("""COMPUTED_VALUE"""),"KROGER")</f>
        <v>KROGER</v>
      </c>
      <c r="B253" s="27" t="str">
        <f>IFERROR(__xludf.DUMMYFUNCTION("""COMPUTED_VALUE"""),"Consumer Staples")</f>
        <v>Consumer Staples</v>
      </c>
      <c r="C253" s="27" t="str">
        <f>IFERROR(__xludf.DUMMYFUNCTION("""COMPUTED_VALUE"""),"United States")</f>
        <v>United States</v>
      </c>
      <c r="D253" s="27">
        <f>IFERROR(__xludf.DUMMYFUNCTION("""COMPUTED_VALUE"""),0.08)</f>
        <v>0.08</v>
      </c>
      <c r="E253" s="22">
        <f t="shared" si="2"/>
        <v>0.8</v>
      </c>
      <c r="F253" s="23" t="str">
        <f t="shared" si="3"/>
        <v/>
      </c>
      <c r="G253" s="23" t="str">
        <f t="shared" si="4"/>
        <v/>
      </c>
      <c r="H253" s="27"/>
      <c r="I253" s="27"/>
      <c r="J253" s="27"/>
      <c r="K253" s="27"/>
      <c r="L253" s="22">
        <f t="shared" si="5"/>
        <v>0</v>
      </c>
    </row>
    <row r="254">
      <c r="A254" s="27" t="str">
        <f>IFERROR(__xludf.DUMMYFUNCTION("""COMPUTED_VALUE"""),"USD CASH")</f>
        <v>USD CASH</v>
      </c>
      <c r="B254" s="27" t="str">
        <f>IFERROR(__xludf.DUMMYFUNCTION("""COMPUTED_VALUE"""),"Cash and/or Derivatives")</f>
        <v>Cash and/or Derivatives</v>
      </c>
      <c r="C254" s="27" t="str">
        <f>IFERROR(__xludf.DUMMYFUNCTION("""COMPUTED_VALUE"""),"United States")</f>
        <v>United States</v>
      </c>
      <c r="D254" s="27">
        <f>IFERROR(__xludf.DUMMYFUNCTION("""COMPUTED_VALUE"""),0.08)</f>
        <v>0.08</v>
      </c>
      <c r="E254" s="22">
        <f t="shared" si="2"/>
        <v>0.8</v>
      </c>
      <c r="F254" s="23" t="str">
        <f t="shared" si="3"/>
        <v/>
      </c>
      <c r="G254" s="23" t="str">
        <f t="shared" si="4"/>
        <v/>
      </c>
      <c r="H254" s="27"/>
      <c r="I254" s="27"/>
      <c r="J254" s="27"/>
      <c r="K254" s="27"/>
      <c r="L254" s="22">
        <f t="shared" si="5"/>
        <v>0</v>
      </c>
    </row>
    <row r="255">
      <c r="A255" s="27" t="str">
        <f>IFERROR(__xludf.DUMMYFUNCTION("""COMPUTED_VALUE"""),"CONSOLIDATED EDISON INC")</f>
        <v>CONSOLIDATED EDISON INC</v>
      </c>
      <c r="B255" s="27" t="str">
        <f>IFERROR(__xludf.DUMMYFUNCTION("""COMPUTED_VALUE"""),"Utilities")</f>
        <v>Utilities</v>
      </c>
      <c r="C255" s="27" t="str">
        <f>IFERROR(__xludf.DUMMYFUNCTION("""COMPUTED_VALUE"""),"United States")</f>
        <v>United States</v>
      </c>
      <c r="D255" s="27">
        <f>IFERROR(__xludf.DUMMYFUNCTION("""COMPUTED_VALUE"""),0.08)</f>
        <v>0.08</v>
      </c>
      <c r="E255" s="22">
        <f t="shared" si="2"/>
        <v>0.8</v>
      </c>
      <c r="F255" s="23" t="str">
        <f t="shared" si="3"/>
        <v/>
      </c>
      <c r="G255" s="23" t="str">
        <f t="shared" si="4"/>
        <v/>
      </c>
      <c r="H255" s="27"/>
      <c r="I255" s="27"/>
      <c r="J255" s="27"/>
      <c r="K255" s="27"/>
      <c r="L255" s="22">
        <f t="shared" si="5"/>
        <v>0</v>
      </c>
    </row>
    <row r="256">
      <c r="A256" s="27" t="str">
        <f>IFERROR(__xludf.DUMMYFUNCTION("""COMPUTED_VALUE"""),"NEWMONT")</f>
        <v>NEWMONT</v>
      </c>
      <c r="B256" s="27" t="str">
        <f>IFERROR(__xludf.DUMMYFUNCTION("""COMPUTED_VALUE"""),"Materials")</f>
        <v>Materials</v>
      </c>
      <c r="C256" s="27" t="str">
        <f>IFERROR(__xludf.DUMMYFUNCTION("""COMPUTED_VALUE"""),"United States")</f>
        <v>United States</v>
      </c>
      <c r="D256" s="27">
        <f>IFERROR(__xludf.DUMMYFUNCTION("""COMPUTED_VALUE"""),0.08)</f>
        <v>0.08</v>
      </c>
      <c r="E256" s="22">
        <f t="shared" si="2"/>
        <v>0.8</v>
      </c>
      <c r="F256" s="23" t="str">
        <f t="shared" si="3"/>
        <v/>
      </c>
      <c r="G256" s="23" t="str">
        <f t="shared" si="4"/>
        <v/>
      </c>
      <c r="H256" s="27"/>
      <c r="I256" s="27"/>
      <c r="J256" s="27"/>
      <c r="K256" s="27"/>
      <c r="L256" s="22">
        <f t="shared" si="5"/>
        <v>0</v>
      </c>
    </row>
    <row r="257">
      <c r="A257" s="27" t="str">
        <f>IFERROR(__xludf.DUMMYFUNCTION("""COMPUTED_VALUE"""),"ALLSTATE CORP")</f>
        <v>ALLSTATE CORP</v>
      </c>
      <c r="B257" s="27" t="str">
        <f>IFERROR(__xludf.DUMMYFUNCTION("""COMPUTED_VALUE"""),"Financials")</f>
        <v>Financials</v>
      </c>
      <c r="C257" s="27" t="str">
        <f>IFERROR(__xludf.DUMMYFUNCTION("""COMPUTED_VALUE"""),"United States")</f>
        <v>United States</v>
      </c>
      <c r="D257" s="27">
        <f>IFERROR(__xludf.DUMMYFUNCTION("""COMPUTED_VALUE"""),0.08)</f>
        <v>0.08</v>
      </c>
      <c r="E257" s="22">
        <f t="shared" si="2"/>
        <v>0.8</v>
      </c>
      <c r="F257" s="23" t="str">
        <f t="shared" si="3"/>
        <v/>
      </c>
      <c r="G257" s="23" t="str">
        <f t="shared" si="4"/>
        <v/>
      </c>
      <c r="H257" s="27"/>
      <c r="I257" s="27"/>
      <c r="J257" s="27"/>
      <c r="K257" s="27"/>
      <c r="L257" s="22">
        <f t="shared" si="5"/>
        <v>0</v>
      </c>
    </row>
    <row r="258">
      <c r="A258" s="27" t="str">
        <f>IFERROR(__xludf.DUMMYFUNCTION("""COMPUTED_VALUE"""),"ELECTRONIC ARTS INC")</f>
        <v>ELECTRONIC ARTS INC</v>
      </c>
      <c r="B258" s="27" t="str">
        <f>IFERROR(__xludf.DUMMYFUNCTION("""COMPUTED_VALUE"""),"Communication")</f>
        <v>Communication</v>
      </c>
      <c r="C258" s="27" t="str">
        <f>IFERROR(__xludf.DUMMYFUNCTION("""COMPUTED_VALUE"""),"United States")</f>
        <v>United States</v>
      </c>
      <c r="D258" s="27">
        <f>IFERROR(__xludf.DUMMYFUNCTION("""COMPUTED_VALUE"""),0.08)</f>
        <v>0.08</v>
      </c>
      <c r="E258" s="22">
        <f t="shared" si="2"/>
        <v>0.8</v>
      </c>
      <c r="F258" s="23" t="str">
        <f t="shared" si="3"/>
        <v/>
      </c>
      <c r="G258" s="23" t="str">
        <f t="shared" si="4"/>
        <v/>
      </c>
      <c r="H258" s="27"/>
      <c r="I258" s="27"/>
      <c r="J258" s="27"/>
      <c r="K258" s="27"/>
      <c r="L258" s="22">
        <f t="shared" si="5"/>
        <v>0</v>
      </c>
    </row>
    <row r="259">
      <c r="A259" s="27" t="str">
        <f>IFERROR(__xludf.DUMMYFUNCTION("""COMPUTED_VALUE"""),"LENNAR A CORP")</f>
        <v>LENNAR A CORP</v>
      </c>
      <c r="B259" s="27" t="str">
        <f>IFERROR(__xludf.DUMMYFUNCTION("""COMPUTED_VALUE"""),"Consumer Discretionary")</f>
        <v>Consumer Discretionary</v>
      </c>
      <c r="C259" s="27" t="str">
        <f>IFERROR(__xludf.DUMMYFUNCTION("""COMPUTED_VALUE"""),"United States")</f>
        <v>United States</v>
      </c>
      <c r="D259" s="27">
        <f>IFERROR(__xludf.DUMMYFUNCTION("""COMPUTED_VALUE"""),0.08)</f>
        <v>0.08</v>
      </c>
      <c r="E259" s="22">
        <f t="shared" si="2"/>
        <v>0.8</v>
      </c>
      <c r="F259" s="23" t="str">
        <f t="shared" si="3"/>
        <v/>
      </c>
      <c r="G259" s="23" t="str">
        <f t="shared" si="4"/>
        <v/>
      </c>
      <c r="H259" s="27"/>
      <c r="I259" s="27"/>
      <c r="J259" s="27"/>
      <c r="K259" s="27"/>
      <c r="L259" s="22">
        <f t="shared" si="5"/>
        <v>0</v>
      </c>
    </row>
    <row r="260">
      <c r="A260" s="27" t="str">
        <f>IFERROR(__xludf.DUMMYFUNCTION("""COMPUTED_VALUE"""),"PUBLIC SERVICE ENTERPRISE GROUP IN")</f>
        <v>PUBLIC SERVICE ENTERPRISE GROUP IN</v>
      </c>
      <c r="B260" s="27" t="str">
        <f>IFERROR(__xludf.DUMMYFUNCTION("""COMPUTED_VALUE"""),"Utilities")</f>
        <v>Utilities</v>
      </c>
      <c r="C260" s="27" t="str">
        <f>IFERROR(__xludf.DUMMYFUNCTION("""COMPUTED_VALUE"""),"United States")</f>
        <v>United States</v>
      </c>
      <c r="D260" s="27">
        <f>IFERROR(__xludf.DUMMYFUNCTION("""COMPUTED_VALUE"""),0.08)</f>
        <v>0.08</v>
      </c>
      <c r="E260" s="22">
        <f t="shared" si="2"/>
        <v>0.8</v>
      </c>
      <c r="F260" s="23" t="str">
        <f t="shared" si="3"/>
        <v/>
      </c>
      <c r="G260" s="23" t="str">
        <f t="shared" si="4"/>
        <v/>
      </c>
      <c r="H260" s="27"/>
      <c r="I260" s="27"/>
      <c r="J260" s="27"/>
      <c r="K260" s="27"/>
      <c r="L260" s="22">
        <f t="shared" si="5"/>
        <v>0</v>
      </c>
    </row>
    <row r="261">
      <c r="A261" s="27" t="str">
        <f>IFERROR(__xludf.DUMMYFUNCTION("""COMPUTED_VALUE"""),"DIAMONDBACK ENERGY INC")</f>
        <v>DIAMONDBACK ENERGY INC</v>
      </c>
      <c r="B261" s="27" t="str">
        <f>IFERROR(__xludf.DUMMYFUNCTION("""COMPUTED_VALUE"""),"Energy")</f>
        <v>Energy</v>
      </c>
      <c r="C261" s="27" t="str">
        <f>IFERROR(__xludf.DUMMYFUNCTION("""COMPUTED_VALUE"""),"United States")</f>
        <v>United States</v>
      </c>
      <c r="D261" s="27">
        <f>IFERROR(__xludf.DUMMYFUNCTION("""COMPUTED_VALUE"""),0.08)</f>
        <v>0.08</v>
      </c>
      <c r="E261" s="22">
        <f t="shared" si="2"/>
        <v>0.8</v>
      </c>
      <c r="F261" s="23" t="str">
        <f t="shared" si="3"/>
        <v/>
      </c>
      <c r="G261" s="23" t="str">
        <f t="shared" si="4"/>
        <v/>
      </c>
      <c r="H261" s="27"/>
      <c r="I261" s="27"/>
      <c r="J261" s="27"/>
      <c r="K261" s="27"/>
      <c r="L261" s="22">
        <f t="shared" si="5"/>
        <v>0</v>
      </c>
    </row>
    <row r="262">
      <c r="A262" s="27" t="str">
        <f>IFERROR(__xludf.DUMMYFUNCTION("""COMPUTED_VALUE"""),"APTIV PLC")</f>
        <v>APTIV PLC</v>
      </c>
      <c r="B262" s="27" t="str">
        <f>IFERROR(__xludf.DUMMYFUNCTION("""COMPUTED_VALUE"""),"Consumer Discretionary")</f>
        <v>Consumer Discretionary</v>
      </c>
      <c r="C262" s="27" t="str">
        <f>IFERROR(__xludf.DUMMYFUNCTION("""COMPUTED_VALUE"""),"United States")</f>
        <v>United States</v>
      </c>
      <c r="D262" s="27">
        <f>IFERROR(__xludf.DUMMYFUNCTION("""COMPUTED_VALUE"""),0.08)</f>
        <v>0.08</v>
      </c>
      <c r="E262" s="22">
        <f t="shared" si="2"/>
        <v>0.8</v>
      </c>
      <c r="F262" s="23" t="str">
        <f t="shared" si="3"/>
        <v/>
      </c>
      <c r="G262" s="23" t="str">
        <f t="shared" si="4"/>
        <v/>
      </c>
      <c r="H262" s="27"/>
      <c r="I262" s="27"/>
      <c r="J262" s="27"/>
      <c r="K262" s="27"/>
      <c r="L262" s="22">
        <f t="shared" si="5"/>
        <v>0</v>
      </c>
    </row>
    <row r="263">
      <c r="A263" s="27" t="str">
        <f>IFERROR(__xludf.DUMMYFUNCTION("""COMPUTED_VALUE"""),"WEST PHARMACEUTICAL SERVICES INC")</f>
        <v>WEST PHARMACEUTICAL SERVICES INC</v>
      </c>
      <c r="B263" s="27" t="str">
        <f>IFERROR(__xludf.DUMMYFUNCTION("""COMPUTED_VALUE"""),"Health Care")</f>
        <v>Health Care</v>
      </c>
      <c r="C263" s="27" t="str">
        <f>IFERROR(__xludf.DUMMYFUNCTION("""COMPUTED_VALUE"""),"United States")</f>
        <v>United States</v>
      </c>
      <c r="D263" s="27">
        <f>IFERROR(__xludf.DUMMYFUNCTION("""COMPUTED_VALUE"""),0.08)</f>
        <v>0.08</v>
      </c>
      <c r="E263" s="22">
        <f t="shared" si="2"/>
        <v>0.8</v>
      </c>
      <c r="F263" s="23" t="str">
        <f t="shared" si="3"/>
        <v/>
      </c>
      <c r="G263" s="23" t="str">
        <f t="shared" si="4"/>
        <v/>
      </c>
      <c r="H263" s="27"/>
      <c r="I263" s="27"/>
      <c r="J263" s="27"/>
      <c r="K263" s="27"/>
      <c r="L263" s="22">
        <f t="shared" si="5"/>
        <v>0</v>
      </c>
    </row>
    <row r="264">
      <c r="A264" s="27" t="str">
        <f>IFERROR(__xludf.DUMMYFUNCTION("""COMPUTED_VALUE"""),"QUANTA SERVICES INC")</f>
        <v>QUANTA SERVICES INC</v>
      </c>
      <c r="B264" s="27" t="str">
        <f>IFERROR(__xludf.DUMMYFUNCTION("""COMPUTED_VALUE"""),"Industrials")</f>
        <v>Industrials</v>
      </c>
      <c r="C264" s="27" t="str">
        <f>IFERROR(__xludf.DUMMYFUNCTION("""COMPUTED_VALUE"""),"United States")</f>
        <v>United States</v>
      </c>
      <c r="D264" s="27">
        <f>IFERROR(__xludf.DUMMYFUNCTION("""COMPUTED_VALUE"""),0.08)</f>
        <v>0.08</v>
      </c>
      <c r="E264" s="22">
        <f t="shared" si="2"/>
        <v>0.8</v>
      </c>
      <c r="F264" s="23" t="str">
        <f t="shared" si="3"/>
        <v/>
      </c>
      <c r="G264" s="23" t="str">
        <f t="shared" si="4"/>
        <v/>
      </c>
      <c r="H264" s="27"/>
      <c r="I264" s="27"/>
      <c r="J264" s="27"/>
      <c r="K264" s="27"/>
      <c r="L264" s="22">
        <f t="shared" si="5"/>
        <v>0</v>
      </c>
    </row>
    <row r="265">
      <c r="A265" s="27" t="str">
        <f>IFERROR(__xludf.DUMMYFUNCTION("""COMPUTED_VALUE"""),"GARTNER INC")</f>
        <v>GARTNER INC</v>
      </c>
      <c r="B265" s="27" t="str">
        <f>IFERROR(__xludf.DUMMYFUNCTION("""COMPUTED_VALUE"""),"Information Technology")</f>
        <v>Information Technology</v>
      </c>
      <c r="C265" s="27" t="str">
        <f>IFERROR(__xludf.DUMMYFUNCTION("""COMPUTED_VALUE"""),"United States")</f>
        <v>United States</v>
      </c>
      <c r="D265" s="27">
        <f>IFERROR(__xludf.DUMMYFUNCTION("""COMPUTED_VALUE"""),0.08)</f>
        <v>0.08</v>
      </c>
      <c r="E265" s="22">
        <f t="shared" si="2"/>
        <v>0.8</v>
      </c>
      <c r="F265" s="23" t="str">
        <f t="shared" si="3"/>
        <v/>
      </c>
      <c r="G265" s="23" t="str">
        <f t="shared" si="4"/>
        <v/>
      </c>
      <c r="H265" s="27"/>
      <c r="I265" s="27"/>
      <c r="J265" s="27"/>
      <c r="K265" s="27"/>
      <c r="L265" s="22">
        <f t="shared" si="5"/>
        <v>0</v>
      </c>
    </row>
    <row r="266">
      <c r="A266" s="27" t="str">
        <f>IFERROR(__xludf.DUMMYFUNCTION("""COMPUTED_VALUE"""),"GE HEALTHCARE TECHNOLOGIES INC")</f>
        <v>GE HEALTHCARE TECHNOLOGIES INC</v>
      </c>
      <c r="B266" s="27" t="str">
        <f>IFERROR(__xludf.DUMMYFUNCTION("""COMPUTED_VALUE"""),"Health Care")</f>
        <v>Health Care</v>
      </c>
      <c r="C266" s="27" t="str">
        <f>IFERROR(__xludf.DUMMYFUNCTION("""COMPUTED_VALUE"""),"United States")</f>
        <v>United States</v>
      </c>
      <c r="D266" s="27">
        <f>IFERROR(__xludf.DUMMYFUNCTION("""COMPUTED_VALUE"""),0.08)</f>
        <v>0.08</v>
      </c>
      <c r="E266" s="22">
        <f t="shared" si="2"/>
        <v>0.8</v>
      </c>
      <c r="F266" s="23" t="str">
        <f t="shared" si="3"/>
        <v/>
      </c>
      <c r="G266" s="23" t="str">
        <f t="shared" si="4"/>
        <v/>
      </c>
      <c r="H266" s="27"/>
      <c r="I266" s="27"/>
      <c r="J266" s="27"/>
      <c r="K266" s="27"/>
      <c r="L266" s="22">
        <f t="shared" si="5"/>
        <v>0</v>
      </c>
    </row>
    <row r="267">
      <c r="A267" s="27" t="str">
        <f>IFERROR(__xludf.DUMMYFUNCTION("""COMPUTED_VALUE"""),"VULCAN MATERIALS")</f>
        <v>VULCAN MATERIALS</v>
      </c>
      <c r="B267" s="27" t="str">
        <f>IFERROR(__xludf.DUMMYFUNCTION("""COMPUTED_VALUE"""),"Materials")</f>
        <v>Materials</v>
      </c>
      <c r="C267" s="27" t="str">
        <f>IFERROR(__xludf.DUMMYFUNCTION("""COMPUTED_VALUE"""),"United States")</f>
        <v>United States</v>
      </c>
      <c r="D267" s="27">
        <f>IFERROR(__xludf.DUMMYFUNCTION("""COMPUTED_VALUE"""),0.08)</f>
        <v>0.08</v>
      </c>
      <c r="E267" s="22">
        <f t="shared" si="2"/>
        <v>0.8</v>
      </c>
      <c r="F267" s="23" t="str">
        <f t="shared" si="3"/>
        <v/>
      </c>
      <c r="G267" s="23" t="str">
        <f t="shared" si="4"/>
        <v/>
      </c>
      <c r="H267" s="27"/>
      <c r="I267" s="27"/>
      <c r="J267" s="27"/>
      <c r="K267" s="27"/>
      <c r="L267" s="22">
        <f t="shared" si="5"/>
        <v>0</v>
      </c>
    </row>
    <row r="268">
      <c r="A268" s="27" t="str">
        <f>IFERROR(__xludf.DUMMYFUNCTION("""COMPUTED_VALUE"""),"CDW CORP")</f>
        <v>CDW CORP</v>
      </c>
      <c r="B268" s="27" t="str">
        <f>IFERROR(__xludf.DUMMYFUNCTION("""COMPUTED_VALUE"""),"Information Technology")</f>
        <v>Information Technology</v>
      </c>
      <c r="C268" s="27" t="str">
        <f>IFERROR(__xludf.DUMMYFUNCTION("""COMPUTED_VALUE"""),"United States")</f>
        <v>United States</v>
      </c>
      <c r="D268" s="27">
        <f>IFERROR(__xludf.DUMMYFUNCTION("""COMPUTED_VALUE"""),0.08)</f>
        <v>0.08</v>
      </c>
      <c r="E268" s="22">
        <f t="shared" si="2"/>
        <v>0.8</v>
      </c>
      <c r="F268" s="23" t="str">
        <f t="shared" si="3"/>
        <v/>
      </c>
      <c r="G268" s="23" t="str">
        <f t="shared" si="4"/>
        <v/>
      </c>
      <c r="H268" s="27"/>
      <c r="I268" s="27"/>
      <c r="J268" s="27"/>
      <c r="K268" s="27"/>
      <c r="L268" s="22">
        <f t="shared" si="5"/>
        <v>0</v>
      </c>
    </row>
    <row r="269">
      <c r="A269" s="27" t="str">
        <f>IFERROR(__xludf.DUMMYFUNCTION("""COMPUTED_VALUE"""),"KRAFT HEINZ")</f>
        <v>KRAFT HEINZ</v>
      </c>
      <c r="B269" s="27" t="str">
        <f>IFERROR(__xludf.DUMMYFUNCTION("""COMPUTED_VALUE"""),"Consumer Staples")</f>
        <v>Consumer Staples</v>
      </c>
      <c r="C269" s="27" t="str">
        <f>IFERROR(__xludf.DUMMYFUNCTION("""COMPUTED_VALUE"""),"United States")</f>
        <v>United States</v>
      </c>
      <c r="D269" s="27">
        <f>IFERROR(__xludf.DUMMYFUNCTION("""COMPUTED_VALUE"""),0.07)</f>
        <v>0.07</v>
      </c>
      <c r="E269" s="22">
        <f t="shared" si="2"/>
        <v>0.7</v>
      </c>
      <c r="F269" s="23" t="str">
        <f t="shared" si="3"/>
        <v/>
      </c>
      <c r="G269" s="23" t="str">
        <f t="shared" si="4"/>
        <v/>
      </c>
      <c r="H269" s="27"/>
      <c r="I269" s="27"/>
      <c r="J269" s="27"/>
      <c r="K269" s="27"/>
      <c r="L269" s="22">
        <f t="shared" si="5"/>
        <v>0</v>
      </c>
    </row>
    <row r="270">
      <c r="A270" s="27" t="str">
        <f>IFERROR(__xludf.DUMMYFUNCTION("""COMPUTED_VALUE"""),"FORTIVE CORP")</f>
        <v>FORTIVE CORP</v>
      </c>
      <c r="B270" s="27" t="str">
        <f>IFERROR(__xludf.DUMMYFUNCTION("""COMPUTED_VALUE"""),"Industrials")</f>
        <v>Industrials</v>
      </c>
      <c r="C270" s="27" t="str">
        <f>IFERROR(__xludf.DUMMYFUNCTION("""COMPUTED_VALUE"""),"United States")</f>
        <v>United States</v>
      </c>
      <c r="D270" s="27">
        <f>IFERROR(__xludf.DUMMYFUNCTION("""COMPUTED_VALUE"""),0.07)</f>
        <v>0.07</v>
      </c>
      <c r="E270" s="22">
        <f t="shared" si="2"/>
        <v>0.7</v>
      </c>
      <c r="F270" s="23" t="str">
        <f t="shared" si="3"/>
        <v/>
      </c>
      <c r="G270" s="23" t="str">
        <f t="shared" si="4"/>
        <v/>
      </c>
      <c r="H270" s="27"/>
      <c r="I270" s="27"/>
      <c r="J270" s="27"/>
      <c r="K270" s="27"/>
      <c r="L270" s="22">
        <f t="shared" si="5"/>
        <v>0</v>
      </c>
    </row>
    <row r="271">
      <c r="A271" s="27" t="str">
        <f>IFERROR(__xludf.DUMMYFUNCTION("""COMPUTED_VALUE"""),"INGERSOLL RAND INC")</f>
        <v>INGERSOLL RAND INC</v>
      </c>
      <c r="B271" s="27" t="str">
        <f>IFERROR(__xludf.DUMMYFUNCTION("""COMPUTED_VALUE"""),"Industrials")</f>
        <v>Industrials</v>
      </c>
      <c r="C271" s="27" t="str">
        <f>IFERROR(__xludf.DUMMYFUNCTION("""COMPUTED_VALUE"""),"United States")</f>
        <v>United States</v>
      </c>
      <c r="D271" s="27">
        <f>IFERROR(__xludf.DUMMYFUNCTION("""COMPUTED_VALUE"""),0.07)</f>
        <v>0.07</v>
      </c>
      <c r="E271" s="22">
        <f t="shared" si="2"/>
        <v>0.7</v>
      </c>
      <c r="F271" s="23" t="str">
        <f t="shared" si="3"/>
        <v/>
      </c>
      <c r="G271" s="23" t="str">
        <f t="shared" si="4"/>
        <v/>
      </c>
      <c r="H271" s="27"/>
      <c r="I271" s="27"/>
      <c r="J271" s="27"/>
      <c r="K271" s="27"/>
      <c r="L271" s="22">
        <f t="shared" si="5"/>
        <v>0</v>
      </c>
    </row>
    <row r="272">
      <c r="A272" s="27" t="str">
        <f>IFERROR(__xludf.DUMMYFUNCTION("""COMPUTED_VALUE"""),"ANSYS INC")</f>
        <v>ANSYS INC</v>
      </c>
      <c r="B272" s="27" t="str">
        <f>IFERROR(__xludf.DUMMYFUNCTION("""COMPUTED_VALUE"""),"Information Technology")</f>
        <v>Information Technology</v>
      </c>
      <c r="C272" s="27" t="str">
        <f>IFERROR(__xludf.DUMMYFUNCTION("""COMPUTED_VALUE"""),"United States")</f>
        <v>United States</v>
      </c>
      <c r="D272" s="27">
        <f>IFERROR(__xludf.DUMMYFUNCTION("""COMPUTED_VALUE"""),0.07)</f>
        <v>0.07</v>
      </c>
      <c r="E272" s="22">
        <f t="shared" si="2"/>
        <v>0.7</v>
      </c>
      <c r="F272" s="23" t="str">
        <f t="shared" si="3"/>
        <v/>
      </c>
      <c r="G272" s="23" t="str">
        <f t="shared" si="4"/>
        <v/>
      </c>
      <c r="H272" s="27"/>
      <c r="I272" s="27"/>
      <c r="J272" s="27"/>
      <c r="K272" s="27"/>
      <c r="L272" s="22">
        <f t="shared" si="5"/>
        <v>0</v>
      </c>
    </row>
    <row r="273">
      <c r="A273" s="27" t="str">
        <f>IFERROR(__xludf.DUMMYFUNCTION("""COMPUTED_VALUE"""),"MARTIN MARIETTA MATERIALS INC")</f>
        <v>MARTIN MARIETTA MATERIALS INC</v>
      </c>
      <c r="B273" s="27" t="str">
        <f>IFERROR(__xludf.DUMMYFUNCTION("""COMPUTED_VALUE"""),"Materials")</f>
        <v>Materials</v>
      </c>
      <c r="C273" s="27" t="str">
        <f>IFERROR(__xludf.DUMMYFUNCTION("""COMPUTED_VALUE"""),"United States")</f>
        <v>United States</v>
      </c>
      <c r="D273" s="27">
        <f>IFERROR(__xludf.DUMMYFUNCTION("""COMPUTED_VALUE"""),0.07)</f>
        <v>0.07</v>
      </c>
      <c r="E273" s="22">
        <f t="shared" si="2"/>
        <v>0.7</v>
      </c>
      <c r="F273" s="23" t="str">
        <f t="shared" si="3"/>
        <v/>
      </c>
      <c r="G273" s="23" t="str">
        <f t="shared" si="4"/>
        <v/>
      </c>
      <c r="H273" s="27"/>
      <c r="I273" s="27"/>
      <c r="J273" s="27"/>
      <c r="K273" s="27"/>
      <c r="L273" s="22">
        <f t="shared" si="5"/>
        <v>0</v>
      </c>
    </row>
    <row r="274">
      <c r="A274" s="27" t="str">
        <f>IFERROR(__xludf.DUMMYFUNCTION("""COMPUTED_VALUE"""),"EXTRA SPACE STORAGE REIT INC")</f>
        <v>EXTRA SPACE STORAGE REIT INC</v>
      </c>
      <c r="B274" s="27" t="str">
        <f>IFERROR(__xludf.DUMMYFUNCTION("""COMPUTED_VALUE"""),"Real Estate")</f>
        <v>Real Estate</v>
      </c>
      <c r="C274" s="27" t="str">
        <f>IFERROR(__xludf.DUMMYFUNCTION("""COMPUTED_VALUE"""),"United States")</f>
        <v>United States</v>
      </c>
      <c r="D274" s="27">
        <f>IFERROR(__xludf.DUMMYFUNCTION("""COMPUTED_VALUE"""),0.07)</f>
        <v>0.07</v>
      </c>
      <c r="E274" s="22">
        <f t="shared" si="2"/>
        <v>0.7</v>
      </c>
      <c r="F274" s="23" t="str">
        <f t="shared" si="3"/>
        <v/>
      </c>
      <c r="G274" s="23" t="str">
        <f t="shared" si="4"/>
        <v/>
      </c>
      <c r="H274" s="27"/>
      <c r="I274" s="27"/>
      <c r="J274" s="27"/>
      <c r="K274" s="27"/>
      <c r="L274" s="22">
        <f t="shared" si="5"/>
        <v>0</v>
      </c>
    </row>
    <row r="275">
      <c r="A275" s="27" t="str">
        <f>IFERROR(__xludf.DUMMYFUNCTION("""COMPUTED_VALUE"""),"WEC ENERGY GROUP INC")</f>
        <v>WEC ENERGY GROUP INC</v>
      </c>
      <c r="B275" s="27" t="str">
        <f>IFERROR(__xludf.DUMMYFUNCTION("""COMPUTED_VALUE"""),"Utilities")</f>
        <v>Utilities</v>
      </c>
      <c r="C275" s="27" t="str">
        <f>IFERROR(__xludf.DUMMYFUNCTION("""COMPUTED_VALUE"""),"United States")</f>
        <v>United States</v>
      </c>
      <c r="D275" s="27">
        <f>IFERROR(__xludf.DUMMYFUNCTION("""COMPUTED_VALUE"""),0.07)</f>
        <v>0.07</v>
      </c>
      <c r="E275" s="22">
        <f t="shared" si="2"/>
        <v>0.7</v>
      </c>
      <c r="F275" s="23" t="str">
        <f t="shared" si="3"/>
        <v/>
      </c>
      <c r="G275" s="23" t="str">
        <f t="shared" si="4"/>
        <v/>
      </c>
      <c r="H275" s="27"/>
      <c r="I275" s="27"/>
      <c r="J275" s="27"/>
      <c r="K275" s="27"/>
      <c r="L275" s="22">
        <f t="shared" si="5"/>
        <v>0</v>
      </c>
    </row>
    <row r="276">
      <c r="A276" s="27" t="str">
        <f>IFERROR(__xludf.DUMMYFUNCTION("""COMPUTED_VALUE"""),"METTLER TOLEDO INC")</f>
        <v>METTLER TOLEDO INC</v>
      </c>
      <c r="B276" s="27" t="str">
        <f>IFERROR(__xludf.DUMMYFUNCTION("""COMPUTED_VALUE"""),"Health Care")</f>
        <v>Health Care</v>
      </c>
      <c r="C276" s="27" t="str">
        <f>IFERROR(__xludf.DUMMYFUNCTION("""COMPUTED_VALUE"""),"United States")</f>
        <v>United States</v>
      </c>
      <c r="D276" s="27">
        <f>IFERROR(__xludf.DUMMYFUNCTION("""COMPUTED_VALUE"""),0.07)</f>
        <v>0.07</v>
      </c>
      <c r="E276" s="22">
        <f t="shared" si="2"/>
        <v>0.7</v>
      </c>
      <c r="F276" s="23" t="str">
        <f t="shared" si="3"/>
        <v/>
      </c>
      <c r="G276" s="23" t="str">
        <f t="shared" si="4"/>
        <v/>
      </c>
      <c r="H276" s="27"/>
      <c r="I276" s="27"/>
      <c r="J276" s="27"/>
      <c r="K276" s="27"/>
      <c r="L276" s="22">
        <f t="shared" si="5"/>
        <v>0</v>
      </c>
    </row>
    <row r="277">
      <c r="A277" s="27" t="str">
        <f>IFERROR(__xludf.DUMMYFUNCTION("""COMPUTED_VALUE"""),"EDISON INTERNATIONAL")</f>
        <v>EDISON INTERNATIONAL</v>
      </c>
      <c r="B277" s="27" t="str">
        <f>IFERROR(__xludf.DUMMYFUNCTION("""COMPUTED_VALUE"""),"Utilities")</f>
        <v>Utilities</v>
      </c>
      <c r="C277" s="27" t="str">
        <f>IFERROR(__xludf.DUMMYFUNCTION("""COMPUTED_VALUE"""),"United States")</f>
        <v>United States</v>
      </c>
      <c r="D277" s="27">
        <f>IFERROR(__xludf.DUMMYFUNCTION("""COMPUTED_VALUE"""),0.07)</f>
        <v>0.07</v>
      </c>
      <c r="E277" s="22">
        <f t="shared" si="2"/>
        <v>0.7</v>
      </c>
      <c r="F277" s="23" t="str">
        <f t="shared" si="3"/>
        <v/>
      </c>
      <c r="G277" s="23" t="str">
        <f t="shared" si="4"/>
        <v/>
      </c>
      <c r="H277" s="27"/>
      <c r="I277" s="27"/>
      <c r="J277" s="27"/>
      <c r="K277" s="27"/>
      <c r="L277" s="22">
        <f t="shared" si="5"/>
        <v>0</v>
      </c>
    </row>
    <row r="278">
      <c r="A278" s="27" t="str">
        <f>IFERROR(__xludf.DUMMYFUNCTION("""COMPUTED_VALUE"""),"AVALONBAY COMMUNITIES REIT INC")</f>
        <v>AVALONBAY COMMUNITIES REIT INC</v>
      </c>
      <c r="B278" s="27" t="str">
        <f>IFERROR(__xludf.DUMMYFUNCTION("""COMPUTED_VALUE"""),"Real Estate")</f>
        <v>Real Estate</v>
      </c>
      <c r="C278" s="27" t="str">
        <f>IFERROR(__xludf.DUMMYFUNCTION("""COMPUTED_VALUE"""),"United States")</f>
        <v>United States</v>
      </c>
      <c r="D278" s="27">
        <f>IFERROR(__xludf.DUMMYFUNCTION("""COMPUTED_VALUE"""),0.07)</f>
        <v>0.07</v>
      </c>
      <c r="E278" s="22">
        <f t="shared" si="2"/>
        <v>0.7</v>
      </c>
      <c r="F278" s="23" t="str">
        <f t="shared" si="3"/>
        <v/>
      </c>
      <c r="G278" s="23" t="str">
        <f t="shared" si="4"/>
        <v/>
      </c>
      <c r="H278" s="27"/>
      <c r="I278" s="27"/>
      <c r="J278" s="27"/>
      <c r="K278" s="27"/>
      <c r="L278" s="22">
        <f t="shared" si="5"/>
        <v>0</v>
      </c>
    </row>
    <row r="279">
      <c r="A279" s="27" t="str">
        <f>IFERROR(__xludf.DUMMYFUNCTION("""COMPUTED_VALUE"""),"LYONDELLBASELL INDUSTRIES NV CLASS")</f>
        <v>LYONDELLBASELL INDUSTRIES NV CLASS</v>
      </c>
      <c r="B279" s="27" t="str">
        <f>IFERROR(__xludf.DUMMYFUNCTION("""COMPUTED_VALUE"""),"Materials")</f>
        <v>Materials</v>
      </c>
      <c r="C279" s="27" t="str">
        <f>IFERROR(__xludf.DUMMYFUNCTION("""COMPUTED_VALUE"""),"United States")</f>
        <v>United States</v>
      </c>
      <c r="D279" s="27">
        <f>IFERROR(__xludf.DUMMYFUNCTION("""COMPUTED_VALUE"""),0.07)</f>
        <v>0.07</v>
      </c>
      <c r="E279" s="22">
        <f t="shared" si="2"/>
        <v>0.7</v>
      </c>
      <c r="F279" s="23" t="str">
        <f t="shared" si="3"/>
        <v/>
      </c>
      <c r="G279" s="23" t="str">
        <f t="shared" si="4"/>
        <v/>
      </c>
      <c r="H279" s="27"/>
      <c r="I279" s="27"/>
      <c r="J279" s="27"/>
      <c r="K279" s="27"/>
      <c r="L279" s="22">
        <f t="shared" si="5"/>
        <v>0</v>
      </c>
    </row>
    <row r="280">
      <c r="A280" s="27" t="str">
        <f>IFERROR(__xludf.DUMMYFUNCTION("""COMPUTED_VALUE"""),"AMERICAN WATER WORKS INC")</f>
        <v>AMERICAN WATER WORKS INC</v>
      </c>
      <c r="B280" s="27" t="str">
        <f>IFERROR(__xludf.DUMMYFUNCTION("""COMPUTED_VALUE"""),"Utilities")</f>
        <v>Utilities</v>
      </c>
      <c r="C280" s="27" t="str">
        <f>IFERROR(__xludf.DUMMYFUNCTION("""COMPUTED_VALUE"""),"United States")</f>
        <v>United States</v>
      </c>
      <c r="D280" s="27">
        <f>IFERROR(__xludf.DUMMYFUNCTION("""COMPUTED_VALUE"""),0.07)</f>
        <v>0.07</v>
      </c>
      <c r="E280" s="22">
        <f t="shared" si="2"/>
        <v>0.7</v>
      </c>
      <c r="F280" s="23" t="str">
        <f t="shared" si="3"/>
        <v/>
      </c>
      <c r="G280" s="23" t="str">
        <f t="shared" si="4"/>
        <v/>
      </c>
      <c r="H280" s="27"/>
      <c r="I280" s="27"/>
      <c r="J280" s="27"/>
      <c r="K280" s="27"/>
      <c r="L280" s="22">
        <f t="shared" si="5"/>
        <v>0</v>
      </c>
    </row>
    <row r="281">
      <c r="A281" s="27" t="str">
        <f>IFERROR(__xludf.DUMMYFUNCTION("""COMPUTED_VALUE"""),"DELTA AIR LINES INC")</f>
        <v>DELTA AIR LINES INC</v>
      </c>
      <c r="B281" s="27" t="str">
        <f>IFERROR(__xludf.DUMMYFUNCTION("""COMPUTED_VALUE"""),"Industrials")</f>
        <v>Industrials</v>
      </c>
      <c r="C281" s="27" t="str">
        <f>IFERROR(__xludf.DUMMYFUNCTION("""COMPUTED_VALUE"""),"United States")</f>
        <v>United States</v>
      </c>
      <c r="D281" s="27">
        <f>IFERROR(__xludf.DUMMYFUNCTION("""COMPUTED_VALUE"""),0.07)</f>
        <v>0.07</v>
      </c>
      <c r="E281" s="22">
        <f t="shared" si="2"/>
        <v>0.7</v>
      </c>
      <c r="F281" s="23" t="str">
        <f t="shared" si="3"/>
        <v/>
      </c>
      <c r="G281" s="23" t="str">
        <f t="shared" si="4"/>
        <v/>
      </c>
      <c r="H281" s="27"/>
      <c r="I281" s="27"/>
      <c r="J281" s="27"/>
      <c r="K281" s="27"/>
      <c r="L281" s="22">
        <f t="shared" si="5"/>
        <v>0</v>
      </c>
    </row>
    <row r="282">
      <c r="A282" s="27" t="str">
        <f>IFERROR(__xludf.DUMMYFUNCTION("""COMPUTED_VALUE"""),"WARNER BROS. DISCOVERY INC SERIES")</f>
        <v>WARNER BROS. DISCOVERY INC SERIES</v>
      </c>
      <c r="B282" s="27" t="str">
        <f>IFERROR(__xludf.DUMMYFUNCTION("""COMPUTED_VALUE"""),"Communication")</f>
        <v>Communication</v>
      </c>
      <c r="C282" s="27" t="str">
        <f>IFERROR(__xludf.DUMMYFUNCTION("""COMPUTED_VALUE"""),"United States")</f>
        <v>United States</v>
      </c>
      <c r="D282" s="27">
        <f>IFERROR(__xludf.DUMMYFUNCTION("""COMPUTED_VALUE"""),0.07)</f>
        <v>0.07</v>
      </c>
      <c r="E282" s="22">
        <f t="shared" si="2"/>
        <v>0.7</v>
      </c>
      <c r="F282" s="23" t="str">
        <f t="shared" si="3"/>
        <v/>
      </c>
      <c r="G282" s="23" t="str">
        <f t="shared" si="4"/>
        <v/>
      </c>
      <c r="H282" s="27"/>
      <c r="I282" s="27"/>
      <c r="J282" s="27"/>
      <c r="K282" s="27"/>
      <c r="L282" s="22">
        <f t="shared" si="5"/>
        <v>0</v>
      </c>
    </row>
    <row r="283">
      <c r="A283" s="27" t="str">
        <f>IFERROR(__xludf.DUMMYFUNCTION("""COMPUTED_VALUE"""),"KEYSIGHT TECHNOLOGIES INC")</f>
        <v>KEYSIGHT TECHNOLOGIES INC</v>
      </c>
      <c r="B283" s="27" t="str">
        <f>IFERROR(__xludf.DUMMYFUNCTION("""COMPUTED_VALUE"""),"Information Technology")</f>
        <v>Information Technology</v>
      </c>
      <c r="C283" s="27" t="str">
        <f>IFERROR(__xludf.DUMMYFUNCTION("""COMPUTED_VALUE"""),"United States")</f>
        <v>United States</v>
      </c>
      <c r="D283" s="27">
        <f>IFERROR(__xludf.DUMMYFUNCTION("""COMPUTED_VALUE"""),0.07)</f>
        <v>0.07</v>
      </c>
      <c r="E283" s="22">
        <f t="shared" si="2"/>
        <v>0.7</v>
      </c>
      <c r="F283" s="23" t="str">
        <f t="shared" si="3"/>
        <v/>
      </c>
      <c r="G283" s="23" t="str">
        <f t="shared" si="4"/>
        <v/>
      </c>
      <c r="H283" s="27"/>
      <c r="I283" s="27"/>
      <c r="J283" s="27"/>
      <c r="K283" s="27"/>
      <c r="L283" s="22">
        <f t="shared" si="5"/>
        <v>0</v>
      </c>
    </row>
    <row r="284">
      <c r="A284" s="27" t="str">
        <f>IFERROR(__xludf.DUMMYFUNCTION("""COMPUTED_VALUE"""),"ZIMMER BIOMET HOLDINGS INC")</f>
        <v>ZIMMER BIOMET HOLDINGS INC</v>
      </c>
      <c r="B284" s="27" t="str">
        <f>IFERROR(__xludf.DUMMYFUNCTION("""COMPUTED_VALUE"""),"Health Care")</f>
        <v>Health Care</v>
      </c>
      <c r="C284" s="27" t="str">
        <f>IFERROR(__xludf.DUMMYFUNCTION("""COMPUTED_VALUE"""),"United States")</f>
        <v>United States</v>
      </c>
      <c r="D284" s="27">
        <f>IFERROR(__xludf.DUMMYFUNCTION("""COMPUTED_VALUE"""),0.07)</f>
        <v>0.07</v>
      </c>
      <c r="E284" s="22">
        <f t="shared" si="2"/>
        <v>0.7</v>
      </c>
      <c r="F284" s="23" t="str">
        <f t="shared" si="3"/>
        <v/>
      </c>
      <c r="G284" s="23" t="str">
        <f t="shared" si="4"/>
        <v/>
      </c>
      <c r="H284" s="27"/>
      <c r="I284" s="27"/>
      <c r="J284" s="27"/>
      <c r="K284" s="27"/>
      <c r="L284" s="22">
        <f t="shared" si="5"/>
        <v>0</v>
      </c>
    </row>
    <row r="285">
      <c r="A285" s="27" t="str">
        <f>IFERROR(__xludf.DUMMYFUNCTION("""COMPUTED_VALUE"""),"T ROWE PRICE GROUP INC")</f>
        <v>T ROWE PRICE GROUP INC</v>
      </c>
      <c r="B285" s="27" t="str">
        <f>IFERROR(__xludf.DUMMYFUNCTION("""COMPUTED_VALUE"""),"Financials")</f>
        <v>Financials</v>
      </c>
      <c r="C285" s="27" t="str">
        <f>IFERROR(__xludf.DUMMYFUNCTION("""COMPUTED_VALUE"""),"United States")</f>
        <v>United States</v>
      </c>
      <c r="D285" s="27">
        <f>IFERROR(__xludf.DUMMYFUNCTION("""COMPUTED_VALUE"""),0.06)</f>
        <v>0.06</v>
      </c>
      <c r="E285" s="22">
        <f t="shared" si="2"/>
        <v>0.6</v>
      </c>
      <c r="F285" s="23" t="str">
        <f t="shared" si="3"/>
        <v/>
      </c>
      <c r="G285" s="23" t="str">
        <f t="shared" si="4"/>
        <v/>
      </c>
      <c r="H285" s="27"/>
      <c r="I285" s="27"/>
      <c r="J285" s="27"/>
      <c r="K285" s="27"/>
      <c r="L285" s="22">
        <f t="shared" si="5"/>
        <v>0</v>
      </c>
    </row>
    <row r="286">
      <c r="A286" s="27" t="str">
        <f>IFERROR(__xludf.DUMMYFUNCTION("""COMPUTED_VALUE"""),"CORNING INC")</f>
        <v>CORNING INC</v>
      </c>
      <c r="B286" s="27" t="str">
        <f>IFERROR(__xludf.DUMMYFUNCTION("""COMPUTED_VALUE"""),"Information Technology")</f>
        <v>Information Technology</v>
      </c>
      <c r="C286" s="27" t="str">
        <f>IFERROR(__xludf.DUMMYFUNCTION("""COMPUTED_VALUE"""),"United States")</f>
        <v>United States</v>
      </c>
      <c r="D286" s="27">
        <f>IFERROR(__xludf.DUMMYFUNCTION("""COMPUTED_VALUE"""),0.06)</f>
        <v>0.06</v>
      </c>
      <c r="E286" s="22">
        <f t="shared" si="2"/>
        <v>0.6</v>
      </c>
      <c r="F286" s="23" t="str">
        <f t="shared" si="3"/>
        <v/>
      </c>
      <c r="G286" s="23" t="str">
        <f t="shared" si="4"/>
        <v/>
      </c>
      <c r="H286" s="27"/>
      <c r="I286" s="27"/>
      <c r="J286" s="27"/>
      <c r="K286" s="27"/>
      <c r="L286" s="22">
        <f t="shared" si="5"/>
        <v>0</v>
      </c>
    </row>
    <row r="287">
      <c r="A287" s="27" t="str">
        <f>IFERROR(__xludf.DUMMYFUNCTION("""COMPUTED_VALUE"""),"EBAY INC")</f>
        <v>EBAY INC</v>
      </c>
      <c r="B287" s="27" t="str">
        <f>IFERROR(__xludf.DUMMYFUNCTION("""COMPUTED_VALUE"""),"Consumer Discretionary")</f>
        <v>Consumer Discretionary</v>
      </c>
      <c r="C287" s="27" t="str">
        <f>IFERROR(__xludf.DUMMYFUNCTION("""COMPUTED_VALUE"""),"United States")</f>
        <v>United States</v>
      </c>
      <c r="D287" s="27">
        <f>IFERROR(__xludf.DUMMYFUNCTION("""COMPUTED_VALUE"""),0.06)</f>
        <v>0.06</v>
      </c>
      <c r="E287" s="22">
        <f t="shared" si="2"/>
        <v>0.6</v>
      </c>
      <c r="F287" s="23" t="str">
        <f t="shared" si="3"/>
        <v/>
      </c>
      <c r="G287" s="23" t="str">
        <f t="shared" si="4"/>
        <v/>
      </c>
      <c r="H287" s="27"/>
      <c r="I287" s="27"/>
      <c r="J287" s="27"/>
      <c r="K287" s="27"/>
      <c r="L287" s="22">
        <f t="shared" si="5"/>
        <v>0</v>
      </c>
    </row>
    <row r="288">
      <c r="A288" s="27" t="str">
        <f>IFERROR(__xludf.DUMMYFUNCTION("""COMPUTED_VALUE"""),"DOLLAR GENERAL CORP")</f>
        <v>DOLLAR GENERAL CORP</v>
      </c>
      <c r="B288" s="27" t="str">
        <f>IFERROR(__xludf.DUMMYFUNCTION("""COMPUTED_VALUE"""),"Consumer Staples")</f>
        <v>Consumer Staples</v>
      </c>
      <c r="C288" s="27" t="str">
        <f>IFERROR(__xludf.DUMMYFUNCTION("""COMPUTED_VALUE"""),"United States")</f>
        <v>United States</v>
      </c>
      <c r="D288" s="27">
        <f>IFERROR(__xludf.DUMMYFUNCTION("""COMPUTED_VALUE"""),0.06)</f>
        <v>0.06</v>
      </c>
      <c r="E288" s="22">
        <f t="shared" si="2"/>
        <v>0.6</v>
      </c>
      <c r="F288" s="23" t="str">
        <f t="shared" si="3"/>
        <v/>
      </c>
      <c r="G288" s="23" t="str">
        <f t="shared" si="4"/>
        <v/>
      </c>
      <c r="H288" s="27"/>
      <c r="I288" s="27"/>
      <c r="J288" s="27"/>
      <c r="K288" s="27"/>
      <c r="L288" s="22">
        <f t="shared" si="5"/>
        <v>0</v>
      </c>
    </row>
    <row r="289">
      <c r="A289" s="27" t="str">
        <f>IFERROR(__xludf.DUMMYFUNCTION("""COMPUTED_VALUE"""),"HEWLETT PACKARD ENTERPRISE")</f>
        <v>HEWLETT PACKARD ENTERPRISE</v>
      </c>
      <c r="B289" s="27" t="str">
        <f>IFERROR(__xludf.DUMMYFUNCTION("""COMPUTED_VALUE"""),"Information Technology")</f>
        <v>Information Technology</v>
      </c>
      <c r="C289" s="27" t="str">
        <f>IFERROR(__xludf.DUMMYFUNCTION("""COMPUTED_VALUE"""),"United States")</f>
        <v>United States</v>
      </c>
      <c r="D289" s="27">
        <f>IFERROR(__xludf.DUMMYFUNCTION("""COMPUTED_VALUE"""),0.06)</f>
        <v>0.06</v>
      </c>
      <c r="E289" s="22">
        <f t="shared" si="2"/>
        <v>0.6</v>
      </c>
      <c r="F289" s="23" t="str">
        <f t="shared" si="3"/>
        <v/>
      </c>
      <c r="G289" s="23" t="str">
        <f t="shared" si="4"/>
        <v/>
      </c>
      <c r="H289" s="27"/>
      <c r="I289" s="27"/>
      <c r="J289" s="27"/>
      <c r="K289" s="27"/>
      <c r="L289" s="22">
        <f t="shared" si="5"/>
        <v>0</v>
      </c>
    </row>
    <row r="290">
      <c r="A290" s="27" t="str">
        <f>IFERROR(__xludf.DUMMYFUNCTION("""COMPUTED_VALUE"""),"CBRE GROUP INC CLASS A")</f>
        <v>CBRE GROUP INC CLASS A</v>
      </c>
      <c r="B290" s="27" t="str">
        <f>IFERROR(__xludf.DUMMYFUNCTION("""COMPUTED_VALUE"""),"Real Estate")</f>
        <v>Real Estate</v>
      </c>
      <c r="C290" s="27" t="str">
        <f>IFERROR(__xludf.DUMMYFUNCTION("""COMPUTED_VALUE"""),"United States")</f>
        <v>United States</v>
      </c>
      <c r="D290" s="27">
        <f>IFERROR(__xludf.DUMMYFUNCTION("""COMPUTED_VALUE"""),0.06)</f>
        <v>0.06</v>
      </c>
      <c r="E290" s="22">
        <f t="shared" si="2"/>
        <v>0.6</v>
      </c>
      <c r="F290" s="23" t="str">
        <f t="shared" si="3"/>
        <v/>
      </c>
      <c r="G290" s="23" t="str">
        <f t="shared" si="4"/>
        <v/>
      </c>
      <c r="H290" s="27"/>
      <c r="I290" s="27"/>
      <c r="J290" s="27"/>
      <c r="K290" s="27"/>
      <c r="L290" s="22">
        <f t="shared" si="5"/>
        <v>0</v>
      </c>
    </row>
    <row r="291">
      <c r="A291" s="27" t="str">
        <f>IFERROR(__xludf.DUMMYFUNCTION("""COMPUTED_VALUE"""),"CHURCH AND DWIGHT INC")</f>
        <v>CHURCH AND DWIGHT INC</v>
      </c>
      <c r="B291" s="27" t="str">
        <f>IFERROR(__xludf.DUMMYFUNCTION("""COMPUTED_VALUE"""),"Consumer Staples")</f>
        <v>Consumer Staples</v>
      </c>
      <c r="C291" s="27" t="str">
        <f>IFERROR(__xludf.DUMMYFUNCTION("""COMPUTED_VALUE"""),"United States")</f>
        <v>United States</v>
      </c>
      <c r="D291" s="27">
        <f>IFERROR(__xludf.DUMMYFUNCTION("""COMPUTED_VALUE"""),0.06)</f>
        <v>0.06</v>
      </c>
      <c r="E291" s="22">
        <f t="shared" si="2"/>
        <v>0.6</v>
      </c>
      <c r="F291" s="23" t="str">
        <f t="shared" si="3"/>
        <v/>
      </c>
      <c r="G291" s="23" t="str">
        <f t="shared" si="4"/>
        <v/>
      </c>
      <c r="H291" s="27"/>
      <c r="I291" s="27"/>
      <c r="J291" s="27"/>
      <c r="K291" s="27"/>
      <c r="L291" s="22">
        <f t="shared" si="5"/>
        <v>0</v>
      </c>
    </row>
    <row r="292">
      <c r="A292" s="27" t="str">
        <f>IFERROR(__xludf.DUMMYFUNCTION("""COMPUTED_VALUE"""),"EQUIFAX INC")</f>
        <v>EQUIFAX INC</v>
      </c>
      <c r="B292" s="27" t="str">
        <f>IFERROR(__xludf.DUMMYFUNCTION("""COMPUTED_VALUE"""),"Industrials")</f>
        <v>Industrials</v>
      </c>
      <c r="C292" s="27" t="str">
        <f>IFERROR(__xludf.DUMMYFUNCTION("""COMPUTED_VALUE"""),"United States")</f>
        <v>United States</v>
      </c>
      <c r="D292" s="27">
        <f>IFERROR(__xludf.DUMMYFUNCTION("""COMPUTED_VALUE"""),0.06)</f>
        <v>0.06</v>
      </c>
      <c r="E292" s="22">
        <f t="shared" si="2"/>
        <v>0.6</v>
      </c>
      <c r="F292" s="23" t="str">
        <f t="shared" si="3"/>
        <v/>
      </c>
      <c r="G292" s="23" t="str">
        <f t="shared" si="4"/>
        <v/>
      </c>
      <c r="H292" s="27"/>
      <c r="I292" s="27"/>
      <c r="J292" s="27"/>
      <c r="K292" s="27"/>
      <c r="L292" s="22">
        <f t="shared" si="5"/>
        <v>0</v>
      </c>
    </row>
    <row r="293">
      <c r="A293" s="27" t="str">
        <f>IFERROR(__xludf.DUMMYFUNCTION("""COMPUTED_VALUE"""),"DOLLAR TREE INC")</f>
        <v>DOLLAR TREE INC</v>
      </c>
      <c r="B293" s="27" t="str">
        <f>IFERROR(__xludf.DUMMYFUNCTION("""COMPUTED_VALUE"""),"Consumer Staples")</f>
        <v>Consumer Staples</v>
      </c>
      <c r="C293" s="27" t="str">
        <f>IFERROR(__xludf.DUMMYFUNCTION("""COMPUTED_VALUE"""),"United States")</f>
        <v>United States</v>
      </c>
      <c r="D293" s="27">
        <f>IFERROR(__xludf.DUMMYFUNCTION("""COMPUTED_VALUE"""),0.06)</f>
        <v>0.06</v>
      </c>
      <c r="E293" s="22">
        <f t="shared" si="2"/>
        <v>0.6</v>
      </c>
      <c r="F293" s="23" t="str">
        <f t="shared" si="3"/>
        <v/>
      </c>
      <c r="G293" s="23" t="str">
        <f t="shared" si="4"/>
        <v/>
      </c>
      <c r="H293" s="27"/>
      <c r="I293" s="27"/>
      <c r="J293" s="27"/>
      <c r="K293" s="27"/>
      <c r="L293" s="22">
        <f t="shared" si="5"/>
        <v>0</v>
      </c>
    </row>
    <row r="294">
      <c r="A294" s="27" t="str">
        <f>IFERROR(__xludf.DUMMYFUNCTION("""COMPUTED_VALUE"""),"CARDINAL HEALTH INC")</f>
        <v>CARDINAL HEALTH INC</v>
      </c>
      <c r="B294" s="27" t="str">
        <f>IFERROR(__xludf.DUMMYFUNCTION("""COMPUTED_VALUE"""),"Health Care")</f>
        <v>Health Care</v>
      </c>
      <c r="C294" s="27" t="str">
        <f>IFERROR(__xludf.DUMMYFUNCTION("""COMPUTED_VALUE"""),"United States")</f>
        <v>United States</v>
      </c>
      <c r="D294" s="27">
        <f>IFERROR(__xludf.DUMMYFUNCTION("""COMPUTED_VALUE"""),0.06)</f>
        <v>0.06</v>
      </c>
      <c r="E294" s="22">
        <f t="shared" si="2"/>
        <v>0.6</v>
      </c>
      <c r="F294" s="23" t="str">
        <f t="shared" si="3"/>
        <v/>
      </c>
      <c r="G294" s="23" t="str">
        <f t="shared" si="4"/>
        <v/>
      </c>
      <c r="H294" s="27"/>
      <c r="I294" s="27"/>
      <c r="J294" s="27"/>
      <c r="K294" s="27"/>
      <c r="L294" s="22">
        <f t="shared" si="5"/>
        <v>0</v>
      </c>
    </row>
    <row r="295">
      <c r="A295" s="27" t="str">
        <f>IFERROR(__xludf.DUMMYFUNCTION("""COMPUTED_VALUE"""),"WEYERHAEUSER REIT")</f>
        <v>WEYERHAEUSER REIT</v>
      </c>
      <c r="B295" s="27" t="str">
        <f>IFERROR(__xludf.DUMMYFUNCTION("""COMPUTED_VALUE"""),"Real Estate")</f>
        <v>Real Estate</v>
      </c>
      <c r="C295" s="27" t="str">
        <f>IFERROR(__xludf.DUMMYFUNCTION("""COMPUTED_VALUE"""),"United States")</f>
        <v>United States</v>
      </c>
      <c r="D295" s="27">
        <f>IFERROR(__xludf.DUMMYFUNCTION("""COMPUTED_VALUE"""),0.06)</f>
        <v>0.06</v>
      </c>
      <c r="E295" s="22">
        <f t="shared" si="2"/>
        <v>0.6</v>
      </c>
      <c r="F295" s="23" t="str">
        <f t="shared" si="3"/>
        <v/>
      </c>
      <c r="G295" s="23" t="str">
        <f t="shared" si="4"/>
        <v/>
      </c>
      <c r="H295" s="27"/>
      <c r="I295" s="27"/>
      <c r="J295" s="27"/>
      <c r="K295" s="27"/>
      <c r="L295" s="22">
        <f t="shared" si="5"/>
        <v>0</v>
      </c>
    </row>
    <row r="296">
      <c r="A296" s="27" t="str">
        <f>IFERROR(__xludf.DUMMYFUNCTION("""COMPUTED_VALUE"""),"ROYAL CARIBBEAN GROUP LTD")</f>
        <v>ROYAL CARIBBEAN GROUP LTD</v>
      </c>
      <c r="B296" s="27" t="str">
        <f>IFERROR(__xludf.DUMMYFUNCTION("""COMPUTED_VALUE"""),"Consumer Discretionary")</f>
        <v>Consumer Discretionary</v>
      </c>
      <c r="C296" s="27" t="str">
        <f>IFERROR(__xludf.DUMMYFUNCTION("""COMPUTED_VALUE"""),"United States")</f>
        <v>United States</v>
      </c>
      <c r="D296" s="27">
        <f>IFERROR(__xludf.DUMMYFUNCTION("""COMPUTED_VALUE"""),0.06)</f>
        <v>0.06</v>
      </c>
      <c r="E296" s="22">
        <f t="shared" si="2"/>
        <v>0.6</v>
      </c>
      <c r="F296" s="23" t="str">
        <f t="shared" si="3"/>
        <v/>
      </c>
      <c r="G296" s="23" t="str">
        <f t="shared" si="4"/>
        <v/>
      </c>
      <c r="H296" s="27"/>
      <c r="I296" s="27"/>
      <c r="J296" s="27"/>
      <c r="K296" s="27"/>
      <c r="L296" s="22">
        <f t="shared" si="5"/>
        <v>0</v>
      </c>
    </row>
    <row r="297">
      <c r="A297" s="27" t="str">
        <f>IFERROR(__xludf.DUMMYFUNCTION("""COMPUTED_VALUE"""),"HP INC")</f>
        <v>HP INC</v>
      </c>
      <c r="B297" s="27" t="str">
        <f>IFERROR(__xludf.DUMMYFUNCTION("""COMPUTED_VALUE"""),"Information Technology")</f>
        <v>Information Technology</v>
      </c>
      <c r="C297" s="27" t="str">
        <f>IFERROR(__xludf.DUMMYFUNCTION("""COMPUTED_VALUE"""),"United States")</f>
        <v>United States</v>
      </c>
      <c r="D297" s="27">
        <f>IFERROR(__xludf.DUMMYFUNCTION("""COMPUTED_VALUE"""),0.06)</f>
        <v>0.06</v>
      </c>
      <c r="E297" s="22">
        <f t="shared" si="2"/>
        <v>0.6</v>
      </c>
      <c r="F297" s="23" t="str">
        <f t="shared" si="3"/>
        <v/>
      </c>
      <c r="G297" s="23" t="str">
        <f t="shared" si="4"/>
        <v/>
      </c>
      <c r="H297" s="27"/>
      <c r="I297" s="27"/>
      <c r="J297" s="27"/>
      <c r="K297" s="27"/>
      <c r="L297" s="22">
        <f t="shared" si="5"/>
        <v>0</v>
      </c>
    </row>
    <row r="298">
      <c r="A298" s="27" t="str">
        <f>IFERROR(__xludf.DUMMYFUNCTION("""COMPUTED_VALUE"""),"TAKE TWO INTERACTIVE SOFTWARE INC")</f>
        <v>TAKE TWO INTERACTIVE SOFTWARE INC</v>
      </c>
      <c r="B298" s="27" t="str">
        <f>IFERROR(__xludf.DUMMYFUNCTION("""COMPUTED_VALUE"""),"Communication")</f>
        <v>Communication</v>
      </c>
      <c r="C298" s="27" t="str">
        <f>IFERROR(__xludf.DUMMYFUNCTION("""COMPUTED_VALUE"""),"United States")</f>
        <v>United States</v>
      </c>
      <c r="D298" s="27">
        <f>IFERROR(__xludf.DUMMYFUNCTION("""COMPUTED_VALUE"""),0.06)</f>
        <v>0.06</v>
      </c>
      <c r="E298" s="22">
        <f t="shared" si="2"/>
        <v>0.6</v>
      </c>
      <c r="F298" s="23" t="str">
        <f t="shared" si="3"/>
        <v/>
      </c>
      <c r="G298" s="23" t="str">
        <f t="shared" si="4"/>
        <v/>
      </c>
      <c r="H298" s="27"/>
      <c r="I298" s="27"/>
      <c r="J298" s="27"/>
      <c r="K298" s="27"/>
      <c r="L298" s="22">
        <f t="shared" si="5"/>
        <v>0</v>
      </c>
    </row>
    <row r="299">
      <c r="A299" s="27" t="str">
        <f>IFERROR(__xludf.DUMMYFUNCTION("""COMPUTED_VALUE"""),"TRACTOR SUPPLY")</f>
        <v>TRACTOR SUPPLY</v>
      </c>
      <c r="B299" s="27" t="str">
        <f>IFERROR(__xludf.DUMMYFUNCTION("""COMPUTED_VALUE"""),"Consumer Discretionary")</f>
        <v>Consumer Discretionary</v>
      </c>
      <c r="C299" s="27" t="str">
        <f>IFERROR(__xludf.DUMMYFUNCTION("""COMPUTED_VALUE"""),"United States")</f>
        <v>United States</v>
      </c>
      <c r="D299" s="27">
        <f>IFERROR(__xludf.DUMMYFUNCTION("""COMPUTED_VALUE"""),0.06)</f>
        <v>0.06</v>
      </c>
      <c r="E299" s="22">
        <f t="shared" si="2"/>
        <v>0.6</v>
      </c>
      <c r="F299" s="23" t="str">
        <f t="shared" si="3"/>
        <v/>
      </c>
      <c r="G299" s="23" t="str">
        <f t="shared" si="4"/>
        <v/>
      </c>
      <c r="H299" s="27"/>
      <c r="I299" s="27"/>
      <c r="J299" s="27"/>
      <c r="K299" s="27"/>
      <c r="L299" s="22">
        <f t="shared" si="5"/>
        <v>0</v>
      </c>
    </row>
    <row r="300">
      <c r="A300" s="27" t="str">
        <f>IFERROR(__xludf.DUMMYFUNCTION("""COMPUTED_VALUE"""),"HARTFORD FINANCIAL SERVICES GROUP")</f>
        <v>HARTFORD FINANCIAL SERVICES GROUP</v>
      </c>
      <c r="B300" s="27" t="str">
        <f>IFERROR(__xludf.DUMMYFUNCTION("""COMPUTED_VALUE"""),"Financials")</f>
        <v>Financials</v>
      </c>
      <c r="C300" s="27" t="str">
        <f>IFERROR(__xludf.DUMMYFUNCTION("""COMPUTED_VALUE"""),"United States")</f>
        <v>United States</v>
      </c>
      <c r="D300" s="27">
        <f>IFERROR(__xludf.DUMMYFUNCTION("""COMPUTED_VALUE"""),0.06)</f>
        <v>0.06</v>
      </c>
      <c r="E300" s="22">
        <f t="shared" si="2"/>
        <v>0.6</v>
      </c>
      <c r="F300" s="23" t="str">
        <f t="shared" si="3"/>
        <v/>
      </c>
      <c r="G300" s="23" t="str">
        <f t="shared" si="4"/>
        <v/>
      </c>
      <c r="H300" s="27"/>
      <c r="I300" s="27"/>
      <c r="J300" s="27"/>
      <c r="K300" s="27"/>
      <c r="L300" s="22">
        <f t="shared" si="5"/>
        <v>0</v>
      </c>
    </row>
    <row r="301">
      <c r="A301" s="27" t="str">
        <f>IFERROR(__xludf.DUMMYFUNCTION("""COMPUTED_VALUE"""),"FAIR ISAAC CORP")</f>
        <v>FAIR ISAAC CORP</v>
      </c>
      <c r="B301" s="27" t="str">
        <f>IFERROR(__xludf.DUMMYFUNCTION("""COMPUTED_VALUE"""),"Information Technology")</f>
        <v>Information Technology</v>
      </c>
      <c r="C301" s="27" t="str">
        <f>IFERROR(__xludf.DUMMYFUNCTION("""COMPUTED_VALUE"""),"United States")</f>
        <v>United States</v>
      </c>
      <c r="D301" s="27">
        <f>IFERROR(__xludf.DUMMYFUNCTION("""COMPUTED_VALUE"""),0.06)</f>
        <v>0.06</v>
      </c>
      <c r="E301" s="22">
        <f t="shared" si="2"/>
        <v>0.6</v>
      </c>
      <c r="F301" s="23" t="str">
        <f t="shared" si="3"/>
        <v/>
      </c>
      <c r="G301" s="23" t="str">
        <f t="shared" si="4"/>
        <v/>
      </c>
      <c r="H301" s="27"/>
      <c r="I301" s="27"/>
      <c r="J301" s="27"/>
      <c r="K301" s="27"/>
      <c r="L301" s="22">
        <f t="shared" si="5"/>
        <v>0</v>
      </c>
    </row>
    <row r="302">
      <c r="A302" s="27" t="str">
        <f>IFERROR(__xludf.DUMMYFUNCTION("""COMPUTED_VALUE"""),"RESMED INC")</f>
        <v>RESMED INC</v>
      </c>
      <c r="B302" s="27" t="str">
        <f>IFERROR(__xludf.DUMMYFUNCTION("""COMPUTED_VALUE"""),"Health Care")</f>
        <v>Health Care</v>
      </c>
      <c r="C302" s="27" t="str">
        <f>IFERROR(__xludf.DUMMYFUNCTION("""COMPUTED_VALUE"""),"United States")</f>
        <v>United States</v>
      </c>
      <c r="D302" s="27">
        <f>IFERROR(__xludf.DUMMYFUNCTION("""COMPUTED_VALUE"""),0.06)</f>
        <v>0.06</v>
      </c>
      <c r="E302" s="22">
        <f t="shared" si="2"/>
        <v>0.6</v>
      </c>
      <c r="F302" s="23" t="str">
        <f t="shared" si="3"/>
        <v>overlap</v>
      </c>
      <c r="G302" s="23" t="str">
        <f t="shared" si="4"/>
        <v/>
      </c>
      <c r="H302" s="27"/>
      <c r="I302" s="27"/>
      <c r="J302" s="27"/>
      <c r="K302" s="27"/>
      <c r="L302" s="22">
        <f t="shared" si="5"/>
        <v>0</v>
      </c>
    </row>
    <row r="303">
      <c r="A303" s="27" t="str">
        <f>IFERROR(__xludf.DUMMYFUNCTION("""COMPUTED_VALUE"""),"XYLEM INC")</f>
        <v>XYLEM INC</v>
      </c>
      <c r="B303" s="27" t="str">
        <f>IFERROR(__xludf.DUMMYFUNCTION("""COMPUTED_VALUE"""),"Industrials")</f>
        <v>Industrials</v>
      </c>
      <c r="C303" s="27" t="str">
        <f>IFERROR(__xludf.DUMMYFUNCTION("""COMPUTED_VALUE"""),"United States")</f>
        <v>United States</v>
      </c>
      <c r="D303" s="27">
        <f>IFERROR(__xludf.DUMMYFUNCTION("""COMPUTED_VALUE"""),0.06)</f>
        <v>0.06</v>
      </c>
      <c r="E303" s="22">
        <f t="shared" si="2"/>
        <v>0.6</v>
      </c>
      <c r="F303" s="23" t="str">
        <f t="shared" si="3"/>
        <v/>
      </c>
      <c r="G303" s="23" t="str">
        <f t="shared" si="4"/>
        <v/>
      </c>
      <c r="H303" s="27"/>
      <c r="I303" s="27"/>
      <c r="J303" s="27"/>
      <c r="K303" s="27"/>
      <c r="L303" s="22">
        <f t="shared" si="5"/>
        <v>0</v>
      </c>
    </row>
    <row r="304">
      <c r="A304" s="27" t="str">
        <f>IFERROR(__xludf.DUMMYFUNCTION("""COMPUTED_VALUE"""),"STERIS")</f>
        <v>STERIS</v>
      </c>
      <c r="B304" s="27" t="str">
        <f>IFERROR(__xludf.DUMMYFUNCTION("""COMPUTED_VALUE"""),"Health Care")</f>
        <v>Health Care</v>
      </c>
      <c r="C304" s="27" t="str">
        <f>IFERROR(__xludf.DUMMYFUNCTION("""COMPUTED_VALUE"""),"United States")</f>
        <v>United States</v>
      </c>
      <c r="D304" s="27">
        <f>IFERROR(__xludf.DUMMYFUNCTION("""COMPUTED_VALUE"""),0.06)</f>
        <v>0.06</v>
      </c>
      <c r="E304" s="22">
        <f t="shared" si="2"/>
        <v>0.6</v>
      </c>
      <c r="F304" s="23" t="str">
        <f t="shared" si="3"/>
        <v/>
      </c>
      <c r="G304" s="23" t="str">
        <f t="shared" si="4"/>
        <v/>
      </c>
      <c r="H304" s="27"/>
      <c r="I304" s="27"/>
      <c r="J304" s="27"/>
      <c r="K304" s="27"/>
      <c r="L304" s="22">
        <f t="shared" si="5"/>
        <v>0</v>
      </c>
    </row>
    <row r="305">
      <c r="A305" s="27" t="str">
        <f>IFERROR(__xludf.DUMMYFUNCTION("""COMPUTED_VALUE"""),"ALIGN TECHNOLOGY INC")</f>
        <v>ALIGN TECHNOLOGY INC</v>
      </c>
      <c r="B305" s="27" t="str">
        <f>IFERROR(__xludf.DUMMYFUNCTION("""COMPUTED_VALUE"""),"Health Care")</f>
        <v>Health Care</v>
      </c>
      <c r="C305" s="27" t="str">
        <f>IFERROR(__xludf.DUMMYFUNCTION("""COMPUTED_VALUE"""),"United States")</f>
        <v>United States</v>
      </c>
      <c r="D305" s="27">
        <f>IFERROR(__xludf.DUMMYFUNCTION("""COMPUTED_VALUE"""),0.06)</f>
        <v>0.06</v>
      </c>
      <c r="E305" s="22">
        <f t="shared" si="2"/>
        <v>0.6</v>
      </c>
      <c r="F305" s="23" t="str">
        <f t="shared" si="3"/>
        <v/>
      </c>
      <c r="G305" s="23" t="str">
        <f t="shared" si="4"/>
        <v/>
      </c>
      <c r="H305" s="27"/>
      <c r="I305" s="27"/>
      <c r="J305" s="27"/>
      <c r="K305" s="27"/>
      <c r="L305" s="22">
        <f t="shared" si="5"/>
        <v>0</v>
      </c>
    </row>
    <row r="306">
      <c r="A306" s="27" t="str">
        <f>IFERROR(__xludf.DUMMYFUNCTION("""COMPUTED_VALUE"""),"WILLIS TOWERS WATSON PLC")</f>
        <v>WILLIS TOWERS WATSON PLC</v>
      </c>
      <c r="B306" s="27" t="str">
        <f>IFERROR(__xludf.DUMMYFUNCTION("""COMPUTED_VALUE"""),"Financials")</f>
        <v>Financials</v>
      </c>
      <c r="C306" s="27" t="str">
        <f>IFERROR(__xludf.DUMMYFUNCTION("""COMPUTED_VALUE"""),"United States")</f>
        <v>United States</v>
      </c>
      <c r="D306" s="27">
        <f>IFERROR(__xludf.DUMMYFUNCTION("""COMPUTED_VALUE"""),0.06)</f>
        <v>0.06</v>
      </c>
      <c r="E306" s="22">
        <f t="shared" si="2"/>
        <v>0.6</v>
      </c>
      <c r="F306" s="23" t="str">
        <f t="shared" si="3"/>
        <v/>
      </c>
      <c r="G306" s="23" t="str">
        <f t="shared" si="4"/>
        <v/>
      </c>
      <c r="H306" s="27"/>
      <c r="I306" s="27"/>
      <c r="J306" s="27"/>
      <c r="K306" s="27"/>
      <c r="L306" s="22">
        <f t="shared" si="5"/>
        <v>0</v>
      </c>
    </row>
    <row r="307">
      <c r="A307" s="27" t="str">
        <f>IFERROR(__xludf.DUMMYFUNCTION("""COMPUTED_VALUE"""),"MONOLITHIC POWER SYSTEMS INC")</f>
        <v>MONOLITHIC POWER SYSTEMS INC</v>
      </c>
      <c r="B307" s="27" t="str">
        <f>IFERROR(__xludf.DUMMYFUNCTION("""COMPUTED_VALUE"""),"Information Technology")</f>
        <v>Information Technology</v>
      </c>
      <c r="C307" s="27" t="str">
        <f>IFERROR(__xludf.DUMMYFUNCTION("""COMPUTED_VALUE"""),"United States")</f>
        <v>United States</v>
      </c>
      <c r="D307" s="27">
        <f>IFERROR(__xludf.DUMMYFUNCTION("""COMPUTED_VALUE"""),0.06)</f>
        <v>0.06</v>
      </c>
      <c r="E307" s="22">
        <f t="shared" si="2"/>
        <v>0.6</v>
      </c>
      <c r="F307" s="23" t="str">
        <f t="shared" si="3"/>
        <v/>
      </c>
      <c r="G307" s="23" t="str">
        <f t="shared" si="4"/>
        <v/>
      </c>
      <c r="H307" s="27"/>
      <c r="I307" s="27"/>
      <c r="J307" s="27"/>
      <c r="K307" s="27"/>
      <c r="L307" s="22">
        <f t="shared" si="5"/>
        <v>0</v>
      </c>
    </row>
    <row r="308">
      <c r="A308" s="27" t="str">
        <f>IFERROR(__xludf.DUMMYFUNCTION("""COMPUTED_VALUE"""),"DISCOVER FINANCIAL SERVICES")</f>
        <v>DISCOVER FINANCIAL SERVICES</v>
      </c>
      <c r="B308" s="27" t="str">
        <f>IFERROR(__xludf.DUMMYFUNCTION("""COMPUTED_VALUE"""),"Financials")</f>
        <v>Financials</v>
      </c>
      <c r="C308" s="27" t="str">
        <f>IFERROR(__xludf.DUMMYFUNCTION("""COMPUTED_VALUE"""),"United States")</f>
        <v>United States</v>
      </c>
      <c r="D308" s="27">
        <f>IFERROR(__xludf.DUMMYFUNCTION("""COMPUTED_VALUE"""),0.06)</f>
        <v>0.06</v>
      </c>
      <c r="E308" s="22">
        <f t="shared" si="2"/>
        <v>0.6</v>
      </c>
      <c r="F308" s="23" t="str">
        <f t="shared" si="3"/>
        <v/>
      </c>
      <c r="G308" s="23" t="str">
        <f t="shared" si="4"/>
        <v/>
      </c>
      <c r="H308" s="27"/>
      <c r="I308" s="27"/>
      <c r="J308" s="27"/>
      <c r="K308" s="27"/>
      <c r="L308" s="22">
        <f t="shared" si="5"/>
        <v>0</v>
      </c>
    </row>
    <row r="309">
      <c r="A309" s="27" t="str">
        <f>IFERROR(__xludf.DUMMYFUNCTION("""COMPUTED_VALUE"""),"STATE STREET CORP")</f>
        <v>STATE STREET CORP</v>
      </c>
      <c r="B309" s="27" t="str">
        <f>IFERROR(__xludf.DUMMYFUNCTION("""COMPUTED_VALUE"""),"Financials")</f>
        <v>Financials</v>
      </c>
      <c r="C309" s="27" t="str">
        <f>IFERROR(__xludf.DUMMYFUNCTION("""COMPUTED_VALUE"""),"United States")</f>
        <v>United States</v>
      </c>
      <c r="D309" s="27">
        <f>IFERROR(__xludf.DUMMYFUNCTION("""COMPUTED_VALUE"""),0.06)</f>
        <v>0.06</v>
      </c>
      <c r="E309" s="22">
        <f t="shared" si="2"/>
        <v>0.6</v>
      </c>
      <c r="F309" s="23" t="str">
        <f t="shared" si="3"/>
        <v/>
      </c>
      <c r="G309" s="23" t="str">
        <f t="shared" si="4"/>
        <v/>
      </c>
      <c r="H309" s="27"/>
      <c r="I309" s="27"/>
      <c r="J309" s="27"/>
      <c r="K309" s="27"/>
      <c r="L309" s="22">
        <f t="shared" si="5"/>
        <v>0</v>
      </c>
    </row>
    <row r="310">
      <c r="A310" s="27" t="str">
        <f>IFERROR(__xludf.DUMMYFUNCTION("""COMPUTED_VALUE"""),"SBA COMMUNICATIONS REIT CORP CLASS")</f>
        <v>SBA COMMUNICATIONS REIT CORP CLASS</v>
      </c>
      <c r="B310" s="27" t="str">
        <f>IFERROR(__xludf.DUMMYFUNCTION("""COMPUTED_VALUE"""),"Real Estate")</f>
        <v>Real Estate</v>
      </c>
      <c r="C310" s="27" t="str">
        <f>IFERROR(__xludf.DUMMYFUNCTION("""COMPUTED_VALUE"""),"United States")</f>
        <v>United States</v>
      </c>
      <c r="D310" s="27">
        <f>IFERROR(__xludf.DUMMYFUNCTION("""COMPUTED_VALUE"""),0.06)</f>
        <v>0.06</v>
      </c>
      <c r="E310" s="22">
        <f t="shared" si="2"/>
        <v>0.6</v>
      </c>
      <c r="F310" s="23" t="str">
        <f t="shared" si="3"/>
        <v/>
      </c>
      <c r="G310" s="23" t="str">
        <f t="shared" si="4"/>
        <v/>
      </c>
      <c r="H310" s="27"/>
      <c r="I310" s="27"/>
      <c r="J310" s="27"/>
      <c r="K310" s="27"/>
      <c r="L310" s="22">
        <f t="shared" si="5"/>
        <v>0</v>
      </c>
    </row>
    <row r="311">
      <c r="A311" s="27" t="str">
        <f>IFERROR(__xludf.DUMMYFUNCTION("""COMPUTED_VALUE"""),"BROADRIDGE FINANCIAL SOLUTIONS INC")</f>
        <v>BROADRIDGE FINANCIAL SOLUTIONS INC</v>
      </c>
      <c r="B311" s="27" t="str">
        <f>IFERROR(__xludf.DUMMYFUNCTION("""COMPUTED_VALUE"""),"Industrials")</f>
        <v>Industrials</v>
      </c>
      <c r="C311" s="27" t="str">
        <f>IFERROR(__xludf.DUMMYFUNCTION("""COMPUTED_VALUE"""),"United States")</f>
        <v>United States</v>
      </c>
      <c r="D311" s="27">
        <f>IFERROR(__xludf.DUMMYFUNCTION("""COMPUTED_VALUE"""),0.06)</f>
        <v>0.06</v>
      </c>
      <c r="E311" s="22">
        <f t="shared" si="2"/>
        <v>0.6</v>
      </c>
      <c r="F311" s="23" t="str">
        <f t="shared" si="3"/>
        <v/>
      </c>
      <c r="G311" s="23" t="str">
        <f t="shared" si="4"/>
        <v/>
      </c>
      <c r="H311" s="27"/>
      <c r="I311" s="27"/>
      <c r="J311" s="27"/>
      <c r="K311" s="27"/>
      <c r="L311" s="22">
        <f t="shared" si="5"/>
        <v>0</v>
      </c>
    </row>
    <row r="312">
      <c r="A312" s="27" t="str">
        <f>IFERROR(__xludf.DUMMYFUNCTION("""COMPUTED_VALUE"""),"M&amp;T BANK CORP")</f>
        <v>M&amp;T BANK CORP</v>
      </c>
      <c r="B312" s="27" t="str">
        <f>IFERROR(__xludf.DUMMYFUNCTION("""COMPUTED_VALUE"""),"Financials")</f>
        <v>Financials</v>
      </c>
      <c r="C312" s="27" t="str">
        <f>IFERROR(__xludf.DUMMYFUNCTION("""COMPUTED_VALUE"""),"United States")</f>
        <v>United States</v>
      </c>
      <c r="D312" s="27">
        <f>IFERROR(__xludf.DUMMYFUNCTION("""COMPUTED_VALUE"""),0.06)</f>
        <v>0.06</v>
      </c>
      <c r="E312" s="22">
        <f t="shared" si="2"/>
        <v>0.6</v>
      </c>
      <c r="F312" s="23" t="str">
        <f t="shared" si="3"/>
        <v/>
      </c>
      <c r="G312" s="23" t="str">
        <f t="shared" si="4"/>
        <v/>
      </c>
      <c r="H312" s="27"/>
      <c r="I312" s="27"/>
      <c r="J312" s="27"/>
      <c r="K312" s="27"/>
      <c r="L312" s="22">
        <f t="shared" si="5"/>
        <v>0</v>
      </c>
    </row>
    <row r="313">
      <c r="A313" s="27" t="str">
        <f>IFERROR(__xludf.DUMMYFUNCTION("""COMPUTED_VALUE"""),"ILLUMINA INC")</f>
        <v>ILLUMINA INC</v>
      </c>
      <c r="B313" s="27" t="str">
        <f>IFERROR(__xludf.DUMMYFUNCTION("""COMPUTED_VALUE"""),"Health Care")</f>
        <v>Health Care</v>
      </c>
      <c r="C313" s="27" t="str">
        <f>IFERROR(__xludf.DUMMYFUNCTION("""COMPUTED_VALUE"""),"United States")</f>
        <v>United States</v>
      </c>
      <c r="D313" s="27">
        <f>IFERROR(__xludf.DUMMYFUNCTION("""COMPUTED_VALUE"""),0.06)</f>
        <v>0.06</v>
      </c>
      <c r="E313" s="22">
        <f t="shared" si="2"/>
        <v>0.6</v>
      </c>
      <c r="F313" s="23" t="str">
        <f t="shared" si="3"/>
        <v/>
      </c>
      <c r="G313" s="23" t="str">
        <f t="shared" si="4"/>
        <v/>
      </c>
      <c r="H313" s="27"/>
      <c r="I313" s="27"/>
      <c r="J313" s="27"/>
      <c r="K313" s="27"/>
      <c r="L313" s="22">
        <f t="shared" si="5"/>
        <v>0</v>
      </c>
    </row>
    <row r="314">
      <c r="A314" s="27" t="str">
        <f>IFERROR(__xludf.DUMMYFUNCTION("""COMPUTED_VALUE"""),"COTERRA ENERGY INC")</f>
        <v>COTERRA ENERGY INC</v>
      </c>
      <c r="B314" s="27" t="str">
        <f>IFERROR(__xludf.DUMMYFUNCTION("""COMPUTED_VALUE"""),"Energy")</f>
        <v>Energy</v>
      </c>
      <c r="C314" s="27" t="str">
        <f>IFERROR(__xludf.DUMMYFUNCTION("""COMPUTED_VALUE"""),"United States")</f>
        <v>United States</v>
      </c>
      <c r="D314" s="27">
        <f>IFERROR(__xludf.DUMMYFUNCTION("""COMPUTED_VALUE"""),0.06)</f>
        <v>0.06</v>
      </c>
      <c r="E314" s="22">
        <f t="shared" si="2"/>
        <v>0.6</v>
      </c>
      <c r="F314" s="23" t="str">
        <f t="shared" si="3"/>
        <v/>
      </c>
      <c r="G314" s="23" t="str">
        <f t="shared" si="4"/>
        <v/>
      </c>
      <c r="H314" s="27"/>
      <c r="I314" s="27"/>
      <c r="J314" s="27"/>
      <c r="K314" s="27"/>
      <c r="L314" s="22">
        <f t="shared" si="5"/>
        <v>0</v>
      </c>
    </row>
    <row r="315">
      <c r="A315" s="27" t="str">
        <f>IFERROR(__xludf.DUMMYFUNCTION("""COMPUTED_VALUE"""),"DTE ENERGY")</f>
        <v>DTE ENERGY</v>
      </c>
      <c r="B315" s="27" t="str">
        <f>IFERROR(__xludf.DUMMYFUNCTION("""COMPUTED_VALUE"""),"Utilities")</f>
        <v>Utilities</v>
      </c>
      <c r="C315" s="27" t="str">
        <f>IFERROR(__xludf.DUMMYFUNCTION("""COMPUTED_VALUE"""),"United States")</f>
        <v>United States</v>
      </c>
      <c r="D315" s="27">
        <f>IFERROR(__xludf.DUMMYFUNCTION("""COMPUTED_VALUE"""),0.06)</f>
        <v>0.06</v>
      </c>
      <c r="E315" s="22">
        <f t="shared" si="2"/>
        <v>0.6</v>
      </c>
      <c r="F315" s="23" t="str">
        <f t="shared" si="3"/>
        <v/>
      </c>
      <c r="G315" s="23" t="str">
        <f t="shared" si="4"/>
        <v/>
      </c>
      <c r="H315" s="27"/>
      <c r="I315" s="27"/>
      <c r="J315" s="27"/>
      <c r="K315" s="27"/>
      <c r="L315" s="22">
        <f t="shared" si="5"/>
        <v>0</v>
      </c>
    </row>
    <row r="316">
      <c r="A316" s="27" t="str">
        <f>IFERROR(__xludf.DUMMYFUNCTION("""COMPUTED_VALUE"""),"EQUITY RESIDENTIAL REIT")</f>
        <v>EQUITY RESIDENTIAL REIT</v>
      </c>
      <c r="B316" s="27" t="str">
        <f>IFERROR(__xludf.DUMMYFUNCTION("""COMPUTED_VALUE"""),"Real Estate")</f>
        <v>Real Estate</v>
      </c>
      <c r="C316" s="27" t="str">
        <f>IFERROR(__xludf.DUMMYFUNCTION("""COMPUTED_VALUE"""),"United States")</f>
        <v>United States</v>
      </c>
      <c r="D316" s="27">
        <f>IFERROR(__xludf.DUMMYFUNCTION("""COMPUTED_VALUE"""),0.06)</f>
        <v>0.06</v>
      </c>
      <c r="E316" s="22">
        <f t="shared" si="2"/>
        <v>0.6</v>
      </c>
      <c r="F316" s="23" t="str">
        <f t="shared" si="3"/>
        <v/>
      </c>
      <c r="G316" s="23" t="str">
        <f t="shared" si="4"/>
        <v/>
      </c>
      <c r="H316" s="27"/>
      <c r="I316" s="27"/>
      <c r="J316" s="27"/>
      <c r="K316" s="27"/>
      <c r="L316" s="22">
        <f t="shared" si="5"/>
        <v>0</v>
      </c>
    </row>
    <row r="317">
      <c r="A317" s="27" t="str">
        <f>IFERROR(__xludf.DUMMYFUNCTION("""COMPUTED_VALUE"""),"ALBEMARLE CORP")</f>
        <v>ALBEMARLE CORP</v>
      </c>
      <c r="B317" s="27" t="str">
        <f>IFERROR(__xludf.DUMMYFUNCTION("""COMPUTED_VALUE"""),"Materials")</f>
        <v>Materials</v>
      </c>
      <c r="C317" s="27" t="str">
        <f>IFERROR(__xludf.DUMMYFUNCTION("""COMPUTED_VALUE"""),"United States")</f>
        <v>United States</v>
      </c>
      <c r="D317" s="27">
        <f>IFERROR(__xludf.DUMMYFUNCTION("""COMPUTED_VALUE"""),0.06)</f>
        <v>0.06</v>
      </c>
      <c r="E317" s="22">
        <f t="shared" si="2"/>
        <v>0.6</v>
      </c>
      <c r="F317" s="23" t="str">
        <f t="shared" si="3"/>
        <v/>
      </c>
      <c r="G317" s="23" t="str">
        <f t="shared" si="4"/>
        <v/>
      </c>
      <c r="H317" s="27"/>
      <c r="I317" s="27"/>
      <c r="J317" s="27"/>
      <c r="K317" s="27"/>
      <c r="L317" s="22">
        <f t="shared" si="5"/>
        <v>0</v>
      </c>
    </row>
    <row r="318">
      <c r="A318" s="27" t="str">
        <f>IFERROR(__xludf.DUMMYFUNCTION("""COMPUTED_VALUE"""),"GENUINE PARTS")</f>
        <v>GENUINE PARTS</v>
      </c>
      <c r="B318" s="27" t="str">
        <f>IFERROR(__xludf.DUMMYFUNCTION("""COMPUTED_VALUE"""),"Consumer Discretionary")</f>
        <v>Consumer Discretionary</v>
      </c>
      <c r="C318" s="27" t="str">
        <f>IFERROR(__xludf.DUMMYFUNCTION("""COMPUTED_VALUE"""),"United States")</f>
        <v>United States</v>
      </c>
      <c r="D318" s="27">
        <f>IFERROR(__xludf.DUMMYFUNCTION("""COMPUTED_VALUE"""),0.06)</f>
        <v>0.06</v>
      </c>
      <c r="E318" s="22">
        <f t="shared" si="2"/>
        <v>0.6</v>
      </c>
      <c r="F318" s="23" t="str">
        <f t="shared" si="3"/>
        <v/>
      </c>
      <c r="G318" s="23" t="str">
        <f t="shared" si="4"/>
        <v/>
      </c>
      <c r="H318" s="27"/>
      <c r="I318" s="27"/>
      <c r="J318" s="27"/>
      <c r="K318" s="27"/>
      <c r="L318" s="22">
        <f t="shared" si="5"/>
        <v>0</v>
      </c>
    </row>
    <row r="319">
      <c r="A319" s="27" t="str">
        <f>IFERROR(__xludf.DUMMYFUNCTION("""COMPUTED_VALUE"""),"EVERSOURCE ENERGY")</f>
        <v>EVERSOURCE ENERGY</v>
      </c>
      <c r="B319" s="27" t="str">
        <f>IFERROR(__xludf.DUMMYFUNCTION("""COMPUTED_VALUE"""),"Utilities")</f>
        <v>Utilities</v>
      </c>
      <c r="C319" s="27" t="str">
        <f>IFERROR(__xludf.DUMMYFUNCTION("""COMPUTED_VALUE"""),"United States")</f>
        <v>United States</v>
      </c>
      <c r="D319" s="27">
        <f>IFERROR(__xludf.DUMMYFUNCTION("""COMPUTED_VALUE"""),0.06)</f>
        <v>0.06</v>
      </c>
      <c r="E319" s="22">
        <f t="shared" si="2"/>
        <v>0.6</v>
      </c>
      <c r="F319" s="23" t="str">
        <f t="shared" si="3"/>
        <v/>
      </c>
      <c r="G319" s="23" t="str">
        <f t="shared" si="4"/>
        <v/>
      </c>
      <c r="H319" s="27"/>
      <c r="I319" s="27"/>
      <c r="J319" s="27"/>
      <c r="K319" s="27"/>
      <c r="L319" s="22">
        <f t="shared" si="5"/>
        <v>0</v>
      </c>
    </row>
    <row r="320">
      <c r="A320" s="27" t="str">
        <f>IFERROR(__xludf.DUMMYFUNCTION("""COMPUTED_VALUE"""),"ULTA BEAUTY INC")</f>
        <v>ULTA BEAUTY INC</v>
      </c>
      <c r="B320" s="27" t="str">
        <f>IFERROR(__xludf.DUMMYFUNCTION("""COMPUTED_VALUE"""),"Consumer Discretionary")</f>
        <v>Consumer Discretionary</v>
      </c>
      <c r="C320" s="27" t="str">
        <f>IFERROR(__xludf.DUMMYFUNCTION("""COMPUTED_VALUE"""),"United States")</f>
        <v>United States</v>
      </c>
      <c r="D320" s="27">
        <f>IFERROR(__xludf.DUMMYFUNCTION("""COMPUTED_VALUE"""),0.06)</f>
        <v>0.06</v>
      </c>
      <c r="E320" s="22">
        <f t="shared" si="2"/>
        <v>0.6</v>
      </c>
      <c r="F320" s="23" t="str">
        <f t="shared" si="3"/>
        <v/>
      </c>
      <c r="G320" s="23" t="str">
        <f t="shared" si="4"/>
        <v/>
      </c>
      <c r="H320" s="27"/>
      <c r="I320" s="27"/>
      <c r="J320" s="27"/>
      <c r="K320" s="27"/>
      <c r="L320" s="22">
        <f t="shared" si="5"/>
        <v>0</v>
      </c>
    </row>
    <row r="321">
      <c r="A321" s="27" t="str">
        <f>IFERROR(__xludf.DUMMYFUNCTION("""COMPUTED_VALUE"""),"NVR INC")</f>
        <v>NVR INC</v>
      </c>
      <c r="B321" s="27" t="str">
        <f>IFERROR(__xludf.DUMMYFUNCTION("""COMPUTED_VALUE"""),"Consumer Discretionary")</f>
        <v>Consumer Discretionary</v>
      </c>
      <c r="C321" s="27" t="str">
        <f>IFERROR(__xludf.DUMMYFUNCTION("""COMPUTED_VALUE"""),"United States")</f>
        <v>United States</v>
      </c>
      <c r="D321" s="27">
        <f>IFERROR(__xludf.DUMMYFUNCTION("""COMPUTED_VALUE"""),0.05)</f>
        <v>0.05</v>
      </c>
      <c r="E321" s="22">
        <f t="shared" si="2"/>
        <v>0.5</v>
      </c>
      <c r="F321" s="23" t="str">
        <f t="shared" si="3"/>
        <v/>
      </c>
      <c r="G321" s="23" t="str">
        <f t="shared" si="4"/>
        <v/>
      </c>
      <c r="H321" s="27"/>
      <c r="I321" s="27"/>
      <c r="J321" s="27"/>
      <c r="K321" s="27"/>
      <c r="L321" s="22">
        <f t="shared" si="5"/>
        <v>0</v>
      </c>
    </row>
    <row r="322">
      <c r="A322" s="27" t="str">
        <f>IFERROR(__xludf.DUMMYFUNCTION("""COMPUTED_VALUE"""),"DOVER CORP")</f>
        <v>DOVER CORP</v>
      </c>
      <c r="B322" s="27" t="str">
        <f>IFERROR(__xludf.DUMMYFUNCTION("""COMPUTED_VALUE"""),"Industrials")</f>
        <v>Industrials</v>
      </c>
      <c r="C322" s="27" t="str">
        <f>IFERROR(__xludf.DUMMYFUNCTION("""COMPUTED_VALUE"""),"United States")</f>
        <v>United States</v>
      </c>
      <c r="D322" s="27">
        <f>IFERROR(__xludf.DUMMYFUNCTION("""COMPUTED_VALUE"""),0.05)</f>
        <v>0.05</v>
      </c>
      <c r="E322" s="22">
        <f t="shared" si="2"/>
        <v>0.5</v>
      </c>
      <c r="F322" s="23" t="str">
        <f t="shared" si="3"/>
        <v/>
      </c>
      <c r="G322" s="23" t="str">
        <f t="shared" si="4"/>
        <v/>
      </c>
      <c r="H322" s="27"/>
      <c r="I322" s="27"/>
      <c r="J322" s="27"/>
      <c r="K322" s="27"/>
      <c r="L322" s="22">
        <f t="shared" si="5"/>
        <v>0</v>
      </c>
    </row>
    <row r="323">
      <c r="A323" s="27" t="str">
        <f>IFERROR(__xludf.DUMMYFUNCTION("""COMPUTED_VALUE"""),"AMEREN CORP")</f>
        <v>AMEREN CORP</v>
      </c>
      <c r="B323" s="27" t="str">
        <f>IFERROR(__xludf.DUMMYFUNCTION("""COMPUTED_VALUE"""),"Utilities")</f>
        <v>Utilities</v>
      </c>
      <c r="C323" s="27" t="str">
        <f>IFERROR(__xludf.DUMMYFUNCTION("""COMPUTED_VALUE"""),"United States")</f>
        <v>United States</v>
      </c>
      <c r="D323" s="27">
        <f>IFERROR(__xludf.DUMMYFUNCTION("""COMPUTED_VALUE"""),0.05)</f>
        <v>0.05</v>
      </c>
      <c r="E323" s="22">
        <f t="shared" si="2"/>
        <v>0.5</v>
      </c>
      <c r="F323" s="23" t="str">
        <f t="shared" si="3"/>
        <v/>
      </c>
      <c r="G323" s="23" t="str">
        <f t="shared" si="4"/>
        <v/>
      </c>
      <c r="H323" s="27"/>
      <c r="I323" s="27"/>
      <c r="J323" s="27"/>
      <c r="K323" s="27"/>
      <c r="L323" s="22">
        <f t="shared" si="5"/>
        <v>0</v>
      </c>
    </row>
    <row r="324">
      <c r="A324" s="27" t="str">
        <f>IFERROR(__xludf.DUMMYFUNCTION("""COMPUTED_VALUE"""),"TARGA RESOURCES CORP")</f>
        <v>TARGA RESOURCES CORP</v>
      </c>
      <c r="B324" s="27" t="str">
        <f>IFERROR(__xludf.DUMMYFUNCTION("""COMPUTED_VALUE"""),"Energy")</f>
        <v>Energy</v>
      </c>
      <c r="C324" s="27" t="str">
        <f>IFERROR(__xludf.DUMMYFUNCTION("""COMPUTED_VALUE"""),"United States")</f>
        <v>United States</v>
      </c>
      <c r="D324" s="27">
        <f>IFERROR(__xludf.DUMMYFUNCTION("""COMPUTED_VALUE"""),0.05)</f>
        <v>0.05</v>
      </c>
      <c r="E324" s="22">
        <f t="shared" si="2"/>
        <v>0.5</v>
      </c>
      <c r="F324" s="23" t="str">
        <f t="shared" si="3"/>
        <v/>
      </c>
      <c r="G324" s="23" t="str">
        <f t="shared" si="4"/>
        <v/>
      </c>
      <c r="H324" s="27"/>
      <c r="I324" s="27"/>
      <c r="J324" s="27"/>
      <c r="K324" s="27"/>
      <c r="L324" s="22">
        <f t="shared" si="5"/>
        <v>0</v>
      </c>
    </row>
    <row r="325">
      <c r="A325" s="27" t="str">
        <f>IFERROR(__xludf.DUMMYFUNCTION("""COMPUTED_VALUE"""),"ENTERGY CORP")</f>
        <v>ENTERGY CORP</v>
      </c>
      <c r="B325" s="27" t="str">
        <f>IFERROR(__xludf.DUMMYFUNCTION("""COMPUTED_VALUE"""),"Utilities")</f>
        <v>Utilities</v>
      </c>
      <c r="C325" s="27" t="str">
        <f>IFERROR(__xludf.DUMMYFUNCTION("""COMPUTED_VALUE"""),"United States")</f>
        <v>United States</v>
      </c>
      <c r="D325" s="27">
        <f>IFERROR(__xludf.DUMMYFUNCTION("""COMPUTED_VALUE"""),0.05)</f>
        <v>0.05</v>
      </c>
      <c r="E325" s="22">
        <f t="shared" si="2"/>
        <v>0.5</v>
      </c>
      <c r="F325" s="23" t="str">
        <f t="shared" si="3"/>
        <v/>
      </c>
      <c r="G325" s="23" t="str">
        <f t="shared" si="4"/>
        <v/>
      </c>
      <c r="H325" s="27"/>
      <c r="I325" s="27"/>
      <c r="J325" s="27"/>
      <c r="K325" s="27"/>
      <c r="L325" s="22">
        <f t="shared" si="5"/>
        <v>0</v>
      </c>
    </row>
    <row r="326">
      <c r="A326" s="27" t="str">
        <f>IFERROR(__xludf.DUMMYFUNCTION("""COMPUTED_VALUE"""),"MOLINA HEALTHCARE INC")</f>
        <v>MOLINA HEALTHCARE INC</v>
      </c>
      <c r="B326" s="27" t="str">
        <f>IFERROR(__xludf.DUMMYFUNCTION("""COMPUTED_VALUE"""),"Health Care")</f>
        <v>Health Care</v>
      </c>
      <c r="C326" s="27" t="str">
        <f>IFERROR(__xludf.DUMMYFUNCTION("""COMPUTED_VALUE"""),"United States")</f>
        <v>United States</v>
      </c>
      <c r="D326" s="27">
        <f>IFERROR(__xludf.DUMMYFUNCTION("""COMPUTED_VALUE"""),0.05)</f>
        <v>0.05</v>
      </c>
      <c r="E326" s="22">
        <f t="shared" si="2"/>
        <v>0.5</v>
      </c>
      <c r="F326" s="23" t="str">
        <f t="shared" si="3"/>
        <v/>
      </c>
      <c r="G326" s="23" t="str">
        <f t="shared" si="4"/>
        <v/>
      </c>
      <c r="H326" s="27"/>
      <c r="I326" s="27"/>
      <c r="J326" s="27"/>
      <c r="K326" s="27"/>
      <c r="L326" s="22">
        <f t="shared" si="5"/>
        <v>0</v>
      </c>
    </row>
    <row r="327">
      <c r="A327" s="27" t="str">
        <f>IFERROR(__xludf.DUMMYFUNCTION("""COMPUTED_VALUE"""),"TELEDYNE TECHNOLOGIES INC")</f>
        <v>TELEDYNE TECHNOLOGIES INC</v>
      </c>
      <c r="B327" s="27" t="str">
        <f>IFERROR(__xludf.DUMMYFUNCTION("""COMPUTED_VALUE"""),"Information Technology")</f>
        <v>Information Technology</v>
      </c>
      <c r="C327" s="27" t="str">
        <f>IFERROR(__xludf.DUMMYFUNCTION("""COMPUTED_VALUE"""),"United States")</f>
        <v>United States</v>
      </c>
      <c r="D327" s="27">
        <f>IFERROR(__xludf.DUMMYFUNCTION("""COMPUTED_VALUE"""),0.05)</f>
        <v>0.05</v>
      </c>
      <c r="E327" s="22">
        <f t="shared" si="2"/>
        <v>0.5</v>
      </c>
      <c r="F327" s="23" t="str">
        <f t="shared" si="3"/>
        <v/>
      </c>
      <c r="G327" s="23" t="str">
        <f t="shared" si="4"/>
        <v/>
      </c>
      <c r="H327" s="27"/>
      <c r="I327" s="27"/>
      <c r="J327" s="27"/>
      <c r="K327" s="27"/>
      <c r="L327" s="22">
        <f t="shared" si="5"/>
        <v>0</v>
      </c>
    </row>
    <row r="328">
      <c r="A328" s="27" t="str">
        <f>IFERROR(__xludf.DUMMYFUNCTION("""COMPUTED_VALUE"""),"WESTINGHOUSE AIR BRAKE TECHNOLOGIE")</f>
        <v>WESTINGHOUSE AIR BRAKE TECHNOLOGIE</v>
      </c>
      <c r="B328" s="27" t="str">
        <f>IFERROR(__xludf.DUMMYFUNCTION("""COMPUTED_VALUE"""),"Industrials")</f>
        <v>Industrials</v>
      </c>
      <c r="C328" s="27" t="str">
        <f>IFERROR(__xludf.DUMMYFUNCTION("""COMPUTED_VALUE"""),"United States")</f>
        <v>United States</v>
      </c>
      <c r="D328" s="27">
        <f>IFERROR(__xludf.DUMMYFUNCTION("""COMPUTED_VALUE"""),0.05)</f>
        <v>0.05</v>
      </c>
      <c r="E328" s="22">
        <f t="shared" si="2"/>
        <v>0.5</v>
      </c>
      <c r="F328" s="23" t="str">
        <f t="shared" si="3"/>
        <v/>
      </c>
      <c r="G328" s="23" t="str">
        <f t="shared" si="4"/>
        <v/>
      </c>
      <c r="H328" s="27"/>
      <c r="I328" s="27"/>
      <c r="J328" s="27"/>
      <c r="K328" s="27"/>
      <c r="L328" s="22">
        <f t="shared" si="5"/>
        <v>0</v>
      </c>
    </row>
    <row r="329">
      <c r="A329" s="27" t="str">
        <f>IFERROR(__xludf.DUMMYFUNCTION("""COMPUTED_VALUE"""),"FLEETCOR TECHNOLOGIES INC")</f>
        <v>FLEETCOR TECHNOLOGIES INC</v>
      </c>
      <c r="B329" s="27" t="str">
        <f>IFERROR(__xludf.DUMMYFUNCTION("""COMPUTED_VALUE"""),"Financials")</f>
        <v>Financials</v>
      </c>
      <c r="C329" s="27" t="str">
        <f>IFERROR(__xludf.DUMMYFUNCTION("""COMPUTED_VALUE"""),"United States")</f>
        <v>United States</v>
      </c>
      <c r="D329" s="27">
        <f>IFERROR(__xludf.DUMMYFUNCTION("""COMPUTED_VALUE"""),0.05)</f>
        <v>0.05</v>
      </c>
      <c r="E329" s="22">
        <f t="shared" si="2"/>
        <v>0.5</v>
      </c>
      <c r="F329" s="23" t="str">
        <f t="shared" si="3"/>
        <v/>
      </c>
      <c r="G329" s="23" t="str">
        <f t="shared" si="4"/>
        <v/>
      </c>
      <c r="H329" s="27"/>
      <c r="I329" s="27"/>
      <c r="J329" s="27"/>
      <c r="K329" s="27"/>
      <c r="L329" s="22">
        <f t="shared" si="5"/>
        <v>0</v>
      </c>
    </row>
    <row r="330">
      <c r="A330" s="27" t="str">
        <f>IFERROR(__xludf.DUMMYFUNCTION("""COMPUTED_VALUE"""),"BAXTER INTERNATIONAL INC")</f>
        <v>BAXTER INTERNATIONAL INC</v>
      </c>
      <c r="B330" s="27" t="str">
        <f>IFERROR(__xludf.DUMMYFUNCTION("""COMPUTED_VALUE"""),"Health Care")</f>
        <v>Health Care</v>
      </c>
      <c r="C330" s="27" t="str">
        <f>IFERROR(__xludf.DUMMYFUNCTION("""COMPUTED_VALUE"""),"United States")</f>
        <v>United States</v>
      </c>
      <c r="D330" s="27">
        <f>IFERROR(__xludf.DUMMYFUNCTION("""COMPUTED_VALUE"""),0.05)</f>
        <v>0.05</v>
      </c>
      <c r="E330" s="22">
        <f t="shared" si="2"/>
        <v>0.5</v>
      </c>
      <c r="F330" s="23" t="str">
        <f t="shared" si="3"/>
        <v/>
      </c>
      <c r="G330" s="23" t="str">
        <f t="shared" si="4"/>
        <v/>
      </c>
      <c r="H330" s="27"/>
      <c r="I330" s="27"/>
      <c r="J330" s="27"/>
      <c r="K330" s="27"/>
      <c r="L330" s="22">
        <f t="shared" si="5"/>
        <v>0</v>
      </c>
    </row>
    <row r="331">
      <c r="A331" s="27" t="str">
        <f>IFERROR(__xludf.DUMMYFUNCTION("""COMPUTED_VALUE"""),"RAYMOND JAMES INC")</f>
        <v>RAYMOND JAMES INC</v>
      </c>
      <c r="B331" s="27" t="str">
        <f>IFERROR(__xludf.DUMMYFUNCTION("""COMPUTED_VALUE"""),"Financials")</f>
        <v>Financials</v>
      </c>
      <c r="C331" s="27" t="str">
        <f>IFERROR(__xludf.DUMMYFUNCTION("""COMPUTED_VALUE"""),"United States")</f>
        <v>United States</v>
      </c>
      <c r="D331" s="27">
        <f>IFERROR(__xludf.DUMMYFUNCTION("""COMPUTED_VALUE"""),0.05)</f>
        <v>0.05</v>
      </c>
      <c r="E331" s="22">
        <f t="shared" si="2"/>
        <v>0.5</v>
      </c>
      <c r="F331" s="23" t="str">
        <f t="shared" si="3"/>
        <v/>
      </c>
      <c r="G331" s="23" t="str">
        <f t="shared" si="4"/>
        <v/>
      </c>
      <c r="H331" s="27"/>
      <c r="I331" s="27"/>
      <c r="J331" s="27"/>
      <c r="K331" s="27"/>
      <c r="L331" s="22">
        <f t="shared" si="5"/>
        <v>0</v>
      </c>
    </row>
    <row r="332">
      <c r="A332" s="27" t="str">
        <f>IFERROR(__xludf.DUMMYFUNCTION("""COMPUTED_VALUE"""),"MCCORMICK &amp; CO NON-VOTING INC")</f>
        <v>MCCORMICK &amp; CO NON-VOTING INC</v>
      </c>
      <c r="B332" s="27" t="str">
        <f>IFERROR(__xludf.DUMMYFUNCTION("""COMPUTED_VALUE"""),"Consumer Staples")</f>
        <v>Consumer Staples</v>
      </c>
      <c r="C332" s="27" t="str">
        <f>IFERROR(__xludf.DUMMYFUNCTION("""COMPUTED_VALUE"""),"United States")</f>
        <v>United States</v>
      </c>
      <c r="D332" s="27">
        <f>IFERROR(__xludf.DUMMYFUNCTION("""COMPUTED_VALUE"""),0.05)</f>
        <v>0.05</v>
      </c>
      <c r="E332" s="22">
        <f t="shared" si="2"/>
        <v>0.5</v>
      </c>
      <c r="F332" s="23" t="str">
        <f t="shared" si="3"/>
        <v/>
      </c>
      <c r="G332" s="23" t="str">
        <f t="shared" si="4"/>
        <v/>
      </c>
      <c r="H332" s="27"/>
      <c r="I332" s="27"/>
      <c r="J332" s="27"/>
      <c r="K332" s="27"/>
      <c r="L332" s="22">
        <f t="shared" si="5"/>
        <v>0</v>
      </c>
    </row>
    <row r="333">
      <c r="A333" s="27" t="str">
        <f>IFERROR(__xludf.DUMMYFUNCTION("""COMPUTED_VALUE"""),"INVITATION HOMES INC")</f>
        <v>INVITATION HOMES INC</v>
      </c>
      <c r="B333" s="27" t="str">
        <f>IFERROR(__xludf.DUMMYFUNCTION("""COMPUTED_VALUE"""),"Real Estate")</f>
        <v>Real Estate</v>
      </c>
      <c r="C333" s="27" t="str">
        <f>IFERROR(__xludf.DUMMYFUNCTION("""COMPUTED_VALUE"""),"United States")</f>
        <v>United States</v>
      </c>
      <c r="D333" s="27">
        <f>IFERROR(__xludf.DUMMYFUNCTION("""COMPUTED_VALUE"""),0.05)</f>
        <v>0.05</v>
      </c>
      <c r="E333" s="22">
        <f t="shared" si="2"/>
        <v>0.5</v>
      </c>
      <c r="F333" s="23" t="str">
        <f t="shared" si="3"/>
        <v/>
      </c>
      <c r="G333" s="23" t="str">
        <f t="shared" si="4"/>
        <v/>
      </c>
      <c r="H333" s="27"/>
      <c r="I333" s="27"/>
      <c r="J333" s="27"/>
      <c r="K333" s="27"/>
      <c r="L333" s="22">
        <f t="shared" si="5"/>
        <v>0</v>
      </c>
    </row>
    <row r="334">
      <c r="A334" s="27" t="str">
        <f>IFERROR(__xludf.DUMMYFUNCTION("""COMPUTED_VALUE"""),"HOWMET AEROSPACE INC")</f>
        <v>HOWMET AEROSPACE INC</v>
      </c>
      <c r="B334" s="27" t="str">
        <f>IFERROR(__xludf.DUMMYFUNCTION("""COMPUTED_VALUE"""),"Industrials")</f>
        <v>Industrials</v>
      </c>
      <c r="C334" s="27" t="str">
        <f>IFERROR(__xludf.DUMMYFUNCTION("""COMPUTED_VALUE"""),"United States")</f>
        <v>United States</v>
      </c>
      <c r="D334" s="27">
        <f>IFERROR(__xludf.DUMMYFUNCTION("""COMPUTED_VALUE"""),0.05)</f>
        <v>0.05</v>
      </c>
      <c r="E334" s="22">
        <f t="shared" si="2"/>
        <v>0.5</v>
      </c>
      <c r="F334" s="23" t="str">
        <f t="shared" si="3"/>
        <v/>
      </c>
      <c r="G334" s="23" t="str">
        <f t="shared" si="4"/>
        <v/>
      </c>
      <c r="H334" s="27"/>
      <c r="I334" s="27"/>
      <c r="J334" s="27"/>
      <c r="K334" s="27"/>
      <c r="L334" s="22">
        <f t="shared" si="5"/>
        <v>0</v>
      </c>
    </row>
    <row r="335">
      <c r="A335" s="27" t="str">
        <f>IFERROR(__xludf.DUMMYFUNCTION("""COMPUTED_VALUE"""),"VERISIGN INC")</f>
        <v>VERISIGN INC</v>
      </c>
      <c r="B335" s="27" t="str">
        <f>IFERROR(__xludf.DUMMYFUNCTION("""COMPUTED_VALUE"""),"Information Technology")</f>
        <v>Information Technology</v>
      </c>
      <c r="C335" s="27" t="str">
        <f>IFERROR(__xludf.DUMMYFUNCTION("""COMPUTED_VALUE"""),"United States")</f>
        <v>United States</v>
      </c>
      <c r="D335" s="27">
        <f>IFERROR(__xludf.DUMMYFUNCTION("""COMPUTED_VALUE"""),0.05)</f>
        <v>0.05</v>
      </c>
      <c r="E335" s="22">
        <f t="shared" si="2"/>
        <v>0.5</v>
      </c>
      <c r="F335" s="23" t="str">
        <f t="shared" si="3"/>
        <v/>
      </c>
      <c r="G335" s="23" t="str">
        <f t="shared" si="4"/>
        <v/>
      </c>
      <c r="H335" s="27"/>
      <c r="I335" s="27"/>
      <c r="J335" s="27"/>
      <c r="K335" s="27"/>
      <c r="L335" s="22">
        <f t="shared" si="5"/>
        <v>0</v>
      </c>
    </row>
    <row r="336">
      <c r="A336" s="27" t="str">
        <f>IFERROR(__xludf.DUMMYFUNCTION("""COMPUTED_VALUE"""),"LABORATORY CORPORATION OF AMERICA")</f>
        <v>LABORATORY CORPORATION OF AMERICA</v>
      </c>
      <c r="B336" s="27" t="str">
        <f>IFERROR(__xludf.DUMMYFUNCTION("""COMPUTED_VALUE"""),"Health Care")</f>
        <v>Health Care</v>
      </c>
      <c r="C336" s="27" t="str">
        <f>IFERROR(__xludf.DUMMYFUNCTION("""COMPUTED_VALUE"""),"United States")</f>
        <v>United States</v>
      </c>
      <c r="D336" s="27">
        <f>IFERROR(__xludf.DUMMYFUNCTION("""COMPUTED_VALUE"""),0.05)</f>
        <v>0.05</v>
      </c>
      <c r="E336" s="22">
        <f t="shared" si="2"/>
        <v>0.5</v>
      </c>
      <c r="F336" s="23" t="str">
        <f t="shared" si="3"/>
        <v/>
      </c>
      <c r="G336" s="23" t="str">
        <f t="shared" si="4"/>
        <v/>
      </c>
      <c r="H336" s="27"/>
      <c r="I336" s="27"/>
      <c r="J336" s="27"/>
      <c r="K336" s="27"/>
      <c r="L336" s="22">
        <f t="shared" si="5"/>
        <v>0</v>
      </c>
    </row>
    <row r="337">
      <c r="A337" s="27" t="str">
        <f>IFERROR(__xludf.DUMMYFUNCTION("""COMPUTED_VALUE"""),"FIRSTENERGY CORP")</f>
        <v>FIRSTENERGY CORP</v>
      </c>
      <c r="B337" s="27" t="str">
        <f>IFERROR(__xludf.DUMMYFUNCTION("""COMPUTED_VALUE"""),"Utilities")</f>
        <v>Utilities</v>
      </c>
      <c r="C337" s="27" t="str">
        <f>IFERROR(__xludf.DUMMYFUNCTION("""COMPUTED_VALUE"""),"United States")</f>
        <v>United States</v>
      </c>
      <c r="D337" s="27">
        <f>IFERROR(__xludf.DUMMYFUNCTION("""COMPUTED_VALUE"""),0.05)</f>
        <v>0.05</v>
      </c>
      <c r="E337" s="22">
        <f t="shared" si="2"/>
        <v>0.5</v>
      </c>
      <c r="F337" s="23" t="str">
        <f t="shared" si="3"/>
        <v/>
      </c>
      <c r="G337" s="23" t="str">
        <f t="shared" si="4"/>
        <v/>
      </c>
      <c r="H337" s="27"/>
      <c r="I337" s="27"/>
      <c r="J337" s="27"/>
      <c r="K337" s="27"/>
      <c r="L337" s="22">
        <f t="shared" si="5"/>
        <v>0</v>
      </c>
    </row>
    <row r="338">
      <c r="A338" s="27" t="str">
        <f>IFERROR(__xludf.DUMMYFUNCTION("""COMPUTED_VALUE"""),"IRON MOUNTAIN INC")</f>
        <v>IRON MOUNTAIN INC</v>
      </c>
      <c r="B338" s="27" t="str">
        <f>IFERROR(__xludf.DUMMYFUNCTION("""COMPUTED_VALUE"""),"Real Estate")</f>
        <v>Real Estate</v>
      </c>
      <c r="C338" s="27" t="str">
        <f>IFERROR(__xludf.DUMMYFUNCTION("""COMPUTED_VALUE"""),"United States")</f>
        <v>United States</v>
      </c>
      <c r="D338" s="27">
        <f>IFERROR(__xludf.DUMMYFUNCTION("""COMPUTED_VALUE"""),0.05)</f>
        <v>0.05</v>
      </c>
      <c r="E338" s="22">
        <f t="shared" si="2"/>
        <v>0.5</v>
      </c>
      <c r="F338" s="23" t="str">
        <f t="shared" si="3"/>
        <v/>
      </c>
      <c r="G338" s="23" t="str">
        <f t="shared" si="4"/>
        <v/>
      </c>
      <c r="H338" s="27"/>
      <c r="I338" s="27"/>
      <c r="J338" s="27"/>
      <c r="K338" s="27"/>
      <c r="L338" s="22">
        <f t="shared" si="5"/>
        <v>0</v>
      </c>
    </row>
    <row r="339">
      <c r="A339" s="27" t="str">
        <f>IFERROR(__xludf.DUMMYFUNCTION("""COMPUTED_VALUE"""),"INTERNATIONAL FLAVORS &amp; FRAGRANCES")</f>
        <v>INTERNATIONAL FLAVORS &amp; FRAGRANCES</v>
      </c>
      <c r="B339" s="27" t="str">
        <f>IFERROR(__xludf.DUMMYFUNCTION("""COMPUTED_VALUE"""),"Materials")</f>
        <v>Materials</v>
      </c>
      <c r="C339" s="27" t="str">
        <f>IFERROR(__xludf.DUMMYFUNCTION("""COMPUTED_VALUE"""),"United States")</f>
        <v>United States</v>
      </c>
      <c r="D339" s="27">
        <f>IFERROR(__xludf.DUMMYFUNCTION("""COMPUTED_VALUE"""),0.05)</f>
        <v>0.05</v>
      </c>
      <c r="E339" s="22">
        <f t="shared" si="2"/>
        <v>0.5</v>
      </c>
      <c r="F339" s="23" t="str">
        <f t="shared" si="3"/>
        <v/>
      </c>
      <c r="G339" s="23" t="str">
        <f t="shared" si="4"/>
        <v/>
      </c>
      <c r="H339" s="27"/>
      <c r="I339" s="27"/>
      <c r="J339" s="27"/>
      <c r="K339" s="27"/>
      <c r="L339" s="22">
        <f t="shared" si="5"/>
        <v>0</v>
      </c>
    </row>
    <row r="340">
      <c r="A340" s="27" t="str">
        <f>IFERROR(__xludf.DUMMYFUNCTION("""COMPUTED_VALUE"""),"DARDEN RESTAURANTS INC")</f>
        <v>DARDEN RESTAURANTS INC</v>
      </c>
      <c r="B340" s="27" t="str">
        <f>IFERROR(__xludf.DUMMYFUNCTION("""COMPUTED_VALUE"""),"Consumer Discretionary")</f>
        <v>Consumer Discretionary</v>
      </c>
      <c r="C340" s="27" t="str">
        <f>IFERROR(__xludf.DUMMYFUNCTION("""COMPUTED_VALUE"""),"United States")</f>
        <v>United States</v>
      </c>
      <c r="D340" s="27">
        <f>IFERROR(__xludf.DUMMYFUNCTION("""COMPUTED_VALUE"""),0.05)</f>
        <v>0.05</v>
      </c>
      <c r="E340" s="22">
        <f t="shared" si="2"/>
        <v>0.5</v>
      </c>
      <c r="F340" s="23" t="str">
        <f t="shared" si="3"/>
        <v/>
      </c>
      <c r="G340" s="23" t="str">
        <f t="shared" si="4"/>
        <v/>
      </c>
      <c r="H340" s="27"/>
      <c r="I340" s="27"/>
      <c r="J340" s="27"/>
      <c r="K340" s="27"/>
      <c r="L340" s="22">
        <f t="shared" si="5"/>
        <v>0</v>
      </c>
    </row>
    <row r="341">
      <c r="A341" s="27" t="str">
        <f>IFERROR(__xludf.DUMMYFUNCTION("""COMPUTED_VALUE"""),"FIRST SOLAR INC")</f>
        <v>FIRST SOLAR INC</v>
      </c>
      <c r="B341" s="27" t="str">
        <f>IFERROR(__xludf.DUMMYFUNCTION("""COMPUTED_VALUE"""),"Information Technology")</f>
        <v>Information Technology</v>
      </c>
      <c r="C341" s="27" t="str">
        <f>IFERROR(__xludf.DUMMYFUNCTION("""COMPUTED_VALUE"""),"United States")</f>
        <v>United States</v>
      </c>
      <c r="D341" s="27">
        <f>IFERROR(__xludf.DUMMYFUNCTION("""COMPUTED_VALUE"""),0.05)</f>
        <v>0.05</v>
      </c>
      <c r="E341" s="22">
        <f t="shared" si="2"/>
        <v>0.5</v>
      </c>
      <c r="F341" s="23" t="str">
        <f t="shared" si="3"/>
        <v/>
      </c>
      <c r="G341" s="23" t="str">
        <f t="shared" si="4"/>
        <v/>
      </c>
      <c r="H341" s="27"/>
      <c r="I341" s="27"/>
      <c r="J341" s="27"/>
      <c r="K341" s="27"/>
      <c r="L341" s="22">
        <f t="shared" si="5"/>
        <v>0</v>
      </c>
    </row>
    <row r="342">
      <c r="A342" s="27" t="str">
        <f>IFERROR(__xludf.DUMMYFUNCTION("""COMPUTED_VALUE"""),"PPL CORP")</f>
        <v>PPL CORP</v>
      </c>
      <c r="B342" s="27" t="str">
        <f>IFERROR(__xludf.DUMMYFUNCTION("""COMPUTED_VALUE"""),"Utilities")</f>
        <v>Utilities</v>
      </c>
      <c r="C342" s="27" t="str">
        <f>IFERROR(__xludf.DUMMYFUNCTION("""COMPUTED_VALUE"""),"United States")</f>
        <v>United States</v>
      </c>
      <c r="D342" s="27">
        <f>IFERROR(__xludf.DUMMYFUNCTION("""COMPUTED_VALUE"""),0.05)</f>
        <v>0.05</v>
      </c>
      <c r="E342" s="22">
        <f t="shared" si="2"/>
        <v>0.5</v>
      </c>
      <c r="F342" s="23" t="str">
        <f t="shared" si="3"/>
        <v/>
      </c>
      <c r="G342" s="23" t="str">
        <f t="shared" si="4"/>
        <v/>
      </c>
      <c r="H342" s="27"/>
      <c r="I342" s="27"/>
      <c r="J342" s="27"/>
      <c r="K342" s="27"/>
      <c r="L342" s="22">
        <f t="shared" si="5"/>
        <v>0</v>
      </c>
    </row>
    <row r="343">
      <c r="A343" s="27" t="str">
        <f>IFERROR(__xludf.DUMMYFUNCTION("""COMPUTED_VALUE"""),"HOLOGIC INC")</f>
        <v>HOLOGIC INC</v>
      </c>
      <c r="B343" s="27" t="str">
        <f>IFERROR(__xludf.DUMMYFUNCTION("""COMPUTED_VALUE"""),"Health Care")</f>
        <v>Health Care</v>
      </c>
      <c r="C343" s="27" t="str">
        <f>IFERROR(__xludf.DUMMYFUNCTION("""COMPUTED_VALUE"""),"United States")</f>
        <v>United States</v>
      </c>
      <c r="D343" s="27">
        <f>IFERROR(__xludf.DUMMYFUNCTION("""COMPUTED_VALUE"""),0.05)</f>
        <v>0.05</v>
      </c>
      <c r="E343" s="22">
        <f t="shared" si="2"/>
        <v>0.5</v>
      </c>
      <c r="F343" s="23" t="str">
        <f t="shared" si="3"/>
        <v/>
      </c>
      <c r="G343" s="23" t="str">
        <f t="shared" si="4"/>
        <v/>
      </c>
      <c r="H343" s="27"/>
      <c r="I343" s="27"/>
      <c r="J343" s="27"/>
      <c r="K343" s="27"/>
      <c r="L343" s="22">
        <f t="shared" si="5"/>
        <v>0</v>
      </c>
    </row>
    <row r="344">
      <c r="A344" s="27" t="str">
        <f>IFERROR(__xludf.DUMMYFUNCTION("""COMPUTED_VALUE"""),"JACOBS SOLUTIONS INC")</f>
        <v>JACOBS SOLUTIONS INC</v>
      </c>
      <c r="B344" s="27" t="str">
        <f>IFERROR(__xludf.DUMMYFUNCTION("""COMPUTED_VALUE"""),"Industrials")</f>
        <v>Industrials</v>
      </c>
      <c r="C344" s="27" t="str">
        <f>IFERROR(__xludf.DUMMYFUNCTION("""COMPUTED_VALUE"""),"United States")</f>
        <v>United States</v>
      </c>
      <c r="D344" s="27">
        <f>IFERROR(__xludf.DUMMYFUNCTION("""COMPUTED_VALUE"""),0.05)</f>
        <v>0.05</v>
      </c>
      <c r="E344" s="22">
        <f t="shared" si="2"/>
        <v>0.5</v>
      </c>
      <c r="F344" s="23" t="str">
        <f t="shared" si="3"/>
        <v/>
      </c>
      <c r="G344" s="23" t="str">
        <f t="shared" si="4"/>
        <v/>
      </c>
      <c r="H344" s="27"/>
      <c r="I344" s="27"/>
      <c r="J344" s="27"/>
      <c r="K344" s="27"/>
      <c r="L344" s="22">
        <f t="shared" si="5"/>
        <v>0</v>
      </c>
    </row>
    <row r="345">
      <c r="A345" s="27" t="str">
        <f>IFERROR(__xludf.DUMMYFUNCTION("""COMPUTED_VALUE"""),"FIFTH THIRD BANCORP")</f>
        <v>FIFTH THIRD BANCORP</v>
      </c>
      <c r="B345" s="27" t="str">
        <f>IFERROR(__xludf.DUMMYFUNCTION("""COMPUTED_VALUE"""),"Financials")</f>
        <v>Financials</v>
      </c>
      <c r="C345" s="27" t="str">
        <f>IFERROR(__xludf.DUMMYFUNCTION("""COMPUTED_VALUE"""),"United States")</f>
        <v>United States</v>
      </c>
      <c r="D345" s="27">
        <f>IFERROR(__xludf.DUMMYFUNCTION("""COMPUTED_VALUE"""),0.05)</f>
        <v>0.05</v>
      </c>
      <c r="E345" s="22">
        <f t="shared" si="2"/>
        <v>0.5</v>
      </c>
      <c r="F345" s="23" t="str">
        <f t="shared" si="3"/>
        <v/>
      </c>
      <c r="G345" s="23" t="str">
        <f t="shared" si="4"/>
        <v/>
      </c>
      <c r="H345" s="27"/>
      <c r="I345" s="27"/>
      <c r="J345" s="27"/>
      <c r="K345" s="27"/>
      <c r="L345" s="22">
        <f t="shared" si="5"/>
        <v>0</v>
      </c>
    </row>
    <row r="346">
      <c r="A346" s="27" t="str">
        <f>IFERROR(__xludf.DUMMYFUNCTION("""COMPUTED_VALUE"""),"VENTAS REIT INC")</f>
        <v>VENTAS REIT INC</v>
      </c>
      <c r="B346" s="27" t="str">
        <f>IFERROR(__xludf.DUMMYFUNCTION("""COMPUTED_VALUE"""),"Real Estate")</f>
        <v>Real Estate</v>
      </c>
      <c r="C346" s="27" t="str">
        <f>IFERROR(__xludf.DUMMYFUNCTION("""COMPUTED_VALUE"""),"United States")</f>
        <v>United States</v>
      </c>
      <c r="D346" s="27">
        <f>IFERROR(__xludf.DUMMYFUNCTION("""COMPUTED_VALUE"""),0.05)</f>
        <v>0.05</v>
      </c>
      <c r="E346" s="22">
        <f t="shared" si="2"/>
        <v>0.5</v>
      </c>
      <c r="F346" s="23" t="str">
        <f t="shared" si="3"/>
        <v/>
      </c>
      <c r="G346" s="23" t="str">
        <f t="shared" si="4"/>
        <v/>
      </c>
      <c r="H346" s="27"/>
      <c r="I346" s="27"/>
      <c r="J346" s="27"/>
      <c r="K346" s="27"/>
      <c r="L346" s="22">
        <f t="shared" si="5"/>
        <v>0</v>
      </c>
    </row>
    <row r="347">
      <c r="A347" s="27" t="str">
        <f>IFERROR(__xludf.DUMMYFUNCTION("""COMPUTED_VALUE"""),"EXPEDITORS INTERNATIONAL OF WASHIN")</f>
        <v>EXPEDITORS INTERNATIONAL OF WASHIN</v>
      </c>
      <c r="B347" s="27" t="str">
        <f>IFERROR(__xludf.DUMMYFUNCTION("""COMPUTED_VALUE"""),"Industrials")</f>
        <v>Industrials</v>
      </c>
      <c r="C347" s="27" t="str">
        <f>IFERROR(__xludf.DUMMYFUNCTION("""COMPUTED_VALUE"""),"United States")</f>
        <v>United States</v>
      </c>
      <c r="D347" s="27">
        <f>IFERROR(__xludf.DUMMYFUNCTION("""COMPUTED_VALUE"""),0.05)</f>
        <v>0.05</v>
      </c>
      <c r="E347" s="22">
        <f t="shared" si="2"/>
        <v>0.5</v>
      </c>
      <c r="F347" s="23" t="str">
        <f t="shared" si="3"/>
        <v/>
      </c>
      <c r="G347" s="23" t="str">
        <f t="shared" si="4"/>
        <v/>
      </c>
      <c r="H347" s="27"/>
      <c r="I347" s="27"/>
      <c r="J347" s="27"/>
      <c r="K347" s="27"/>
      <c r="L347" s="22">
        <f t="shared" si="5"/>
        <v>0</v>
      </c>
    </row>
    <row r="348">
      <c r="A348" s="27" t="str">
        <f>IFERROR(__xludf.DUMMYFUNCTION("""COMPUTED_VALUE"""),"FACTSET RESEARCH SYSTEMS INC")</f>
        <v>FACTSET RESEARCH SYSTEMS INC</v>
      </c>
      <c r="B348" s="27" t="str">
        <f>IFERROR(__xludf.DUMMYFUNCTION("""COMPUTED_VALUE"""),"Financials")</f>
        <v>Financials</v>
      </c>
      <c r="C348" s="27" t="str">
        <f>IFERROR(__xludf.DUMMYFUNCTION("""COMPUTED_VALUE"""),"United States")</f>
        <v>United States</v>
      </c>
      <c r="D348" s="27">
        <f>IFERROR(__xludf.DUMMYFUNCTION("""COMPUTED_VALUE"""),0.05)</f>
        <v>0.05</v>
      </c>
      <c r="E348" s="22">
        <f t="shared" si="2"/>
        <v>0.5</v>
      </c>
      <c r="F348" s="23" t="str">
        <f t="shared" si="3"/>
        <v/>
      </c>
      <c r="G348" s="23" t="str">
        <f t="shared" si="4"/>
        <v/>
      </c>
      <c r="H348" s="27"/>
      <c r="I348" s="27"/>
      <c r="J348" s="27"/>
      <c r="K348" s="27"/>
      <c r="L348" s="22">
        <f t="shared" si="5"/>
        <v>0</v>
      </c>
    </row>
    <row r="349">
      <c r="A349" s="27" t="str">
        <f>IFERROR(__xludf.DUMMYFUNCTION("""COMPUTED_VALUE"""),"CENTERPOINT ENERGY INC")</f>
        <v>CENTERPOINT ENERGY INC</v>
      </c>
      <c r="B349" s="27" t="str">
        <f>IFERROR(__xludf.DUMMYFUNCTION("""COMPUTED_VALUE"""),"Utilities")</f>
        <v>Utilities</v>
      </c>
      <c r="C349" s="27" t="str">
        <f>IFERROR(__xludf.DUMMYFUNCTION("""COMPUTED_VALUE"""),"United States")</f>
        <v>United States</v>
      </c>
      <c r="D349" s="27">
        <f>IFERROR(__xludf.DUMMYFUNCTION("""COMPUTED_VALUE"""),0.05)</f>
        <v>0.05</v>
      </c>
      <c r="E349" s="22">
        <f t="shared" si="2"/>
        <v>0.5</v>
      </c>
      <c r="F349" s="23" t="str">
        <f t="shared" si="3"/>
        <v/>
      </c>
      <c r="G349" s="23" t="str">
        <f t="shared" si="4"/>
        <v/>
      </c>
      <c r="H349" s="27"/>
      <c r="I349" s="27"/>
      <c r="J349" s="27"/>
      <c r="K349" s="27"/>
      <c r="L349" s="22">
        <f t="shared" si="5"/>
        <v>0</v>
      </c>
    </row>
    <row r="350">
      <c r="A350" s="27" t="str">
        <f>IFERROR(__xludf.DUMMYFUNCTION("""COMPUTED_VALUE"""),"PTC INC")</f>
        <v>PTC INC</v>
      </c>
      <c r="B350" s="27" t="str">
        <f>IFERROR(__xludf.DUMMYFUNCTION("""COMPUTED_VALUE"""),"Information Technology")</f>
        <v>Information Technology</v>
      </c>
      <c r="C350" s="27" t="str">
        <f>IFERROR(__xludf.DUMMYFUNCTION("""COMPUTED_VALUE"""),"United States")</f>
        <v>United States</v>
      </c>
      <c r="D350" s="27">
        <f>IFERROR(__xludf.DUMMYFUNCTION("""COMPUTED_VALUE"""),0.05)</f>
        <v>0.05</v>
      </c>
      <c r="E350" s="22">
        <f t="shared" si="2"/>
        <v>0.5</v>
      </c>
      <c r="F350" s="23" t="str">
        <f t="shared" si="3"/>
        <v/>
      </c>
      <c r="G350" s="23" t="str">
        <f t="shared" si="4"/>
        <v/>
      </c>
      <c r="H350" s="27"/>
      <c r="I350" s="27"/>
      <c r="J350" s="27"/>
      <c r="K350" s="27"/>
      <c r="L350" s="22">
        <f t="shared" si="5"/>
        <v>0</v>
      </c>
    </row>
    <row r="351">
      <c r="A351" s="27" t="str">
        <f>IFERROR(__xludf.DUMMYFUNCTION("""COMPUTED_VALUE"""),"BROWN &amp; BROWN INC")</f>
        <v>BROWN &amp; BROWN INC</v>
      </c>
      <c r="B351" s="27" t="str">
        <f>IFERROR(__xludf.DUMMYFUNCTION("""COMPUTED_VALUE"""),"Financials")</f>
        <v>Financials</v>
      </c>
      <c r="C351" s="27" t="str">
        <f>IFERROR(__xludf.DUMMYFUNCTION("""COMPUTED_VALUE"""),"United States")</f>
        <v>United States</v>
      </c>
      <c r="D351" s="27">
        <f>IFERROR(__xludf.DUMMYFUNCTION("""COMPUTED_VALUE"""),0.05)</f>
        <v>0.05</v>
      </c>
      <c r="E351" s="22">
        <f t="shared" si="2"/>
        <v>0.5</v>
      </c>
      <c r="F351" s="23" t="str">
        <f t="shared" si="3"/>
        <v/>
      </c>
      <c r="G351" s="23" t="str">
        <f t="shared" si="4"/>
        <v/>
      </c>
      <c r="H351" s="27"/>
      <c r="I351" s="27"/>
      <c r="J351" s="27"/>
      <c r="K351" s="27"/>
      <c r="L351" s="22">
        <f t="shared" si="5"/>
        <v>0</v>
      </c>
    </row>
    <row r="352">
      <c r="A352" s="27" t="str">
        <f>IFERROR(__xludf.DUMMYFUNCTION("""COMPUTED_VALUE"""),"BUNGE LTD")</f>
        <v>BUNGE LTD</v>
      </c>
      <c r="B352" s="27" t="str">
        <f>IFERROR(__xludf.DUMMYFUNCTION("""COMPUTED_VALUE"""),"Consumer Staples")</f>
        <v>Consumer Staples</v>
      </c>
      <c r="C352" s="27" t="str">
        <f>IFERROR(__xludf.DUMMYFUNCTION("""COMPUTED_VALUE"""),"United States")</f>
        <v>United States</v>
      </c>
      <c r="D352" s="27">
        <f>IFERROR(__xludf.DUMMYFUNCTION("""COMPUTED_VALUE"""),0.05)</f>
        <v>0.05</v>
      </c>
      <c r="E352" s="22">
        <f t="shared" si="2"/>
        <v>0.5</v>
      </c>
      <c r="F352" s="23" t="str">
        <f t="shared" si="3"/>
        <v/>
      </c>
      <c r="G352" s="23" t="str">
        <f t="shared" si="4"/>
        <v/>
      </c>
      <c r="H352" s="27"/>
      <c r="I352" s="27"/>
      <c r="J352" s="27"/>
      <c r="K352" s="27"/>
      <c r="L352" s="22">
        <f t="shared" si="5"/>
        <v>0</v>
      </c>
    </row>
    <row r="353">
      <c r="A353" s="27" t="str">
        <f>IFERROR(__xludf.DUMMYFUNCTION("""COMPUTED_VALUE"""),"MARATHON OIL CORP")</f>
        <v>MARATHON OIL CORP</v>
      </c>
      <c r="B353" s="27" t="str">
        <f>IFERROR(__xludf.DUMMYFUNCTION("""COMPUTED_VALUE"""),"Energy")</f>
        <v>Energy</v>
      </c>
      <c r="C353" s="27" t="str">
        <f>IFERROR(__xludf.DUMMYFUNCTION("""COMPUTED_VALUE"""),"United States")</f>
        <v>United States</v>
      </c>
      <c r="D353" s="27">
        <f>IFERROR(__xludf.DUMMYFUNCTION("""COMPUTED_VALUE"""),0.05)</f>
        <v>0.05</v>
      </c>
      <c r="E353" s="22">
        <f t="shared" si="2"/>
        <v>0.5</v>
      </c>
      <c r="F353" s="23" t="str">
        <f t="shared" si="3"/>
        <v/>
      </c>
      <c r="G353" s="23" t="str">
        <f t="shared" si="4"/>
        <v/>
      </c>
      <c r="H353" s="27"/>
      <c r="I353" s="27"/>
      <c r="J353" s="27"/>
      <c r="K353" s="27"/>
      <c r="L353" s="22">
        <f t="shared" si="5"/>
        <v>0</v>
      </c>
    </row>
    <row r="354">
      <c r="A354" s="27" t="str">
        <f>IFERROR(__xludf.DUMMYFUNCTION("""COMPUTED_VALUE"""),"CF INDUSTRIES HOLDINGS INC")</f>
        <v>CF INDUSTRIES HOLDINGS INC</v>
      </c>
      <c r="B354" s="27" t="str">
        <f>IFERROR(__xludf.DUMMYFUNCTION("""COMPUTED_VALUE"""),"Materials")</f>
        <v>Materials</v>
      </c>
      <c r="C354" s="27" t="str">
        <f>IFERROR(__xludf.DUMMYFUNCTION("""COMPUTED_VALUE"""),"United States")</f>
        <v>United States</v>
      </c>
      <c r="D354" s="27">
        <f>IFERROR(__xludf.DUMMYFUNCTION("""COMPUTED_VALUE"""),0.05)</f>
        <v>0.05</v>
      </c>
      <c r="E354" s="22">
        <f t="shared" si="2"/>
        <v>0.5</v>
      </c>
      <c r="F354" s="23" t="str">
        <f t="shared" si="3"/>
        <v/>
      </c>
      <c r="G354" s="23" t="str">
        <f t="shared" si="4"/>
        <v/>
      </c>
      <c r="H354" s="27"/>
      <c r="I354" s="27"/>
      <c r="J354" s="27"/>
      <c r="K354" s="27"/>
      <c r="L354" s="22">
        <f t="shared" si="5"/>
        <v>0</v>
      </c>
    </row>
    <row r="355">
      <c r="A355" s="27" t="str">
        <f>IFERROR(__xludf.DUMMYFUNCTION("""COMPUTED_VALUE"""),"NASDAQ INC")</f>
        <v>NASDAQ INC</v>
      </c>
      <c r="B355" s="27" t="str">
        <f>IFERROR(__xludf.DUMMYFUNCTION("""COMPUTED_VALUE"""),"Financials")</f>
        <v>Financials</v>
      </c>
      <c r="C355" s="27" t="str">
        <f>IFERROR(__xludf.DUMMYFUNCTION("""COMPUTED_VALUE"""),"United States")</f>
        <v>United States</v>
      </c>
      <c r="D355" s="27">
        <f>IFERROR(__xludf.DUMMYFUNCTION("""COMPUTED_VALUE"""),0.05)</f>
        <v>0.05</v>
      </c>
      <c r="E355" s="22">
        <f t="shared" si="2"/>
        <v>0.5</v>
      </c>
      <c r="F355" s="23" t="str">
        <f t="shared" si="3"/>
        <v/>
      </c>
      <c r="G355" s="23" t="str">
        <f t="shared" si="4"/>
        <v/>
      </c>
      <c r="H355" s="27"/>
      <c r="I355" s="27"/>
      <c r="J355" s="27"/>
      <c r="K355" s="27"/>
      <c r="L355" s="22">
        <f t="shared" si="5"/>
        <v>0</v>
      </c>
    </row>
    <row r="356">
      <c r="A356" s="27" t="str">
        <f>IFERROR(__xludf.DUMMYFUNCTION("""COMPUTED_VALUE"""),"EVEREST GROUP LTD")</f>
        <v>EVEREST GROUP LTD</v>
      </c>
      <c r="B356" s="27" t="str">
        <f>IFERROR(__xludf.DUMMYFUNCTION("""COMPUTED_VALUE"""),"Financials")</f>
        <v>Financials</v>
      </c>
      <c r="C356" s="27" t="str">
        <f>IFERROR(__xludf.DUMMYFUNCTION("""COMPUTED_VALUE"""),"United States")</f>
        <v>United States</v>
      </c>
      <c r="D356" s="27">
        <f>IFERROR(__xludf.DUMMYFUNCTION("""COMPUTED_VALUE"""),0.05)</f>
        <v>0.05</v>
      </c>
      <c r="E356" s="22">
        <f t="shared" si="2"/>
        <v>0.5</v>
      </c>
      <c r="F356" s="23" t="str">
        <f t="shared" si="3"/>
        <v/>
      </c>
      <c r="G356" s="23" t="str">
        <f t="shared" si="4"/>
        <v/>
      </c>
      <c r="H356" s="27"/>
      <c r="I356" s="27"/>
      <c r="J356" s="27"/>
      <c r="K356" s="27"/>
      <c r="L356" s="22">
        <f t="shared" si="5"/>
        <v>0</v>
      </c>
    </row>
    <row r="357">
      <c r="A357" s="27" t="str">
        <f>IFERROR(__xludf.DUMMYFUNCTION("""COMPUTED_VALUE"""),"CBOE GLOBAL MARKETS INC")</f>
        <v>CBOE GLOBAL MARKETS INC</v>
      </c>
      <c r="B357" s="27" t="str">
        <f>IFERROR(__xludf.DUMMYFUNCTION("""COMPUTED_VALUE"""),"Financials")</f>
        <v>Financials</v>
      </c>
      <c r="C357" s="27" t="str">
        <f>IFERROR(__xludf.DUMMYFUNCTION("""COMPUTED_VALUE"""),"United States")</f>
        <v>United States</v>
      </c>
      <c r="D357" s="27">
        <f>IFERROR(__xludf.DUMMYFUNCTION("""COMPUTED_VALUE"""),0.05)</f>
        <v>0.05</v>
      </c>
      <c r="E357" s="22">
        <f t="shared" si="2"/>
        <v>0.5</v>
      </c>
      <c r="F357" s="23" t="str">
        <f t="shared" si="3"/>
        <v/>
      </c>
      <c r="G357" s="23" t="str">
        <f t="shared" si="4"/>
        <v/>
      </c>
      <c r="H357" s="27"/>
      <c r="I357" s="27"/>
      <c r="J357" s="27"/>
      <c r="K357" s="27"/>
      <c r="L357" s="22">
        <f t="shared" si="5"/>
        <v>0</v>
      </c>
    </row>
    <row r="358">
      <c r="A358" s="27" t="str">
        <f>IFERROR(__xludf.DUMMYFUNCTION("""COMPUTED_VALUE"""),"STEEL DYNAMICS INC")</f>
        <v>STEEL DYNAMICS INC</v>
      </c>
      <c r="B358" s="27" t="str">
        <f>IFERROR(__xludf.DUMMYFUNCTION("""COMPUTED_VALUE"""),"Materials")</f>
        <v>Materials</v>
      </c>
      <c r="C358" s="27" t="str">
        <f>IFERROR(__xludf.DUMMYFUNCTION("""COMPUTED_VALUE"""),"United States")</f>
        <v>United States</v>
      </c>
      <c r="D358" s="27">
        <f>IFERROR(__xludf.DUMMYFUNCTION("""COMPUTED_VALUE"""),0.05)</f>
        <v>0.05</v>
      </c>
      <c r="E358" s="22">
        <f t="shared" si="2"/>
        <v>0.5</v>
      </c>
      <c r="F358" s="23" t="str">
        <f t="shared" si="3"/>
        <v/>
      </c>
      <c r="G358" s="23" t="str">
        <f t="shared" si="4"/>
        <v/>
      </c>
      <c r="H358" s="27"/>
      <c r="I358" s="27"/>
      <c r="J358" s="27"/>
      <c r="K358" s="27"/>
      <c r="L358" s="22">
        <f t="shared" si="5"/>
        <v>0</v>
      </c>
    </row>
    <row r="359">
      <c r="A359" s="27" t="str">
        <f>IFERROR(__xludf.DUMMYFUNCTION("""COMPUTED_VALUE"""),"PULTEGROUP INC")</f>
        <v>PULTEGROUP INC</v>
      </c>
      <c r="B359" s="27" t="str">
        <f>IFERROR(__xludf.DUMMYFUNCTION("""COMPUTED_VALUE"""),"Consumer Discretionary")</f>
        <v>Consumer Discretionary</v>
      </c>
      <c r="C359" s="27" t="str">
        <f>IFERROR(__xludf.DUMMYFUNCTION("""COMPUTED_VALUE"""),"United States")</f>
        <v>United States</v>
      </c>
      <c r="D359" s="27">
        <f>IFERROR(__xludf.DUMMYFUNCTION("""COMPUTED_VALUE"""),0.05)</f>
        <v>0.05</v>
      </c>
      <c r="E359" s="22">
        <f t="shared" si="2"/>
        <v>0.5</v>
      </c>
      <c r="F359" s="23" t="str">
        <f t="shared" si="3"/>
        <v/>
      </c>
      <c r="G359" s="23" t="str">
        <f t="shared" si="4"/>
        <v/>
      </c>
      <c r="H359" s="27"/>
      <c r="I359" s="27"/>
      <c r="J359" s="27"/>
      <c r="K359" s="27"/>
      <c r="L359" s="22">
        <f t="shared" si="5"/>
        <v>0</v>
      </c>
    </row>
    <row r="360">
      <c r="A360" s="27" t="str">
        <f>IFERROR(__xludf.DUMMYFUNCTION("""COMPUTED_VALUE"""),"TYLER TECHNOLOGIES INC")</f>
        <v>TYLER TECHNOLOGIES INC</v>
      </c>
      <c r="B360" s="27" t="str">
        <f>IFERROR(__xludf.DUMMYFUNCTION("""COMPUTED_VALUE"""),"Information Technology")</f>
        <v>Information Technology</v>
      </c>
      <c r="C360" s="27" t="str">
        <f>IFERROR(__xludf.DUMMYFUNCTION("""COMPUTED_VALUE"""),"United States")</f>
        <v>United States</v>
      </c>
      <c r="D360" s="27">
        <f>IFERROR(__xludf.DUMMYFUNCTION("""COMPUTED_VALUE"""),0.05)</f>
        <v>0.05</v>
      </c>
      <c r="E360" s="22">
        <f t="shared" si="2"/>
        <v>0.5</v>
      </c>
      <c r="F360" s="23" t="str">
        <f t="shared" si="3"/>
        <v/>
      </c>
      <c r="G360" s="23" t="str">
        <f t="shared" si="4"/>
        <v/>
      </c>
      <c r="H360" s="27"/>
      <c r="I360" s="27"/>
      <c r="J360" s="27"/>
      <c r="K360" s="27"/>
      <c r="L360" s="22">
        <f t="shared" si="5"/>
        <v>0</v>
      </c>
    </row>
    <row r="361">
      <c r="A361" s="27" t="str">
        <f>IFERROR(__xludf.DUMMYFUNCTION("""COMPUTED_VALUE"""),"ENPHASE ENERGY INC")</f>
        <v>ENPHASE ENERGY INC</v>
      </c>
      <c r="B361" s="27" t="str">
        <f>IFERROR(__xludf.DUMMYFUNCTION("""COMPUTED_VALUE"""),"Information Technology")</f>
        <v>Information Technology</v>
      </c>
      <c r="C361" s="27" t="str">
        <f>IFERROR(__xludf.DUMMYFUNCTION("""COMPUTED_VALUE"""),"United States")</f>
        <v>United States</v>
      </c>
      <c r="D361" s="27">
        <f>IFERROR(__xludf.DUMMYFUNCTION("""COMPUTED_VALUE"""),0.05)</f>
        <v>0.05</v>
      </c>
      <c r="E361" s="22">
        <f t="shared" si="2"/>
        <v>0.5</v>
      </c>
      <c r="F361" s="23" t="str">
        <f t="shared" si="3"/>
        <v/>
      </c>
      <c r="G361" s="23" t="str">
        <f t="shared" si="4"/>
        <v/>
      </c>
      <c r="H361" s="27"/>
      <c r="I361" s="27"/>
      <c r="J361" s="27"/>
      <c r="K361" s="27"/>
      <c r="L361" s="22">
        <f t="shared" si="5"/>
        <v>0</v>
      </c>
    </row>
    <row r="362">
      <c r="A362" s="27" t="str">
        <f>IFERROR(__xludf.DUMMYFUNCTION("""COMPUTED_VALUE"""),"AKAMAI TECHNOLOGIES INC")</f>
        <v>AKAMAI TECHNOLOGIES INC</v>
      </c>
      <c r="B362" s="27" t="str">
        <f>IFERROR(__xludf.DUMMYFUNCTION("""COMPUTED_VALUE"""),"Information Technology")</f>
        <v>Information Technology</v>
      </c>
      <c r="C362" s="27" t="str">
        <f>IFERROR(__xludf.DUMMYFUNCTION("""COMPUTED_VALUE"""),"United States")</f>
        <v>United States</v>
      </c>
      <c r="D362" s="27">
        <f>IFERROR(__xludf.DUMMYFUNCTION("""COMPUTED_VALUE"""),0.05)</f>
        <v>0.05</v>
      </c>
      <c r="E362" s="22">
        <f t="shared" si="2"/>
        <v>0.5</v>
      </c>
      <c r="F362" s="23" t="str">
        <f t="shared" si="3"/>
        <v/>
      </c>
      <c r="G362" s="23" t="str">
        <f t="shared" si="4"/>
        <v/>
      </c>
      <c r="H362" s="27"/>
      <c r="I362" s="27"/>
      <c r="J362" s="27"/>
      <c r="K362" s="27"/>
      <c r="L362" s="22">
        <f t="shared" si="5"/>
        <v>0</v>
      </c>
    </row>
    <row r="363">
      <c r="A363" s="27" t="str">
        <f>IFERROR(__xludf.DUMMYFUNCTION("""COMPUTED_VALUE"""),"WATERS CORP")</f>
        <v>WATERS CORP</v>
      </c>
      <c r="B363" s="27" t="str">
        <f>IFERROR(__xludf.DUMMYFUNCTION("""COMPUTED_VALUE"""),"Health Care")</f>
        <v>Health Care</v>
      </c>
      <c r="C363" s="27" t="str">
        <f>IFERROR(__xludf.DUMMYFUNCTION("""COMPUTED_VALUE"""),"United States")</f>
        <v>United States</v>
      </c>
      <c r="D363" s="27">
        <f>IFERROR(__xludf.DUMMYFUNCTION("""COMPUTED_VALUE"""),0.05)</f>
        <v>0.05</v>
      </c>
      <c r="E363" s="22">
        <f t="shared" si="2"/>
        <v>0.5</v>
      </c>
      <c r="F363" s="23" t="str">
        <f t="shared" si="3"/>
        <v/>
      </c>
      <c r="G363" s="23" t="str">
        <f t="shared" si="4"/>
        <v/>
      </c>
      <c r="H363" s="27"/>
      <c r="I363" s="27"/>
      <c r="J363" s="27"/>
      <c r="K363" s="27"/>
      <c r="L363" s="22">
        <f t="shared" si="5"/>
        <v>0</v>
      </c>
    </row>
    <row r="364">
      <c r="A364" s="27" t="str">
        <f>IFERROR(__xludf.DUMMYFUNCTION("""COMPUTED_VALUE"""),"CINCINNATI FINANCIAL CORP")</f>
        <v>CINCINNATI FINANCIAL CORP</v>
      </c>
      <c r="B364" s="27" t="str">
        <f>IFERROR(__xludf.DUMMYFUNCTION("""COMPUTED_VALUE"""),"Financials")</f>
        <v>Financials</v>
      </c>
      <c r="C364" s="27" t="str">
        <f>IFERROR(__xludf.DUMMYFUNCTION("""COMPUTED_VALUE"""),"United States")</f>
        <v>United States</v>
      </c>
      <c r="D364" s="27">
        <f>IFERROR(__xludf.DUMMYFUNCTION("""COMPUTED_VALUE"""),0.05)</f>
        <v>0.05</v>
      </c>
      <c r="E364" s="22">
        <f t="shared" si="2"/>
        <v>0.5</v>
      </c>
      <c r="F364" s="23" t="str">
        <f t="shared" si="3"/>
        <v/>
      </c>
      <c r="G364" s="23" t="str">
        <f t="shared" si="4"/>
        <v/>
      </c>
      <c r="H364" s="27"/>
      <c r="I364" s="27"/>
      <c r="J364" s="27"/>
      <c r="K364" s="27"/>
      <c r="L364" s="22">
        <f t="shared" si="5"/>
        <v>0</v>
      </c>
    </row>
    <row r="365">
      <c r="A365" s="27" t="str">
        <f>IFERROR(__xludf.DUMMYFUNCTION("""COMPUTED_VALUE"""),"SOUTHWEST AIRLINES")</f>
        <v>SOUTHWEST AIRLINES</v>
      </c>
      <c r="B365" s="27" t="str">
        <f>IFERROR(__xludf.DUMMYFUNCTION("""COMPUTED_VALUE"""),"Industrials")</f>
        <v>Industrials</v>
      </c>
      <c r="C365" s="27" t="str">
        <f>IFERROR(__xludf.DUMMYFUNCTION("""COMPUTED_VALUE"""),"United States")</f>
        <v>United States</v>
      </c>
      <c r="D365" s="27">
        <f>IFERROR(__xludf.DUMMYFUNCTION("""COMPUTED_VALUE"""),0.04)</f>
        <v>0.04</v>
      </c>
      <c r="E365" s="22">
        <f t="shared" si="2"/>
        <v>0.4</v>
      </c>
      <c r="F365" s="23" t="str">
        <f t="shared" si="3"/>
        <v/>
      </c>
      <c r="G365" s="23" t="str">
        <f t="shared" si="4"/>
        <v/>
      </c>
      <c r="H365" s="27"/>
      <c r="I365" s="27"/>
      <c r="J365" s="27"/>
      <c r="K365" s="27"/>
      <c r="L365" s="22">
        <f t="shared" si="5"/>
        <v>0</v>
      </c>
    </row>
    <row r="366">
      <c r="A366" s="27" t="str">
        <f>IFERROR(__xludf.DUMMYFUNCTION("""COMPUTED_VALUE"""),"PRINCIPAL FINANCIAL GROUP INC")</f>
        <v>PRINCIPAL FINANCIAL GROUP INC</v>
      </c>
      <c r="B366" s="27" t="str">
        <f>IFERROR(__xludf.DUMMYFUNCTION("""COMPUTED_VALUE"""),"Financials")</f>
        <v>Financials</v>
      </c>
      <c r="C366" s="27" t="str">
        <f>IFERROR(__xludf.DUMMYFUNCTION("""COMPUTED_VALUE"""),"United States")</f>
        <v>United States</v>
      </c>
      <c r="D366" s="27">
        <f>IFERROR(__xludf.DUMMYFUNCTION("""COMPUTED_VALUE"""),0.04)</f>
        <v>0.04</v>
      </c>
      <c r="E366" s="22">
        <f t="shared" si="2"/>
        <v>0.4</v>
      </c>
      <c r="F366" s="23" t="str">
        <f t="shared" si="3"/>
        <v/>
      </c>
      <c r="G366" s="23" t="str">
        <f t="shared" si="4"/>
        <v/>
      </c>
      <c r="H366" s="27"/>
      <c r="I366" s="27"/>
      <c r="J366" s="27"/>
      <c r="K366" s="27"/>
      <c r="L366" s="22">
        <f t="shared" si="5"/>
        <v>0</v>
      </c>
    </row>
    <row r="367">
      <c r="A367" s="27" t="str">
        <f>IFERROR(__xludf.DUMMYFUNCTION("""COMPUTED_VALUE"""),"GARMIN LTD")</f>
        <v>GARMIN LTD</v>
      </c>
      <c r="B367" s="27" t="str">
        <f>IFERROR(__xludf.DUMMYFUNCTION("""COMPUTED_VALUE"""),"Consumer Discretionary")</f>
        <v>Consumer Discretionary</v>
      </c>
      <c r="C367" s="27" t="str">
        <f>IFERROR(__xludf.DUMMYFUNCTION("""COMPUTED_VALUE"""),"United States")</f>
        <v>United States</v>
      </c>
      <c r="D367" s="27">
        <f>IFERROR(__xludf.DUMMYFUNCTION("""COMPUTED_VALUE"""),0.04)</f>
        <v>0.04</v>
      </c>
      <c r="E367" s="22">
        <f t="shared" si="2"/>
        <v>0.4</v>
      </c>
      <c r="F367" s="23" t="str">
        <f t="shared" si="3"/>
        <v/>
      </c>
      <c r="G367" s="23" t="str">
        <f t="shared" si="4"/>
        <v/>
      </c>
      <c r="H367" s="27"/>
      <c r="I367" s="27"/>
      <c r="J367" s="27"/>
      <c r="K367" s="27"/>
      <c r="L367" s="22">
        <f t="shared" si="5"/>
        <v>0</v>
      </c>
    </row>
    <row r="368">
      <c r="A368" s="27" t="str">
        <f>IFERROR(__xludf.DUMMYFUNCTION("""COMPUTED_VALUE"""),"NETAPP INC")</f>
        <v>NETAPP INC</v>
      </c>
      <c r="B368" s="27" t="str">
        <f>IFERROR(__xludf.DUMMYFUNCTION("""COMPUTED_VALUE"""),"Information Technology")</f>
        <v>Information Technology</v>
      </c>
      <c r="C368" s="27" t="str">
        <f>IFERROR(__xludf.DUMMYFUNCTION("""COMPUTED_VALUE"""),"United States")</f>
        <v>United States</v>
      </c>
      <c r="D368" s="27">
        <f>IFERROR(__xludf.DUMMYFUNCTION("""COMPUTED_VALUE"""),0.04)</f>
        <v>0.04</v>
      </c>
      <c r="E368" s="22">
        <f t="shared" si="2"/>
        <v>0.4</v>
      </c>
      <c r="F368" s="23" t="str">
        <f t="shared" si="3"/>
        <v/>
      </c>
      <c r="G368" s="23" t="str">
        <f t="shared" si="4"/>
        <v/>
      </c>
      <c r="H368" s="27"/>
      <c r="I368" s="27"/>
      <c r="J368" s="27"/>
      <c r="K368" s="27"/>
      <c r="L368" s="22">
        <f t="shared" si="5"/>
        <v>0</v>
      </c>
    </row>
    <row r="369">
      <c r="A369" s="27" t="str">
        <f>IFERROR(__xludf.DUMMYFUNCTION("""COMPUTED_VALUE"""),"REGIONS FINANCIAL CORP")</f>
        <v>REGIONS FINANCIAL CORP</v>
      </c>
      <c r="B369" s="27" t="str">
        <f>IFERROR(__xludf.DUMMYFUNCTION("""COMPUTED_VALUE"""),"Financials")</f>
        <v>Financials</v>
      </c>
      <c r="C369" s="27" t="str">
        <f>IFERROR(__xludf.DUMMYFUNCTION("""COMPUTED_VALUE"""),"United States")</f>
        <v>United States</v>
      </c>
      <c r="D369" s="27">
        <f>IFERROR(__xludf.DUMMYFUNCTION("""COMPUTED_VALUE"""),0.04)</f>
        <v>0.04</v>
      </c>
      <c r="E369" s="22">
        <f t="shared" si="2"/>
        <v>0.4</v>
      </c>
      <c r="F369" s="23" t="str">
        <f t="shared" si="3"/>
        <v/>
      </c>
      <c r="G369" s="23" t="str">
        <f t="shared" si="4"/>
        <v/>
      </c>
      <c r="H369" s="27"/>
      <c r="I369" s="27"/>
      <c r="J369" s="27"/>
      <c r="K369" s="27"/>
      <c r="L369" s="22">
        <f t="shared" si="5"/>
        <v>0</v>
      </c>
    </row>
    <row r="370">
      <c r="A370" s="27" t="str">
        <f>IFERROR(__xludf.DUMMYFUNCTION("""COMPUTED_VALUE"""),"CLOROX")</f>
        <v>CLOROX</v>
      </c>
      <c r="B370" s="27" t="str">
        <f>IFERROR(__xludf.DUMMYFUNCTION("""COMPUTED_VALUE"""),"Consumer Staples")</f>
        <v>Consumer Staples</v>
      </c>
      <c r="C370" s="27" t="str">
        <f>IFERROR(__xludf.DUMMYFUNCTION("""COMPUTED_VALUE"""),"United States")</f>
        <v>United States</v>
      </c>
      <c r="D370" s="27">
        <f>IFERROR(__xludf.DUMMYFUNCTION("""COMPUTED_VALUE"""),0.04)</f>
        <v>0.04</v>
      </c>
      <c r="E370" s="22">
        <f t="shared" si="2"/>
        <v>0.4</v>
      </c>
      <c r="F370" s="23" t="str">
        <f t="shared" si="3"/>
        <v/>
      </c>
      <c r="G370" s="23" t="str">
        <f t="shared" si="4"/>
        <v/>
      </c>
      <c r="H370" s="27"/>
      <c r="I370" s="27"/>
      <c r="J370" s="27"/>
      <c r="K370" s="27"/>
      <c r="L370" s="22">
        <f t="shared" si="5"/>
        <v>0</v>
      </c>
    </row>
    <row r="371">
      <c r="A371" s="27" t="str">
        <f>IFERROR(__xludf.DUMMYFUNCTION("""COMPUTED_VALUE"""),"COOPER INC")</f>
        <v>COOPER INC</v>
      </c>
      <c r="B371" s="27" t="str">
        <f>IFERROR(__xludf.DUMMYFUNCTION("""COMPUTED_VALUE"""),"Health Care")</f>
        <v>Health Care</v>
      </c>
      <c r="C371" s="27" t="str">
        <f>IFERROR(__xludf.DUMMYFUNCTION("""COMPUTED_VALUE"""),"United States")</f>
        <v>United States</v>
      </c>
      <c r="D371" s="27">
        <f>IFERROR(__xludf.DUMMYFUNCTION("""COMPUTED_VALUE"""),0.04)</f>
        <v>0.04</v>
      </c>
      <c r="E371" s="22">
        <f t="shared" si="2"/>
        <v>0.4</v>
      </c>
      <c r="F371" s="23" t="str">
        <f t="shared" si="3"/>
        <v/>
      </c>
      <c r="G371" s="23" t="str">
        <f t="shared" si="4"/>
        <v/>
      </c>
      <c r="H371" s="27"/>
      <c r="I371" s="27"/>
      <c r="J371" s="27"/>
      <c r="K371" s="27"/>
      <c r="L371" s="22">
        <f t="shared" si="5"/>
        <v>0</v>
      </c>
    </row>
    <row r="372">
      <c r="A372" s="27" t="str">
        <f>IFERROR(__xludf.DUMMYFUNCTION("""COMPUTED_VALUE"""),"IDEX CORP")</f>
        <v>IDEX CORP</v>
      </c>
      <c r="B372" s="27" t="str">
        <f>IFERROR(__xludf.DUMMYFUNCTION("""COMPUTED_VALUE"""),"Industrials")</f>
        <v>Industrials</v>
      </c>
      <c r="C372" s="27" t="str">
        <f>IFERROR(__xludf.DUMMYFUNCTION("""COMPUTED_VALUE"""),"United States")</f>
        <v>United States</v>
      </c>
      <c r="D372" s="27">
        <f>IFERROR(__xludf.DUMMYFUNCTION("""COMPUTED_VALUE"""),0.04)</f>
        <v>0.04</v>
      </c>
      <c r="E372" s="22">
        <f t="shared" si="2"/>
        <v>0.4</v>
      </c>
      <c r="F372" s="23" t="str">
        <f t="shared" si="3"/>
        <v/>
      </c>
      <c r="G372" s="23" t="str">
        <f t="shared" si="4"/>
        <v/>
      </c>
      <c r="H372" s="27"/>
      <c r="I372" s="27"/>
      <c r="J372" s="27"/>
      <c r="K372" s="27"/>
      <c r="L372" s="22">
        <f t="shared" si="5"/>
        <v>0</v>
      </c>
    </row>
    <row r="373">
      <c r="A373" s="27" t="str">
        <f>IFERROR(__xludf.DUMMYFUNCTION("""COMPUTED_VALUE"""),"ATMOS ENERGY CORP")</f>
        <v>ATMOS ENERGY CORP</v>
      </c>
      <c r="B373" s="27" t="str">
        <f>IFERROR(__xludf.DUMMYFUNCTION("""COMPUTED_VALUE"""),"Utilities")</f>
        <v>Utilities</v>
      </c>
      <c r="C373" s="27" t="str">
        <f>IFERROR(__xludf.DUMMYFUNCTION("""COMPUTED_VALUE"""),"United States")</f>
        <v>United States</v>
      </c>
      <c r="D373" s="27">
        <f>IFERROR(__xludf.DUMMYFUNCTION("""COMPUTED_VALUE"""),0.04)</f>
        <v>0.04</v>
      </c>
      <c r="E373" s="22">
        <f t="shared" si="2"/>
        <v>0.4</v>
      </c>
      <c r="F373" s="23" t="str">
        <f t="shared" si="3"/>
        <v/>
      </c>
      <c r="G373" s="23" t="str">
        <f t="shared" si="4"/>
        <v/>
      </c>
      <c r="H373" s="27"/>
      <c r="I373" s="27"/>
      <c r="J373" s="27"/>
      <c r="K373" s="27"/>
      <c r="L373" s="22">
        <f t="shared" si="5"/>
        <v>0</v>
      </c>
    </row>
    <row r="374">
      <c r="A374" s="27" t="str">
        <f>IFERROR(__xludf.DUMMYFUNCTION("""COMPUTED_VALUE"""),"SKYWORKS SOLUTIONS INC")</f>
        <v>SKYWORKS SOLUTIONS INC</v>
      </c>
      <c r="B374" s="27" t="str">
        <f>IFERROR(__xludf.DUMMYFUNCTION("""COMPUTED_VALUE"""),"Information Technology")</f>
        <v>Information Technology</v>
      </c>
      <c r="C374" s="27" t="str">
        <f>IFERROR(__xludf.DUMMYFUNCTION("""COMPUTED_VALUE"""),"United States")</f>
        <v>United States</v>
      </c>
      <c r="D374" s="27">
        <f>IFERROR(__xludf.DUMMYFUNCTION("""COMPUTED_VALUE"""),0.04)</f>
        <v>0.04</v>
      </c>
      <c r="E374" s="22">
        <f t="shared" si="2"/>
        <v>0.4</v>
      </c>
      <c r="F374" s="23" t="str">
        <f t="shared" si="3"/>
        <v/>
      </c>
      <c r="G374" s="23" t="str">
        <f t="shared" si="4"/>
        <v/>
      </c>
      <c r="H374" s="27"/>
      <c r="I374" s="27"/>
      <c r="J374" s="27"/>
      <c r="K374" s="27"/>
      <c r="L374" s="22">
        <f t="shared" si="5"/>
        <v>0</v>
      </c>
    </row>
    <row r="375">
      <c r="A375" s="27" t="str">
        <f>IFERROR(__xludf.DUMMYFUNCTION("""COMPUTED_VALUE"""),"KELLOGG")</f>
        <v>KELLOGG</v>
      </c>
      <c r="B375" s="27" t="str">
        <f>IFERROR(__xludf.DUMMYFUNCTION("""COMPUTED_VALUE"""),"Consumer Staples")</f>
        <v>Consumer Staples</v>
      </c>
      <c r="C375" s="27" t="str">
        <f>IFERROR(__xludf.DUMMYFUNCTION("""COMPUTED_VALUE"""),"United States")</f>
        <v>United States</v>
      </c>
      <c r="D375" s="27">
        <f>IFERROR(__xludf.DUMMYFUNCTION("""COMPUTED_VALUE"""),0.04)</f>
        <v>0.04</v>
      </c>
      <c r="E375" s="22">
        <f t="shared" si="2"/>
        <v>0.4</v>
      </c>
      <c r="F375" s="23" t="str">
        <f t="shared" si="3"/>
        <v/>
      </c>
      <c r="G375" s="23" t="str">
        <f t="shared" si="4"/>
        <v/>
      </c>
      <c r="H375" s="27"/>
      <c r="I375" s="27"/>
      <c r="J375" s="27"/>
      <c r="K375" s="27"/>
      <c r="L375" s="22">
        <f t="shared" si="5"/>
        <v>0</v>
      </c>
    </row>
    <row r="376">
      <c r="A376" s="27" t="str">
        <f>IFERROR(__xludf.DUMMYFUNCTION("""COMPUTED_VALUE"""),"TEXTRON INC")</f>
        <v>TEXTRON INC</v>
      </c>
      <c r="B376" s="27" t="str">
        <f>IFERROR(__xludf.DUMMYFUNCTION("""COMPUTED_VALUE"""),"Industrials")</f>
        <v>Industrials</v>
      </c>
      <c r="C376" s="27" t="str">
        <f>IFERROR(__xludf.DUMMYFUNCTION("""COMPUTED_VALUE"""),"United States")</f>
        <v>United States</v>
      </c>
      <c r="D376" s="27">
        <f>IFERROR(__xludf.DUMMYFUNCTION("""COMPUTED_VALUE"""),0.04)</f>
        <v>0.04</v>
      </c>
      <c r="E376" s="22">
        <f t="shared" si="2"/>
        <v>0.4</v>
      </c>
      <c r="F376" s="23" t="str">
        <f t="shared" si="3"/>
        <v/>
      </c>
      <c r="G376" s="23" t="str">
        <f t="shared" si="4"/>
        <v/>
      </c>
      <c r="H376" s="27"/>
      <c r="I376" s="27"/>
      <c r="J376" s="27"/>
      <c r="K376" s="27"/>
      <c r="L376" s="22">
        <f t="shared" si="5"/>
        <v>0</v>
      </c>
    </row>
    <row r="377">
      <c r="A377" s="27" t="str">
        <f>IFERROR(__xludf.DUMMYFUNCTION("""COMPUTED_VALUE"""),"ALEXANDRIA REAL ESTATE EQUITIES RE")</f>
        <v>ALEXANDRIA REAL ESTATE EQUITIES RE</v>
      </c>
      <c r="B377" s="27" t="str">
        <f>IFERROR(__xludf.DUMMYFUNCTION("""COMPUTED_VALUE"""),"Real Estate")</f>
        <v>Real Estate</v>
      </c>
      <c r="C377" s="27" t="str">
        <f>IFERROR(__xludf.DUMMYFUNCTION("""COMPUTED_VALUE"""),"United States")</f>
        <v>United States</v>
      </c>
      <c r="D377" s="27">
        <f>IFERROR(__xludf.DUMMYFUNCTION("""COMPUTED_VALUE"""),0.04)</f>
        <v>0.04</v>
      </c>
      <c r="E377" s="22">
        <f t="shared" si="2"/>
        <v>0.4</v>
      </c>
      <c r="F377" s="23" t="str">
        <f t="shared" si="3"/>
        <v/>
      </c>
      <c r="G377" s="23" t="str">
        <f t="shared" si="4"/>
        <v/>
      </c>
      <c r="H377" s="27"/>
      <c r="I377" s="27"/>
      <c r="J377" s="27"/>
      <c r="K377" s="27"/>
      <c r="L377" s="22">
        <f t="shared" si="5"/>
        <v>0</v>
      </c>
    </row>
    <row r="378">
      <c r="A378" s="27" t="str">
        <f>IFERROR(__xludf.DUMMYFUNCTION("""COMPUTED_VALUE"""),"CMS ENERGY CORP")</f>
        <v>CMS ENERGY CORP</v>
      </c>
      <c r="B378" s="27" t="str">
        <f>IFERROR(__xludf.DUMMYFUNCTION("""COMPUTED_VALUE"""),"Utilities")</f>
        <v>Utilities</v>
      </c>
      <c r="C378" s="27" t="str">
        <f>IFERROR(__xludf.DUMMYFUNCTION("""COMPUTED_VALUE"""),"United States")</f>
        <v>United States</v>
      </c>
      <c r="D378" s="27">
        <f>IFERROR(__xludf.DUMMYFUNCTION("""COMPUTED_VALUE"""),0.04)</f>
        <v>0.04</v>
      </c>
      <c r="E378" s="22">
        <f t="shared" si="2"/>
        <v>0.4</v>
      </c>
      <c r="F378" s="23" t="str">
        <f t="shared" si="3"/>
        <v/>
      </c>
      <c r="G378" s="23" t="str">
        <f t="shared" si="4"/>
        <v/>
      </c>
      <c r="H378" s="27"/>
      <c r="I378" s="27"/>
      <c r="J378" s="27"/>
      <c r="K378" s="27"/>
      <c r="L378" s="22">
        <f t="shared" si="5"/>
        <v>0</v>
      </c>
    </row>
    <row r="379">
      <c r="A379" s="27" t="str">
        <f>IFERROR(__xludf.DUMMYFUNCTION("""COMPUTED_VALUE"""),"TERADYNE INC")</f>
        <v>TERADYNE INC</v>
      </c>
      <c r="B379" s="27" t="str">
        <f>IFERROR(__xludf.DUMMYFUNCTION("""COMPUTED_VALUE"""),"Information Technology")</f>
        <v>Information Technology</v>
      </c>
      <c r="C379" s="27" t="str">
        <f>IFERROR(__xludf.DUMMYFUNCTION("""COMPUTED_VALUE"""),"United States")</f>
        <v>United States</v>
      </c>
      <c r="D379" s="27">
        <f>IFERROR(__xludf.DUMMYFUNCTION("""COMPUTED_VALUE"""),0.04)</f>
        <v>0.04</v>
      </c>
      <c r="E379" s="22">
        <f t="shared" si="2"/>
        <v>0.4</v>
      </c>
      <c r="F379" s="23" t="str">
        <f t="shared" si="3"/>
        <v/>
      </c>
      <c r="G379" s="23" t="str">
        <f t="shared" si="4"/>
        <v/>
      </c>
      <c r="H379" s="27"/>
      <c r="I379" s="27"/>
      <c r="J379" s="27"/>
      <c r="K379" s="27"/>
      <c r="L379" s="22">
        <f t="shared" si="5"/>
        <v>0</v>
      </c>
    </row>
    <row r="380">
      <c r="A380" s="27" t="str">
        <f>IFERROR(__xludf.DUMMYFUNCTION("""COMPUTED_VALUE"""),"JB HUNT TRANSPORT SERVICES INC")</f>
        <v>JB HUNT TRANSPORT SERVICES INC</v>
      </c>
      <c r="B380" s="27" t="str">
        <f>IFERROR(__xludf.DUMMYFUNCTION("""COMPUTED_VALUE"""),"Industrials")</f>
        <v>Industrials</v>
      </c>
      <c r="C380" s="27" t="str">
        <f>IFERROR(__xludf.DUMMYFUNCTION("""COMPUTED_VALUE"""),"United States")</f>
        <v>United States</v>
      </c>
      <c r="D380" s="27">
        <f>IFERROR(__xludf.DUMMYFUNCTION("""COMPUTED_VALUE"""),0.04)</f>
        <v>0.04</v>
      </c>
      <c r="E380" s="22">
        <f t="shared" si="2"/>
        <v>0.4</v>
      </c>
      <c r="F380" s="23" t="str">
        <f t="shared" si="3"/>
        <v/>
      </c>
      <c r="G380" s="23" t="str">
        <f t="shared" si="4"/>
        <v/>
      </c>
      <c r="H380" s="27"/>
      <c r="I380" s="27"/>
      <c r="J380" s="27"/>
      <c r="K380" s="27"/>
      <c r="L380" s="22">
        <f t="shared" si="5"/>
        <v>0</v>
      </c>
    </row>
    <row r="381">
      <c r="A381" s="27" t="str">
        <f>IFERROR(__xludf.DUMMYFUNCTION("""COMPUTED_VALUE"""),"BALL CORP")</f>
        <v>BALL CORP</v>
      </c>
      <c r="B381" s="27" t="str">
        <f>IFERROR(__xludf.DUMMYFUNCTION("""COMPUTED_VALUE"""),"Materials")</f>
        <v>Materials</v>
      </c>
      <c r="C381" s="27" t="str">
        <f>IFERROR(__xludf.DUMMYFUNCTION("""COMPUTED_VALUE"""),"United States")</f>
        <v>United States</v>
      </c>
      <c r="D381" s="27">
        <f>IFERROR(__xludf.DUMMYFUNCTION("""COMPUTED_VALUE"""),0.04)</f>
        <v>0.04</v>
      </c>
      <c r="E381" s="22">
        <f t="shared" si="2"/>
        <v>0.4</v>
      </c>
      <c r="F381" s="23" t="str">
        <f t="shared" si="3"/>
        <v/>
      </c>
      <c r="G381" s="23" t="str">
        <f t="shared" si="4"/>
        <v/>
      </c>
      <c r="H381" s="27"/>
      <c r="I381" s="27"/>
      <c r="J381" s="27"/>
      <c r="K381" s="27"/>
      <c r="L381" s="22">
        <f t="shared" si="5"/>
        <v>0</v>
      </c>
    </row>
    <row r="382">
      <c r="A382" s="27" t="str">
        <f>IFERROR(__xludf.DUMMYFUNCTION("""COMPUTED_VALUE"""),"EPAM SYSTEMS INC")</f>
        <v>EPAM SYSTEMS INC</v>
      </c>
      <c r="B382" s="27" t="str">
        <f>IFERROR(__xludf.DUMMYFUNCTION("""COMPUTED_VALUE"""),"Information Technology")</f>
        <v>Information Technology</v>
      </c>
      <c r="C382" s="27" t="str">
        <f>IFERROR(__xludf.DUMMYFUNCTION("""COMPUTED_VALUE"""),"United States")</f>
        <v>United States</v>
      </c>
      <c r="D382" s="27">
        <f>IFERROR(__xludf.DUMMYFUNCTION("""COMPUTED_VALUE"""),0.04)</f>
        <v>0.04</v>
      </c>
      <c r="E382" s="22">
        <f t="shared" si="2"/>
        <v>0.4</v>
      </c>
      <c r="F382" s="23" t="str">
        <f t="shared" si="3"/>
        <v/>
      </c>
      <c r="G382" s="23" t="str">
        <f t="shared" si="4"/>
        <v/>
      </c>
      <c r="H382" s="27"/>
      <c r="I382" s="27"/>
      <c r="J382" s="27"/>
      <c r="K382" s="27"/>
      <c r="L382" s="22">
        <f t="shared" si="5"/>
        <v>0</v>
      </c>
    </row>
    <row r="383">
      <c r="A383" s="27" t="str">
        <f>IFERROR(__xludf.DUMMYFUNCTION("""COMPUTED_VALUE"""),"MID AMERICA APARTMENT COMMUNITIES")</f>
        <v>MID AMERICA APARTMENT COMMUNITIES</v>
      </c>
      <c r="B383" s="27" t="str">
        <f>IFERROR(__xludf.DUMMYFUNCTION("""COMPUTED_VALUE"""),"Real Estate")</f>
        <v>Real Estate</v>
      </c>
      <c r="C383" s="27" t="str">
        <f>IFERROR(__xludf.DUMMYFUNCTION("""COMPUTED_VALUE"""),"United States")</f>
        <v>United States</v>
      </c>
      <c r="D383" s="27">
        <f>IFERROR(__xludf.DUMMYFUNCTION("""COMPUTED_VALUE"""),0.04)</f>
        <v>0.04</v>
      </c>
      <c r="E383" s="22">
        <f t="shared" si="2"/>
        <v>0.4</v>
      </c>
      <c r="F383" s="23" t="str">
        <f t="shared" si="3"/>
        <v/>
      </c>
      <c r="G383" s="23" t="str">
        <f t="shared" si="4"/>
        <v/>
      </c>
      <c r="H383" s="27"/>
      <c r="I383" s="27"/>
      <c r="J383" s="27"/>
      <c r="K383" s="27"/>
      <c r="L383" s="22">
        <f t="shared" si="5"/>
        <v>0</v>
      </c>
    </row>
    <row r="384">
      <c r="A384" s="27" t="str">
        <f>IFERROR(__xludf.DUMMYFUNCTION("""COMPUTED_VALUE"""),"WALGREEN BOOTS ALLIANCE INC")</f>
        <v>WALGREEN BOOTS ALLIANCE INC</v>
      </c>
      <c r="B384" s="27" t="str">
        <f>IFERROR(__xludf.DUMMYFUNCTION("""COMPUTED_VALUE"""),"Consumer Staples")</f>
        <v>Consumer Staples</v>
      </c>
      <c r="C384" s="27" t="str">
        <f>IFERROR(__xludf.DUMMYFUNCTION("""COMPUTED_VALUE"""),"United States")</f>
        <v>United States</v>
      </c>
      <c r="D384" s="27">
        <f>IFERROR(__xludf.DUMMYFUNCTION("""COMPUTED_VALUE"""),0.04)</f>
        <v>0.04</v>
      </c>
      <c r="E384" s="22">
        <f t="shared" si="2"/>
        <v>0.4</v>
      </c>
      <c r="F384" s="23" t="str">
        <f t="shared" si="3"/>
        <v/>
      </c>
      <c r="G384" s="23" t="str">
        <f t="shared" si="4"/>
        <v/>
      </c>
      <c r="H384" s="27"/>
      <c r="I384" s="27"/>
      <c r="J384" s="27"/>
      <c r="K384" s="27"/>
      <c r="L384" s="22">
        <f t="shared" si="5"/>
        <v>0</v>
      </c>
    </row>
    <row r="385">
      <c r="A385" s="27" t="str">
        <f>IFERROR(__xludf.DUMMYFUNCTION("""COMPUTED_VALUE"""),"LAS VEGAS SANDS CORP")</f>
        <v>LAS VEGAS SANDS CORP</v>
      </c>
      <c r="B385" s="27" t="str">
        <f>IFERROR(__xludf.DUMMYFUNCTION("""COMPUTED_VALUE"""),"Consumer Discretionary")</f>
        <v>Consumer Discretionary</v>
      </c>
      <c r="C385" s="27" t="str">
        <f>IFERROR(__xludf.DUMMYFUNCTION("""COMPUTED_VALUE"""),"United States")</f>
        <v>United States</v>
      </c>
      <c r="D385" s="27">
        <f>IFERROR(__xludf.DUMMYFUNCTION("""COMPUTED_VALUE"""),0.04)</f>
        <v>0.04</v>
      </c>
      <c r="E385" s="22">
        <f t="shared" si="2"/>
        <v>0.4</v>
      </c>
      <c r="F385" s="23" t="str">
        <f t="shared" si="3"/>
        <v/>
      </c>
      <c r="G385" s="23" t="str">
        <f t="shared" si="4"/>
        <v/>
      </c>
      <c r="H385" s="27"/>
      <c r="I385" s="27"/>
      <c r="J385" s="27"/>
      <c r="K385" s="27"/>
      <c r="L385" s="22">
        <f t="shared" si="5"/>
        <v>0</v>
      </c>
    </row>
    <row r="386">
      <c r="A386" s="27" t="str">
        <f>IFERROR(__xludf.DUMMYFUNCTION("""COMPUTED_VALUE"""),"AVERY DENNISON CORP")</f>
        <v>AVERY DENNISON CORP</v>
      </c>
      <c r="B386" s="27" t="str">
        <f>IFERROR(__xludf.DUMMYFUNCTION("""COMPUTED_VALUE"""),"Materials")</f>
        <v>Materials</v>
      </c>
      <c r="C386" s="27" t="str">
        <f>IFERROR(__xludf.DUMMYFUNCTION("""COMPUTED_VALUE"""),"United States")</f>
        <v>United States</v>
      </c>
      <c r="D386" s="27">
        <f>IFERROR(__xludf.DUMMYFUNCTION("""COMPUTED_VALUE"""),0.04)</f>
        <v>0.04</v>
      </c>
      <c r="E386" s="22">
        <f t="shared" si="2"/>
        <v>0.4</v>
      </c>
      <c r="F386" s="23" t="str">
        <f t="shared" si="3"/>
        <v/>
      </c>
      <c r="G386" s="23" t="str">
        <f t="shared" si="4"/>
        <v/>
      </c>
      <c r="H386" s="27"/>
      <c r="I386" s="27"/>
      <c r="J386" s="27"/>
      <c r="K386" s="27"/>
      <c r="L386" s="22">
        <f t="shared" si="5"/>
        <v>0</v>
      </c>
    </row>
    <row r="387">
      <c r="A387" s="27" t="str">
        <f>IFERROR(__xludf.DUMMYFUNCTION("""COMPUTED_VALUE"""),"HUNTINGTON BANCSHARES INC")</f>
        <v>HUNTINGTON BANCSHARES INC</v>
      </c>
      <c r="B387" s="27" t="str">
        <f>IFERROR(__xludf.DUMMYFUNCTION("""COMPUTED_VALUE"""),"Financials")</f>
        <v>Financials</v>
      </c>
      <c r="C387" s="27" t="str">
        <f>IFERROR(__xludf.DUMMYFUNCTION("""COMPUTED_VALUE"""),"United States")</f>
        <v>United States</v>
      </c>
      <c r="D387" s="27">
        <f>IFERROR(__xludf.DUMMYFUNCTION("""COMPUTED_VALUE"""),0.04)</f>
        <v>0.04</v>
      </c>
      <c r="E387" s="22">
        <f t="shared" si="2"/>
        <v>0.4</v>
      </c>
      <c r="F387" s="23" t="str">
        <f t="shared" si="3"/>
        <v/>
      </c>
      <c r="G387" s="23" t="str">
        <f t="shared" si="4"/>
        <v/>
      </c>
      <c r="H387" s="27"/>
      <c r="I387" s="27"/>
      <c r="J387" s="27"/>
      <c r="K387" s="27"/>
      <c r="L387" s="22">
        <f t="shared" si="5"/>
        <v>0</v>
      </c>
    </row>
    <row r="388">
      <c r="A388" s="27" t="str">
        <f>IFERROR(__xludf.DUMMYFUNCTION("""COMPUTED_VALUE"""),"WESTERN DIGITAL CORP")</f>
        <v>WESTERN DIGITAL CORP</v>
      </c>
      <c r="B388" s="27" t="str">
        <f>IFERROR(__xludf.DUMMYFUNCTION("""COMPUTED_VALUE"""),"Information Technology")</f>
        <v>Information Technology</v>
      </c>
      <c r="C388" s="27" t="str">
        <f>IFERROR(__xludf.DUMMYFUNCTION("""COMPUTED_VALUE"""),"United States")</f>
        <v>United States</v>
      </c>
      <c r="D388" s="27">
        <f>IFERROR(__xludf.DUMMYFUNCTION("""COMPUTED_VALUE"""),0.04)</f>
        <v>0.04</v>
      </c>
      <c r="E388" s="22">
        <f t="shared" si="2"/>
        <v>0.4</v>
      </c>
      <c r="F388" s="23" t="str">
        <f t="shared" si="3"/>
        <v/>
      </c>
      <c r="G388" s="23" t="str">
        <f t="shared" si="4"/>
        <v/>
      </c>
      <c r="H388" s="27"/>
      <c r="I388" s="27"/>
      <c r="J388" s="27"/>
      <c r="K388" s="27"/>
      <c r="L388" s="22">
        <f t="shared" si="5"/>
        <v>0</v>
      </c>
    </row>
    <row r="389">
      <c r="A389" s="27" t="str">
        <f>IFERROR(__xludf.DUMMYFUNCTION("""COMPUTED_VALUE"""),"OMNICOM GROUP INC")</f>
        <v>OMNICOM GROUP INC</v>
      </c>
      <c r="B389" s="27" t="str">
        <f>IFERROR(__xludf.DUMMYFUNCTION("""COMPUTED_VALUE"""),"Communication")</f>
        <v>Communication</v>
      </c>
      <c r="C389" s="27" t="str">
        <f>IFERROR(__xludf.DUMMYFUNCTION("""COMPUTED_VALUE"""),"United States")</f>
        <v>United States</v>
      </c>
      <c r="D389" s="27">
        <f>IFERROR(__xludf.DUMMYFUNCTION("""COMPUTED_VALUE"""),0.04)</f>
        <v>0.04</v>
      </c>
      <c r="E389" s="22">
        <f t="shared" si="2"/>
        <v>0.4</v>
      </c>
      <c r="F389" s="23" t="str">
        <f t="shared" si="3"/>
        <v/>
      </c>
      <c r="G389" s="23" t="str">
        <f t="shared" si="4"/>
        <v/>
      </c>
      <c r="H389" s="27"/>
      <c r="I389" s="27"/>
      <c r="J389" s="27"/>
      <c r="K389" s="27"/>
      <c r="L389" s="22">
        <f t="shared" si="5"/>
        <v>0</v>
      </c>
    </row>
    <row r="390">
      <c r="A390" s="27" t="str">
        <f>IFERROR(__xludf.DUMMYFUNCTION("""COMPUTED_VALUE"""),"EQT CORP")</f>
        <v>EQT CORP</v>
      </c>
      <c r="B390" s="27" t="str">
        <f>IFERROR(__xludf.DUMMYFUNCTION("""COMPUTED_VALUE"""),"Energy")</f>
        <v>Energy</v>
      </c>
      <c r="C390" s="27" t="str">
        <f>IFERROR(__xludf.DUMMYFUNCTION("""COMPUTED_VALUE"""),"United States")</f>
        <v>United States</v>
      </c>
      <c r="D390" s="27">
        <f>IFERROR(__xludf.DUMMYFUNCTION("""COMPUTED_VALUE"""),0.04)</f>
        <v>0.04</v>
      </c>
      <c r="E390" s="22">
        <f t="shared" si="2"/>
        <v>0.4</v>
      </c>
      <c r="F390" s="23" t="str">
        <f t="shared" si="3"/>
        <v/>
      </c>
      <c r="G390" s="23" t="str">
        <f t="shared" si="4"/>
        <v/>
      </c>
      <c r="H390" s="27"/>
      <c r="I390" s="27"/>
      <c r="J390" s="27"/>
      <c r="K390" s="27"/>
      <c r="L390" s="22">
        <f t="shared" si="5"/>
        <v>0</v>
      </c>
    </row>
    <row r="391">
      <c r="A391" s="27" t="str">
        <f>IFERROR(__xludf.DUMMYFUNCTION("""COMPUTED_VALUE"""),"CARNIVAL CORP")</f>
        <v>CARNIVAL CORP</v>
      </c>
      <c r="B391" s="27" t="str">
        <f>IFERROR(__xludf.DUMMYFUNCTION("""COMPUTED_VALUE"""),"Consumer Discretionary")</f>
        <v>Consumer Discretionary</v>
      </c>
      <c r="C391" s="27" t="str">
        <f>IFERROR(__xludf.DUMMYFUNCTION("""COMPUTED_VALUE"""),"United States")</f>
        <v>United States</v>
      </c>
      <c r="D391" s="27">
        <f>IFERROR(__xludf.DUMMYFUNCTION("""COMPUTED_VALUE"""),0.04)</f>
        <v>0.04</v>
      </c>
      <c r="E391" s="22">
        <f t="shared" si="2"/>
        <v>0.4</v>
      </c>
      <c r="F391" s="23" t="str">
        <f t="shared" si="3"/>
        <v/>
      </c>
      <c r="G391" s="23" t="str">
        <f t="shared" si="4"/>
        <v/>
      </c>
      <c r="H391" s="27"/>
      <c r="I391" s="27"/>
      <c r="J391" s="27"/>
      <c r="K391" s="27"/>
      <c r="L391" s="22">
        <f t="shared" si="5"/>
        <v>0</v>
      </c>
    </row>
    <row r="392">
      <c r="A392" s="27" t="str">
        <f>IFERROR(__xludf.DUMMYFUNCTION("""COMPUTED_VALUE"""),"NORTHERN TRUST CORP")</f>
        <v>NORTHERN TRUST CORP</v>
      </c>
      <c r="B392" s="27" t="str">
        <f>IFERROR(__xludf.DUMMYFUNCTION("""COMPUTED_VALUE"""),"Financials")</f>
        <v>Financials</v>
      </c>
      <c r="C392" s="27" t="str">
        <f>IFERROR(__xludf.DUMMYFUNCTION("""COMPUTED_VALUE"""),"United States")</f>
        <v>United States</v>
      </c>
      <c r="D392" s="27">
        <f>IFERROR(__xludf.DUMMYFUNCTION("""COMPUTED_VALUE"""),0.04)</f>
        <v>0.04</v>
      </c>
      <c r="E392" s="22">
        <f t="shared" si="2"/>
        <v>0.4</v>
      </c>
      <c r="F392" s="23" t="str">
        <f t="shared" si="3"/>
        <v/>
      </c>
      <c r="G392" s="23" t="str">
        <f t="shared" si="4"/>
        <v/>
      </c>
      <c r="H392" s="27"/>
      <c r="I392" s="27"/>
      <c r="J392" s="27"/>
      <c r="K392" s="27"/>
      <c r="L392" s="22">
        <f t="shared" si="5"/>
        <v>0</v>
      </c>
    </row>
    <row r="393">
      <c r="A393" s="27" t="str">
        <f>IFERROR(__xludf.DUMMYFUNCTION("""COMPUTED_VALUE"""),"TYSON FOODS INC CLASS A")</f>
        <v>TYSON FOODS INC CLASS A</v>
      </c>
      <c r="B393" s="27" t="str">
        <f>IFERROR(__xludf.DUMMYFUNCTION("""COMPUTED_VALUE"""),"Consumer Staples")</f>
        <v>Consumer Staples</v>
      </c>
      <c r="C393" s="27" t="str">
        <f>IFERROR(__xludf.DUMMYFUNCTION("""COMPUTED_VALUE"""),"United States")</f>
        <v>United States</v>
      </c>
      <c r="D393" s="27">
        <f>IFERROR(__xludf.DUMMYFUNCTION("""COMPUTED_VALUE"""),0.04)</f>
        <v>0.04</v>
      </c>
      <c r="E393" s="22">
        <f t="shared" si="2"/>
        <v>0.4</v>
      </c>
      <c r="F393" s="23" t="str">
        <f t="shared" si="3"/>
        <v/>
      </c>
      <c r="G393" s="23" t="str">
        <f t="shared" si="4"/>
        <v/>
      </c>
      <c r="H393" s="27"/>
      <c r="I393" s="27"/>
      <c r="J393" s="27"/>
      <c r="K393" s="27"/>
      <c r="L393" s="22">
        <f t="shared" si="5"/>
        <v>0</v>
      </c>
    </row>
    <row r="394">
      <c r="A394" s="27" t="str">
        <f>IFERROR(__xludf.DUMMYFUNCTION("""COMPUTED_VALUE"""),"EXPEDIA GROUP INC")</f>
        <v>EXPEDIA GROUP INC</v>
      </c>
      <c r="B394" s="27" t="str">
        <f>IFERROR(__xludf.DUMMYFUNCTION("""COMPUTED_VALUE"""),"Consumer Discretionary")</f>
        <v>Consumer Discretionary</v>
      </c>
      <c r="C394" s="27" t="str">
        <f>IFERROR(__xludf.DUMMYFUNCTION("""COMPUTED_VALUE"""),"United States")</f>
        <v>United States</v>
      </c>
      <c r="D394" s="27">
        <f>IFERROR(__xludf.DUMMYFUNCTION("""COMPUTED_VALUE"""),0.04)</f>
        <v>0.04</v>
      </c>
      <c r="E394" s="22">
        <f t="shared" si="2"/>
        <v>0.4</v>
      </c>
      <c r="F394" s="23" t="str">
        <f t="shared" si="3"/>
        <v/>
      </c>
      <c r="G394" s="23" t="str">
        <f t="shared" si="4"/>
        <v/>
      </c>
      <c r="H394" s="27"/>
      <c r="I394" s="27"/>
      <c r="J394" s="27"/>
      <c r="K394" s="27"/>
      <c r="L394" s="22">
        <f t="shared" si="5"/>
        <v>0</v>
      </c>
    </row>
    <row r="395">
      <c r="A395" s="27" t="str">
        <f>IFERROR(__xludf.DUMMYFUNCTION("""COMPUTED_VALUE"""),"UNITED AIRLINES HOLDINGS INC")</f>
        <v>UNITED AIRLINES HOLDINGS INC</v>
      </c>
      <c r="B395" s="27" t="str">
        <f>IFERROR(__xludf.DUMMYFUNCTION("""COMPUTED_VALUE"""),"Industrials")</f>
        <v>Industrials</v>
      </c>
      <c r="C395" s="27" t="str">
        <f>IFERROR(__xludf.DUMMYFUNCTION("""COMPUTED_VALUE"""),"United States")</f>
        <v>United States</v>
      </c>
      <c r="D395" s="27">
        <f>IFERROR(__xludf.DUMMYFUNCTION("""COMPUTED_VALUE"""),0.04)</f>
        <v>0.04</v>
      </c>
      <c r="E395" s="22">
        <f t="shared" si="2"/>
        <v>0.4</v>
      </c>
      <c r="F395" s="23" t="str">
        <f t="shared" si="3"/>
        <v/>
      </c>
      <c r="G395" s="23" t="str">
        <f t="shared" si="4"/>
        <v/>
      </c>
      <c r="H395" s="27"/>
      <c r="I395" s="27"/>
      <c r="J395" s="27"/>
      <c r="K395" s="27"/>
      <c r="L395" s="22">
        <f t="shared" si="5"/>
        <v>0</v>
      </c>
    </row>
    <row r="396">
      <c r="A396" s="27" t="str">
        <f>IFERROR(__xludf.DUMMYFUNCTION("""COMPUTED_VALUE"""),"QUEST DIAGNOSTICS INC")</f>
        <v>QUEST DIAGNOSTICS INC</v>
      </c>
      <c r="B396" s="27" t="str">
        <f>IFERROR(__xludf.DUMMYFUNCTION("""COMPUTED_VALUE"""),"Health Care")</f>
        <v>Health Care</v>
      </c>
      <c r="C396" s="27" t="str">
        <f>IFERROR(__xludf.DUMMYFUNCTION("""COMPUTED_VALUE"""),"United States")</f>
        <v>United States</v>
      </c>
      <c r="D396" s="27">
        <f>IFERROR(__xludf.DUMMYFUNCTION("""COMPUTED_VALUE"""),0.04)</f>
        <v>0.04</v>
      </c>
      <c r="E396" s="22">
        <f t="shared" si="2"/>
        <v>0.4</v>
      </c>
      <c r="F396" s="23" t="str">
        <f t="shared" si="3"/>
        <v/>
      </c>
      <c r="G396" s="23" t="str">
        <f t="shared" si="4"/>
        <v/>
      </c>
      <c r="H396" s="27"/>
      <c r="I396" s="27"/>
      <c r="J396" s="27"/>
      <c r="K396" s="27"/>
      <c r="L396" s="22">
        <f t="shared" si="5"/>
        <v>0</v>
      </c>
    </row>
    <row r="397">
      <c r="A397" s="27" t="str">
        <f>IFERROR(__xludf.DUMMYFUNCTION("""COMPUTED_VALUE"""),"PACKAGING CORP OF AMERICA")</f>
        <v>PACKAGING CORP OF AMERICA</v>
      </c>
      <c r="B397" s="27" t="str">
        <f>IFERROR(__xludf.DUMMYFUNCTION("""COMPUTED_VALUE"""),"Materials")</f>
        <v>Materials</v>
      </c>
      <c r="C397" s="27" t="str">
        <f>IFERROR(__xludf.DUMMYFUNCTION("""COMPUTED_VALUE"""),"United States")</f>
        <v>United States</v>
      </c>
      <c r="D397" s="27">
        <f>IFERROR(__xludf.DUMMYFUNCTION("""COMPUTED_VALUE"""),0.04)</f>
        <v>0.04</v>
      </c>
      <c r="E397" s="22">
        <f t="shared" si="2"/>
        <v>0.4</v>
      </c>
      <c r="F397" s="23" t="str">
        <f t="shared" si="3"/>
        <v/>
      </c>
      <c r="G397" s="23" t="str">
        <f t="shared" si="4"/>
        <v/>
      </c>
      <c r="H397" s="27"/>
      <c r="I397" s="27"/>
      <c r="J397" s="27"/>
      <c r="K397" s="27"/>
      <c r="L397" s="22">
        <f t="shared" si="5"/>
        <v>0</v>
      </c>
    </row>
    <row r="398">
      <c r="A398" s="27" t="str">
        <f>IFERROR(__xludf.DUMMYFUNCTION("""COMPUTED_VALUE"""),"POOL CORP")</f>
        <v>POOL CORP</v>
      </c>
      <c r="B398" s="27" t="str">
        <f>IFERROR(__xludf.DUMMYFUNCTION("""COMPUTED_VALUE"""),"Consumer Discretionary")</f>
        <v>Consumer Discretionary</v>
      </c>
      <c r="C398" s="27" t="str">
        <f>IFERROR(__xludf.DUMMYFUNCTION("""COMPUTED_VALUE"""),"United States")</f>
        <v>United States</v>
      </c>
      <c r="D398" s="27">
        <f>IFERROR(__xludf.DUMMYFUNCTION("""COMPUTED_VALUE"""),0.04)</f>
        <v>0.04</v>
      </c>
      <c r="E398" s="22">
        <f t="shared" si="2"/>
        <v>0.4</v>
      </c>
      <c r="F398" s="23" t="str">
        <f t="shared" si="3"/>
        <v/>
      </c>
      <c r="G398" s="23" t="str">
        <f t="shared" si="4"/>
        <v/>
      </c>
      <c r="H398" s="27"/>
      <c r="I398" s="27"/>
      <c r="J398" s="27"/>
      <c r="K398" s="27"/>
      <c r="L398" s="22">
        <f t="shared" si="5"/>
        <v>0</v>
      </c>
    </row>
    <row r="399">
      <c r="A399" s="27" t="str">
        <f>IFERROR(__xludf.DUMMYFUNCTION("""COMPUTED_VALUE"""),"AXON ENTERPRISE INC")</f>
        <v>AXON ENTERPRISE INC</v>
      </c>
      <c r="B399" s="27" t="str">
        <f>IFERROR(__xludf.DUMMYFUNCTION("""COMPUTED_VALUE"""),"Industrials")</f>
        <v>Industrials</v>
      </c>
      <c r="C399" s="27" t="str">
        <f>IFERROR(__xludf.DUMMYFUNCTION("""COMPUTED_VALUE"""),"United States")</f>
        <v>United States</v>
      </c>
      <c r="D399" s="27">
        <f>IFERROR(__xludf.DUMMYFUNCTION("""COMPUTED_VALUE"""),0.04)</f>
        <v>0.04</v>
      </c>
      <c r="E399" s="22">
        <f t="shared" si="2"/>
        <v>0.4</v>
      </c>
      <c r="F399" s="23" t="str">
        <f t="shared" si="3"/>
        <v/>
      </c>
      <c r="G399" s="23" t="str">
        <f t="shared" si="4"/>
        <v/>
      </c>
      <c r="H399" s="27"/>
      <c r="I399" s="27"/>
      <c r="J399" s="27"/>
      <c r="K399" s="27"/>
      <c r="L399" s="22">
        <f t="shared" si="5"/>
        <v>0</v>
      </c>
    </row>
    <row r="400">
      <c r="A400" s="27" t="str">
        <f>IFERROR(__xludf.DUMMYFUNCTION("""COMPUTED_VALUE"""),"REVVITY INC")</f>
        <v>REVVITY INC</v>
      </c>
      <c r="B400" s="27" t="str">
        <f>IFERROR(__xludf.DUMMYFUNCTION("""COMPUTED_VALUE"""),"Health Care")</f>
        <v>Health Care</v>
      </c>
      <c r="C400" s="27" t="str">
        <f>IFERROR(__xludf.DUMMYFUNCTION("""COMPUTED_VALUE"""),"United States")</f>
        <v>United States</v>
      </c>
      <c r="D400" s="27">
        <f>IFERROR(__xludf.DUMMYFUNCTION("""COMPUTED_VALUE"""),0.04)</f>
        <v>0.04</v>
      </c>
      <c r="E400" s="22">
        <f t="shared" si="2"/>
        <v>0.4</v>
      </c>
      <c r="F400" s="23" t="str">
        <f t="shared" si="3"/>
        <v/>
      </c>
      <c r="G400" s="23" t="str">
        <f t="shared" si="4"/>
        <v/>
      </c>
      <c r="H400" s="27"/>
      <c r="I400" s="27"/>
      <c r="J400" s="27"/>
      <c r="K400" s="27"/>
      <c r="L400" s="22">
        <f t="shared" si="5"/>
        <v>0</v>
      </c>
    </row>
    <row r="401">
      <c r="A401" s="27" t="str">
        <f>IFERROR(__xludf.DUMMYFUNCTION("""COMPUTED_VALUE"""),"SNAP ON INC")</f>
        <v>SNAP ON INC</v>
      </c>
      <c r="B401" s="27" t="str">
        <f>IFERROR(__xludf.DUMMYFUNCTION("""COMPUTED_VALUE"""),"Industrials")</f>
        <v>Industrials</v>
      </c>
      <c r="C401" s="27" t="str">
        <f>IFERROR(__xludf.DUMMYFUNCTION("""COMPUTED_VALUE"""),"United States")</f>
        <v>United States</v>
      </c>
      <c r="D401" s="27">
        <f>IFERROR(__xludf.DUMMYFUNCTION("""COMPUTED_VALUE"""),0.04)</f>
        <v>0.04</v>
      </c>
      <c r="E401" s="22">
        <f t="shared" si="2"/>
        <v>0.4</v>
      </c>
      <c r="F401" s="23" t="str">
        <f t="shared" si="3"/>
        <v/>
      </c>
      <c r="G401" s="23" t="str">
        <f t="shared" si="4"/>
        <v/>
      </c>
      <c r="H401" s="27"/>
      <c r="I401" s="27"/>
      <c r="J401" s="27"/>
      <c r="K401" s="27"/>
      <c r="L401" s="22">
        <f t="shared" si="5"/>
        <v>0</v>
      </c>
    </row>
    <row r="402">
      <c r="A402" s="27" t="str">
        <f>IFERROR(__xludf.DUMMYFUNCTION("""COMPUTED_VALUE"""),"ESSEX PROPERTY TRUST REIT INC")</f>
        <v>ESSEX PROPERTY TRUST REIT INC</v>
      </c>
      <c r="B402" s="27" t="str">
        <f>IFERROR(__xludf.DUMMYFUNCTION("""COMPUTED_VALUE"""),"Real Estate")</f>
        <v>Real Estate</v>
      </c>
      <c r="C402" s="27" t="str">
        <f>IFERROR(__xludf.DUMMYFUNCTION("""COMPUTED_VALUE"""),"United States")</f>
        <v>United States</v>
      </c>
      <c r="D402" s="27">
        <f>IFERROR(__xludf.DUMMYFUNCTION("""COMPUTED_VALUE"""),0.04)</f>
        <v>0.04</v>
      </c>
      <c r="E402" s="22">
        <f t="shared" si="2"/>
        <v>0.4</v>
      </c>
      <c r="F402" s="23" t="str">
        <f t="shared" si="3"/>
        <v/>
      </c>
      <c r="G402" s="23" t="str">
        <f t="shared" si="4"/>
        <v/>
      </c>
      <c r="H402" s="27"/>
      <c r="I402" s="27"/>
      <c r="J402" s="27"/>
      <c r="K402" s="27"/>
      <c r="L402" s="22">
        <f t="shared" si="5"/>
        <v>0</v>
      </c>
    </row>
    <row r="403">
      <c r="A403" s="27" t="str">
        <f>IFERROR(__xludf.DUMMYFUNCTION("""COMPUTED_VALUE"""),"AMCOR PLC")</f>
        <v>AMCOR PLC</v>
      </c>
      <c r="B403" s="27" t="str">
        <f>IFERROR(__xludf.DUMMYFUNCTION("""COMPUTED_VALUE"""),"Materials")</f>
        <v>Materials</v>
      </c>
      <c r="C403" s="27" t="str">
        <f>IFERROR(__xludf.DUMMYFUNCTION("""COMPUTED_VALUE"""),"United States")</f>
        <v>United States</v>
      </c>
      <c r="D403" s="27">
        <f>IFERROR(__xludf.DUMMYFUNCTION("""COMPUTED_VALUE"""),0.04)</f>
        <v>0.04</v>
      </c>
      <c r="E403" s="22">
        <f t="shared" si="2"/>
        <v>0.4</v>
      </c>
      <c r="F403" s="23" t="str">
        <f t="shared" si="3"/>
        <v>overlap</v>
      </c>
      <c r="G403" s="23" t="str">
        <f t="shared" si="4"/>
        <v/>
      </c>
      <c r="H403" s="27"/>
      <c r="I403" s="27"/>
      <c r="J403" s="27"/>
      <c r="K403" s="27"/>
      <c r="L403" s="22">
        <f t="shared" si="5"/>
        <v>0</v>
      </c>
    </row>
    <row r="404">
      <c r="A404" s="27" t="str">
        <f>IFERROR(__xludf.DUMMYFUNCTION("""COMPUTED_VALUE"""),"LAMB WESTON HOLDINGS INC")</f>
        <v>LAMB WESTON HOLDINGS INC</v>
      </c>
      <c r="B404" s="27" t="str">
        <f>IFERROR(__xludf.DUMMYFUNCTION("""COMPUTED_VALUE"""),"Consumer Staples")</f>
        <v>Consumer Staples</v>
      </c>
      <c r="C404" s="27" t="str">
        <f>IFERROR(__xludf.DUMMYFUNCTION("""COMPUTED_VALUE"""),"United States")</f>
        <v>United States</v>
      </c>
      <c r="D404" s="27">
        <f>IFERROR(__xludf.DUMMYFUNCTION("""COMPUTED_VALUE"""),0.04)</f>
        <v>0.04</v>
      </c>
      <c r="E404" s="22">
        <f t="shared" si="2"/>
        <v>0.4</v>
      </c>
      <c r="F404" s="23" t="str">
        <f t="shared" si="3"/>
        <v/>
      </c>
      <c r="G404" s="23" t="str">
        <f t="shared" si="4"/>
        <v/>
      </c>
      <c r="H404" s="27"/>
      <c r="I404" s="27"/>
      <c r="J404" s="27"/>
      <c r="K404" s="27"/>
      <c r="L404" s="22">
        <f t="shared" si="5"/>
        <v>0</v>
      </c>
    </row>
    <row r="405">
      <c r="A405" s="27" t="str">
        <f>IFERROR(__xludf.DUMMYFUNCTION("""COMPUTED_VALUE"""),"DOMINOS PIZZA INC")</f>
        <v>DOMINOS PIZZA INC</v>
      </c>
      <c r="B405" s="27" t="str">
        <f>IFERROR(__xludf.DUMMYFUNCTION("""COMPUTED_VALUE"""),"Consumer Discretionary")</f>
        <v>Consumer Discretionary</v>
      </c>
      <c r="C405" s="27" t="str">
        <f>IFERROR(__xludf.DUMMYFUNCTION("""COMPUTED_VALUE"""),"United States")</f>
        <v>United States</v>
      </c>
      <c r="D405" s="27">
        <f>IFERROR(__xludf.DUMMYFUNCTION("""COMPUTED_VALUE"""),0.04)</f>
        <v>0.04</v>
      </c>
      <c r="E405" s="22">
        <f t="shared" si="2"/>
        <v>0.4</v>
      </c>
      <c r="F405" s="23" t="str">
        <f t="shared" si="3"/>
        <v/>
      </c>
      <c r="G405" s="23" t="str">
        <f t="shared" si="4"/>
        <v/>
      </c>
      <c r="H405" s="27"/>
      <c r="I405" s="27"/>
      <c r="J405" s="27"/>
      <c r="K405" s="27"/>
      <c r="L405" s="22">
        <f t="shared" si="5"/>
        <v>0</v>
      </c>
    </row>
    <row r="406">
      <c r="A406" s="27" t="str">
        <f>IFERROR(__xludf.DUMMYFUNCTION("""COMPUTED_VALUE"""),"BEST BUY CO INC")</f>
        <v>BEST BUY CO INC</v>
      </c>
      <c r="B406" s="27" t="str">
        <f>IFERROR(__xludf.DUMMYFUNCTION("""COMPUTED_VALUE"""),"Consumer Discretionary")</f>
        <v>Consumer Discretionary</v>
      </c>
      <c r="C406" s="27" t="str">
        <f>IFERROR(__xludf.DUMMYFUNCTION("""COMPUTED_VALUE"""),"United States")</f>
        <v>United States</v>
      </c>
      <c r="D406" s="27">
        <f>IFERROR(__xludf.DUMMYFUNCTION("""COMPUTED_VALUE"""),0.04)</f>
        <v>0.04</v>
      </c>
      <c r="E406" s="22">
        <f t="shared" si="2"/>
        <v>0.4</v>
      </c>
      <c r="F406" s="23" t="str">
        <f t="shared" si="3"/>
        <v/>
      </c>
      <c r="G406" s="23" t="str">
        <f t="shared" si="4"/>
        <v/>
      </c>
      <c r="H406" s="27"/>
      <c r="I406" s="27"/>
      <c r="J406" s="27"/>
      <c r="K406" s="27"/>
      <c r="L406" s="22">
        <f t="shared" si="5"/>
        <v>0</v>
      </c>
    </row>
    <row r="407">
      <c r="A407" s="27" t="str">
        <f>IFERROR(__xludf.DUMMYFUNCTION("""COMPUTED_VALUE"""),"LKQ CORP")</f>
        <v>LKQ CORP</v>
      </c>
      <c r="B407" s="27" t="str">
        <f>IFERROR(__xludf.DUMMYFUNCTION("""COMPUTED_VALUE"""),"Consumer Discretionary")</f>
        <v>Consumer Discretionary</v>
      </c>
      <c r="C407" s="27" t="str">
        <f>IFERROR(__xludf.DUMMYFUNCTION("""COMPUTED_VALUE"""),"United States")</f>
        <v>United States</v>
      </c>
      <c r="D407" s="27">
        <f>IFERROR(__xludf.DUMMYFUNCTION("""COMPUTED_VALUE"""),0.04)</f>
        <v>0.04</v>
      </c>
      <c r="E407" s="22">
        <f t="shared" si="2"/>
        <v>0.4</v>
      </c>
      <c r="F407" s="23" t="str">
        <f t="shared" si="3"/>
        <v/>
      </c>
      <c r="G407" s="23" t="str">
        <f t="shared" si="4"/>
        <v/>
      </c>
      <c r="H407" s="27"/>
      <c r="I407" s="27"/>
      <c r="J407" s="27"/>
      <c r="K407" s="27"/>
      <c r="L407" s="22">
        <f t="shared" si="5"/>
        <v>0</v>
      </c>
    </row>
    <row r="408">
      <c r="A408" s="27" t="str">
        <f>IFERROR(__xludf.DUMMYFUNCTION("""COMPUTED_VALUE"""),"WR BERKLEY CORP")</f>
        <v>WR BERKLEY CORP</v>
      </c>
      <c r="B408" s="27" t="str">
        <f>IFERROR(__xludf.DUMMYFUNCTION("""COMPUTED_VALUE"""),"Financials")</f>
        <v>Financials</v>
      </c>
      <c r="C408" s="27" t="str">
        <f>IFERROR(__xludf.DUMMYFUNCTION("""COMPUTED_VALUE"""),"United States")</f>
        <v>United States</v>
      </c>
      <c r="D408" s="27">
        <f>IFERROR(__xludf.DUMMYFUNCTION("""COMPUTED_VALUE"""),0.04)</f>
        <v>0.04</v>
      </c>
      <c r="E408" s="22">
        <f t="shared" si="2"/>
        <v>0.4</v>
      </c>
      <c r="F408" s="23" t="str">
        <f t="shared" si="3"/>
        <v/>
      </c>
      <c r="G408" s="23" t="str">
        <f t="shared" si="4"/>
        <v/>
      </c>
      <c r="H408" s="27"/>
      <c r="I408" s="27"/>
      <c r="J408" s="27"/>
      <c r="K408" s="27"/>
      <c r="L408" s="22">
        <f t="shared" si="5"/>
        <v>0</v>
      </c>
    </row>
    <row r="409">
      <c r="A409" s="27" t="str">
        <f>IFERROR(__xludf.DUMMYFUNCTION("""COMPUTED_VALUE"""),"CONAGRA BRANDS INC")</f>
        <v>CONAGRA BRANDS INC</v>
      </c>
      <c r="B409" s="27" t="str">
        <f>IFERROR(__xludf.DUMMYFUNCTION("""COMPUTED_VALUE"""),"Consumer Staples")</f>
        <v>Consumer Staples</v>
      </c>
      <c r="C409" s="27" t="str">
        <f>IFERROR(__xludf.DUMMYFUNCTION("""COMPUTED_VALUE"""),"United States")</f>
        <v>United States</v>
      </c>
      <c r="D409" s="27">
        <f>IFERROR(__xludf.DUMMYFUNCTION("""COMPUTED_VALUE"""),0.04)</f>
        <v>0.04</v>
      </c>
      <c r="E409" s="22">
        <f t="shared" si="2"/>
        <v>0.4</v>
      </c>
      <c r="F409" s="23" t="str">
        <f t="shared" si="3"/>
        <v/>
      </c>
      <c r="G409" s="23" t="str">
        <f t="shared" si="4"/>
        <v/>
      </c>
      <c r="H409" s="27"/>
      <c r="I409" s="27"/>
      <c r="J409" s="27"/>
      <c r="K409" s="27"/>
      <c r="L409" s="22">
        <f t="shared" si="5"/>
        <v>0</v>
      </c>
    </row>
    <row r="410">
      <c r="A410" s="27" t="str">
        <f>IFERROR(__xludf.DUMMYFUNCTION("""COMPUTED_VALUE"""),"TRIMBLE INC")</f>
        <v>TRIMBLE INC</v>
      </c>
      <c r="B410" s="27" t="str">
        <f>IFERROR(__xludf.DUMMYFUNCTION("""COMPUTED_VALUE"""),"Information Technology")</f>
        <v>Information Technology</v>
      </c>
      <c r="C410" s="27" t="str">
        <f>IFERROR(__xludf.DUMMYFUNCTION("""COMPUTED_VALUE"""),"United States")</f>
        <v>United States</v>
      </c>
      <c r="D410" s="27">
        <f>IFERROR(__xludf.DUMMYFUNCTION("""COMPUTED_VALUE"""),0.04)</f>
        <v>0.04</v>
      </c>
      <c r="E410" s="22">
        <f t="shared" si="2"/>
        <v>0.4</v>
      </c>
      <c r="F410" s="23" t="str">
        <f t="shared" si="3"/>
        <v/>
      </c>
      <c r="G410" s="23" t="str">
        <f t="shared" si="4"/>
        <v/>
      </c>
      <c r="H410" s="27"/>
      <c r="I410" s="27"/>
      <c r="J410" s="27"/>
      <c r="K410" s="27"/>
      <c r="L410" s="22">
        <f t="shared" si="5"/>
        <v>0</v>
      </c>
    </row>
    <row r="411">
      <c r="A411" s="27" t="str">
        <f>IFERROR(__xludf.DUMMYFUNCTION("""COMPUTED_VALUE"""),"APA CORP")</f>
        <v>APA CORP</v>
      </c>
      <c r="B411" s="27" t="str">
        <f>IFERROR(__xludf.DUMMYFUNCTION("""COMPUTED_VALUE"""),"Energy")</f>
        <v>Energy</v>
      </c>
      <c r="C411" s="27" t="str">
        <f>IFERROR(__xludf.DUMMYFUNCTION("""COMPUTED_VALUE"""),"United States")</f>
        <v>United States</v>
      </c>
      <c r="D411" s="27">
        <f>IFERROR(__xludf.DUMMYFUNCTION("""COMPUTED_VALUE"""),0.04)</f>
        <v>0.04</v>
      </c>
      <c r="E411" s="22">
        <f t="shared" si="2"/>
        <v>0.4</v>
      </c>
      <c r="F411" s="23" t="str">
        <f t="shared" si="3"/>
        <v/>
      </c>
      <c r="G411" s="23" t="str">
        <f t="shared" si="4"/>
        <v/>
      </c>
      <c r="H411" s="27"/>
      <c r="I411" s="27"/>
      <c r="J411" s="27"/>
      <c r="K411" s="27"/>
      <c r="L411" s="22">
        <f t="shared" si="5"/>
        <v>0</v>
      </c>
    </row>
    <row r="412">
      <c r="A412" s="27" t="str">
        <f>IFERROR(__xludf.DUMMYFUNCTION("""COMPUTED_VALUE"""),"SYNCHRONY FINANCIAL")</f>
        <v>SYNCHRONY FINANCIAL</v>
      </c>
      <c r="B412" s="27" t="str">
        <f>IFERROR(__xludf.DUMMYFUNCTION("""COMPUTED_VALUE"""),"Financials")</f>
        <v>Financials</v>
      </c>
      <c r="C412" s="27" t="str">
        <f>IFERROR(__xludf.DUMMYFUNCTION("""COMPUTED_VALUE"""),"United States")</f>
        <v>United States</v>
      </c>
      <c r="D412" s="27">
        <f>IFERROR(__xludf.DUMMYFUNCTION("""COMPUTED_VALUE"""),0.04)</f>
        <v>0.04</v>
      </c>
      <c r="E412" s="22">
        <f t="shared" si="2"/>
        <v>0.4</v>
      </c>
      <c r="F412" s="23" t="str">
        <f t="shared" si="3"/>
        <v/>
      </c>
      <c r="G412" s="23" t="str">
        <f t="shared" si="4"/>
        <v/>
      </c>
      <c r="H412" s="27"/>
      <c r="I412" s="27"/>
      <c r="J412" s="27"/>
      <c r="K412" s="27"/>
      <c r="L412" s="22">
        <f t="shared" si="5"/>
        <v>0</v>
      </c>
    </row>
    <row r="413">
      <c r="A413" s="27" t="str">
        <f>IFERROR(__xludf.DUMMYFUNCTION("""COMPUTED_VALUE"""),"STANLEY BLACK &amp; DECKER INC")</f>
        <v>STANLEY BLACK &amp; DECKER INC</v>
      </c>
      <c r="B413" s="27" t="str">
        <f>IFERROR(__xludf.DUMMYFUNCTION("""COMPUTED_VALUE"""),"Industrials")</f>
        <v>Industrials</v>
      </c>
      <c r="C413" s="27" t="str">
        <f>IFERROR(__xludf.DUMMYFUNCTION("""COMPUTED_VALUE"""),"United States")</f>
        <v>United States</v>
      </c>
      <c r="D413" s="27">
        <f>IFERROR(__xludf.DUMMYFUNCTION("""COMPUTED_VALUE"""),0.04)</f>
        <v>0.04</v>
      </c>
      <c r="E413" s="22">
        <f t="shared" si="2"/>
        <v>0.4</v>
      </c>
      <c r="F413" s="23" t="str">
        <f t="shared" si="3"/>
        <v/>
      </c>
      <c r="G413" s="23" t="str">
        <f t="shared" si="4"/>
        <v/>
      </c>
      <c r="H413" s="27"/>
      <c r="I413" s="27"/>
      <c r="J413" s="27"/>
      <c r="K413" s="27"/>
      <c r="L413" s="22">
        <f t="shared" si="5"/>
        <v>0</v>
      </c>
    </row>
    <row r="414">
      <c r="A414" s="27" t="str">
        <f>IFERROR(__xludf.DUMMYFUNCTION("""COMPUTED_VALUE"""),"JM SMUCKER")</f>
        <v>JM SMUCKER</v>
      </c>
      <c r="B414" s="27" t="str">
        <f>IFERROR(__xludf.DUMMYFUNCTION("""COMPUTED_VALUE"""),"Consumer Staples")</f>
        <v>Consumer Staples</v>
      </c>
      <c r="C414" s="27" t="str">
        <f>IFERROR(__xludf.DUMMYFUNCTION("""COMPUTED_VALUE"""),"United States")</f>
        <v>United States</v>
      </c>
      <c r="D414" s="27">
        <f>IFERROR(__xludf.DUMMYFUNCTION("""COMPUTED_VALUE"""),0.04)</f>
        <v>0.04</v>
      </c>
      <c r="E414" s="22">
        <f t="shared" si="2"/>
        <v>0.4</v>
      </c>
      <c r="F414" s="23" t="str">
        <f t="shared" si="3"/>
        <v/>
      </c>
      <c r="G414" s="23" t="str">
        <f t="shared" si="4"/>
        <v/>
      </c>
      <c r="H414" s="27"/>
      <c r="I414" s="27"/>
      <c r="J414" s="27"/>
      <c r="K414" s="27"/>
      <c r="L414" s="22">
        <f t="shared" si="5"/>
        <v>0</v>
      </c>
    </row>
    <row r="415">
      <c r="A415" s="27" t="str">
        <f>IFERROR(__xludf.DUMMYFUNCTION("""COMPUTED_VALUE"""),"PAYCOM SOFTWARE INC")</f>
        <v>PAYCOM SOFTWARE INC</v>
      </c>
      <c r="B415" s="27" t="str">
        <f>IFERROR(__xludf.DUMMYFUNCTION("""COMPUTED_VALUE"""),"Industrials")</f>
        <v>Industrials</v>
      </c>
      <c r="C415" s="27" t="str">
        <f>IFERROR(__xludf.DUMMYFUNCTION("""COMPUTED_VALUE"""),"United States")</f>
        <v>United States</v>
      </c>
      <c r="D415" s="27">
        <f>IFERROR(__xludf.DUMMYFUNCTION("""COMPUTED_VALUE"""),0.04)</f>
        <v>0.04</v>
      </c>
      <c r="E415" s="22">
        <f t="shared" si="2"/>
        <v>0.4</v>
      </c>
      <c r="F415" s="23" t="str">
        <f t="shared" si="3"/>
        <v/>
      </c>
      <c r="G415" s="23" t="str">
        <f t="shared" si="4"/>
        <v/>
      </c>
      <c r="H415" s="27"/>
      <c r="I415" s="27"/>
      <c r="J415" s="27"/>
      <c r="K415" s="27"/>
      <c r="L415" s="22">
        <f t="shared" si="5"/>
        <v>0</v>
      </c>
    </row>
    <row r="416">
      <c r="A416" s="27" t="str">
        <f>IFERROR(__xludf.DUMMYFUNCTION("""COMPUTED_VALUE"""),"SEAGATE TECHNOLOGY HOLDINGS PLC")</f>
        <v>SEAGATE TECHNOLOGY HOLDINGS PLC</v>
      </c>
      <c r="B416" s="27" t="str">
        <f>IFERROR(__xludf.DUMMYFUNCTION("""COMPUTED_VALUE"""),"Information Technology")</f>
        <v>Information Technology</v>
      </c>
      <c r="C416" s="27" t="str">
        <f>IFERROR(__xludf.DUMMYFUNCTION("""COMPUTED_VALUE"""),"United States")</f>
        <v>United States</v>
      </c>
      <c r="D416" s="27">
        <f>IFERROR(__xludf.DUMMYFUNCTION("""COMPUTED_VALUE"""),0.04)</f>
        <v>0.04</v>
      </c>
      <c r="E416" s="22">
        <f t="shared" si="2"/>
        <v>0.4</v>
      </c>
      <c r="F416" s="23" t="str">
        <f t="shared" si="3"/>
        <v/>
      </c>
      <c r="G416" s="23" t="str">
        <f t="shared" si="4"/>
        <v/>
      </c>
      <c r="H416" s="27"/>
      <c r="I416" s="27"/>
      <c r="J416" s="27"/>
      <c r="K416" s="27"/>
      <c r="L416" s="22">
        <f t="shared" si="5"/>
        <v>0</v>
      </c>
    </row>
    <row r="417">
      <c r="A417" s="27" t="str">
        <f>IFERROR(__xludf.DUMMYFUNCTION("""COMPUTED_VALUE"""),"LEIDOS HOLDINGS INC")</f>
        <v>LEIDOS HOLDINGS INC</v>
      </c>
      <c r="B417" s="27" t="str">
        <f>IFERROR(__xludf.DUMMYFUNCTION("""COMPUTED_VALUE"""),"Industrials")</f>
        <v>Industrials</v>
      </c>
      <c r="C417" s="27" t="str">
        <f>IFERROR(__xludf.DUMMYFUNCTION("""COMPUTED_VALUE"""),"United States")</f>
        <v>United States</v>
      </c>
      <c r="D417" s="27">
        <f>IFERROR(__xludf.DUMMYFUNCTION("""COMPUTED_VALUE"""),0.04)</f>
        <v>0.04</v>
      </c>
      <c r="E417" s="22">
        <f t="shared" si="2"/>
        <v>0.4</v>
      </c>
      <c r="F417" s="23" t="str">
        <f t="shared" si="3"/>
        <v/>
      </c>
      <c r="G417" s="23" t="str">
        <f t="shared" si="4"/>
        <v/>
      </c>
      <c r="H417" s="27"/>
      <c r="I417" s="27"/>
      <c r="J417" s="27"/>
      <c r="K417" s="27"/>
      <c r="L417" s="22">
        <f t="shared" si="5"/>
        <v>0</v>
      </c>
    </row>
    <row r="418">
      <c r="A418" s="27" t="str">
        <f>IFERROR(__xludf.DUMMYFUNCTION("""COMPUTED_VALUE"""),"CELANESE CORP")</f>
        <v>CELANESE CORP</v>
      </c>
      <c r="B418" s="27" t="str">
        <f>IFERROR(__xludf.DUMMYFUNCTION("""COMPUTED_VALUE"""),"Materials")</f>
        <v>Materials</v>
      </c>
      <c r="C418" s="27" t="str">
        <f>IFERROR(__xludf.DUMMYFUNCTION("""COMPUTED_VALUE"""),"United States")</f>
        <v>United States</v>
      </c>
      <c r="D418" s="27">
        <f>IFERROR(__xludf.DUMMYFUNCTION("""COMPUTED_VALUE"""),0.04)</f>
        <v>0.04</v>
      </c>
      <c r="E418" s="22">
        <f t="shared" si="2"/>
        <v>0.4</v>
      </c>
      <c r="F418" s="23" t="str">
        <f t="shared" si="3"/>
        <v/>
      </c>
      <c r="G418" s="23" t="str">
        <f t="shared" si="4"/>
        <v/>
      </c>
      <c r="H418" s="27"/>
      <c r="I418" s="27"/>
      <c r="J418" s="27"/>
      <c r="K418" s="27"/>
      <c r="L418" s="22">
        <f t="shared" si="5"/>
        <v>0</v>
      </c>
    </row>
    <row r="419">
      <c r="A419" s="27" t="str">
        <f>IFERROR(__xludf.DUMMYFUNCTION("""COMPUTED_VALUE"""),"CITIZENS FINANCIAL GROUP INC")</f>
        <v>CITIZENS FINANCIAL GROUP INC</v>
      </c>
      <c r="B419" s="27" t="str">
        <f>IFERROR(__xludf.DUMMYFUNCTION("""COMPUTED_VALUE"""),"Financials")</f>
        <v>Financials</v>
      </c>
      <c r="C419" s="27" t="str">
        <f>IFERROR(__xludf.DUMMYFUNCTION("""COMPUTED_VALUE"""),"United States")</f>
        <v>United States</v>
      </c>
      <c r="D419" s="27">
        <f>IFERROR(__xludf.DUMMYFUNCTION("""COMPUTED_VALUE"""),0.03)</f>
        <v>0.03</v>
      </c>
      <c r="E419" s="22">
        <f t="shared" si="2"/>
        <v>0.3</v>
      </c>
      <c r="F419" s="23" t="str">
        <f t="shared" si="3"/>
        <v/>
      </c>
      <c r="G419" s="23" t="str">
        <f t="shared" si="4"/>
        <v/>
      </c>
      <c r="H419" s="27"/>
      <c r="I419" s="27"/>
      <c r="J419" s="27"/>
      <c r="K419" s="27"/>
      <c r="L419" s="22">
        <f t="shared" si="5"/>
        <v>0</v>
      </c>
    </row>
    <row r="420">
      <c r="A420" s="27" t="str">
        <f>IFERROR(__xludf.DUMMYFUNCTION("""COMPUTED_VALUE"""),"INTERNATIONAL PAPER")</f>
        <v>INTERNATIONAL PAPER</v>
      </c>
      <c r="B420" s="27" t="str">
        <f>IFERROR(__xludf.DUMMYFUNCTION("""COMPUTED_VALUE"""),"Materials")</f>
        <v>Materials</v>
      </c>
      <c r="C420" s="27" t="str">
        <f>IFERROR(__xludf.DUMMYFUNCTION("""COMPUTED_VALUE"""),"United States")</f>
        <v>United States</v>
      </c>
      <c r="D420" s="27">
        <f>IFERROR(__xludf.DUMMYFUNCTION("""COMPUTED_VALUE"""),0.03)</f>
        <v>0.03</v>
      </c>
      <c r="E420" s="22">
        <f t="shared" si="2"/>
        <v>0.3</v>
      </c>
      <c r="F420" s="23" t="str">
        <f t="shared" si="3"/>
        <v/>
      </c>
      <c r="G420" s="23" t="str">
        <f t="shared" si="4"/>
        <v/>
      </c>
      <c r="H420" s="27"/>
      <c r="I420" s="27"/>
      <c r="J420" s="27"/>
      <c r="K420" s="27"/>
      <c r="L420" s="22">
        <f t="shared" si="5"/>
        <v>0</v>
      </c>
    </row>
    <row r="421">
      <c r="A421" s="27" t="str">
        <f>IFERROR(__xludf.DUMMYFUNCTION("""COMPUTED_VALUE"""),"MASCO CORP")</f>
        <v>MASCO CORP</v>
      </c>
      <c r="B421" s="27" t="str">
        <f>IFERROR(__xludf.DUMMYFUNCTION("""COMPUTED_VALUE"""),"Industrials")</f>
        <v>Industrials</v>
      </c>
      <c r="C421" s="27" t="str">
        <f>IFERROR(__xludf.DUMMYFUNCTION("""COMPUTED_VALUE"""),"United States")</f>
        <v>United States</v>
      </c>
      <c r="D421" s="27">
        <f>IFERROR(__xludf.DUMMYFUNCTION("""COMPUTED_VALUE"""),0.03)</f>
        <v>0.03</v>
      </c>
      <c r="E421" s="22">
        <f t="shared" si="2"/>
        <v>0.3</v>
      </c>
      <c r="F421" s="23" t="str">
        <f t="shared" si="3"/>
        <v/>
      </c>
      <c r="G421" s="23" t="str">
        <f t="shared" si="4"/>
        <v/>
      </c>
      <c r="H421" s="27"/>
      <c r="I421" s="27"/>
      <c r="J421" s="27"/>
      <c r="K421" s="27"/>
      <c r="L421" s="22">
        <f t="shared" si="5"/>
        <v>0</v>
      </c>
    </row>
    <row r="422">
      <c r="A422" s="27" t="str">
        <f>IFERROR(__xludf.DUMMYFUNCTION("""COMPUTED_VALUE"""),"ZEBRA TECHNOLOGIES CORP CLASS A")</f>
        <v>ZEBRA TECHNOLOGIES CORP CLASS A</v>
      </c>
      <c r="B422" s="27" t="str">
        <f>IFERROR(__xludf.DUMMYFUNCTION("""COMPUTED_VALUE"""),"Information Technology")</f>
        <v>Information Technology</v>
      </c>
      <c r="C422" s="27" t="str">
        <f>IFERROR(__xludf.DUMMYFUNCTION("""COMPUTED_VALUE"""),"United States")</f>
        <v>United States</v>
      </c>
      <c r="D422" s="27">
        <f>IFERROR(__xludf.DUMMYFUNCTION("""COMPUTED_VALUE"""),0.03)</f>
        <v>0.03</v>
      </c>
      <c r="E422" s="22">
        <f t="shared" si="2"/>
        <v>0.3</v>
      </c>
      <c r="F422" s="23" t="str">
        <f t="shared" si="3"/>
        <v/>
      </c>
      <c r="G422" s="23" t="str">
        <f t="shared" si="4"/>
        <v/>
      </c>
      <c r="H422" s="27"/>
      <c r="I422" s="27"/>
      <c r="J422" s="27"/>
      <c r="K422" s="27"/>
      <c r="L422" s="22">
        <f t="shared" si="5"/>
        <v>0</v>
      </c>
    </row>
    <row r="423">
      <c r="A423" s="27" t="str">
        <f>IFERROR(__xludf.DUMMYFUNCTION("""COMPUTED_VALUE"""),"ALLIANT ENERGY CORP")</f>
        <v>ALLIANT ENERGY CORP</v>
      </c>
      <c r="B423" s="27" t="str">
        <f>IFERROR(__xludf.DUMMYFUNCTION("""COMPUTED_VALUE"""),"Utilities")</f>
        <v>Utilities</v>
      </c>
      <c r="C423" s="27" t="str">
        <f>IFERROR(__xludf.DUMMYFUNCTION("""COMPUTED_VALUE"""),"United States")</f>
        <v>United States</v>
      </c>
      <c r="D423" s="27">
        <f>IFERROR(__xludf.DUMMYFUNCTION("""COMPUTED_VALUE"""),0.03)</f>
        <v>0.03</v>
      </c>
      <c r="E423" s="22">
        <f t="shared" si="2"/>
        <v>0.3</v>
      </c>
      <c r="F423" s="23" t="str">
        <f t="shared" si="3"/>
        <v/>
      </c>
      <c r="G423" s="23" t="str">
        <f t="shared" si="4"/>
        <v/>
      </c>
      <c r="H423" s="27"/>
      <c r="I423" s="27"/>
      <c r="J423" s="27"/>
      <c r="K423" s="27"/>
      <c r="L423" s="22">
        <f t="shared" si="5"/>
        <v>0</v>
      </c>
    </row>
    <row r="424">
      <c r="A424" s="27" t="str">
        <f>IFERROR(__xludf.DUMMYFUNCTION("""COMPUTED_VALUE"""),"NORDSON CORP")</f>
        <v>NORDSON CORP</v>
      </c>
      <c r="B424" s="27" t="str">
        <f>IFERROR(__xludf.DUMMYFUNCTION("""COMPUTED_VALUE"""),"Industrials")</f>
        <v>Industrials</v>
      </c>
      <c r="C424" s="27" t="str">
        <f>IFERROR(__xludf.DUMMYFUNCTION("""COMPUTED_VALUE"""),"United States")</f>
        <v>United States</v>
      </c>
      <c r="D424" s="27">
        <f>IFERROR(__xludf.DUMMYFUNCTION("""COMPUTED_VALUE"""),0.03)</f>
        <v>0.03</v>
      </c>
      <c r="E424" s="22">
        <f t="shared" si="2"/>
        <v>0.3</v>
      </c>
      <c r="F424" s="23" t="str">
        <f t="shared" si="3"/>
        <v/>
      </c>
      <c r="G424" s="23" t="str">
        <f t="shared" si="4"/>
        <v/>
      </c>
      <c r="H424" s="27"/>
      <c r="I424" s="27"/>
      <c r="J424" s="27"/>
      <c r="K424" s="27"/>
      <c r="L424" s="22">
        <f t="shared" si="5"/>
        <v>0</v>
      </c>
    </row>
    <row r="425">
      <c r="A425" s="27" t="str">
        <f>IFERROR(__xludf.DUMMYFUNCTION("""COMPUTED_VALUE"""),"MOSAIC")</f>
        <v>MOSAIC</v>
      </c>
      <c r="B425" s="27" t="str">
        <f>IFERROR(__xludf.DUMMYFUNCTION("""COMPUTED_VALUE"""),"Materials")</f>
        <v>Materials</v>
      </c>
      <c r="C425" s="27" t="str">
        <f>IFERROR(__xludf.DUMMYFUNCTION("""COMPUTED_VALUE"""),"United States")</f>
        <v>United States</v>
      </c>
      <c r="D425" s="27">
        <f>IFERROR(__xludf.DUMMYFUNCTION("""COMPUTED_VALUE"""),0.03)</f>
        <v>0.03</v>
      </c>
      <c r="E425" s="22">
        <f t="shared" si="2"/>
        <v>0.3</v>
      </c>
      <c r="F425" s="23" t="str">
        <f t="shared" si="3"/>
        <v/>
      </c>
      <c r="G425" s="23" t="str">
        <f t="shared" si="4"/>
        <v/>
      </c>
      <c r="H425" s="27"/>
      <c r="I425" s="27"/>
      <c r="J425" s="27"/>
      <c r="K425" s="27"/>
      <c r="L425" s="22">
        <f t="shared" si="5"/>
        <v>0</v>
      </c>
    </row>
    <row r="426">
      <c r="A426" s="27" t="str">
        <f>IFERROR(__xludf.DUMMYFUNCTION("""COMPUTED_VALUE"""),"LIVE NATION ENTERTAINMENT INC")</f>
        <v>LIVE NATION ENTERTAINMENT INC</v>
      </c>
      <c r="B426" s="27" t="str">
        <f>IFERROR(__xludf.DUMMYFUNCTION("""COMPUTED_VALUE"""),"Communication")</f>
        <v>Communication</v>
      </c>
      <c r="C426" s="27" t="str">
        <f>IFERROR(__xludf.DUMMYFUNCTION("""COMPUTED_VALUE"""),"United States")</f>
        <v>United States</v>
      </c>
      <c r="D426" s="27">
        <f>IFERROR(__xludf.DUMMYFUNCTION("""COMPUTED_VALUE"""),0.03)</f>
        <v>0.03</v>
      </c>
      <c r="E426" s="22">
        <f t="shared" si="2"/>
        <v>0.3</v>
      </c>
      <c r="F426" s="23" t="str">
        <f t="shared" si="3"/>
        <v/>
      </c>
      <c r="G426" s="23" t="str">
        <f t="shared" si="4"/>
        <v/>
      </c>
      <c r="H426" s="27"/>
      <c r="I426" s="27"/>
      <c r="J426" s="27"/>
      <c r="K426" s="27"/>
      <c r="L426" s="22">
        <f t="shared" si="5"/>
        <v>0</v>
      </c>
    </row>
    <row r="427">
      <c r="A427" s="27" t="str">
        <f>IFERROR(__xludf.DUMMYFUNCTION("""COMPUTED_VALUE"""),"LOEWS CORP")</f>
        <v>LOEWS CORP</v>
      </c>
      <c r="B427" s="27" t="str">
        <f>IFERROR(__xludf.DUMMYFUNCTION("""COMPUTED_VALUE"""),"Financials")</f>
        <v>Financials</v>
      </c>
      <c r="C427" s="27" t="str">
        <f>IFERROR(__xludf.DUMMYFUNCTION("""COMPUTED_VALUE"""),"United States")</f>
        <v>United States</v>
      </c>
      <c r="D427" s="27">
        <f>IFERROR(__xludf.DUMMYFUNCTION("""COMPUTED_VALUE"""),0.03)</f>
        <v>0.03</v>
      </c>
      <c r="E427" s="22">
        <f t="shared" si="2"/>
        <v>0.3</v>
      </c>
      <c r="F427" s="23" t="str">
        <f t="shared" si="3"/>
        <v/>
      </c>
      <c r="G427" s="23" t="str">
        <f t="shared" si="4"/>
        <v/>
      </c>
      <c r="H427" s="27"/>
      <c r="I427" s="27"/>
      <c r="J427" s="27"/>
      <c r="K427" s="27"/>
      <c r="L427" s="22">
        <f t="shared" si="5"/>
        <v>0</v>
      </c>
    </row>
    <row r="428">
      <c r="A428" s="27" t="str">
        <f>IFERROR(__xludf.DUMMYFUNCTION("""COMPUTED_VALUE"""),"VIATRIS INC")</f>
        <v>VIATRIS INC</v>
      </c>
      <c r="B428" s="27" t="str">
        <f>IFERROR(__xludf.DUMMYFUNCTION("""COMPUTED_VALUE"""),"Health Care")</f>
        <v>Health Care</v>
      </c>
      <c r="C428" s="27" t="str">
        <f>IFERROR(__xludf.DUMMYFUNCTION("""COMPUTED_VALUE"""),"United States")</f>
        <v>United States</v>
      </c>
      <c r="D428" s="27">
        <f>IFERROR(__xludf.DUMMYFUNCTION("""COMPUTED_VALUE"""),0.03)</f>
        <v>0.03</v>
      </c>
      <c r="E428" s="22">
        <f t="shared" si="2"/>
        <v>0.3</v>
      </c>
      <c r="F428" s="23" t="str">
        <f t="shared" si="3"/>
        <v/>
      </c>
      <c r="G428" s="23" t="str">
        <f t="shared" si="4"/>
        <v/>
      </c>
      <c r="H428" s="27"/>
      <c r="I428" s="27"/>
      <c r="J428" s="27"/>
      <c r="K428" s="27"/>
      <c r="L428" s="22">
        <f t="shared" si="5"/>
        <v>0</v>
      </c>
    </row>
    <row r="429">
      <c r="A429" s="27" t="str">
        <f>IFERROR(__xludf.DUMMYFUNCTION("""COMPUTED_VALUE"""),"HOST HOTELS &amp; RESORTS REIT INC")</f>
        <v>HOST HOTELS &amp; RESORTS REIT INC</v>
      </c>
      <c r="B429" s="27" t="str">
        <f>IFERROR(__xludf.DUMMYFUNCTION("""COMPUTED_VALUE"""),"Real Estate")</f>
        <v>Real Estate</v>
      </c>
      <c r="C429" s="27" t="str">
        <f>IFERROR(__xludf.DUMMYFUNCTION("""COMPUTED_VALUE"""),"United States")</f>
        <v>United States</v>
      </c>
      <c r="D429" s="27">
        <f>IFERROR(__xludf.DUMMYFUNCTION("""COMPUTED_VALUE"""),0.03)</f>
        <v>0.03</v>
      </c>
      <c r="E429" s="22">
        <f t="shared" si="2"/>
        <v>0.3</v>
      </c>
      <c r="F429" s="23" t="str">
        <f t="shared" si="3"/>
        <v/>
      </c>
      <c r="G429" s="23" t="str">
        <f t="shared" si="4"/>
        <v/>
      </c>
      <c r="H429" s="27"/>
      <c r="I429" s="27"/>
      <c r="J429" s="27"/>
      <c r="K429" s="27"/>
      <c r="L429" s="22">
        <f t="shared" si="5"/>
        <v>0</v>
      </c>
    </row>
    <row r="430">
      <c r="A430" s="27" t="str">
        <f>IFERROR(__xludf.DUMMYFUNCTION("""COMPUTED_VALUE"""),"MOLSON COORS BREWING CLASS B")</f>
        <v>MOLSON COORS BREWING CLASS B</v>
      </c>
      <c r="B430" s="27" t="str">
        <f>IFERROR(__xludf.DUMMYFUNCTION("""COMPUTED_VALUE"""),"Consumer Staples")</f>
        <v>Consumer Staples</v>
      </c>
      <c r="C430" s="27" t="str">
        <f>IFERROR(__xludf.DUMMYFUNCTION("""COMPUTED_VALUE"""),"United States")</f>
        <v>United States</v>
      </c>
      <c r="D430" s="27">
        <f>IFERROR(__xludf.DUMMYFUNCTION("""COMPUTED_VALUE"""),0.03)</f>
        <v>0.03</v>
      </c>
      <c r="E430" s="22">
        <f t="shared" si="2"/>
        <v>0.3</v>
      </c>
      <c r="F430" s="23" t="str">
        <f t="shared" si="3"/>
        <v/>
      </c>
      <c r="G430" s="23" t="str">
        <f t="shared" si="4"/>
        <v/>
      </c>
      <c r="H430" s="27"/>
      <c r="I430" s="27"/>
      <c r="J430" s="27"/>
      <c r="K430" s="27"/>
      <c r="L430" s="22">
        <f t="shared" si="5"/>
        <v>0</v>
      </c>
    </row>
    <row r="431">
      <c r="A431" s="27" t="str">
        <f>IFERROR(__xludf.DUMMYFUNCTION("""COMPUTED_VALUE"""),"EVERGY INC")</f>
        <v>EVERGY INC</v>
      </c>
      <c r="B431" s="27" t="str">
        <f>IFERROR(__xludf.DUMMYFUNCTION("""COMPUTED_VALUE"""),"Utilities")</f>
        <v>Utilities</v>
      </c>
      <c r="C431" s="27" t="str">
        <f>IFERROR(__xludf.DUMMYFUNCTION("""COMPUTED_VALUE"""),"United States")</f>
        <v>United States</v>
      </c>
      <c r="D431" s="27">
        <f>IFERROR(__xludf.DUMMYFUNCTION("""COMPUTED_VALUE"""),0.03)</f>
        <v>0.03</v>
      </c>
      <c r="E431" s="22">
        <f t="shared" si="2"/>
        <v>0.3</v>
      </c>
      <c r="F431" s="23" t="str">
        <f t="shared" si="3"/>
        <v/>
      </c>
      <c r="G431" s="23" t="str">
        <f t="shared" si="4"/>
        <v/>
      </c>
      <c r="H431" s="27"/>
      <c r="I431" s="27"/>
      <c r="J431" s="27"/>
      <c r="K431" s="27"/>
      <c r="L431" s="22">
        <f t="shared" si="5"/>
        <v>0</v>
      </c>
    </row>
    <row r="432">
      <c r="A432" s="27" t="str">
        <f>IFERROR(__xludf.DUMMYFUNCTION("""COMPUTED_VALUE"""),"INSULET CORP")</f>
        <v>INSULET CORP</v>
      </c>
      <c r="B432" s="27" t="str">
        <f>IFERROR(__xludf.DUMMYFUNCTION("""COMPUTED_VALUE"""),"Health Care")</f>
        <v>Health Care</v>
      </c>
      <c r="C432" s="27" t="str">
        <f>IFERROR(__xludf.DUMMYFUNCTION("""COMPUTED_VALUE"""),"United States")</f>
        <v>United States</v>
      </c>
      <c r="D432" s="27">
        <f>IFERROR(__xludf.DUMMYFUNCTION("""COMPUTED_VALUE"""),0.03)</f>
        <v>0.03</v>
      </c>
      <c r="E432" s="22">
        <f t="shared" si="2"/>
        <v>0.3</v>
      </c>
      <c r="F432" s="23" t="str">
        <f t="shared" si="3"/>
        <v/>
      </c>
      <c r="G432" s="23" t="str">
        <f t="shared" si="4"/>
        <v/>
      </c>
      <c r="H432" s="27"/>
      <c r="I432" s="27"/>
      <c r="J432" s="27"/>
      <c r="K432" s="27"/>
      <c r="L432" s="22">
        <f t="shared" si="5"/>
        <v>0</v>
      </c>
    </row>
    <row r="433">
      <c r="A433" s="27" t="str">
        <f>IFERROR(__xludf.DUMMYFUNCTION("""COMPUTED_VALUE"""),"INTERPUBLIC GROUP OF COMPANIES INC")</f>
        <v>INTERPUBLIC GROUP OF COMPANIES INC</v>
      </c>
      <c r="B433" s="27" t="str">
        <f>IFERROR(__xludf.DUMMYFUNCTION("""COMPUTED_VALUE"""),"Communication")</f>
        <v>Communication</v>
      </c>
      <c r="C433" s="27" t="str">
        <f>IFERROR(__xludf.DUMMYFUNCTION("""COMPUTED_VALUE"""),"United States")</f>
        <v>United States</v>
      </c>
      <c r="D433" s="27">
        <f>IFERROR(__xludf.DUMMYFUNCTION("""COMPUTED_VALUE"""),0.03)</f>
        <v>0.03</v>
      </c>
      <c r="E433" s="22">
        <f t="shared" si="2"/>
        <v>0.3</v>
      </c>
      <c r="F433" s="23" t="str">
        <f t="shared" si="3"/>
        <v/>
      </c>
      <c r="G433" s="23" t="str">
        <f t="shared" si="4"/>
        <v/>
      </c>
      <c r="H433" s="27"/>
      <c r="I433" s="27"/>
      <c r="J433" s="27"/>
      <c r="K433" s="27"/>
      <c r="L433" s="22">
        <f t="shared" si="5"/>
        <v>0</v>
      </c>
    </row>
    <row r="434">
      <c r="A434" s="27" t="str">
        <f>IFERROR(__xludf.DUMMYFUNCTION("""COMPUTED_VALUE"""),"JACK HENRY AND ASSOCIATES INC")</f>
        <v>JACK HENRY AND ASSOCIATES INC</v>
      </c>
      <c r="B434" s="27" t="str">
        <f>IFERROR(__xludf.DUMMYFUNCTION("""COMPUTED_VALUE"""),"Financials")</f>
        <v>Financials</v>
      </c>
      <c r="C434" s="27" t="str">
        <f>IFERROR(__xludf.DUMMYFUNCTION("""COMPUTED_VALUE"""),"United States")</f>
        <v>United States</v>
      </c>
      <c r="D434" s="27">
        <f>IFERROR(__xludf.DUMMYFUNCTION("""COMPUTED_VALUE"""),0.03)</f>
        <v>0.03</v>
      </c>
      <c r="E434" s="22">
        <f t="shared" si="2"/>
        <v>0.3</v>
      </c>
      <c r="F434" s="23" t="str">
        <f t="shared" si="3"/>
        <v/>
      </c>
      <c r="G434" s="23" t="str">
        <f t="shared" si="4"/>
        <v/>
      </c>
      <c r="H434" s="27"/>
      <c r="I434" s="27"/>
      <c r="J434" s="27"/>
      <c r="K434" s="27"/>
      <c r="L434" s="22">
        <f t="shared" si="5"/>
        <v>0</v>
      </c>
    </row>
    <row r="435">
      <c r="A435" s="27" t="str">
        <f>IFERROR(__xludf.DUMMYFUNCTION("""COMPUTED_VALUE"""),"HORMEL FOODS CORP")</f>
        <v>HORMEL FOODS CORP</v>
      </c>
      <c r="B435" s="27" t="str">
        <f>IFERROR(__xludf.DUMMYFUNCTION("""COMPUTED_VALUE"""),"Consumer Staples")</f>
        <v>Consumer Staples</v>
      </c>
      <c r="C435" s="27" t="str">
        <f>IFERROR(__xludf.DUMMYFUNCTION("""COMPUTED_VALUE"""),"United States")</f>
        <v>United States</v>
      </c>
      <c r="D435" s="27">
        <f>IFERROR(__xludf.DUMMYFUNCTION("""COMPUTED_VALUE"""),0.03)</f>
        <v>0.03</v>
      </c>
      <c r="E435" s="22">
        <f t="shared" si="2"/>
        <v>0.3</v>
      </c>
      <c r="F435" s="23" t="str">
        <f t="shared" si="3"/>
        <v/>
      </c>
      <c r="G435" s="23" t="str">
        <f t="shared" si="4"/>
        <v/>
      </c>
      <c r="H435" s="27"/>
      <c r="I435" s="27"/>
      <c r="J435" s="27"/>
      <c r="K435" s="27"/>
      <c r="L435" s="22">
        <f t="shared" si="5"/>
        <v>0</v>
      </c>
    </row>
    <row r="436">
      <c r="A436" s="27" t="str">
        <f>IFERROR(__xludf.DUMMYFUNCTION("""COMPUTED_VALUE"""),"MATCH GROUP INC")</f>
        <v>MATCH GROUP INC</v>
      </c>
      <c r="B436" s="27" t="str">
        <f>IFERROR(__xludf.DUMMYFUNCTION("""COMPUTED_VALUE"""),"Communication")</f>
        <v>Communication</v>
      </c>
      <c r="C436" s="27" t="str">
        <f>IFERROR(__xludf.DUMMYFUNCTION("""COMPUTED_VALUE"""),"United States")</f>
        <v>United States</v>
      </c>
      <c r="D436" s="27">
        <f>IFERROR(__xludf.DUMMYFUNCTION("""COMPUTED_VALUE"""),0.03)</f>
        <v>0.03</v>
      </c>
      <c r="E436" s="22">
        <f t="shared" si="2"/>
        <v>0.3</v>
      </c>
      <c r="F436" s="23" t="str">
        <f t="shared" si="3"/>
        <v/>
      </c>
      <c r="G436" s="23" t="str">
        <f t="shared" si="4"/>
        <v/>
      </c>
      <c r="H436" s="27"/>
      <c r="I436" s="27"/>
      <c r="J436" s="27"/>
      <c r="K436" s="27"/>
      <c r="L436" s="22">
        <f t="shared" si="5"/>
        <v>0</v>
      </c>
    </row>
    <row r="437">
      <c r="A437" s="27" t="str">
        <f>IFERROR(__xludf.DUMMYFUNCTION("""COMPUTED_VALUE"""),"KIMCO REALTY REIT CORP")</f>
        <v>KIMCO REALTY REIT CORP</v>
      </c>
      <c r="B437" s="27" t="str">
        <f>IFERROR(__xludf.DUMMYFUNCTION("""COMPUTED_VALUE"""),"Real Estate")</f>
        <v>Real Estate</v>
      </c>
      <c r="C437" s="27" t="str">
        <f>IFERROR(__xludf.DUMMYFUNCTION("""COMPUTED_VALUE"""),"United States")</f>
        <v>United States</v>
      </c>
      <c r="D437" s="27">
        <f>IFERROR(__xludf.DUMMYFUNCTION("""COMPUTED_VALUE"""),0.03)</f>
        <v>0.03</v>
      </c>
      <c r="E437" s="22">
        <f t="shared" si="2"/>
        <v>0.3</v>
      </c>
      <c r="F437" s="23" t="str">
        <f t="shared" si="3"/>
        <v/>
      </c>
      <c r="G437" s="23" t="str">
        <f t="shared" si="4"/>
        <v/>
      </c>
      <c r="H437" s="27"/>
      <c r="I437" s="27"/>
      <c r="J437" s="27"/>
      <c r="K437" s="27"/>
      <c r="L437" s="22">
        <f t="shared" si="5"/>
        <v>0</v>
      </c>
    </row>
    <row r="438">
      <c r="A438" s="27" t="str">
        <f>IFERROR(__xludf.DUMMYFUNCTION("""COMPUTED_VALUE"""),"CARMAX INC")</f>
        <v>CARMAX INC</v>
      </c>
      <c r="B438" s="27" t="str">
        <f>IFERROR(__xludf.DUMMYFUNCTION("""COMPUTED_VALUE"""),"Consumer Discretionary")</f>
        <v>Consumer Discretionary</v>
      </c>
      <c r="C438" s="27" t="str">
        <f>IFERROR(__xludf.DUMMYFUNCTION("""COMPUTED_VALUE"""),"United States")</f>
        <v>United States</v>
      </c>
      <c r="D438" s="27">
        <f>IFERROR(__xludf.DUMMYFUNCTION("""COMPUTED_VALUE"""),0.03)</f>
        <v>0.03</v>
      </c>
      <c r="E438" s="22">
        <f t="shared" si="2"/>
        <v>0.3</v>
      </c>
      <c r="F438" s="23" t="str">
        <f t="shared" si="3"/>
        <v/>
      </c>
      <c r="G438" s="23" t="str">
        <f t="shared" si="4"/>
        <v/>
      </c>
      <c r="H438" s="27"/>
      <c r="I438" s="27"/>
      <c r="J438" s="27"/>
      <c r="K438" s="27"/>
      <c r="L438" s="22">
        <f t="shared" si="5"/>
        <v>0</v>
      </c>
    </row>
    <row r="439">
      <c r="A439" s="27" t="str">
        <f>IFERROR(__xludf.DUMMYFUNCTION("""COMPUTED_VALUE"""),"INCYTE CORP")</f>
        <v>INCYTE CORP</v>
      </c>
      <c r="B439" s="27" t="str">
        <f>IFERROR(__xludf.DUMMYFUNCTION("""COMPUTED_VALUE"""),"Health Care")</f>
        <v>Health Care</v>
      </c>
      <c r="C439" s="27" t="str">
        <f>IFERROR(__xludf.DUMMYFUNCTION("""COMPUTED_VALUE"""),"United States")</f>
        <v>United States</v>
      </c>
      <c r="D439" s="27">
        <f>IFERROR(__xludf.DUMMYFUNCTION("""COMPUTED_VALUE"""),0.03)</f>
        <v>0.03</v>
      </c>
      <c r="E439" s="22">
        <f t="shared" si="2"/>
        <v>0.3</v>
      </c>
      <c r="F439" s="23" t="str">
        <f t="shared" si="3"/>
        <v/>
      </c>
      <c r="G439" s="23" t="str">
        <f t="shared" si="4"/>
        <v/>
      </c>
      <c r="H439" s="27"/>
      <c r="I439" s="27"/>
      <c r="J439" s="27"/>
      <c r="K439" s="27"/>
      <c r="L439" s="22">
        <f t="shared" si="5"/>
        <v>0</v>
      </c>
    </row>
    <row r="440">
      <c r="A440" s="27" t="str">
        <f>IFERROR(__xludf.DUMMYFUNCTION("""COMPUTED_VALUE"""),"UDR REIT INC")</f>
        <v>UDR REIT INC</v>
      </c>
      <c r="B440" s="27" t="str">
        <f>IFERROR(__xludf.DUMMYFUNCTION("""COMPUTED_VALUE"""),"Real Estate")</f>
        <v>Real Estate</v>
      </c>
      <c r="C440" s="27" t="str">
        <f>IFERROR(__xludf.DUMMYFUNCTION("""COMPUTED_VALUE"""),"United States")</f>
        <v>United States</v>
      </c>
      <c r="D440" s="27">
        <f>IFERROR(__xludf.DUMMYFUNCTION("""COMPUTED_VALUE"""),0.03)</f>
        <v>0.03</v>
      </c>
      <c r="E440" s="22">
        <f t="shared" si="2"/>
        <v>0.3</v>
      </c>
      <c r="F440" s="23" t="str">
        <f t="shared" si="3"/>
        <v/>
      </c>
      <c r="G440" s="23" t="str">
        <f t="shared" si="4"/>
        <v/>
      </c>
      <c r="H440" s="27"/>
      <c r="I440" s="27"/>
      <c r="J440" s="27"/>
      <c r="K440" s="27"/>
      <c r="L440" s="22">
        <f t="shared" si="5"/>
        <v>0</v>
      </c>
    </row>
    <row r="441">
      <c r="A441" s="27" t="str">
        <f>IFERROR(__xludf.DUMMYFUNCTION("""COMPUTED_VALUE"""),"PENTAIR")</f>
        <v>PENTAIR</v>
      </c>
      <c r="B441" s="27" t="str">
        <f>IFERROR(__xludf.DUMMYFUNCTION("""COMPUTED_VALUE"""),"Industrials")</f>
        <v>Industrials</v>
      </c>
      <c r="C441" s="27" t="str">
        <f>IFERROR(__xludf.DUMMYFUNCTION("""COMPUTED_VALUE"""),"United States")</f>
        <v>United States</v>
      </c>
      <c r="D441" s="27">
        <f>IFERROR(__xludf.DUMMYFUNCTION("""COMPUTED_VALUE"""),0.03)</f>
        <v>0.03</v>
      </c>
      <c r="E441" s="22">
        <f t="shared" si="2"/>
        <v>0.3</v>
      </c>
      <c r="F441" s="23" t="str">
        <f t="shared" si="3"/>
        <v/>
      </c>
      <c r="G441" s="23" t="str">
        <f t="shared" si="4"/>
        <v/>
      </c>
      <c r="H441" s="27"/>
      <c r="I441" s="27"/>
      <c r="J441" s="27"/>
      <c r="K441" s="27"/>
      <c r="L441" s="22">
        <f t="shared" si="5"/>
        <v>0</v>
      </c>
    </row>
    <row r="442">
      <c r="A442" s="27" t="str">
        <f>IFERROR(__xludf.DUMMYFUNCTION("""COMPUTED_VALUE"""),"BIO TECHNE CORP")</f>
        <v>BIO TECHNE CORP</v>
      </c>
      <c r="B442" s="27" t="str">
        <f>IFERROR(__xludf.DUMMYFUNCTION("""COMPUTED_VALUE"""),"Health Care")</f>
        <v>Health Care</v>
      </c>
      <c r="C442" s="27" t="str">
        <f>IFERROR(__xludf.DUMMYFUNCTION("""COMPUTED_VALUE"""),"United States")</f>
        <v>United States</v>
      </c>
      <c r="D442" s="27">
        <f>IFERROR(__xludf.DUMMYFUNCTION("""COMPUTED_VALUE"""),0.03)</f>
        <v>0.03</v>
      </c>
      <c r="E442" s="22">
        <f t="shared" si="2"/>
        <v>0.3</v>
      </c>
      <c r="F442" s="23" t="str">
        <f t="shared" si="3"/>
        <v/>
      </c>
      <c r="G442" s="23" t="str">
        <f t="shared" si="4"/>
        <v/>
      </c>
      <c r="H442" s="27"/>
      <c r="I442" s="27"/>
      <c r="J442" s="27"/>
      <c r="K442" s="27"/>
      <c r="L442" s="22">
        <f t="shared" si="5"/>
        <v>0</v>
      </c>
    </row>
    <row r="443">
      <c r="A443" s="27" t="str">
        <f>IFERROR(__xludf.DUMMYFUNCTION("""COMPUTED_VALUE"""),"ROLLINS INC")</f>
        <v>ROLLINS INC</v>
      </c>
      <c r="B443" s="27" t="str">
        <f>IFERROR(__xludf.DUMMYFUNCTION("""COMPUTED_VALUE"""),"Industrials")</f>
        <v>Industrials</v>
      </c>
      <c r="C443" s="27" t="str">
        <f>IFERROR(__xludf.DUMMYFUNCTION("""COMPUTED_VALUE"""),"United States")</f>
        <v>United States</v>
      </c>
      <c r="D443" s="27">
        <f>IFERROR(__xludf.DUMMYFUNCTION("""COMPUTED_VALUE"""),0.03)</f>
        <v>0.03</v>
      </c>
      <c r="E443" s="22">
        <f t="shared" si="2"/>
        <v>0.3</v>
      </c>
      <c r="F443" s="23" t="str">
        <f t="shared" si="3"/>
        <v/>
      </c>
      <c r="G443" s="23" t="str">
        <f t="shared" si="4"/>
        <v/>
      </c>
      <c r="H443" s="27"/>
      <c r="I443" s="27"/>
      <c r="J443" s="27"/>
      <c r="K443" s="27"/>
      <c r="L443" s="22">
        <f t="shared" si="5"/>
        <v>0</v>
      </c>
    </row>
    <row r="444">
      <c r="A444" s="27" t="str">
        <f>IFERROR(__xludf.DUMMYFUNCTION("""COMPUTED_VALUE"""),"CERIDIAN HCM HOLDING INC")</f>
        <v>CERIDIAN HCM HOLDING INC</v>
      </c>
      <c r="B444" s="27" t="str">
        <f>IFERROR(__xludf.DUMMYFUNCTION("""COMPUTED_VALUE"""),"Industrials")</f>
        <v>Industrials</v>
      </c>
      <c r="C444" s="27" t="str">
        <f>IFERROR(__xludf.DUMMYFUNCTION("""COMPUTED_VALUE"""),"United States")</f>
        <v>United States</v>
      </c>
      <c r="D444" s="27">
        <f>IFERROR(__xludf.DUMMYFUNCTION("""COMPUTED_VALUE"""),0.03)</f>
        <v>0.03</v>
      </c>
      <c r="E444" s="22">
        <f t="shared" si="2"/>
        <v>0.3</v>
      </c>
      <c r="F444" s="23" t="str">
        <f t="shared" si="3"/>
        <v/>
      </c>
      <c r="G444" s="23" t="str">
        <f t="shared" si="4"/>
        <v/>
      </c>
      <c r="H444" s="27"/>
      <c r="I444" s="27"/>
      <c r="J444" s="27"/>
      <c r="K444" s="27"/>
      <c r="L444" s="22">
        <f t="shared" si="5"/>
        <v>0</v>
      </c>
    </row>
    <row r="445">
      <c r="A445" s="27" t="str">
        <f>IFERROR(__xludf.DUMMYFUNCTION("""COMPUTED_VALUE"""),"BROWN FORMAN CORP CLASS B")</f>
        <v>BROWN FORMAN CORP CLASS B</v>
      </c>
      <c r="B445" s="27" t="str">
        <f>IFERROR(__xludf.DUMMYFUNCTION("""COMPUTED_VALUE"""),"Consumer Staples")</f>
        <v>Consumer Staples</v>
      </c>
      <c r="C445" s="27" t="str">
        <f>IFERROR(__xludf.DUMMYFUNCTION("""COMPUTED_VALUE"""),"United States")</f>
        <v>United States</v>
      </c>
      <c r="D445" s="27">
        <f>IFERROR(__xludf.DUMMYFUNCTION("""COMPUTED_VALUE"""),0.03)</f>
        <v>0.03</v>
      </c>
      <c r="E445" s="22">
        <f t="shared" si="2"/>
        <v>0.3</v>
      </c>
      <c r="F445" s="23" t="str">
        <f t="shared" si="3"/>
        <v/>
      </c>
      <c r="G445" s="23" t="str">
        <f t="shared" si="4"/>
        <v/>
      </c>
      <c r="H445" s="27"/>
      <c r="I445" s="27"/>
      <c r="J445" s="27"/>
      <c r="K445" s="27"/>
      <c r="L445" s="22">
        <f t="shared" si="5"/>
        <v>0</v>
      </c>
    </row>
    <row r="446">
      <c r="A446" s="27" t="str">
        <f>IFERROR(__xludf.DUMMYFUNCTION("""COMPUTED_VALUE"""),"MGM RESORTS INTERNATIONAL")</f>
        <v>MGM RESORTS INTERNATIONAL</v>
      </c>
      <c r="B446" s="27" t="str">
        <f>IFERROR(__xludf.DUMMYFUNCTION("""COMPUTED_VALUE"""),"Consumer Discretionary")</f>
        <v>Consumer Discretionary</v>
      </c>
      <c r="C446" s="27" t="str">
        <f>IFERROR(__xludf.DUMMYFUNCTION("""COMPUTED_VALUE"""),"United States")</f>
        <v>United States</v>
      </c>
      <c r="D446" s="27">
        <f>IFERROR(__xludf.DUMMYFUNCTION("""COMPUTED_VALUE"""),0.03)</f>
        <v>0.03</v>
      </c>
      <c r="E446" s="22">
        <f t="shared" si="2"/>
        <v>0.3</v>
      </c>
      <c r="F446" s="23" t="str">
        <f t="shared" si="3"/>
        <v/>
      </c>
      <c r="G446" s="23" t="str">
        <f t="shared" si="4"/>
        <v/>
      </c>
      <c r="H446" s="27"/>
      <c r="I446" s="27"/>
      <c r="J446" s="27"/>
      <c r="K446" s="27"/>
      <c r="L446" s="22">
        <f t="shared" si="5"/>
        <v>0</v>
      </c>
    </row>
    <row r="447">
      <c r="A447" s="27" t="str">
        <f>IFERROR(__xludf.DUMMYFUNCTION("""COMPUTED_VALUE"""),"NISOURCE INC")</f>
        <v>NISOURCE INC</v>
      </c>
      <c r="B447" s="27" t="str">
        <f>IFERROR(__xludf.DUMMYFUNCTION("""COMPUTED_VALUE"""),"Utilities")</f>
        <v>Utilities</v>
      </c>
      <c r="C447" s="27" t="str">
        <f>IFERROR(__xludf.DUMMYFUNCTION("""COMPUTED_VALUE"""),"United States")</f>
        <v>United States</v>
      </c>
      <c r="D447" s="27">
        <f>IFERROR(__xludf.DUMMYFUNCTION("""COMPUTED_VALUE"""),0.03)</f>
        <v>0.03</v>
      </c>
      <c r="E447" s="22">
        <f t="shared" si="2"/>
        <v>0.3</v>
      </c>
      <c r="F447" s="23" t="str">
        <f t="shared" si="3"/>
        <v/>
      </c>
      <c r="G447" s="23" t="str">
        <f t="shared" si="4"/>
        <v/>
      </c>
      <c r="H447" s="27"/>
      <c r="I447" s="27"/>
      <c r="J447" s="27"/>
      <c r="K447" s="27"/>
      <c r="L447" s="22">
        <f t="shared" si="5"/>
        <v>0</v>
      </c>
    </row>
    <row r="448">
      <c r="A448" s="27" t="str">
        <f>IFERROR(__xludf.DUMMYFUNCTION("""COMPUTED_VALUE"""),"CH ROBINSON WORLDWIDE INC")</f>
        <v>CH ROBINSON WORLDWIDE INC</v>
      </c>
      <c r="B448" s="27" t="str">
        <f>IFERROR(__xludf.DUMMYFUNCTION("""COMPUTED_VALUE"""),"Industrials")</f>
        <v>Industrials</v>
      </c>
      <c r="C448" s="27" t="str">
        <f>IFERROR(__xludf.DUMMYFUNCTION("""COMPUTED_VALUE"""),"United States")</f>
        <v>United States</v>
      </c>
      <c r="D448" s="27">
        <f>IFERROR(__xludf.DUMMYFUNCTION("""COMPUTED_VALUE"""),0.03)</f>
        <v>0.03</v>
      </c>
      <c r="E448" s="22">
        <f t="shared" si="2"/>
        <v>0.3</v>
      </c>
      <c r="F448" s="23" t="str">
        <f t="shared" si="3"/>
        <v/>
      </c>
      <c r="G448" s="23" t="str">
        <f t="shared" si="4"/>
        <v/>
      </c>
      <c r="H448" s="27"/>
      <c r="I448" s="27"/>
      <c r="J448" s="27"/>
      <c r="K448" s="27"/>
      <c r="L448" s="22">
        <f t="shared" si="5"/>
        <v>0</v>
      </c>
    </row>
    <row r="449">
      <c r="A449" s="27" t="str">
        <f>IFERROR(__xludf.DUMMYFUNCTION("""COMPUTED_VALUE"""),"CAMDEN PROPERTY TRUST REIT")</f>
        <v>CAMDEN PROPERTY TRUST REIT</v>
      </c>
      <c r="B449" s="27" t="str">
        <f>IFERROR(__xludf.DUMMYFUNCTION("""COMPUTED_VALUE"""),"Real Estate")</f>
        <v>Real Estate</v>
      </c>
      <c r="C449" s="27" t="str">
        <f>IFERROR(__xludf.DUMMYFUNCTION("""COMPUTED_VALUE"""),"United States")</f>
        <v>United States</v>
      </c>
      <c r="D449" s="27">
        <f>IFERROR(__xludf.DUMMYFUNCTION("""COMPUTED_VALUE"""),0.03)</f>
        <v>0.03</v>
      </c>
      <c r="E449" s="22">
        <f t="shared" si="2"/>
        <v>0.3</v>
      </c>
      <c r="F449" s="23" t="str">
        <f t="shared" si="3"/>
        <v/>
      </c>
      <c r="G449" s="23" t="str">
        <f t="shared" si="4"/>
        <v/>
      </c>
      <c r="H449" s="27"/>
      <c r="I449" s="27"/>
      <c r="J449" s="27"/>
      <c r="K449" s="27"/>
      <c r="L449" s="22">
        <f t="shared" si="5"/>
        <v>0</v>
      </c>
    </row>
    <row r="450">
      <c r="A450" s="27" t="str">
        <f>IFERROR(__xludf.DUMMYFUNCTION("""COMPUTED_VALUE"""),"CAESARS ENTERTAINMENT INC")</f>
        <v>CAESARS ENTERTAINMENT INC</v>
      </c>
      <c r="B450" s="27" t="str">
        <f>IFERROR(__xludf.DUMMYFUNCTION("""COMPUTED_VALUE"""),"Consumer Discretionary")</f>
        <v>Consumer Discretionary</v>
      </c>
      <c r="C450" s="27" t="str">
        <f>IFERROR(__xludf.DUMMYFUNCTION("""COMPUTED_VALUE"""),"United States")</f>
        <v>United States</v>
      </c>
      <c r="D450" s="27">
        <f>IFERROR(__xludf.DUMMYFUNCTION("""COMPUTED_VALUE"""),0.03)</f>
        <v>0.03</v>
      </c>
      <c r="E450" s="22">
        <f t="shared" si="2"/>
        <v>0.3</v>
      </c>
      <c r="F450" s="23" t="str">
        <f t="shared" si="3"/>
        <v/>
      </c>
      <c r="G450" s="23" t="str">
        <f t="shared" si="4"/>
        <v/>
      </c>
      <c r="H450" s="27"/>
      <c r="I450" s="27"/>
      <c r="J450" s="27"/>
      <c r="K450" s="27"/>
      <c r="L450" s="22">
        <f t="shared" si="5"/>
        <v>0</v>
      </c>
    </row>
    <row r="451">
      <c r="A451" s="27" t="str">
        <f>IFERROR(__xludf.DUMMYFUNCTION("""COMPUTED_VALUE"""),"GEN DIGITAL INC")</f>
        <v>GEN DIGITAL INC</v>
      </c>
      <c r="B451" s="27" t="str">
        <f>IFERROR(__xludf.DUMMYFUNCTION("""COMPUTED_VALUE"""),"Information Technology")</f>
        <v>Information Technology</v>
      </c>
      <c r="C451" s="27" t="str">
        <f>IFERROR(__xludf.DUMMYFUNCTION("""COMPUTED_VALUE"""),"United States")</f>
        <v>United States</v>
      </c>
      <c r="D451" s="27">
        <f>IFERROR(__xludf.DUMMYFUNCTION("""COMPUTED_VALUE"""),0.03)</f>
        <v>0.03</v>
      </c>
      <c r="E451" s="22">
        <f t="shared" si="2"/>
        <v>0.3</v>
      </c>
      <c r="F451" s="23" t="str">
        <f t="shared" si="3"/>
        <v/>
      </c>
      <c r="G451" s="23" t="str">
        <f t="shared" si="4"/>
        <v/>
      </c>
      <c r="H451" s="27"/>
      <c r="I451" s="27"/>
      <c r="J451" s="27"/>
      <c r="K451" s="27"/>
      <c r="L451" s="22">
        <f t="shared" si="5"/>
        <v>0</v>
      </c>
    </row>
    <row r="452">
      <c r="A452" s="27" t="str">
        <f>IFERROR(__xludf.DUMMYFUNCTION("""COMPUTED_VALUE"""),"CHARLES RIVER LABORATORIES INTERNA")</f>
        <v>CHARLES RIVER LABORATORIES INTERNA</v>
      </c>
      <c r="B452" s="27" t="str">
        <f>IFERROR(__xludf.DUMMYFUNCTION("""COMPUTED_VALUE"""),"Health Care")</f>
        <v>Health Care</v>
      </c>
      <c r="C452" s="27" t="str">
        <f>IFERROR(__xludf.DUMMYFUNCTION("""COMPUTED_VALUE"""),"United States")</f>
        <v>United States</v>
      </c>
      <c r="D452" s="27">
        <f>IFERROR(__xludf.DUMMYFUNCTION("""COMPUTED_VALUE"""),0.03)</f>
        <v>0.03</v>
      </c>
      <c r="E452" s="22">
        <f t="shared" si="2"/>
        <v>0.3</v>
      </c>
      <c r="F452" s="23" t="str">
        <f t="shared" si="3"/>
        <v/>
      </c>
      <c r="G452" s="23" t="str">
        <f t="shared" si="4"/>
        <v/>
      </c>
      <c r="H452" s="27"/>
      <c r="I452" s="27"/>
      <c r="J452" s="27"/>
      <c r="K452" s="27"/>
      <c r="L452" s="22">
        <f t="shared" si="5"/>
        <v>0</v>
      </c>
    </row>
    <row r="453">
      <c r="A453" s="27" t="str">
        <f>IFERROR(__xludf.DUMMYFUNCTION("""COMPUTED_VALUE"""),"AES CORP")</f>
        <v>AES CORP</v>
      </c>
      <c r="B453" s="27" t="str">
        <f>IFERROR(__xludf.DUMMYFUNCTION("""COMPUTED_VALUE"""),"Utilities")</f>
        <v>Utilities</v>
      </c>
      <c r="C453" s="27" t="str">
        <f>IFERROR(__xludf.DUMMYFUNCTION("""COMPUTED_VALUE"""),"United States")</f>
        <v>United States</v>
      </c>
      <c r="D453" s="27">
        <f>IFERROR(__xludf.DUMMYFUNCTION("""COMPUTED_VALUE"""),0.03)</f>
        <v>0.03</v>
      </c>
      <c r="E453" s="22">
        <f t="shared" si="2"/>
        <v>0.3</v>
      </c>
      <c r="F453" s="23" t="str">
        <f t="shared" si="3"/>
        <v/>
      </c>
      <c r="G453" s="23" t="str">
        <f t="shared" si="4"/>
        <v/>
      </c>
      <c r="H453" s="27"/>
      <c r="I453" s="27"/>
      <c r="J453" s="27"/>
      <c r="K453" s="27"/>
      <c r="L453" s="22">
        <f t="shared" si="5"/>
        <v>0</v>
      </c>
    </row>
    <row r="454">
      <c r="A454" s="27" t="str">
        <f>IFERROR(__xludf.DUMMYFUNCTION("""COMPUTED_VALUE"""),"REGENCY CENTERS REIT CORP")</f>
        <v>REGENCY CENTERS REIT CORP</v>
      </c>
      <c r="B454" s="27" t="str">
        <f>IFERROR(__xludf.DUMMYFUNCTION("""COMPUTED_VALUE"""),"Real Estate")</f>
        <v>Real Estate</v>
      </c>
      <c r="C454" s="27" t="str">
        <f>IFERROR(__xludf.DUMMYFUNCTION("""COMPUTED_VALUE"""),"United States")</f>
        <v>United States</v>
      </c>
      <c r="D454" s="27">
        <f>IFERROR(__xludf.DUMMYFUNCTION("""COMPUTED_VALUE"""),0.03)</f>
        <v>0.03</v>
      </c>
      <c r="E454" s="22">
        <f t="shared" si="2"/>
        <v>0.3</v>
      </c>
      <c r="F454" s="23" t="str">
        <f t="shared" si="3"/>
        <v/>
      </c>
      <c r="G454" s="23" t="str">
        <f t="shared" si="4"/>
        <v/>
      </c>
      <c r="H454" s="27"/>
      <c r="I454" s="27"/>
      <c r="J454" s="27"/>
      <c r="K454" s="27"/>
      <c r="L454" s="22">
        <f t="shared" si="5"/>
        <v>0</v>
      </c>
    </row>
    <row r="455">
      <c r="A455" s="27" t="str">
        <f>IFERROR(__xludf.DUMMYFUNCTION("""COMPUTED_VALUE"""),"HEALTHPEAK PROPERTIES INC")</f>
        <v>HEALTHPEAK PROPERTIES INC</v>
      </c>
      <c r="B455" s="27" t="str">
        <f>IFERROR(__xludf.DUMMYFUNCTION("""COMPUTED_VALUE"""),"Real Estate")</f>
        <v>Real Estate</v>
      </c>
      <c r="C455" s="27" t="str">
        <f>IFERROR(__xludf.DUMMYFUNCTION("""COMPUTED_VALUE"""),"United States")</f>
        <v>United States</v>
      </c>
      <c r="D455" s="27">
        <f>IFERROR(__xludf.DUMMYFUNCTION("""COMPUTED_VALUE"""),0.03)</f>
        <v>0.03</v>
      </c>
      <c r="E455" s="22">
        <f t="shared" si="2"/>
        <v>0.3</v>
      </c>
      <c r="F455" s="23" t="str">
        <f t="shared" si="3"/>
        <v/>
      </c>
      <c r="G455" s="23" t="str">
        <f t="shared" si="4"/>
        <v/>
      </c>
      <c r="H455" s="27"/>
      <c r="I455" s="27"/>
      <c r="J455" s="27"/>
      <c r="K455" s="27"/>
      <c r="L455" s="22">
        <f t="shared" si="5"/>
        <v>0</v>
      </c>
    </row>
    <row r="456">
      <c r="A456" s="27" t="str">
        <f>IFERROR(__xludf.DUMMYFUNCTION("""COMPUTED_VALUE"""),"KEYCORP")</f>
        <v>KEYCORP</v>
      </c>
      <c r="B456" s="27" t="str">
        <f>IFERROR(__xludf.DUMMYFUNCTION("""COMPUTED_VALUE"""),"Financials")</f>
        <v>Financials</v>
      </c>
      <c r="C456" s="27" t="str">
        <f>IFERROR(__xludf.DUMMYFUNCTION("""COMPUTED_VALUE"""),"United States")</f>
        <v>United States</v>
      </c>
      <c r="D456" s="27">
        <f>IFERROR(__xludf.DUMMYFUNCTION("""COMPUTED_VALUE"""),0.03)</f>
        <v>0.03</v>
      </c>
      <c r="E456" s="22">
        <f t="shared" si="2"/>
        <v>0.3</v>
      </c>
      <c r="F456" s="23" t="str">
        <f t="shared" si="3"/>
        <v/>
      </c>
      <c r="G456" s="23" t="str">
        <f t="shared" si="4"/>
        <v/>
      </c>
      <c r="H456" s="27"/>
      <c r="I456" s="27"/>
      <c r="J456" s="27"/>
      <c r="K456" s="27"/>
      <c r="L456" s="22">
        <f t="shared" si="5"/>
        <v>0</v>
      </c>
    </row>
    <row r="457">
      <c r="A457" s="27" t="str">
        <f>IFERROR(__xludf.DUMMYFUNCTION("""COMPUTED_VALUE"""),"HENRY SCHEIN INC")</f>
        <v>HENRY SCHEIN INC</v>
      </c>
      <c r="B457" s="27" t="str">
        <f>IFERROR(__xludf.DUMMYFUNCTION("""COMPUTED_VALUE"""),"Health Care")</f>
        <v>Health Care</v>
      </c>
      <c r="C457" s="27" t="str">
        <f>IFERROR(__xludf.DUMMYFUNCTION("""COMPUTED_VALUE"""),"United States")</f>
        <v>United States</v>
      </c>
      <c r="D457" s="27">
        <f>IFERROR(__xludf.DUMMYFUNCTION("""COMPUTED_VALUE"""),0.03)</f>
        <v>0.03</v>
      </c>
      <c r="E457" s="22">
        <f t="shared" si="2"/>
        <v>0.3</v>
      </c>
      <c r="F457" s="23" t="str">
        <f t="shared" si="3"/>
        <v/>
      </c>
      <c r="G457" s="23" t="str">
        <f t="shared" si="4"/>
        <v/>
      </c>
      <c r="H457" s="27"/>
      <c r="I457" s="27"/>
      <c r="J457" s="27"/>
      <c r="K457" s="27"/>
      <c r="L457" s="22">
        <f t="shared" si="5"/>
        <v>0</v>
      </c>
    </row>
    <row r="458">
      <c r="A458" s="27" t="str">
        <f>IFERROR(__xludf.DUMMYFUNCTION("""COMPUTED_VALUE"""),"GLOBE LIFE INC")</f>
        <v>GLOBE LIFE INC</v>
      </c>
      <c r="B458" s="27" t="str">
        <f>IFERROR(__xludf.DUMMYFUNCTION("""COMPUTED_VALUE"""),"Financials")</f>
        <v>Financials</v>
      </c>
      <c r="C458" s="27" t="str">
        <f>IFERROR(__xludf.DUMMYFUNCTION("""COMPUTED_VALUE"""),"United States")</f>
        <v>United States</v>
      </c>
      <c r="D458" s="27">
        <f>IFERROR(__xludf.DUMMYFUNCTION("""COMPUTED_VALUE"""),0.03)</f>
        <v>0.03</v>
      </c>
      <c r="E458" s="22">
        <f t="shared" si="2"/>
        <v>0.3</v>
      </c>
      <c r="F458" s="23" t="str">
        <f t="shared" si="3"/>
        <v/>
      </c>
      <c r="G458" s="23" t="str">
        <f t="shared" si="4"/>
        <v/>
      </c>
      <c r="H458" s="27"/>
      <c r="I458" s="27"/>
      <c r="J458" s="27"/>
      <c r="K458" s="27"/>
      <c r="L458" s="22">
        <f t="shared" si="5"/>
        <v>0</v>
      </c>
    </row>
    <row r="459">
      <c r="A459" s="27" t="str">
        <f>IFERROR(__xludf.DUMMYFUNCTION("""COMPUTED_VALUE"""),"F5 INC")</f>
        <v>F5 INC</v>
      </c>
      <c r="B459" s="27" t="str">
        <f>IFERROR(__xludf.DUMMYFUNCTION("""COMPUTED_VALUE"""),"Information Technology")</f>
        <v>Information Technology</v>
      </c>
      <c r="C459" s="27" t="str">
        <f>IFERROR(__xludf.DUMMYFUNCTION("""COMPUTED_VALUE"""),"United States")</f>
        <v>United States</v>
      </c>
      <c r="D459" s="27">
        <f>IFERROR(__xludf.DUMMYFUNCTION("""COMPUTED_VALUE"""),0.03)</f>
        <v>0.03</v>
      </c>
      <c r="E459" s="22">
        <f t="shared" si="2"/>
        <v>0.3</v>
      </c>
      <c r="F459" s="23" t="str">
        <f t="shared" si="3"/>
        <v/>
      </c>
      <c r="G459" s="23" t="str">
        <f t="shared" si="4"/>
        <v/>
      </c>
      <c r="H459" s="27"/>
      <c r="I459" s="27"/>
      <c r="J459" s="27"/>
      <c r="K459" s="27"/>
      <c r="L459" s="22">
        <f t="shared" si="5"/>
        <v>0</v>
      </c>
    </row>
    <row r="460">
      <c r="A460" s="27" t="str">
        <f>IFERROR(__xludf.DUMMYFUNCTION("""COMPUTED_VALUE"""),"BORGWARNER INC")</f>
        <v>BORGWARNER INC</v>
      </c>
      <c r="B460" s="27" t="str">
        <f>IFERROR(__xludf.DUMMYFUNCTION("""COMPUTED_VALUE"""),"Consumer Discretionary")</f>
        <v>Consumer Discretionary</v>
      </c>
      <c r="C460" s="27" t="str">
        <f>IFERROR(__xludf.DUMMYFUNCTION("""COMPUTED_VALUE"""),"United States")</f>
        <v>United States</v>
      </c>
      <c r="D460" s="27">
        <f>IFERROR(__xludf.DUMMYFUNCTION("""COMPUTED_VALUE"""),0.03)</f>
        <v>0.03</v>
      </c>
      <c r="E460" s="22">
        <f t="shared" si="2"/>
        <v>0.3</v>
      </c>
      <c r="F460" s="23" t="str">
        <f t="shared" si="3"/>
        <v/>
      </c>
      <c r="G460" s="23" t="str">
        <f t="shared" si="4"/>
        <v/>
      </c>
      <c r="H460" s="27"/>
      <c r="I460" s="27"/>
      <c r="J460" s="27"/>
      <c r="K460" s="27"/>
      <c r="L460" s="22">
        <f t="shared" si="5"/>
        <v>0</v>
      </c>
    </row>
    <row r="461">
      <c r="A461" s="27" t="str">
        <f>IFERROR(__xludf.DUMMYFUNCTION("""COMPUTED_VALUE"""),"QORVO INC")</f>
        <v>QORVO INC</v>
      </c>
      <c r="B461" s="27" t="str">
        <f>IFERROR(__xludf.DUMMYFUNCTION("""COMPUTED_VALUE"""),"Information Technology")</f>
        <v>Information Technology</v>
      </c>
      <c r="C461" s="27" t="str">
        <f>IFERROR(__xludf.DUMMYFUNCTION("""COMPUTED_VALUE"""),"United States")</f>
        <v>United States</v>
      </c>
      <c r="D461" s="27">
        <f>IFERROR(__xludf.DUMMYFUNCTION("""COMPUTED_VALUE"""),0.03)</f>
        <v>0.03</v>
      </c>
      <c r="E461" s="22">
        <f t="shared" si="2"/>
        <v>0.3</v>
      </c>
      <c r="F461" s="23" t="str">
        <f t="shared" si="3"/>
        <v/>
      </c>
      <c r="G461" s="23" t="str">
        <f t="shared" si="4"/>
        <v/>
      </c>
      <c r="H461" s="27"/>
      <c r="I461" s="27"/>
      <c r="J461" s="27"/>
      <c r="K461" s="27"/>
      <c r="L461" s="22">
        <f t="shared" si="5"/>
        <v>0</v>
      </c>
    </row>
    <row r="462">
      <c r="A462" s="27" t="str">
        <f>IFERROR(__xludf.DUMMYFUNCTION("""COMPUTED_VALUE"""),"TELEFLEX INC")</f>
        <v>TELEFLEX INC</v>
      </c>
      <c r="B462" s="27" t="str">
        <f>IFERROR(__xludf.DUMMYFUNCTION("""COMPUTED_VALUE"""),"Health Care")</f>
        <v>Health Care</v>
      </c>
      <c r="C462" s="27" t="str">
        <f>IFERROR(__xludf.DUMMYFUNCTION("""COMPUTED_VALUE"""),"United States")</f>
        <v>United States</v>
      </c>
      <c r="D462" s="27">
        <f>IFERROR(__xludf.DUMMYFUNCTION("""COMPUTED_VALUE"""),0.03)</f>
        <v>0.03</v>
      </c>
      <c r="E462" s="22">
        <f t="shared" si="2"/>
        <v>0.3</v>
      </c>
      <c r="F462" s="23" t="str">
        <f t="shared" si="3"/>
        <v/>
      </c>
      <c r="G462" s="23" t="str">
        <f t="shared" si="4"/>
        <v/>
      </c>
      <c r="H462" s="27"/>
      <c r="I462" s="27"/>
      <c r="J462" s="27"/>
      <c r="K462" s="27"/>
      <c r="L462" s="22">
        <f t="shared" si="5"/>
        <v>0</v>
      </c>
    </row>
    <row r="463">
      <c r="A463" s="27" t="str">
        <f>IFERROR(__xludf.DUMMYFUNCTION("""COMPUTED_VALUE"""),"WESTROCK")</f>
        <v>WESTROCK</v>
      </c>
      <c r="B463" s="27" t="str">
        <f>IFERROR(__xludf.DUMMYFUNCTION("""COMPUTED_VALUE"""),"Materials")</f>
        <v>Materials</v>
      </c>
      <c r="C463" s="27" t="str">
        <f>IFERROR(__xludf.DUMMYFUNCTION("""COMPUTED_VALUE"""),"United States")</f>
        <v>United States</v>
      </c>
      <c r="D463" s="27">
        <f>IFERROR(__xludf.DUMMYFUNCTION("""COMPUTED_VALUE"""),0.03)</f>
        <v>0.03</v>
      </c>
      <c r="E463" s="22">
        <f t="shared" si="2"/>
        <v>0.3</v>
      </c>
      <c r="F463" s="23" t="str">
        <f t="shared" si="3"/>
        <v/>
      </c>
      <c r="G463" s="23" t="str">
        <f t="shared" si="4"/>
        <v/>
      </c>
      <c r="H463" s="27"/>
      <c r="I463" s="27"/>
      <c r="J463" s="27"/>
      <c r="K463" s="27"/>
      <c r="L463" s="22">
        <f t="shared" si="5"/>
        <v>0</v>
      </c>
    </row>
    <row r="464">
      <c r="A464" s="27" t="str">
        <f>IFERROR(__xludf.DUMMYFUNCTION("""COMPUTED_VALUE"""),"ALLEGION PLC")</f>
        <v>ALLEGION PLC</v>
      </c>
      <c r="B464" s="27" t="str">
        <f>IFERROR(__xludf.DUMMYFUNCTION("""COMPUTED_VALUE"""),"Industrials")</f>
        <v>Industrials</v>
      </c>
      <c r="C464" s="27" t="str">
        <f>IFERROR(__xludf.DUMMYFUNCTION("""COMPUTED_VALUE"""),"United States")</f>
        <v>United States</v>
      </c>
      <c r="D464" s="27">
        <f>IFERROR(__xludf.DUMMYFUNCTION("""COMPUTED_VALUE"""),0.03)</f>
        <v>0.03</v>
      </c>
      <c r="E464" s="22">
        <f t="shared" si="2"/>
        <v>0.3</v>
      </c>
      <c r="F464" s="23" t="str">
        <f t="shared" si="3"/>
        <v/>
      </c>
      <c r="G464" s="23" t="str">
        <f t="shared" si="4"/>
        <v/>
      </c>
      <c r="H464" s="27"/>
      <c r="I464" s="27"/>
      <c r="J464" s="27"/>
      <c r="K464" s="27"/>
      <c r="L464" s="22">
        <f t="shared" si="5"/>
        <v>0</v>
      </c>
    </row>
    <row r="465">
      <c r="A465" s="27" t="str">
        <f>IFERROR(__xludf.DUMMYFUNCTION("""COMPUTED_VALUE"""),"EASTMAN CHEMICAL")</f>
        <v>EASTMAN CHEMICAL</v>
      </c>
      <c r="B465" s="27" t="str">
        <f>IFERROR(__xludf.DUMMYFUNCTION("""COMPUTED_VALUE"""),"Materials")</f>
        <v>Materials</v>
      </c>
      <c r="C465" s="27" t="str">
        <f>IFERROR(__xludf.DUMMYFUNCTION("""COMPUTED_VALUE"""),"United States")</f>
        <v>United States</v>
      </c>
      <c r="D465" s="27">
        <f>IFERROR(__xludf.DUMMYFUNCTION("""COMPUTED_VALUE"""),0.03)</f>
        <v>0.03</v>
      </c>
      <c r="E465" s="22">
        <f t="shared" si="2"/>
        <v>0.3</v>
      </c>
      <c r="F465" s="23" t="str">
        <f t="shared" si="3"/>
        <v/>
      </c>
      <c r="G465" s="23" t="str">
        <f t="shared" si="4"/>
        <v/>
      </c>
      <c r="H465" s="27"/>
      <c r="I465" s="27"/>
      <c r="J465" s="27"/>
      <c r="K465" s="27"/>
      <c r="L465" s="22">
        <f t="shared" si="5"/>
        <v>0</v>
      </c>
    </row>
    <row r="466">
      <c r="A466" s="27" t="str">
        <f>IFERROR(__xludf.DUMMYFUNCTION("""COMPUTED_VALUE"""),"JUNIPER NETWORKS INC")</f>
        <v>JUNIPER NETWORKS INC</v>
      </c>
      <c r="B466" s="27" t="str">
        <f>IFERROR(__xludf.DUMMYFUNCTION("""COMPUTED_VALUE"""),"Information Technology")</f>
        <v>Information Technology</v>
      </c>
      <c r="C466" s="27" t="str">
        <f>IFERROR(__xludf.DUMMYFUNCTION("""COMPUTED_VALUE"""),"United States")</f>
        <v>United States</v>
      </c>
      <c r="D466" s="27">
        <f>IFERROR(__xludf.DUMMYFUNCTION("""COMPUTED_VALUE"""),0.02)</f>
        <v>0.02</v>
      </c>
      <c r="E466" s="22">
        <f t="shared" si="2"/>
        <v>0.2</v>
      </c>
      <c r="F466" s="23" t="str">
        <f t="shared" si="3"/>
        <v/>
      </c>
      <c r="G466" s="23" t="str">
        <f t="shared" si="4"/>
        <v/>
      </c>
      <c r="H466" s="27"/>
      <c r="I466" s="27"/>
      <c r="J466" s="27"/>
      <c r="K466" s="27"/>
      <c r="L466" s="22">
        <f t="shared" si="5"/>
        <v>0</v>
      </c>
    </row>
    <row r="467">
      <c r="A467" s="27" t="str">
        <f>IFERROR(__xludf.DUMMYFUNCTION("""COMPUTED_VALUE"""),"WYNN RESORTS LTD")</f>
        <v>WYNN RESORTS LTD</v>
      </c>
      <c r="B467" s="27" t="str">
        <f>IFERROR(__xludf.DUMMYFUNCTION("""COMPUTED_VALUE"""),"Consumer Discretionary")</f>
        <v>Consumer Discretionary</v>
      </c>
      <c r="C467" s="27" t="str">
        <f>IFERROR(__xludf.DUMMYFUNCTION("""COMPUTED_VALUE"""),"United States")</f>
        <v>United States</v>
      </c>
      <c r="D467" s="27">
        <f>IFERROR(__xludf.DUMMYFUNCTION("""COMPUTED_VALUE"""),0.02)</f>
        <v>0.02</v>
      </c>
      <c r="E467" s="22">
        <f t="shared" si="2"/>
        <v>0.2</v>
      </c>
      <c r="F467" s="23" t="str">
        <f t="shared" si="3"/>
        <v/>
      </c>
      <c r="G467" s="23" t="str">
        <f t="shared" si="4"/>
        <v/>
      </c>
      <c r="H467" s="27"/>
      <c r="I467" s="27"/>
      <c r="J467" s="27"/>
      <c r="K467" s="27"/>
      <c r="L467" s="22">
        <f t="shared" si="5"/>
        <v>0</v>
      </c>
    </row>
    <row r="468">
      <c r="A468" s="27" t="str">
        <f>IFERROR(__xludf.DUMMYFUNCTION("""COMPUTED_VALUE"""),"NRG ENERGY INC")</f>
        <v>NRG ENERGY INC</v>
      </c>
      <c r="B468" s="27" t="str">
        <f>IFERROR(__xludf.DUMMYFUNCTION("""COMPUTED_VALUE"""),"Utilities")</f>
        <v>Utilities</v>
      </c>
      <c r="C468" s="27" t="str">
        <f>IFERROR(__xludf.DUMMYFUNCTION("""COMPUTED_VALUE"""),"United States")</f>
        <v>United States</v>
      </c>
      <c r="D468" s="27">
        <f>IFERROR(__xludf.DUMMYFUNCTION("""COMPUTED_VALUE"""),0.02)</f>
        <v>0.02</v>
      </c>
      <c r="E468" s="22">
        <f t="shared" si="2"/>
        <v>0.2</v>
      </c>
      <c r="F468" s="23" t="str">
        <f t="shared" si="3"/>
        <v/>
      </c>
      <c r="G468" s="23" t="str">
        <f t="shared" si="4"/>
        <v/>
      </c>
      <c r="H468" s="27"/>
      <c r="I468" s="27"/>
      <c r="J468" s="27"/>
      <c r="K468" s="27"/>
      <c r="L468" s="22">
        <f t="shared" si="5"/>
        <v>0</v>
      </c>
    </row>
    <row r="469">
      <c r="A469" s="27" t="str">
        <f>IFERROR(__xludf.DUMMYFUNCTION("""COMPUTED_VALUE"""),"HASBRO INC")</f>
        <v>HASBRO INC</v>
      </c>
      <c r="B469" s="27" t="str">
        <f>IFERROR(__xludf.DUMMYFUNCTION("""COMPUTED_VALUE"""),"Consumer Discretionary")</f>
        <v>Consumer Discretionary</v>
      </c>
      <c r="C469" s="27" t="str">
        <f>IFERROR(__xludf.DUMMYFUNCTION("""COMPUTED_VALUE"""),"United States")</f>
        <v>United States</v>
      </c>
      <c r="D469" s="27">
        <f>IFERROR(__xludf.DUMMYFUNCTION("""COMPUTED_VALUE"""),0.02)</f>
        <v>0.02</v>
      </c>
      <c r="E469" s="22">
        <f t="shared" si="2"/>
        <v>0.2</v>
      </c>
      <c r="F469" s="23" t="str">
        <f t="shared" si="3"/>
        <v/>
      </c>
      <c r="G469" s="23" t="str">
        <f t="shared" si="4"/>
        <v/>
      </c>
      <c r="H469" s="27"/>
      <c r="I469" s="27"/>
      <c r="J469" s="27"/>
      <c r="K469" s="27"/>
      <c r="L469" s="22">
        <f t="shared" si="5"/>
        <v>0</v>
      </c>
    </row>
    <row r="470">
      <c r="A470" s="27" t="str">
        <f>IFERROR(__xludf.DUMMYFUNCTION("""COMPUTED_VALUE"""),"BOSTON PROPERTIES REIT INC")</f>
        <v>BOSTON PROPERTIES REIT INC</v>
      </c>
      <c r="B470" s="27" t="str">
        <f>IFERROR(__xludf.DUMMYFUNCTION("""COMPUTED_VALUE"""),"Real Estate")</f>
        <v>Real Estate</v>
      </c>
      <c r="C470" s="27" t="str">
        <f>IFERROR(__xludf.DUMMYFUNCTION("""COMPUTED_VALUE"""),"United States")</f>
        <v>United States</v>
      </c>
      <c r="D470" s="27">
        <f>IFERROR(__xludf.DUMMYFUNCTION("""COMPUTED_VALUE"""),0.02)</f>
        <v>0.02</v>
      </c>
      <c r="E470" s="22">
        <f t="shared" si="2"/>
        <v>0.2</v>
      </c>
      <c r="F470" s="23" t="str">
        <f t="shared" si="3"/>
        <v/>
      </c>
      <c r="G470" s="23" t="str">
        <f t="shared" si="4"/>
        <v/>
      </c>
      <c r="H470" s="27"/>
      <c r="I470" s="27"/>
      <c r="J470" s="27"/>
      <c r="K470" s="27"/>
      <c r="L470" s="22">
        <f t="shared" si="5"/>
        <v>0</v>
      </c>
    </row>
    <row r="471">
      <c r="A471" s="27" t="str">
        <f>IFERROR(__xludf.DUMMYFUNCTION("""COMPUTED_VALUE"""),"AMERICAN AIRLINES GROUP INC")</f>
        <v>AMERICAN AIRLINES GROUP INC</v>
      </c>
      <c r="B471" s="27" t="str">
        <f>IFERROR(__xludf.DUMMYFUNCTION("""COMPUTED_VALUE"""),"Industrials")</f>
        <v>Industrials</v>
      </c>
      <c r="C471" s="27" t="str">
        <f>IFERROR(__xludf.DUMMYFUNCTION("""COMPUTED_VALUE"""),"United States")</f>
        <v>United States</v>
      </c>
      <c r="D471" s="27">
        <f>IFERROR(__xludf.DUMMYFUNCTION("""COMPUTED_VALUE"""),0.02)</f>
        <v>0.02</v>
      </c>
      <c r="E471" s="22">
        <f t="shared" si="2"/>
        <v>0.2</v>
      </c>
      <c r="F471" s="23" t="str">
        <f t="shared" si="3"/>
        <v/>
      </c>
      <c r="G471" s="23" t="str">
        <f t="shared" si="4"/>
        <v/>
      </c>
      <c r="H471" s="27"/>
      <c r="I471" s="27"/>
      <c r="J471" s="27"/>
      <c r="K471" s="27"/>
      <c r="L471" s="22">
        <f t="shared" si="5"/>
        <v>0</v>
      </c>
    </row>
    <row r="472">
      <c r="A472" s="27" t="str">
        <f>IFERROR(__xludf.DUMMYFUNCTION("""COMPUTED_VALUE"""),"PINNACLE WEST CORP")</f>
        <v>PINNACLE WEST CORP</v>
      </c>
      <c r="B472" s="27" t="str">
        <f>IFERROR(__xludf.DUMMYFUNCTION("""COMPUTED_VALUE"""),"Utilities")</f>
        <v>Utilities</v>
      </c>
      <c r="C472" s="27" t="str">
        <f>IFERROR(__xludf.DUMMYFUNCTION("""COMPUTED_VALUE"""),"United States")</f>
        <v>United States</v>
      </c>
      <c r="D472" s="27">
        <f>IFERROR(__xludf.DUMMYFUNCTION("""COMPUTED_VALUE"""),0.02)</f>
        <v>0.02</v>
      </c>
      <c r="E472" s="22">
        <f t="shared" si="2"/>
        <v>0.2</v>
      </c>
      <c r="F472" s="23" t="str">
        <f t="shared" si="3"/>
        <v/>
      </c>
      <c r="G472" s="23" t="str">
        <f t="shared" si="4"/>
        <v/>
      </c>
      <c r="H472" s="27"/>
      <c r="I472" s="27"/>
      <c r="J472" s="27"/>
      <c r="K472" s="27"/>
      <c r="L472" s="22">
        <f t="shared" si="5"/>
        <v>0</v>
      </c>
    </row>
    <row r="473">
      <c r="A473" s="27" t="str">
        <f>IFERROR(__xludf.DUMMYFUNCTION("""COMPUTED_VALUE"""),"A O SMITH CORP")</f>
        <v>A O SMITH CORP</v>
      </c>
      <c r="B473" s="27" t="str">
        <f>IFERROR(__xludf.DUMMYFUNCTION("""COMPUTED_VALUE"""),"Industrials")</f>
        <v>Industrials</v>
      </c>
      <c r="C473" s="27" t="str">
        <f>IFERROR(__xludf.DUMMYFUNCTION("""COMPUTED_VALUE"""),"United States")</f>
        <v>United States</v>
      </c>
      <c r="D473" s="27">
        <f>IFERROR(__xludf.DUMMYFUNCTION("""COMPUTED_VALUE"""),0.02)</f>
        <v>0.02</v>
      </c>
      <c r="E473" s="22">
        <f t="shared" si="2"/>
        <v>0.2</v>
      </c>
      <c r="F473" s="23" t="str">
        <f t="shared" si="3"/>
        <v/>
      </c>
      <c r="G473" s="23" t="str">
        <f t="shared" si="4"/>
        <v/>
      </c>
      <c r="H473" s="27"/>
      <c r="I473" s="27"/>
      <c r="J473" s="27"/>
      <c r="K473" s="27"/>
      <c r="L473" s="22">
        <f t="shared" si="5"/>
        <v>0</v>
      </c>
    </row>
    <row r="474">
      <c r="A474" s="27" t="str">
        <f>IFERROR(__xludf.DUMMYFUNCTION("""COMPUTED_VALUE"""),"CATALENT INC")</f>
        <v>CATALENT INC</v>
      </c>
      <c r="B474" s="27" t="str">
        <f>IFERROR(__xludf.DUMMYFUNCTION("""COMPUTED_VALUE"""),"Health Care")</f>
        <v>Health Care</v>
      </c>
      <c r="C474" s="27" t="str">
        <f>IFERROR(__xludf.DUMMYFUNCTION("""COMPUTED_VALUE"""),"United States")</f>
        <v>United States</v>
      </c>
      <c r="D474" s="27">
        <f>IFERROR(__xludf.DUMMYFUNCTION("""COMPUTED_VALUE"""),0.02)</f>
        <v>0.02</v>
      </c>
      <c r="E474" s="22">
        <f t="shared" si="2"/>
        <v>0.2</v>
      </c>
      <c r="F474" s="23" t="str">
        <f t="shared" si="3"/>
        <v/>
      </c>
      <c r="G474" s="23" t="str">
        <f t="shared" si="4"/>
        <v/>
      </c>
      <c r="H474" s="27"/>
      <c r="I474" s="27"/>
      <c r="J474" s="27"/>
      <c r="K474" s="27"/>
      <c r="L474" s="22">
        <f t="shared" si="5"/>
        <v>0</v>
      </c>
    </row>
    <row r="475">
      <c r="A475" s="27" t="str">
        <f>IFERROR(__xludf.DUMMYFUNCTION("""COMPUTED_VALUE"""),"FMC CORP")</f>
        <v>FMC CORP</v>
      </c>
      <c r="B475" s="27" t="str">
        <f>IFERROR(__xludf.DUMMYFUNCTION("""COMPUTED_VALUE"""),"Materials")</f>
        <v>Materials</v>
      </c>
      <c r="C475" s="27" t="str">
        <f>IFERROR(__xludf.DUMMYFUNCTION("""COMPUTED_VALUE"""),"United States")</f>
        <v>United States</v>
      </c>
      <c r="D475" s="27">
        <f>IFERROR(__xludf.DUMMYFUNCTION("""COMPUTED_VALUE"""),0.02)</f>
        <v>0.02</v>
      </c>
      <c r="E475" s="22">
        <f t="shared" si="2"/>
        <v>0.2</v>
      </c>
      <c r="F475" s="23" t="str">
        <f t="shared" si="3"/>
        <v/>
      </c>
      <c r="G475" s="23" t="str">
        <f t="shared" si="4"/>
        <v/>
      </c>
      <c r="H475" s="27"/>
      <c r="I475" s="27"/>
      <c r="J475" s="27"/>
      <c r="K475" s="27"/>
      <c r="L475" s="22">
        <f t="shared" si="5"/>
        <v>0</v>
      </c>
    </row>
    <row r="476">
      <c r="A476" s="27" t="str">
        <f>IFERROR(__xludf.DUMMYFUNCTION("""COMPUTED_VALUE"""),"HUNTINGTON INGALLS INDUSTRIES INC")</f>
        <v>HUNTINGTON INGALLS INDUSTRIES INC</v>
      </c>
      <c r="B476" s="27" t="str">
        <f>IFERROR(__xludf.DUMMYFUNCTION("""COMPUTED_VALUE"""),"Industrials")</f>
        <v>Industrials</v>
      </c>
      <c r="C476" s="27" t="str">
        <f>IFERROR(__xludf.DUMMYFUNCTION("""COMPUTED_VALUE"""),"United States")</f>
        <v>United States</v>
      </c>
      <c r="D476" s="27">
        <f>IFERROR(__xludf.DUMMYFUNCTION("""COMPUTED_VALUE"""),0.02)</f>
        <v>0.02</v>
      </c>
      <c r="E476" s="22">
        <f t="shared" si="2"/>
        <v>0.2</v>
      </c>
      <c r="F476" s="23" t="str">
        <f t="shared" si="3"/>
        <v/>
      </c>
      <c r="G476" s="23" t="str">
        <f t="shared" si="4"/>
        <v/>
      </c>
      <c r="H476" s="27"/>
      <c r="I476" s="27"/>
      <c r="J476" s="27"/>
      <c r="K476" s="27"/>
      <c r="L476" s="22">
        <f t="shared" si="5"/>
        <v>0</v>
      </c>
    </row>
    <row r="477">
      <c r="A477" s="27" t="str">
        <f>IFERROR(__xludf.DUMMYFUNCTION("""COMPUTED_VALUE"""),"CAMPBELL SOUP")</f>
        <v>CAMPBELL SOUP</v>
      </c>
      <c r="B477" s="27" t="str">
        <f>IFERROR(__xludf.DUMMYFUNCTION("""COMPUTED_VALUE"""),"Consumer Staples")</f>
        <v>Consumer Staples</v>
      </c>
      <c r="C477" s="27" t="str">
        <f>IFERROR(__xludf.DUMMYFUNCTION("""COMPUTED_VALUE"""),"United States")</f>
        <v>United States</v>
      </c>
      <c r="D477" s="27">
        <f>IFERROR(__xludf.DUMMYFUNCTION("""COMPUTED_VALUE"""),0.02)</f>
        <v>0.02</v>
      </c>
      <c r="E477" s="22">
        <f t="shared" si="2"/>
        <v>0.2</v>
      </c>
      <c r="F477" s="23" t="str">
        <f t="shared" si="3"/>
        <v/>
      </c>
      <c r="G477" s="23" t="str">
        <f t="shared" si="4"/>
        <v/>
      </c>
      <c r="H477" s="27"/>
      <c r="I477" s="27"/>
      <c r="J477" s="27"/>
      <c r="K477" s="27"/>
      <c r="L477" s="22">
        <f t="shared" si="5"/>
        <v>0</v>
      </c>
    </row>
    <row r="478">
      <c r="A478" s="27" t="str">
        <f>IFERROR(__xludf.DUMMYFUNCTION("""COMPUTED_VALUE"""),"FOX CORP CLASS A")</f>
        <v>FOX CORP CLASS A</v>
      </c>
      <c r="B478" s="27" t="str">
        <f>IFERROR(__xludf.DUMMYFUNCTION("""COMPUTED_VALUE"""),"Communication")</f>
        <v>Communication</v>
      </c>
      <c r="C478" s="27" t="str">
        <f>IFERROR(__xludf.DUMMYFUNCTION("""COMPUTED_VALUE"""),"United States")</f>
        <v>United States</v>
      </c>
      <c r="D478" s="27">
        <f>IFERROR(__xludf.DUMMYFUNCTION("""COMPUTED_VALUE"""),0.02)</f>
        <v>0.02</v>
      </c>
      <c r="E478" s="22">
        <f t="shared" si="2"/>
        <v>0.2</v>
      </c>
      <c r="F478" s="23" t="str">
        <f t="shared" si="3"/>
        <v/>
      </c>
      <c r="G478" s="23" t="str">
        <f t="shared" si="4"/>
        <v/>
      </c>
      <c r="H478" s="27"/>
      <c r="I478" s="27"/>
      <c r="J478" s="27"/>
      <c r="K478" s="27"/>
      <c r="L478" s="22">
        <f t="shared" si="5"/>
        <v>0</v>
      </c>
    </row>
    <row r="479">
      <c r="A479" s="27" t="str">
        <f>IFERROR(__xludf.DUMMYFUNCTION("""COMPUTED_VALUE"""),"MARKETAXESS HOLDINGS INC")</f>
        <v>MARKETAXESS HOLDINGS INC</v>
      </c>
      <c r="B479" s="27" t="str">
        <f>IFERROR(__xludf.DUMMYFUNCTION("""COMPUTED_VALUE"""),"Financials")</f>
        <v>Financials</v>
      </c>
      <c r="C479" s="27" t="str">
        <f>IFERROR(__xludf.DUMMYFUNCTION("""COMPUTED_VALUE"""),"United States")</f>
        <v>United States</v>
      </c>
      <c r="D479" s="27">
        <f>IFERROR(__xludf.DUMMYFUNCTION("""COMPUTED_VALUE"""),0.02)</f>
        <v>0.02</v>
      </c>
      <c r="E479" s="22">
        <f t="shared" si="2"/>
        <v>0.2</v>
      </c>
      <c r="F479" s="23" t="str">
        <f t="shared" si="3"/>
        <v/>
      </c>
      <c r="G479" s="23" t="str">
        <f t="shared" si="4"/>
        <v/>
      </c>
      <c r="H479" s="27"/>
      <c r="I479" s="27"/>
      <c r="J479" s="27"/>
      <c r="K479" s="27"/>
      <c r="L479" s="22">
        <f t="shared" si="5"/>
        <v>0</v>
      </c>
    </row>
    <row r="480">
      <c r="A480" s="27" t="str">
        <f>IFERROR(__xludf.DUMMYFUNCTION("""COMPUTED_VALUE"""),"UNIVERSAL HEALTH SERVICES INC CLAS")</f>
        <v>UNIVERSAL HEALTH SERVICES INC CLAS</v>
      </c>
      <c r="B480" s="27" t="str">
        <f>IFERROR(__xludf.DUMMYFUNCTION("""COMPUTED_VALUE"""),"Health Care")</f>
        <v>Health Care</v>
      </c>
      <c r="C480" s="27" t="str">
        <f>IFERROR(__xludf.DUMMYFUNCTION("""COMPUTED_VALUE"""),"United States")</f>
        <v>United States</v>
      </c>
      <c r="D480" s="27">
        <f>IFERROR(__xludf.DUMMYFUNCTION("""COMPUTED_VALUE"""),0.02)</f>
        <v>0.02</v>
      </c>
      <c r="E480" s="22">
        <f t="shared" si="2"/>
        <v>0.2</v>
      </c>
      <c r="F480" s="23" t="str">
        <f t="shared" si="3"/>
        <v/>
      </c>
      <c r="G480" s="23" t="str">
        <f t="shared" si="4"/>
        <v/>
      </c>
      <c r="H480" s="27"/>
      <c r="I480" s="27"/>
      <c r="J480" s="27"/>
      <c r="K480" s="27"/>
      <c r="L480" s="22">
        <f t="shared" si="5"/>
        <v>0</v>
      </c>
    </row>
    <row r="481">
      <c r="A481" s="27" t="str">
        <f>IFERROR(__xludf.DUMMYFUNCTION("""COMPUTED_VALUE"""),"ETSY INC")</f>
        <v>ETSY INC</v>
      </c>
      <c r="B481" s="27" t="str">
        <f>IFERROR(__xludf.DUMMYFUNCTION("""COMPUTED_VALUE"""),"Consumer Discretionary")</f>
        <v>Consumer Discretionary</v>
      </c>
      <c r="C481" s="27" t="str">
        <f>IFERROR(__xludf.DUMMYFUNCTION("""COMPUTED_VALUE"""),"United States")</f>
        <v>United States</v>
      </c>
      <c r="D481" s="27">
        <f>IFERROR(__xludf.DUMMYFUNCTION("""COMPUTED_VALUE"""),0.02)</f>
        <v>0.02</v>
      </c>
      <c r="E481" s="22">
        <f t="shared" si="2"/>
        <v>0.2</v>
      </c>
      <c r="F481" s="23" t="str">
        <f t="shared" si="3"/>
        <v/>
      </c>
      <c r="G481" s="23" t="str">
        <f t="shared" si="4"/>
        <v/>
      </c>
      <c r="H481" s="27"/>
      <c r="I481" s="27"/>
      <c r="J481" s="27"/>
      <c r="K481" s="27"/>
      <c r="L481" s="22">
        <f t="shared" si="5"/>
        <v>0</v>
      </c>
    </row>
    <row r="482">
      <c r="A482" s="27" t="str">
        <f>IFERROR(__xludf.DUMMYFUNCTION("""COMPUTED_VALUE"""),"ROBERT HALF")</f>
        <v>ROBERT HALF</v>
      </c>
      <c r="B482" s="27" t="str">
        <f>IFERROR(__xludf.DUMMYFUNCTION("""COMPUTED_VALUE"""),"Industrials")</f>
        <v>Industrials</v>
      </c>
      <c r="C482" s="27" t="str">
        <f>IFERROR(__xludf.DUMMYFUNCTION("""COMPUTED_VALUE"""),"United States")</f>
        <v>United States</v>
      </c>
      <c r="D482" s="27">
        <f>IFERROR(__xludf.DUMMYFUNCTION("""COMPUTED_VALUE"""),0.02)</f>
        <v>0.02</v>
      </c>
      <c r="E482" s="22">
        <f t="shared" si="2"/>
        <v>0.2</v>
      </c>
      <c r="F482" s="23" t="str">
        <f t="shared" si="3"/>
        <v/>
      </c>
      <c r="G482" s="23" t="str">
        <f t="shared" si="4"/>
        <v/>
      </c>
      <c r="H482" s="27"/>
      <c r="I482" s="27"/>
      <c r="J482" s="27"/>
      <c r="K482" s="27"/>
      <c r="L482" s="22">
        <f t="shared" si="5"/>
        <v>0</v>
      </c>
    </row>
    <row r="483">
      <c r="A483" s="27" t="str">
        <f>IFERROR(__xludf.DUMMYFUNCTION("""COMPUTED_VALUE"""),"ASSURANT INC")</f>
        <v>ASSURANT INC</v>
      </c>
      <c r="B483" s="27" t="str">
        <f>IFERROR(__xludf.DUMMYFUNCTION("""COMPUTED_VALUE"""),"Financials")</f>
        <v>Financials</v>
      </c>
      <c r="C483" s="27" t="str">
        <f>IFERROR(__xludf.DUMMYFUNCTION("""COMPUTED_VALUE"""),"United States")</f>
        <v>United States</v>
      </c>
      <c r="D483" s="27">
        <f>IFERROR(__xludf.DUMMYFUNCTION("""COMPUTED_VALUE"""),0.02)</f>
        <v>0.02</v>
      </c>
      <c r="E483" s="22">
        <f t="shared" si="2"/>
        <v>0.2</v>
      </c>
      <c r="F483" s="23" t="str">
        <f t="shared" si="3"/>
        <v/>
      </c>
      <c r="G483" s="23" t="str">
        <f t="shared" si="4"/>
        <v/>
      </c>
      <c r="H483" s="27"/>
      <c r="I483" s="27"/>
      <c r="J483" s="27"/>
      <c r="K483" s="27"/>
      <c r="L483" s="22">
        <f t="shared" si="5"/>
        <v>0</v>
      </c>
    </row>
    <row r="484">
      <c r="A484" s="27" t="str">
        <f>IFERROR(__xludf.DUMMYFUNCTION("""COMPUTED_VALUE"""),"NEWS CORP CLASS A")</f>
        <v>NEWS CORP CLASS A</v>
      </c>
      <c r="B484" s="27" t="str">
        <f>IFERROR(__xludf.DUMMYFUNCTION("""COMPUTED_VALUE"""),"Communication")</f>
        <v>Communication</v>
      </c>
      <c r="C484" s="27" t="str">
        <f>IFERROR(__xludf.DUMMYFUNCTION("""COMPUTED_VALUE"""),"United States")</f>
        <v>United States</v>
      </c>
      <c r="D484" s="27">
        <f>IFERROR(__xludf.DUMMYFUNCTION("""COMPUTED_VALUE"""),0.02)</f>
        <v>0.02</v>
      </c>
      <c r="E484" s="22">
        <f t="shared" si="2"/>
        <v>0.2</v>
      </c>
      <c r="F484" s="23" t="str">
        <f t="shared" si="3"/>
        <v/>
      </c>
      <c r="G484" s="23" t="str">
        <f t="shared" si="4"/>
        <v/>
      </c>
      <c r="H484" s="27"/>
      <c r="I484" s="27"/>
      <c r="J484" s="27"/>
      <c r="K484" s="27"/>
      <c r="L484" s="22">
        <f t="shared" si="5"/>
        <v>0</v>
      </c>
    </row>
    <row r="485">
      <c r="A485" s="27" t="str">
        <f>IFERROR(__xludf.DUMMYFUNCTION("""COMPUTED_VALUE"""),"BATH AND BODY WORKS INC")</f>
        <v>BATH AND BODY WORKS INC</v>
      </c>
      <c r="B485" s="27" t="str">
        <f>IFERROR(__xludf.DUMMYFUNCTION("""COMPUTED_VALUE"""),"Consumer Discretionary")</f>
        <v>Consumer Discretionary</v>
      </c>
      <c r="C485" s="27" t="str">
        <f>IFERROR(__xludf.DUMMYFUNCTION("""COMPUTED_VALUE"""),"United States")</f>
        <v>United States</v>
      </c>
      <c r="D485" s="27">
        <f>IFERROR(__xludf.DUMMYFUNCTION("""COMPUTED_VALUE"""),0.02)</f>
        <v>0.02</v>
      </c>
      <c r="E485" s="22">
        <f t="shared" si="2"/>
        <v>0.2</v>
      </c>
      <c r="F485" s="23" t="str">
        <f t="shared" si="3"/>
        <v/>
      </c>
      <c r="G485" s="23" t="str">
        <f t="shared" si="4"/>
        <v/>
      </c>
      <c r="H485" s="27"/>
      <c r="I485" s="27"/>
      <c r="J485" s="27"/>
      <c r="K485" s="27"/>
      <c r="L485" s="22">
        <f t="shared" si="5"/>
        <v>0</v>
      </c>
    </row>
    <row r="486">
      <c r="A486" s="27" t="str">
        <f>IFERROR(__xludf.DUMMYFUNCTION("""COMPUTED_VALUE"""),"BIO RAD LABORATORIES INC CLASS A")</f>
        <v>BIO RAD LABORATORIES INC CLASS A</v>
      </c>
      <c r="B486" s="27" t="str">
        <f>IFERROR(__xludf.DUMMYFUNCTION("""COMPUTED_VALUE"""),"Health Care")</f>
        <v>Health Care</v>
      </c>
      <c r="C486" s="27" t="str">
        <f>IFERROR(__xludf.DUMMYFUNCTION("""COMPUTED_VALUE"""),"United States")</f>
        <v>United States</v>
      </c>
      <c r="D486" s="27">
        <f>IFERROR(__xludf.DUMMYFUNCTION("""COMPUTED_VALUE"""),0.02)</f>
        <v>0.02</v>
      </c>
      <c r="E486" s="22">
        <f t="shared" si="2"/>
        <v>0.2</v>
      </c>
      <c r="F486" s="23" t="str">
        <f t="shared" si="3"/>
        <v/>
      </c>
      <c r="G486" s="23" t="str">
        <f t="shared" si="4"/>
        <v/>
      </c>
      <c r="H486" s="27"/>
      <c r="I486" s="27"/>
      <c r="J486" s="27"/>
      <c r="K486" s="27"/>
      <c r="L486" s="22">
        <f t="shared" si="5"/>
        <v>0</v>
      </c>
    </row>
    <row r="487">
      <c r="A487" s="27" t="str">
        <f>IFERROR(__xludf.DUMMYFUNCTION("""COMPUTED_VALUE"""),"SOLAREDGE TECHNOLOGIES INC")</f>
        <v>SOLAREDGE TECHNOLOGIES INC</v>
      </c>
      <c r="B487" s="27" t="str">
        <f>IFERROR(__xludf.DUMMYFUNCTION("""COMPUTED_VALUE"""),"Information Technology")</f>
        <v>Information Technology</v>
      </c>
      <c r="C487" s="27" t="str">
        <f>IFERROR(__xludf.DUMMYFUNCTION("""COMPUTED_VALUE"""),"United States")</f>
        <v>United States</v>
      </c>
      <c r="D487" s="27">
        <f>IFERROR(__xludf.DUMMYFUNCTION("""COMPUTED_VALUE"""),0.02)</f>
        <v>0.02</v>
      </c>
      <c r="E487" s="22">
        <f t="shared" si="2"/>
        <v>0.2</v>
      </c>
      <c r="F487" s="23" t="str">
        <f t="shared" si="3"/>
        <v/>
      </c>
      <c r="G487" s="23" t="str">
        <f t="shared" si="4"/>
        <v/>
      </c>
      <c r="H487" s="27"/>
      <c r="I487" s="27"/>
      <c r="J487" s="27"/>
      <c r="K487" s="27"/>
      <c r="L487" s="22">
        <f t="shared" si="5"/>
        <v>0</v>
      </c>
    </row>
    <row r="488">
      <c r="A488" s="27" t="str">
        <f>IFERROR(__xludf.DUMMYFUNCTION("""COMPUTED_VALUE"""),"WHIRLPOOL CORP")</f>
        <v>WHIRLPOOL CORP</v>
      </c>
      <c r="B488" s="27" t="str">
        <f>IFERROR(__xludf.DUMMYFUNCTION("""COMPUTED_VALUE"""),"Consumer Discretionary")</f>
        <v>Consumer Discretionary</v>
      </c>
      <c r="C488" s="27" t="str">
        <f>IFERROR(__xludf.DUMMYFUNCTION("""COMPUTED_VALUE"""),"United States")</f>
        <v>United States</v>
      </c>
      <c r="D488" s="27">
        <f>IFERROR(__xludf.DUMMYFUNCTION("""COMPUTED_VALUE"""),0.02)</f>
        <v>0.02</v>
      </c>
      <c r="E488" s="22">
        <f t="shared" si="2"/>
        <v>0.2</v>
      </c>
      <c r="F488" s="23" t="str">
        <f t="shared" si="3"/>
        <v/>
      </c>
      <c r="G488" s="23" t="str">
        <f t="shared" si="4"/>
        <v/>
      </c>
      <c r="H488" s="27"/>
      <c r="I488" s="27"/>
      <c r="J488" s="27"/>
      <c r="K488" s="27"/>
      <c r="L488" s="22">
        <f t="shared" si="5"/>
        <v>0</v>
      </c>
    </row>
    <row r="489">
      <c r="A489" s="27" t="str">
        <f>IFERROR(__xludf.DUMMYFUNCTION("""COMPUTED_VALUE"""),"DENTSPLY SIRONA INC")</f>
        <v>DENTSPLY SIRONA INC</v>
      </c>
      <c r="B489" s="27" t="str">
        <f>IFERROR(__xludf.DUMMYFUNCTION("""COMPUTED_VALUE"""),"Health Care")</f>
        <v>Health Care</v>
      </c>
      <c r="C489" s="27" t="str">
        <f>IFERROR(__xludf.DUMMYFUNCTION("""COMPUTED_VALUE"""),"United States")</f>
        <v>United States</v>
      </c>
      <c r="D489" s="27">
        <f>IFERROR(__xludf.DUMMYFUNCTION("""COMPUTED_VALUE"""),0.02)</f>
        <v>0.02</v>
      </c>
      <c r="E489" s="22">
        <f t="shared" si="2"/>
        <v>0.2</v>
      </c>
      <c r="F489" s="23" t="str">
        <f t="shared" si="3"/>
        <v/>
      </c>
      <c r="G489" s="23" t="str">
        <f t="shared" si="4"/>
        <v/>
      </c>
      <c r="H489" s="27"/>
      <c r="I489" s="27"/>
      <c r="J489" s="27"/>
      <c r="K489" s="27"/>
      <c r="L489" s="22">
        <f t="shared" si="5"/>
        <v>0</v>
      </c>
    </row>
    <row r="490">
      <c r="A490" s="27" t="str">
        <f>IFERROR(__xludf.DUMMYFUNCTION("""COMPUTED_VALUE"""),"NORWEGIAN CRUISE LINE HOLDINGS LTD")</f>
        <v>NORWEGIAN CRUISE LINE HOLDINGS LTD</v>
      </c>
      <c r="B490" s="27" t="str">
        <f>IFERROR(__xludf.DUMMYFUNCTION("""COMPUTED_VALUE"""),"Consumer Discretionary")</f>
        <v>Consumer Discretionary</v>
      </c>
      <c r="C490" s="27" t="str">
        <f>IFERROR(__xludf.DUMMYFUNCTION("""COMPUTED_VALUE"""),"United States")</f>
        <v>United States</v>
      </c>
      <c r="D490" s="27">
        <f>IFERROR(__xludf.DUMMYFUNCTION("""COMPUTED_VALUE"""),0.02)</f>
        <v>0.02</v>
      </c>
      <c r="E490" s="22">
        <f t="shared" si="2"/>
        <v>0.2</v>
      </c>
      <c r="F490" s="23" t="str">
        <f t="shared" si="3"/>
        <v/>
      </c>
      <c r="G490" s="23" t="str">
        <f t="shared" si="4"/>
        <v/>
      </c>
      <c r="H490" s="27"/>
      <c r="I490" s="27"/>
      <c r="J490" s="27"/>
      <c r="K490" s="27"/>
      <c r="L490" s="22">
        <f t="shared" si="5"/>
        <v>0</v>
      </c>
    </row>
    <row r="491">
      <c r="A491" s="27" t="str">
        <f>IFERROR(__xludf.DUMMYFUNCTION("""COMPUTED_VALUE"""),"FRANKLIN RESOURCES INC")</f>
        <v>FRANKLIN RESOURCES INC</v>
      </c>
      <c r="B491" s="27" t="str">
        <f>IFERROR(__xludf.DUMMYFUNCTION("""COMPUTED_VALUE"""),"Financials")</f>
        <v>Financials</v>
      </c>
      <c r="C491" s="27" t="str">
        <f>IFERROR(__xludf.DUMMYFUNCTION("""COMPUTED_VALUE"""),"United States")</f>
        <v>United States</v>
      </c>
      <c r="D491" s="27">
        <f>IFERROR(__xludf.DUMMYFUNCTION("""COMPUTED_VALUE"""),0.02)</f>
        <v>0.02</v>
      </c>
      <c r="E491" s="22">
        <f t="shared" si="2"/>
        <v>0.2</v>
      </c>
      <c r="F491" s="23" t="str">
        <f t="shared" si="3"/>
        <v/>
      </c>
      <c r="G491" s="23" t="str">
        <f t="shared" si="4"/>
        <v/>
      </c>
      <c r="H491" s="27"/>
      <c r="I491" s="27"/>
      <c r="J491" s="27"/>
      <c r="K491" s="27"/>
      <c r="L491" s="22">
        <f t="shared" si="5"/>
        <v>0</v>
      </c>
    </row>
    <row r="492">
      <c r="A492" s="27" t="str">
        <f>IFERROR(__xludf.DUMMYFUNCTION("""COMPUTED_VALUE"""),"GENERAC HOLDINGS INC")</f>
        <v>GENERAC HOLDINGS INC</v>
      </c>
      <c r="B492" s="27" t="str">
        <f>IFERROR(__xludf.DUMMYFUNCTION("""COMPUTED_VALUE"""),"Industrials")</f>
        <v>Industrials</v>
      </c>
      <c r="C492" s="27" t="str">
        <f>IFERROR(__xludf.DUMMYFUNCTION("""COMPUTED_VALUE"""),"United States")</f>
        <v>United States</v>
      </c>
      <c r="D492" s="27">
        <f>IFERROR(__xludf.DUMMYFUNCTION("""COMPUTED_VALUE"""),0.02)</f>
        <v>0.02</v>
      </c>
      <c r="E492" s="22">
        <f t="shared" si="2"/>
        <v>0.2</v>
      </c>
      <c r="F492" s="23" t="str">
        <f t="shared" si="3"/>
        <v/>
      </c>
      <c r="G492" s="23" t="str">
        <f t="shared" si="4"/>
        <v/>
      </c>
      <c r="H492" s="27"/>
      <c r="I492" s="27"/>
      <c r="J492" s="27"/>
      <c r="K492" s="27"/>
      <c r="L492" s="22">
        <f t="shared" si="5"/>
        <v>0</v>
      </c>
    </row>
    <row r="493">
      <c r="A493" s="27" t="str">
        <f>IFERROR(__xludf.DUMMYFUNCTION("""COMPUTED_VALUE"""),"FEDERAL REALTY INVESTMENT TRUST RE")</f>
        <v>FEDERAL REALTY INVESTMENT TRUST RE</v>
      </c>
      <c r="B493" s="27" t="str">
        <f>IFERROR(__xludf.DUMMYFUNCTION("""COMPUTED_VALUE"""),"Real Estate")</f>
        <v>Real Estate</v>
      </c>
      <c r="C493" s="27" t="str">
        <f>IFERROR(__xludf.DUMMYFUNCTION("""COMPUTED_VALUE"""),"United States")</f>
        <v>United States</v>
      </c>
      <c r="D493" s="27">
        <f>IFERROR(__xludf.DUMMYFUNCTION("""COMPUTED_VALUE"""),0.02)</f>
        <v>0.02</v>
      </c>
      <c r="E493" s="22">
        <f t="shared" si="2"/>
        <v>0.2</v>
      </c>
      <c r="F493" s="23" t="str">
        <f t="shared" si="3"/>
        <v/>
      </c>
      <c r="G493" s="23" t="str">
        <f t="shared" si="4"/>
        <v/>
      </c>
      <c r="H493" s="27"/>
      <c r="I493" s="27"/>
      <c r="J493" s="27"/>
      <c r="K493" s="27"/>
      <c r="L493" s="22">
        <f t="shared" si="5"/>
        <v>0</v>
      </c>
    </row>
    <row r="494">
      <c r="A494" s="27" t="str">
        <f>IFERROR(__xludf.DUMMYFUNCTION("""COMPUTED_VALUE"""),"TAPESTRY INC")</f>
        <v>TAPESTRY INC</v>
      </c>
      <c r="B494" s="27" t="str">
        <f>IFERROR(__xludf.DUMMYFUNCTION("""COMPUTED_VALUE"""),"Consumer Discretionary")</f>
        <v>Consumer Discretionary</v>
      </c>
      <c r="C494" s="27" t="str">
        <f>IFERROR(__xludf.DUMMYFUNCTION("""COMPUTED_VALUE"""),"United States")</f>
        <v>United States</v>
      </c>
      <c r="D494" s="27">
        <f>IFERROR(__xludf.DUMMYFUNCTION("""COMPUTED_VALUE"""),0.02)</f>
        <v>0.02</v>
      </c>
      <c r="E494" s="22">
        <f t="shared" si="2"/>
        <v>0.2</v>
      </c>
      <c r="F494" s="23" t="str">
        <f t="shared" si="3"/>
        <v/>
      </c>
      <c r="G494" s="23" t="str">
        <f t="shared" si="4"/>
        <v/>
      </c>
      <c r="H494" s="27"/>
      <c r="I494" s="27"/>
      <c r="J494" s="27"/>
      <c r="K494" s="27"/>
      <c r="L494" s="22">
        <f t="shared" si="5"/>
        <v>0</v>
      </c>
    </row>
    <row r="495">
      <c r="A495" s="27" t="str">
        <f>IFERROR(__xludf.DUMMYFUNCTION("""COMPUTED_VALUE"""),"INVESCO LTD")</f>
        <v>INVESCO LTD</v>
      </c>
      <c r="B495" s="27" t="str">
        <f>IFERROR(__xludf.DUMMYFUNCTION("""COMPUTED_VALUE"""),"Financials")</f>
        <v>Financials</v>
      </c>
      <c r="C495" s="27" t="str">
        <f>IFERROR(__xludf.DUMMYFUNCTION("""COMPUTED_VALUE"""),"United States")</f>
        <v>United States</v>
      </c>
      <c r="D495" s="27">
        <f>IFERROR(__xludf.DUMMYFUNCTION("""COMPUTED_VALUE"""),0.02)</f>
        <v>0.02</v>
      </c>
      <c r="E495" s="22">
        <f t="shared" si="2"/>
        <v>0.2</v>
      </c>
      <c r="F495" s="23" t="str">
        <f t="shared" si="3"/>
        <v/>
      </c>
      <c r="G495" s="23" t="str">
        <f t="shared" si="4"/>
        <v/>
      </c>
      <c r="H495" s="27"/>
      <c r="I495" s="27"/>
      <c r="J495" s="27"/>
      <c r="K495" s="27"/>
      <c r="L495" s="22">
        <f t="shared" si="5"/>
        <v>0</v>
      </c>
    </row>
    <row r="496">
      <c r="A496" s="27" t="str">
        <f>IFERROR(__xludf.DUMMYFUNCTION("""COMPUTED_VALUE"""),"PARAMOUNT GLOBAL CLASS B")</f>
        <v>PARAMOUNT GLOBAL CLASS B</v>
      </c>
      <c r="B496" s="27" t="str">
        <f>IFERROR(__xludf.DUMMYFUNCTION("""COMPUTED_VALUE"""),"Communication")</f>
        <v>Communication</v>
      </c>
      <c r="C496" s="27" t="str">
        <f>IFERROR(__xludf.DUMMYFUNCTION("""COMPUTED_VALUE"""),"United States")</f>
        <v>United States</v>
      </c>
      <c r="D496" s="27">
        <f>IFERROR(__xludf.DUMMYFUNCTION("""COMPUTED_VALUE"""),0.02)</f>
        <v>0.02</v>
      </c>
      <c r="E496" s="22">
        <f t="shared" si="2"/>
        <v>0.2</v>
      </c>
      <c r="F496" s="23" t="str">
        <f t="shared" si="3"/>
        <v/>
      </c>
      <c r="G496" s="23" t="str">
        <f t="shared" si="4"/>
        <v/>
      </c>
      <c r="H496" s="27"/>
      <c r="I496" s="27"/>
      <c r="J496" s="27"/>
      <c r="K496" s="27"/>
      <c r="L496" s="22">
        <f t="shared" si="5"/>
        <v>0</v>
      </c>
    </row>
    <row r="497">
      <c r="A497" s="27" t="str">
        <f>IFERROR(__xludf.DUMMYFUNCTION("""COMPUTED_VALUE"""),"VF CORP")</f>
        <v>VF CORP</v>
      </c>
      <c r="B497" s="27" t="str">
        <f>IFERROR(__xludf.DUMMYFUNCTION("""COMPUTED_VALUE"""),"Consumer Discretionary")</f>
        <v>Consumer Discretionary</v>
      </c>
      <c r="C497" s="27" t="str">
        <f>IFERROR(__xludf.DUMMYFUNCTION("""COMPUTED_VALUE"""),"United States")</f>
        <v>United States</v>
      </c>
      <c r="D497" s="27">
        <f>IFERROR(__xludf.DUMMYFUNCTION("""COMPUTED_VALUE"""),0.02)</f>
        <v>0.02</v>
      </c>
      <c r="E497" s="22">
        <f t="shared" si="2"/>
        <v>0.2</v>
      </c>
      <c r="F497" s="23" t="str">
        <f t="shared" si="3"/>
        <v/>
      </c>
      <c r="G497" s="23" t="str">
        <f t="shared" si="4"/>
        <v/>
      </c>
      <c r="H497" s="27"/>
      <c r="I497" s="27"/>
      <c r="J497" s="27"/>
      <c r="K497" s="27"/>
      <c r="L497" s="22">
        <f t="shared" si="5"/>
        <v>0</v>
      </c>
    </row>
    <row r="498">
      <c r="A498" s="27" t="str">
        <f>IFERROR(__xludf.DUMMYFUNCTION("""COMPUTED_VALUE"""),"COMERICA INC")</f>
        <v>COMERICA INC</v>
      </c>
      <c r="B498" s="27" t="str">
        <f>IFERROR(__xludf.DUMMYFUNCTION("""COMPUTED_VALUE"""),"Financials")</f>
        <v>Financials</v>
      </c>
      <c r="C498" s="27" t="str">
        <f>IFERROR(__xludf.DUMMYFUNCTION("""COMPUTED_VALUE"""),"United States")</f>
        <v>United States</v>
      </c>
      <c r="D498" s="27">
        <f>IFERROR(__xludf.DUMMYFUNCTION("""COMPUTED_VALUE"""),0.01)</f>
        <v>0.01</v>
      </c>
      <c r="E498" s="22">
        <f t="shared" si="2"/>
        <v>0.1</v>
      </c>
      <c r="F498" s="23" t="str">
        <f t="shared" si="3"/>
        <v/>
      </c>
      <c r="G498" s="23" t="str">
        <f t="shared" si="4"/>
        <v/>
      </c>
      <c r="H498" s="27"/>
      <c r="I498" s="27"/>
      <c r="J498" s="27"/>
      <c r="K498" s="27"/>
      <c r="L498" s="22">
        <f t="shared" si="5"/>
        <v>0</v>
      </c>
    </row>
    <row r="499">
      <c r="A499" s="27" t="str">
        <f>IFERROR(__xludf.DUMMYFUNCTION("""COMPUTED_VALUE"""),"DAVITA INC")</f>
        <v>DAVITA INC</v>
      </c>
      <c r="B499" s="27" t="str">
        <f>IFERROR(__xludf.DUMMYFUNCTION("""COMPUTED_VALUE"""),"Health Care")</f>
        <v>Health Care</v>
      </c>
      <c r="C499" s="27" t="str">
        <f>IFERROR(__xludf.DUMMYFUNCTION("""COMPUTED_VALUE"""),"United States")</f>
        <v>United States</v>
      </c>
      <c r="D499" s="27">
        <f>IFERROR(__xludf.DUMMYFUNCTION("""COMPUTED_VALUE"""),0.01)</f>
        <v>0.01</v>
      </c>
      <c r="E499" s="22">
        <f t="shared" si="2"/>
        <v>0.1</v>
      </c>
      <c r="F499" s="23" t="str">
        <f t="shared" si="3"/>
        <v/>
      </c>
      <c r="G499" s="23" t="str">
        <f t="shared" si="4"/>
        <v/>
      </c>
      <c r="H499" s="27"/>
      <c r="I499" s="27"/>
      <c r="J499" s="27"/>
      <c r="K499" s="27"/>
      <c r="L499" s="22">
        <f t="shared" si="5"/>
        <v>0</v>
      </c>
    </row>
    <row r="500">
      <c r="A500" s="27" t="str">
        <f>IFERROR(__xludf.DUMMYFUNCTION("""COMPUTED_VALUE"""),"ZIONS BANCORPORATION")</f>
        <v>ZIONS BANCORPORATION</v>
      </c>
      <c r="B500" s="27" t="str">
        <f>IFERROR(__xludf.DUMMYFUNCTION("""COMPUTED_VALUE"""),"Financials")</f>
        <v>Financials</v>
      </c>
      <c r="C500" s="27" t="str">
        <f>IFERROR(__xludf.DUMMYFUNCTION("""COMPUTED_VALUE"""),"United States")</f>
        <v>United States</v>
      </c>
      <c r="D500" s="27">
        <f>IFERROR(__xludf.DUMMYFUNCTION("""COMPUTED_VALUE"""),0.01)</f>
        <v>0.01</v>
      </c>
      <c r="E500" s="22">
        <f t="shared" si="2"/>
        <v>0.1</v>
      </c>
      <c r="F500" s="23" t="str">
        <f t="shared" si="3"/>
        <v/>
      </c>
      <c r="G500" s="23" t="str">
        <f t="shared" si="4"/>
        <v/>
      </c>
      <c r="H500" s="27"/>
      <c r="I500" s="27"/>
      <c r="J500" s="27"/>
      <c r="K500" s="27"/>
      <c r="L500" s="22">
        <f t="shared" si="5"/>
        <v>0</v>
      </c>
    </row>
    <row r="501">
      <c r="A501" s="27" t="str">
        <f>IFERROR(__xludf.DUMMYFUNCTION("""COMPUTED_VALUE"""),"SEALED AIR CORP")</f>
        <v>SEALED AIR CORP</v>
      </c>
      <c r="B501" s="27" t="str">
        <f>IFERROR(__xludf.DUMMYFUNCTION("""COMPUTED_VALUE"""),"Materials")</f>
        <v>Materials</v>
      </c>
      <c r="C501" s="27" t="str">
        <f>IFERROR(__xludf.DUMMYFUNCTION("""COMPUTED_VALUE"""),"United States")</f>
        <v>United States</v>
      </c>
      <c r="D501" s="27">
        <f>IFERROR(__xludf.DUMMYFUNCTION("""COMPUTED_VALUE"""),0.01)</f>
        <v>0.01</v>
      </c>
      <c r="E501" s="22">
        <f t="shared" si="2"/>
        <v>0.1</v>
      </c>
      <c r="F501" s="23" t="str">
        <f t="shared" si="3"/>
        <v/>
      </c>
      <c r="G501" s="23" t="str">
        <f t="shared" si="4"/>
        <v/>
      </c>
      <c r="H501" s="27"/>
      <c r="I501" s="27"/>
      <c r="J501" s="27"/>
      <c r="K501" s="27"/>
      <c r="L501" s="22">
        <f t="shared" si="5"/>
        <v>0</v>
      </c>
    </row>
    <row r="502">
      <c r="A502" s="27" t="str">
        <f>IFERROR(__xludf.DUMMYFUNCTION("""COMPUTED_VALUE"""),"ALASKA AIR GROUP INC")</f>
        <v>ALASKA AIR GROUP INC</v>
      </c>
      <c r="B502" s="27" t="str">
        <f>IFERROR(__xludf.DUMMYFUNCTION("""COMPUTED_VALUE"""),"Industrials")</f>
        <v>Industrials</v>
      </c>
      <c r="C502" s="27" t="str">
        <f>IFERROR(__xludf.DUMMYFUNCTION("""COMPUTED_VALUE"""),"United States")</f>
        <v>United States</v>
      </c>
      <c r="D502" s="27">
        <f>IFERROR(__xludf.DUMMYFUNCTION("""COMPUTED_VALUE"""),0.01)</f>
        <v>0.01</v>
      </c>
      <c r="E502" s="22">
        <f t="shared" si="2"/>
        <v>0.1</v>
      </c>
      <c r="F502" s="23" t="str">
        <f t="shared" si="3"/>
        <v/>
      </c>
      <c r="G502" s="23" t="str">
        <f t="shared" si="4"/>
        <v/>
      </c>
      <c r="H502" s="27"/>
      <c r="I502" s="27"/>
      <c r="J502" s="27"/>
      <c r="K502" s="27"/>
      <c r="L502" s="22">
        <f t="shared" si="5"/>
        <v>0</v>
      </c>
    </row>
    <row r="503">
      <c r="A503" s="27" t="str">
        <f>IFERROR(__xludf.DUMMYFUNCTION("""COMPUTED_VALUE"""),"RALPH LAUREN CORP CLASS A")</f>
        <v>RALPH LAUREN CORP CLASS A</v>
      </c>
      <c r="B503" s="27" t="str">
        <f>IFERROR(__xludf.DUMMYFUNCTION("""COMPUTED_VALUE"""),"Consumer Discretionary")</f>
        <v>Consumer Discretionary</v>
      </c>
      <c r="C503" s="27" t="str">
        <f>IFERROR(__xludf.DUMMYFUNCTION("""COMPUTED_VALUE"""),"United States")</f>
        <v>United States</v>
      </c>
      <c r="D503" s="27">
        <f>IFERROR(__xludf.DUMMYFUNCTION("""COMPUTED_VALUE"""),0.01)</f>
        <v>0.01</v>
      </c>
      <c r="E503" s="22">
        <f t="shared" si="2"/>
        <v>0.1</v>
      </c>
      <c r="F503" s="23" t="str">
        <f t="shared" si="3"/>
        <v/>
      </c>
      <c r="G503" s="23" t="str">
        <f t="shared" si="4"/>
        <v/>
      </c>
      <c r="H503" s="27"/>
      <c r="I503" s="27"/>
      <c r="J503" s="27"/>
      <c r="K503" s="27"/>
      <c r="L503" s="22">
        <f t="shared" si="5"/>
        <v>0</v>
      </c>
    </row>
    <row r="504">
      <c r="A504" s="27" t="str">
        <f>IFERROR(__xludf.DUMMYFUNCTION("""COMPUTED_VALUE"""),"MOHAWK INDUSTRIES INC")</f>
        <v>MOHAWK INDUSTRIES INC</v>
      </c>
      <c r="B504" s="27" t="str">
        <f>IFERROR(__xludf.DUMMYFUNCTION("""COMPUTED_VALUE"""),"Consumer Discretionary")</f>
        <v>Consumer Discretionary</v>
      </c>
      <c r="C504" s="27" t="str">
        <f>IFERROR(__xludf.DUMMYFUNCTION("""COMPUTED_VALUE"""),"United States")</f>
        <v>United States</v>
      </c>
      <c r="D504" s="27">
        <f>IFERROR(__xludf.DUMMYFUNCTION("""COMPUTED_VALUE"""),0.01)</f>
        <v>0.01</v>
      </c>
      <c r="E504" s="22">
        <f t="shared" si="2"/>
        <v>0.1</v>
      </c>
      <c r="F504" s="23" t="str">
        <f t="shared" si="3"/>
        <v/>
      </c>
      <c r="G504" s="23" t="str">
        <f t="shared" si="4"/>
        <v/>
      </c>
      <c r="H504" s="27"/>
      <c r="I504" s="27"/>
      <c r="J504" s="27"/>
      <c r="K504" s="27"/>
      <c r="L504" s="22">
        <f t="shared" si="5"/>
        <v>0</v>
      </c>
    </row>
    <row r="505">
      <c r="A505" s="27" t="str">
        <f>IFERROR(__xludf.DUMMYFUNCTION("""COMPUTED_VALUE"""),"ORGANON")</f>
        <v>ORGANON</v>
      </c>
      <c r="B505" s="27" t="str">
        <f>IFERROR(__xludf.DUMMYFUNCTION("""COMPUTED_VALUE"""),"Health Care")</f>
        <v>Health Care</v>
      </c>
      <c r="C505" s="27" t="str">
        <f>IFERROR(__xludf.DUMMYFUNCTION("""COMPUTED_VALUE"""),"United States")</f>
        <v>United States</v>
      </c>
      <c r="D505" s="27">
        <f>IFERROR(__xludf.DUMMYFUNCTION("""COMPUTED_VALUE"""),0.01)</f>
        <v>0.01</v>
      </c>
      <c r="E505" s="22">
        <f t="shared" si="2"/>
        <v>0.1</v>
      </c>
      <c r="F505" s="23" t="str">
        <f t="shared" si="3"/>
        <v/>
      </c>
      <c r="G505" s="23" t="str">
        <f t="shared" si="4"/>
        <v/>
      </c>
      <c r="H505" s="27"/>
      <c r="I505" s="27"/>
      <c r="J505" s="27"/>
      <c r="K505" s="27"/>
      <c r="L505" s="22">
        <f t="shared" si="5"/>
        <v>0</v>
      </c>
    </row>
    <row r="506">
      <c r="A506" s="27" t="str">
        <f>IFERROR(__xludf.DUMMYFUNCTION("""COMPUTED_VALUE"""),"DXC TECHNOLOGY")</f>
        <v>DXC TECHNOLOGY</v>
      </c>
      <c r="B506" s="27" t="str">
        <f>IFERROR(__xludf.DUMMYFUNCTION("""COMPUTED_VALUE"""),"Information Technology")</f>
        <v>Information Technology</v>
      </c>
      <c r="C506" s="27" t="str">
        <f>IFERROR(__xludf.DUMMYFUNCTION("""COMPUTED_VALUE"""),"United States")</f>
        <v>United States</v>
      </c>
      <c r="D506" s="27">
        <f>IFERROR(__xludf.DUMMYFUNCTION("""COMPUTED_VALUE"""),0.01)</f>
        <v>0.01</v>
      </c>
      <c r="E506" s="22">
        <f t="shared" si="2"/>
        <v>0.1</v>
      </c>
      <c r="F506" s="23" t="str">
        <f t="shared" si="3"/>
        <v/>
      </c>
      <c r="G506" s="23" t="str">
        <f t="shared" si="4"/>
        <v/>
      </c>
      <c r="H506" s="27"/>
      <c r="I506" s="27"/>
      <c r="J506" s="27"/>
      <c r="K506" s="27"/>
      <c r="L506" s="22">
        <f t="shared" si="5"/>
        <v>0</v>
      </c>
    </row>
    <row r="507">
      <c r="A507" s="27" t="str">
        <f>IFERROR(__xludf.DUMMYFUNCTION("""COMPUTED_VALUE"""),"CASH COLLATERAL USD UBFUT")</f>
        <v>CASH COLLATERAL USD UBFUT</v>
      </c>
      <c r="B507" s="27" t="str">
        <f>IFERROR(__xludf.DUMMYFUNCTION("""COMPUTED_VALUE"""),"Cash and/or Derivatives")</f>
        <v>Cash and/or Derivatives</v>
      </c>
      <c r="C507" s="27" t="str">
        <f>IFERROR(__xludf.DUMMYFUNCTION("""COMPUTED_VALUE"""),"United States")</f>
        <v>United States</v>
      </c>
      <c r="D507" s="27">
        <f>IFERROR(__xludf.DUMMYFUNCTION("""COMPUTED_VALUE"""),0.01)</f>
        <v>0.01</v>
      </c>
      <c r="E507" s="22">
        <f t="shared" si="2"/>
        <v>0.1</v>
      </c>
      <c r="F507" s="23" t="str">
        <f t="shared" si="3"/>
        <v/>
      </c>
      <c r="G507" s="23" t="str">
        <f t="shared" si="4"/>
        <v/>
      </c>
      <c r="H507" s="27"/>
      <c r="I507" s="27"/>
      <c r="J507" s="27"/>
      <c r="K507" s="27"/>
      <c r="L507" s="22">
        <f t="shared" si="5"/>
        <v>0</v>
      </c>
    </row>
    <row r="508">
      <c r="A508" s="27" t="str">
        <f>IFERROR(__xludf.DUMMYFUNCTION("""COMPUTED_VALUE"""),"FOX CORP CLASS B")</f>
        <v>FOX CORP CLASS B</v>
      </c>
      <c r="B508" s="27" t="str">
        <f>IFERROR(__xludf.DUMMYFUNCTION("""COMPUTED_VALUE"""),"Communication")</f>
        <v>Communication</v>
      </c>
      <c r="C508" s="27" t="str">
        <f>IFERROR(__xludf.DUMMYFUNCTION("""COMPUTED_VALUE"""),"United States")</f>
        <v>United States</v>
      </c>
      <c r="D508" s="27">
        <f>IFERROR(__xludf.DUMMYFUNCTION("""COMPUTED_VALUE"""),0.01)</f>
        <v>0.01</v>
      </c>
      <c r="E508" s="22">
        <f t="shared" si="2"/>
        <v>0.1</v>
      </c>
      <c r="F508" s="23" t="str">
        <f t="shared" si="3"/>
        <v/>
      </c>
      <c r="G508" s="23" t="str">
        <f t="shared" si="4"/>
        <v/>
      </c>
      <c r="H508" s="27"/>
      <c r="I508" s="27"/>
      <c r="J508" s="27"/>
      <c r="K508" s="27"/>
      <c r="L508" s="22">
        <f t="shared" si="5"/>
        <v>0</v>
      </c>
    </row>
    <row r="509">
      <c r="A509" s="27" t="str">
        <f>IFERROR(__xludf.DUMMYFUNCTION("""COMPUTED_VALUE"""),"NEWS CORP CLASS B")</f>
        <v>NEWS CORP CLASS B</v>
      </c>
      <c r="B509" s="27" t="str">
        <f>IFERROR(__xludf.DUMMYFUNCTION("""COMPUTED_VALUE"""),"Communication")</f>
        <v>Communication</v>
      </c>
      <c r="C509" s="27" t="str">
        <f>IFERROR(__xludf.DUMMYFUNCTION("""COMPUTED_VALUE"""),"United States")</f>
        <v>United States</v>
      </c>
      <c r="D509" s="27">
        <f>IFERROR(__xludf.DUMMYFUNCTION("""COMPUTED_VALUE"""),0.01)</f>
        <v>0.01</v>
      </c>
      <c r="E509" s="22">
        <f t="shared" si="2"/>
        <v>0.1</v>
      </c>
      <c r="F509" s="23" t="str">
        <f t="shared" si="3"/>
        <v/>
      </c>
      <c r="G509" s="23" t="str">
        <f t="shared" si="4"/>
        <v/>
      </c>
      <c r="H509" s="27"/>
      <c r="I509" s="27"/>
      <c r="J509" s="27"/>
      <c r="K509" s="27"/>
      <c r="L509" s="22">
        <f t="shared" si="5"/>
        <v>0</v>
      </c>
    </row>
    <row r="510">
      <c r="A510" s="27" t="str">
        <f>IFERROR(__xludf.DUMMYFUNCTION("""COMPUTED_VALUE"""),"S&amp;P500 EMINI DEC 23")</f>
        <v>S&amp;P500 EMINI DEC 23</v>
      </c>
      <c r="B510" s="27" t="str">
        <f>IFERROR(__xludf.DUMMYFUNCTION("""COMPUTED_VALUE"""),"Cash and/or Derivatives")</f>
        <v>Cash and/or Derivatives</v>
      </c>
      <c r="C510" s="27" t="str">
        <f>IFERROR(__xludf.DUMMYFUNCTION("""COMPUTED_VALUE"""),"-")</f>
        <v>-</v>
      </c>
      <c r="D510" s="27">
        <f>IFERROR(__xludf.DUMMYFUNCTION("""COMPUTED_VALUE"""),0.0)</f>
        <v>0</v>
      </c>
      <c r="E510" s="22">
        <f t="shared" si="2"/>
        <v>0</v>
      </c>
      <c r="F510" s="23" t="str">
        <f t="shared" si="3"/>
        <v/>
      </c>
      <c r="G510" s="23" t="str">
        <f t="shared" si="4"/>
        <v/>
      </c>
      <c r="H510" s="27"/>
      <c r="I510" s="27"/>
      <c r="J510" s="27"/>
      <c r="K510" s="27"/>
      <c r="L510" s="22">
        <f t="shared" si="5"/>
        <v>0</v>
      </c>
    </row>
    <row r="511">
      <c r="A511" s="27"/>
      <c r="B511" s="27"/>
      <c r="C511" s="27"/>
      <c r="D511" s="27"/>
      <c r="E511" s="22">
        <f t="shared" si="2"/>
        <v>0</v>
      </c>
      <c r="F511" s="23" t="str">
        <f t="shared" si="3"/>
        <v/>
      </c>
      <c r="G511" s="23" t="str">
        <f t="shared" si="4"/>
        <v/>
      </c>
      <c r="H511" s="27"/>
      <c r="I511" s="27"/>
      <c r="J511" s="27"/>
      <c r="K511" s="27"/>
      <c r="L511" s="22">
        <f t="shared" si="5"/>
        <v>0</v>
      </c>
    </row>
    <row r="512">
      <c r="A512" s="27"/>
      <c r="B512" s="27"/>
      <c r="C512" s="27"/>
      <c r="D512" s="27"/>
      <c r="E512" s="22">
        <f t="shared" si="2"/>
        <v>0</v>
      </c>
      <c r="F512" s="23" t="str">
        <f t="shared" si="3"/>
        <v/>
      </c>
      <c r="G512" s="23" t="str">
        <f t="shared" si="4"/>
        <v/>
      </c>
      <c r="H512" s="27"/>
      <c r="I512" s="27"/>
      <c r="J512" s="27"/>
      <c r="K512" s="27"/>
      <c r="L512" s="22">
        <f t="shared" si="5"/>
        <v>0</v>
      </c>
    </row>
    <row r="513">
      <c r="A513" s="27"/>
      <c r="B513" s="27"/>
      <c r="C513" s="27"/>
      <c r="D513" s="27"/>
      <c r="E513" s="22">
        <f t="shared" si="2"/>
        <v>0</v>
      </c>
      <c r="F513" s="23" t="str">
        <f t="shared" si="3"/>
        <v/>
      </c>
      <c r="G513" s="23" t="str">
        <f t="shared" si="4"/>
        <v/>
      </c>
      <c r="H513" s="27"/>
      <c r="I513" s="27"/>
      <c r="J513" s="27"/>
      <c r="K513" s="27"/>
      <c r="L513" s="22">
        <f t="shared" si="5"/>
        <v>0</v>
      </c>
    </row>
    <row r="514">
      <c r="A514" s="27"/>
      <c r="B514" s="27"/>
      <c r="C514" s="27"/>
      <c r="D514" s="27"/>
      <c r="E514" s="22">
        <f t="shared" si="2"/>
        <v>0</v>
      </c>
      <c r="F514" s="23" t="str">
        <f t="shared" si="3"/>
        <v/>
      </c>
      <c r="G514" s="23" t="str">
        <f t="shared" si="4"/>
        <v/>
      </c>
      <c r="H514" s="27"/>
      <c r="I514" s="27"/>
      <c r="J514" s="27"/>
      <c r="K514" s="27"/>
      <c r="L514" s="22">
        <f t="shared" si="5"/>
        <v>0</v>
      </c>
    </row>
    <row r="515">
      <c r="A515" s="27"/>
      <c r="B515" s="27"/>
      <c r="C515" s="27"/>
      <c r="D515" s="27"/>
      <c r="E515" s="22">
        <f t="shared" si="2"/>
        <v>0</v>
      </c>
      <c r="F515" s="23" t="str">
        <f t="shared" si="3"/>
        <v/>
      </c>
      <c r="G515" s="23" t="str">
        <f t="shared" si="4"/>
        <v/>
      </c>
      <c r="H515" s="27"/>
      <c r="I515" s="27"/>
      <c r="J515" s="27"/>
      <c r="K515" s="27"/>
      <c r="L515" s="22">
        <f t="shared" si="5"/>
        <v>0</v>
      </c>
    </row>
    <row r="516">
      <c r="A516" s="27"/>
      <c r="B516" s="27"/>
      <c r="C516" s="27"/>
      <c r="D516" s="27"/>
      <c r="E516" s="22">
        <f t="shared" si="2"/>
        <v>0</v>
      </c>
      <c r="F516" s="23" t="str">
        <f t="shared" si="3"/>
        <v/>
      </c>
      <c r="G516" s="23" t="str">
        <f t="shared" si="4"/>
        <v/>
      </c>
      <c r="H516" s="27"/>
      <c r="I516" s="27"/>
      <c r="J516" s="27"/>
      <c r="K516" s="27"/>
      <c r="L516" s="22">
        <f t="shared" si="5"/>
        <v>0</v>
      </c>
    </row>
    <row r="517">
      <c r="A517" s="27"/>
      <c r="B517" s="27"/>
      <c r="C517" s="27"/>
      <c r="D517" s="27"/>
      <c r="E517" s="22">
        <f t="shared" si="2"/>
        <v>0</v>
      </c>
      <c r="F517" s="23" t="str">
        <f t="shared" si="3"/>
        <v/>
      </c>
      <c r="G517" s="23" t="str">
        <f t="shared" si="4"/>
        <v/>
      </c>
      <c r="H517" s="27"/>
      <c r="I517" s="27"/>
      <c r="J517" s="27"/>
      <c r="K517" s="27"/>
      <c r="L517" s="22">
        <f t="shared" si="5"/>
        <v>0</v>
      </c>
    </row>
    <row r="518">
      <c r="A518" s="27"/>
      <c r="B518" s="27"/>
      <c r="C518" s="27"/>
      <c r="D518" s="27"/>
      <c r="E518" s="22">
        <f t="shared" si="2"/>
        <v>0</v>
      </c>
      <c r="F518" s="23" t="str">
        <f t="shared" si="3"/>
        <v/>
      </c>
      <c r="G518" s="23" t="str">
        <f t="shared" si="4"/>
        <v/>
      </c>
      <c r="H518" s="27"/>
      <c r="I518" s="27"/>
      <c r="J518" s="27"/>
      <c r="K518" s="27"/>
      <c r="L518" s="22">
        <f t="shared" si="5"/>
        <v>0</v>
      </c>
    </row>
    <row r="519">
      <c r="A519" s="27"/>
      <c r="B519" s="27"/>
      <c r="C519" s="27"/>
      <c r="D519" s="27"/>
      <c r="E519" s="22">
        <f t="shared" si="2"/>
        <v>0</v>
      </c>
      <c r="F519" s="23" t="str">
        <f t="shared" si="3"/>
        <v/>
      </c>
      <c r="G519" s="23" t="str">
        <f t="shared" si="4"/>
        <v/>
      </c>
      <c r="H519" s="27"/>
      <c r="I519" s="27"/>
      <c r="J519" s="27"/>
      <c r="K519" s="27"/>
      <c r="L519" s="22">
        <f t="shared" si="5"/>
        <v>0</v>
      </c>
    </row>
    <row r="520">
      <c r="A520" s="27"/>
      <c r="B520" s="27"/>
      <c r="C520" s="27"/>
      <c r="D520" s="27"/>
      <c r="E520" s="22">
        <f t="shared" si="2"/>
        <v>0</v>
      </c>
      <c r="F520" s="23" t="str">
        <f t="shared" si="3"/>
        <v/>
      </c>
      <c r="G520" s="23" t="str">
        <f t="shared" si="4"/>
        <v/>
      </c>
      <c r="H520" s="27"/>
      <c r="I520" s="27"/>
      <c r="J520" s="27"/>
      <c r="K520" s="27"/>
      <c r="L520" s="22">
        <f t="shared" si="5"/>
        <v>0</v>
      </c>
    </row>
    <row r="521">
      <c r="A521" s="27"/>
      <c r="B521" s="27"/>
      <c r="C521" s="27"/>
      <c r="D521" s="27"/>
      <c r="E521" s="22">
        <f t="shared" si="2"/>
        <v>0</v>
      </c>
      <c r="F521" s="23" t="str">
        <f t="shared" si="3"/>
        <v/>
      </c>
      <c r="G521" s="23" t="str">
        <f t="shared" si="4"/>
        <v/>
      </c>
      <c r="H521" s="27"/>
      <c r="I521" s="27"/>
      <c r="J521" s="27"/>
      <c r="K521" s="27"/>
      <c r="L521" s="22">
        <f t="shared" si="5"/>
        <v>0</v>
      </c>
    </row>
    <row r="522">
      <c r="A522" s="27"/>
      <c r="B522" s="27"/>
      <c r="C522" s="27"/>
      <c r="D522" s="27"/>
      <c r="E522" s="22">
        <f t="shared" si="2"/>
        <v>0</v>
      </c>
      <c r="F522" s="23" t="str">
        <f t="shared" si="3"/>
        <v/>
      </c>
      <c r="G522" s="23" t="str">
        <f t="shared" si="4"/>
        <v/>
      </c>
      <c r="H522" s="27"/>
      <c r="I522" s="27"/>
      <c r="J522" s="27"/>
      <c r="K522" s="27"/>
      <c r="L522" s="22">
        <f t="shared" si="5"/>
        <v>0</v>
      </c>
    </row>
    <row r="523">
      <c r="A523" s="27"/>
      <c r="B523" s="27"/>
      <c r="C523" s="27"/>
      <c r="D523" s="27"/>
      <c r="E523" s="22">
        <f t="shared" si="2"/>
        <v>0</v>
      </c>
      <c r="F523" s="23" t="str">
        <f t="shared" si="3"/>
        <v/>
      </c>
      <c r="G523" s="23" t="str">
        <f t="shared" si="4"/>
        <v/>
      </c>
      <c r="H523" s="27"/>
      <c r="I523" s="27"/>
      <c r="J523" s="27"/>
      <c r="K523" s="27"/>
      <c r="L523" s="22">
        <f t="shared" si="5"/>
        <v>0</v>
      </c>
    </row>
    <row r="524">
      <c r="A524" s="27"/>
      <c r="B524" s="27"/>
      <c r="C524" s="27"/>
      <c r="D524" s="27"/>
      <c r="E524" s="22">
        <f t="shared" si="2"/>
        <v>0</v>
      </c>
      <c r="F524" s="23" t="str">
        <f t="shared" si="3"/>
        <v/>
      </c>
      <c r="G524" s="23" t="str">
        <f t="shared" si="4"/>
        <v/>
      </c>
      <c r="H524" s="27"/>
      <c r="I524" s="27"/>
      <c r="J524" s="27"/>
      <c r="K524" s="27"/>
      <c r="L524" s="22">
        <f t="shared" si="5"/>
        <v>0</v>
      </c>
    </row>
    <row r="525">
      <c r="A525" s="27"/>
      <c r="B525" s="27"/>
      <c r="C525" s="27"/>
      <c r="D525" s="27"/>
      <c r="E525" s="22">
        <f t="shared" si="2"/>
        <v>0</v>
      </c>
      <c r="F525" s="23" t="str">
        <f t="shared" si="3"/>
        <v/>
      </c>
      <c r="G525" s="23" t="str">
        <f t="shared" si="4"/>
        <v/>
      </c>
      <c r="H525" s="27"/>
      <c r="I525" s="27"/>
      <c r="J525" s="27"/>
      <c r="K525" s="27"/>
      <c r="L525" s="22">
        <f t="shared" si="5"/>
        <v>0</v>
      </c>
    </row>
    <row r="526">
      <c r="A526" s="27"/>
      <c r="B526" s="27"/>
      <c r="C526" s="27"/>
      <c r="D526" s="27"/>
      <c r="E526" s="22">
        <f t="shared" si="2"/>
        <v>0</v>
      </c>
      <c r="F526" s="23" t="str">
        <f t="shared" si="3"/>
        <v/>
      </c>
      <c r="G526" s="23" t="str">
        <f t="shared" si="4"/>
        <v/>
      </c>
      <c r="H526" s="27"/>
      <c r="I526" s="27"/>
      <c r="J526" s="27"/>
      <c r="K526" s="27"/>
      <c r="L526" s="22">
        <f t="shared" si="5"/>
        <v>0</v>
      </c>
    </row>
    <row r="527">
      <c r="A527" s="27"/>
      <c r="B527" s="27"/>
      <c r="C527" s="27"/>
      <c r="D527" s="27"/>
      <c r="E527" s="22">
        <f t="shared" si="2"/>
        <v>0</v>
      </c>
      <c r="F527" s="23" t="str">
        <f t="shared" si="3"/>
        <v/>
      </c>
      <c r="G527" s="23" t="str">
        <f t="shared" si="4"/>
        <v/>
      </c>
      <c r="H527" s="27"/>
      <c r="I527" s="27"/>
      <c r="J527" s="27"/>
      <c r="K527" s="27"/>
      <c r="L527" s="22">
        <f t="shared" si="5"/>
        <v>0</v>
      </c>
    </row>
    <row r="528">
      <c r="A528" s="27"/>
      <c r="B528" s="27"/>
      <c r="C528" s="27"/>
      <c r="D528" s="27"/>
      <c r="E528" s="22">
        <f t="shared" si="2"/>
        <v>0</v>
      </c>
      <c r="F528" s="23" t="str">
        <f t="shared" si="3"/>
        <v/>
      </c>
      <c r="G528" s="23" t="str">
        <f t="shared" si="4"/>
        <v/>
      </c>
      <c r="H528" s="27"/>
      <c r="I528" s="27"/>
      <c r="J528" s="27"/>
      <c r="K528" s="27"/>
      <c r="L528" s="22">
        <f t="shared" si="5"/>
        <v>0</v>
      </c>
    </row>
    <row r="529">
      <c r="A529" s="27"/>
      <c r="B529" s="27"/>
      <c r="C529" s="27"/>
      <c r="D529" s="27"/>
      <c r="E529" s="22">
        <f t="shared" si="2"/>
        <v>0</v>
      </c>
      <c r="F529" s="23" t="str">
        <f t="shared" si="3"/>
        <v/>
      </c>
      <c r="G529" s="23" t="str">
        <f t="shared" si="4"/>
        <v/>
      </c>
      <c r="H529" s="27"/>
      <c r="I529" s="27"/>
      <c r="J529" s="27"/>
      <c r="K529" s="27"/>
      <c r="L529" s="22">
        <f t="shared" si="5"/>
        <v>0</v>
      </c>
    </row>
    <row r="530">
      <c r="A530" s="27"/>
      <c r="B530" s="27"/>
      <c r="C530" s="27"/>
      <c r="D530" s="27"/>
      <c r="E530" s="22">
        <f t="shared" si="2"/>
        <v>0</v>
      </c>
      <c r="F530" s="23" t="str">
        <f t="shared" si="3"/>
        <v/>
      </c>
      <c r="G530" s="23" t="str">
        <f t="shared" si="4"/>
        <v/>
      </c>
      <c r="H530" s="27"/>
      <c r="I530" s="27"/>
      <c r="J530" s="27"/>
      <c r="K530" s="27"/>
      <c r="L530" s="22">
        <f t="shared" si="5"/>
        <v>0</v>
      </c>
    </row>
    <row r="531">
      <c r="A531" s="27"/>
      <c r="B531" s="27"/>
      <c r="C531" s="27"/>
      <c r="D531" s="27"/>
      <c r="E531" s="22">
        <f t="shared" si="2"/>
        <v>0</v>
      </c>
      <c r="F531" s="23" t="str">
        <f t="shared" si="3"/>
        <v/>
      </c>
      <c r="G531" s="23" t="str">
        <f t="shared" si="4"/>
        <v/>
      </c>
      <c r="H531" s="27"/>
      <c r="I531" s="27"/>
      <c r="J531" s="27"/>
      <c r="K531" s="27"/>
      <c r="L531" s="22">
        <f t="shared" si="5"/>
        <v>0</v>
      </c>
    </row>
    <row r="532">
      <c r="A532" s="27"/>
      <c r="B532" s="27"/>
      <c r="C532" s="27"/>
      <c r="D532" s="27"/>
      <c r="E532" s="22">
        <f t="shared" si="2"/>
        <v>0</v>
      </c>
      <c r="F532" s="23" t="str">
        <f t="shared" si="3"/>
        <v/>
      </c>
      <c r="G532" s="23" t="str">
        <f t="shared" si="4"/>
        <v/>
      </c>
      <c r="H532" s="27"/>
      <c r="I532" s="27"/>
      <c r="J532" s="27"/>
      <c r="K532" s="27"/>
      <c r="L532" s="22">
        <f t="shared" si="5"/>
        <v>0</v>
      </c>
    </row>
    <row r="533">
      <c r="A533" s="27"/>
      <c r="B533" s="27"/>
      <c r="C533" s="27"/>
      <c r="D533" s="27"/>
      <c r="E533" s="22">
        <f t="shared" si="2"/>
        <v>0</v>
      </c>
      <c r="F533" s="23" t="str">
        <f t="shared" si="3"/>
        <v/>
      </c>
      <c r="G533" s="23" t="str">
        <f t="shared" si="4"/>
        <v/>
      </c>
      <c r="H533" s="27"/>
      <c r="I533" s="27"/>
      <c r="J533" s="27"/>
      <c r="K533" s="27"/>
      <c r="L533" s="22">
        <f t="shared" si="5"/>
        <v>0</v>
      </c>
    </row>
    <row r="534">
      <c r="A534" s="27"/>
      <c r="B534" s="27"/>
      <c r="C534" s="27"/>
      <c r="D534" s="27"/>
      <c r="E534" s="22">
        <f t="shared" si="2"/>
        <v>0</v>
      </c>
      <c r="F534" s="23" t="str">
        <f t="shared" si="3"/>
        <v/>
      </c>
      <c r="G534" s="23" t="str">
        <f t="shared" si="4"/>
        <v/>
      </c>
      <c r="H534" s="27"/>
      <c r="I534" s="27"/>
      <c r="J534" s="27"/>
      <c r="K534" s="27"/>
      <c r="L534" s="22">
        <f t="shared" si="5"/>
        <v>0</v>
      </c>
    </row>
    <row r="535">
      <c r="A535" s="27"/>
      <c r="B535" s="27"/>
      <c r="C535" s="27"/>
      <c r="D535" s="27"/>
      <c r="E535" s="22">
        <f t="shared" si="2"/>
        <v>0</v>
      </c>
      <c r="F535" s="23" t="str">
        <f t="shared" si="3"/>
        <v/>
      </c>
      <c r="G535" s="23" t="str">
        <f t="shared" si="4"/>
        <v/>
      </c>
      <c r="H535" s="27"/>
      <c r="I535" s="27"/>
      <c r="J535" s="27"/>
      <c r="K535" s="27"/>
      <c r="L535" s="22">
        <f t="shared" si="5"/>
        <v>0</v>
      </c>
    </row>
    <row r="536">
      <c r="A536" s="27"/>
      <c r="B536" s="27"/>
      <c r="C536" s="27"/>
      <c r="D536" s="27"/>
      <c r="E536" s="22">
        <f t="shared" si="2"/>
        <v>0</v>
      </c>
      <c r="F536" s="23" t="str">
        <f t="shared" si="3"/>
        <v/>
      </c>
      <c r="G536" s="23" t="str">
        <f t="shared" si="4"/>
        <v/>
      </c>
      <c r="H536" s="27"/>
      <c r="I536" s="27"/>
      <c r="J536" s="27"/>
      <c r="K536" s="27"/>
      <c r="L536" s="22">
        <f t="shared" si="5"/>
        <v>0</v>
      </c>
    </row>
    <row r="537">
      <c r="A537" s="27"/>
      <c r="B537" s="27"/>
      <c r="C537" s="27"/>
      <c r="D537" s="27"/>
      <c r="E537" s="22">
        <f t="shared" si="2"/>
        <v>0</v>
      </c>
      <c r="F537" s="23" t="str">
        <f t="shared" si="3"/>
        <v/>
      </c>
      <c r="G537" s="23" t="str">
        <f t="shared" si="4"/>
        <v/>
      </c>
      <c r="H537" s="27"/>
      <c r="I537" s="27"/>
      <c r="J537" s="27"/>
      <c r="K537" s="27"/>
      <c r="L537" s="22">
        <f t="shared" si="5"/>
        <v>0</v>
      </c>
    </row>
    <row r="538">
      <c r="A538" s="27"/>
      <c r="B538" s="27"/>
      <c r="C538" s="27"/>
      <c r="D538" s="27"/>
      <c r="E538" s="22">
        <f t="shared" si="2"/>
        <v>0</v>
      </c>
      <c r="F538" s="23" t="str">
        <f t="shared" si="3"/>
        <v/>
      </c>
      <c r="G538" s="23" t="str">
        <f t="shared" si="4"/>
        <v/>
      </c>
      <c r="H538" s="27"/>
      <c r="I538" s="27"/>
      <c r="J538" s="27"/>
      <c r="K538" s="27"/>
      <c r="L538" s="22">
        <f t="shared" si="5"/>
        <v>0</v>
      </c>
    </row>
    <row r="539">
      <c r="A539" s="27"/>
      <c r="B539" s="27"/>
      <c r="C539" s="27"/>
      <c r="D539" s="27"/>
      <c r="E539" s="22">
        <f t="shared" si="2"/>
        <v>0</v>
      </c>
      <c r="F539" s="23" t="str">
        <f t="shared" si="3"/>
        <v/>
      </c>
      <c r="G539" s="23" t="str">
        <f t="shared" si="4"/>
        <v/>
      </c>
      <c r="H539" s="27"/>
      <c r="I539" s="27"/>
      <c r="J539" s="27"/>
      <c r="K539" s="27"/>
      <c r="L539" s="22">
        <f t="shared" si="5"/>
        <v>0</v>
      </c>
    </row>
    <row r="540">
      <c r="A540" s="27"/>
      <c r="B540" s="27"/>
      <c r="C540" s="27"/>
      <c r="D540" s="27"/>
      <c r="E540" s="22">
        <f t="shared" si="2"/>
        <v>0</v>
      </c>
      <c r="F540" s="23" t="str">
        <f t="shared" si="3"/>
        <v/>
      </c>
      <c r="G540" s="23" t="str">
        <f t="shared" si="4"/>
        <v/>
      </c>
      <c r="H540" s="27"/>
      <c r="I540" s="27"/>
      <c r="J540" s="27"/>
      <c r="K540" s="27"/>
      <c r="L540" s="22">
        <f t="shared" si="5"/>
        <v>0</v>
      </c>
    </row>
    <row r="541">
      <c r="A541" s="27"/>
      <c r="B541" s="27"/>
      <c r="C541" s="27"/>
      <c r="D541" s="27"/>
      <c r="E541" s="22">
        <f t="shared" si="2"/>
        <v>0</v>
      </c>
      <c r="F541" s="23" t="str">
        <f t="shared" si="3"/>
        <v/>
      </c>
      <c r="G541" s="23" t="str">
        <f t="shared" si="4"/>
        <v/>
      </c>
      <c r="H541" s="27"/>
      <c r="I541" s="27"/>
      <c r="J541" s="27"/>
      <c r="K541" s="27"/>
      <c r="L541" s="22">
        <f t="shared" si="5"/>
        <v>0</v>
      </c>
    </row>
    <row r="542">
      <c r="A542" s="27"/>
      <c r="B542" s="27"/>
      <c r="C542" s="27"/>
      <c r="D542" s="27"/>
      <c r="E542" s="22">
        <f t="shared" si="2"/>
        <v>0</v>
      </c>
      <c r="F542" s="23" t="str">
        <f t="shared" si="3"/>
        <v/>
      </c>
      <c r="G542" s="23" t="str">
        <f t="shared" si="4"/>
        <v/>
      </c>
      <c r="H542" s="27"/>
      <c r="I542" s="27"/>
      <c r="J542" s="27"/>
      <c r="K542" s="27"/>
      <c r="L542" s="22">
        <f t="shared" si="5"/>
        <v>0</v>
      </c>
    </row>
    <row r="543">
      <c r="A543" s="27"/>
      <c r="B543" s="27"/>
      <c r="C543" s="27"/>
      <c r="D543" s="27"/>
      <c r="E543" s="22">
        <f t="shared" si="2"/>
        <v>0</v>
      </c>
      <c r="F543" s="23" t="str">
        <f t="shared" si="3"/>
        <v/>
      </c>
      <c r="G543" s="23" t="str">
        <f t="shared" si="4"/>
        <v/>
      </c>
      <c r="H543" s="27"/>
      <c r="I543" s="27"/>
      <c r="J543" s="27"/>
      <c r="K543" s="27"/>
      <c r="L543" s="22">
        <f t="shared" si="5"/>
        <v>0</v>
      </c>
    </row>
    <row r="544">
      <c r="A544" s="27"/>
      <c r="B544" s="27"/>
      <c r="C544" s="27"/>
      <c r="D544" s="27"/>
      <c r="E544" s="22">
        <f t="shared" si="2"/>
        <v>0</v>
      </c>
      <c r="F544" s="23" t="str">
        <f t="shared" si="3"/>
        <v/>
      </c>
      <c r="G544" s="23" t="str">
        <f t="shared" si="4"/>
        <v/>
      </c>
      <c r="H544" s="27"/>
      <c r="I544" s="27"/>
      <c r="J544" s="27"/>
      <c r="K544" s="27"/>
      <c r="L544" s="22">
        <f t="shared" si="5"/>
        <v>0</v>
      </c>
    </row>
    <row r="545">
      <c r="A545" s="27"/>
      <c r="B545" s="27"/>
      <c r="C545" s="27"/>
      <c r="D545" s="27"/>
      <c r="E545" s="22">
        <f t="shared" si="2"/>
        <v>0</v>
      </c>
      <c r="F545" s="23" t="str">
        <f t="shared" si="3"/>
        <v/>
      </c>
      <c r="G545" s="23" t="str">
        <f t="shared" si="4"/>
        <v/>
      </c>
      <c r="H545" s="27"/>
      <c r="I545" s="27"/>
      <c r="J545" s="27"/>
      <c r="K545" s="27"/>
      <c r="L545" s="22">
        <f t="shared" si="5"/>
        <v>0</v>
      </c>
    </row>
    <row r="546">
      <c r="A546" s="27"/>
      <c r="B546" s="27"/>
      <c r="C546" s="27"/>
      <c r="D546" s="27"/>
      <c r="E546" s="22">
        <f t="shared" si="2"/>
        <v>0</v>
      </c>
      <c r="F546" s="23" t="str">
        <f t="shared" si="3"/>
        <v/>
      </c>
      <c r="G546" s="23" t="str">
        <f t="shared" si="4"/>
        <v/>
      </c>
      <c r="H546" s="27"/>
      <c r="I546" s="27"/>
      <c r="J546" s="27"/>
      <c r="K546" s="27"/>
      <c r="L546" s="22">
        <f t="shared" si="5"/>
        <v>0</v>
      </c>
    </row>
    <row r="547">
      <c r="A547" s="27"/>
      <c r="B547" s="27"/>
      <c r="C547" s="27"/>
      <c r="D547" s="27"/>
      <c r="E547" s="22">
        <f t="shared" si="2"/>
        <v>0</v>
      </c>
      <c r="F547" s="23" t="str">
        <f t="shared" si="3"/>
        <v/>
      </c>
      <c r="G547" s="23" t="str">
        <f t="shared" si="4"/>
        <v/>
      </c>
      <c r="H547" s="27"/>
      <c r="I547" s="27"/>
      <c r="J547" s="27"/>
      <c r="K547" s="27"/>
      <c r="L547" s="22">
        <f t="shared" si="5"/>
        <v>0</v>
      </c>
    </row>
    <row r="548">
      <c r="A548" s="27"/>
      <c r="B548" s="27"/>
      <c r="C548" s="27"/>
      <c r="D548" s="27"/>
      <c r="E548" s="22">
        <f t="shared" si="2"/>
        <v>0</v>
      </c>
      <c r="F548" s="23" t="str">
        <f t="shared" si="3"/>
        <v/>
      </c>
      <c r="G548" s="23" t="str">
        <f t="shared" si="4"/>
        <v/>
      </c>
      <c r="H548" s="27"/>
      <c r="I548" s="27"/>
      <c r="J548" s="27"/>
      <c r="K548" s="27"/>
      <c r="L548" s="22">
        <f t="shared" si="5"/>
        <v>0</v>
      </c>
    </row>
    <row r="549">
      <c r="A549" s="27"/>
      <c r="B549" s="27"/>
      <c r="C549" s="27"/>
      <c r="D549" s="27"/>
      <c r="E549" s="22">
        <f t="shared" si="2"/>
        <v>0</v>
      </c>
      <c r="F549" s="23" t="str">
        <f t="shared" si="3"/>
        <v/>
      </c>
      <c r="G549" s="23" t="str">
        <f t="shared" si="4"/>
        <v/>
      </c>
      <c r="H549" s="27"/>
      <c r="I549" s="27"/>
      <c r="J549" s="27"/>
      <c r="K549" s="27"/>
      <c r="L549" s="22">
        <f t="shared" si="5"/>
        <v>0</v>
      </c>
    </row>
    <row r="550">
      <c r="A550" s="27"/>
      <c r="B550" s="27"/>
      <c r="C550" s="27"/>
      <c r="D550" s="27"/>
      <c r="E550" s="22">
        <f t="shared" si="2"/>
        <v>0</v>
      </c>
      <c r="F550" s="23" t="str">
        <f t="shared" si="3"/>
        <v/>
      </c>
      <c r="G550" s="23" t="str">
        <f t="shared" si="4"/>
        <v/>
      </c>
      <c r="H550" s="27"/>
      <c r="I550" s="27"/>
      <c r="J550" s="27"/>
      <c r="K550" s="27"/>
      <c r="L550" s="22">
        <f t="shared" si="5"/>
        <v>0</v>
      </c>
    </row>
    <row r="551">
      <c r="A551" s="27"/>
      <c r="B551" s="27"/>
      <c r="C551" s="27"/>
      <c r="D551" s="27"/>
      <c r="E551" s="22">
        <f t="shared" si="2"/>
        <v>0</v>
      </c>
      <c r="F551" s="23" t="str">
        <f t="shared" si="3"/>
        <v/>
      </c>
      <c r="G551" s="23" t="str">
        <f t="shared" si="4"/>
        <v/>
      </c>
      <c r="H551" s="27"/>
      <c r="I551" s="27"/>
      <c r="J551" s="27"/>
      <c r="K551" s="27"/>
      <c r="L551" s="22">
        <f t="shared" si="5"/>
        <v>0</v>
      </c>
    </row>
    <row r="552">
      <c r="A552" s="27"/>
      <c r="B552" s="27"/>
      <c r="C552" s="27"/>
      <c r="D552" s="27"/>
      <c r="E552" s="22">
        <f t="shared" si="2"/>
        <v>0</v>
      </c>
      <c r="F552" s="23" t="str">
        <f t="shared" si="3"/>
        <v/>
      </c>
      <c r="G552" s="23" t="str">
        <f t="shared" si="4"/>
        <v/>
      </c>
      <c r="H552" s="27"/>
      <c r="I552" s="27"/>
      <c r="J552" s="27"/>
      <c r="K552" s="27"/>
      <c r="L552" s="22">
        <f t="shared" si="5"/>
        <v>0</v>
      </c>
    </row>
    <row r="553">
      <c r="A553" s="27"/>
      <c r="B553" s="27"/>
      <c r="C553" s="27"/>
      <c r="D553" s="27"/>
      <c r="E553" s="22">
        <f t="shared" si="2"/>
        <v>0</v>
      </c>
      <c r="F553" s="23" t="str">
        <f t="shared" si="3"/>
        <v/>
      </c>
      <c r="G553" s="23" t="str">
        <f t="shared" si="4"/>
        <v/>
      </c>
      <c r="H553" s="27"/>
      <c r="I553" s="27"/>
      <c r="J553" s="27"/>
      <c r="K553" s="27"/>
      <c r="L553" s="22">
        <f t="shared" si="5"/>
        <v>0</v>
      </c>
    </row>
    <row r="554">
      <c r="A554" s="27"/>
      <c r="B554" s="27"/>
      <c r="C554" s="27"/>
      <c r="D554" s="27"/>
      <c r="E554" s="22">
        <f t="shared" si="2"/>
        <v>0</v>
      </c>
      <c r="F554" s="23" t="str">
        <f t="shared" si="3"/>
        <v/>
      </c>
      <c r="G554" s="23" t="str">
        <f t="shared" si="4"/>
        <v/>
      </c>
      <c r="H554" s="27"/>
      <c r="I554" s="27"/>
      <c r="J554" s="27"/>
      <c r="K554" s="27"/>
      <c r="L554" s="22">
        <f t="shared" si="5"/>
        <v>0</v>
      </c>
    </row>
    <row r="555">
      <c r="A555" s="27"/>
      <c r="B555" s="27"/>
      <c r="C555" s="27"/>
      <c r="D555" s="27"/>
      <c r="E555" s="22">
        <f t="shared" si="2"/>
        <v>0</v>
      </c>
      <c r="F555" s="23" t="str">
        <f t="shared" si="3"/>
        <v/>
      </c>
      <c r="G555" s="23" t="str">
        <f t="shared" si="4"/>
        <v/>
      </c>
      <c r="H555" s="27"/>
      <c r="I555" s="27"/>
      <c r="J555" s="27"/>
      <c r="K555" s="27"/>
      <c r="L555" s="22">
        <f t="shared" si="5"/>
        <v>0</v>
      </c>
    </row>
    <row r="556">
      <c r="A556" s="27"/>
      <c r="B556" s="27"/>
      <c r="C556" s="27"/>
      <c r="D556" s="27"/>
      <c r="E556" s="22">
        <f t="shared" si="2"/>
        <v>0</v>
      </c>
      <c r="F556" s="23" t="str">
        <f t="shared" si="3"/>
        <v/>
      </c>
      <c r="G556" s="23" t="str">
        <f t="shared" si="4"/>
        <v/>
      </c>
      <c r="H556" s="27"/>
      <c r="I556" s="27"/>
      <c r="J556" s="27"/>
      <c r="K556" s="27"/>
      <c r="L556" s="22">
        <f t="shared" si="5"/>
        <v>0</v>
      </c>
    </row>
    <row r="557">
      <c r="A557" s="27"/>
      <c r="B557" s="27"/>
      <c r="C557" s="27"/>
      <c r="D557" s="27"/>
      <c r="E557" s="22">
        <f t="shared" si="2"/>
        <v>0</v>
      </c>
      <c r="F557" s="23" t="str">
        <f t="shared" si="3"/>
        <v/>
      </c>
      <c r="G557" s="23" t="str">
        <f t="shared" si="4"/>
        <v/>
      </c>
      <c r="H557" s="27"/>
      <c r="I557" s="27"/>
      <c r="J557" s="27"/>
      <c r="K557" s="27"/>
      <c r="L557" s="22">
        <f t="shared" si="5"/>
        <v>0</v>
      </c>
    </row>
    <row r="558">
      <c r="A558" s="27"/>
      <c r="B558" s="27"/>
      <c r="C558" s="27"/>
      <c r="D558" s="27"/>
      <c r="E558" s="22">
        <f t="shared" si="2"/>
        <v>0</v>
      </c>
      <c r="F558" s="23" t="str">
        <f t="shared" si="3"/>
        <v/>
      </c>
      <c r="G558" s="23" t="str">
        <f t="shared" si="4"/>
        <v/>
      </c>
      <c r="H558" s="27"/>
      <c r="I558" s="27"/>
      <c r="J558" s="27"/>
      <c r="K558" s="27"/>
      <c r="L558" s="22">
        <f t="shared" si="5"/>
        <v>0</v>
      </c>
    </row>
    <row r="559">
      <c r="A559" s="27"/>
      <c r="B559" s="27"/>
      <c r="C559" s="27"/>
      <c r="D559" s="27"/>
      <c r="E559" s="22">
        <f t="shared" si="2"/>
        <v>0</v>
      </c>
      <c r="F559" s="23" t="str">
        <f t="shared" si="3"/>
        <v/>
      </c>
      <c r="G559" s="23" t="str">
        <f t="shared" si="4"/>
        <v/>
      </c>
      <c r="H559" s="27"/>
      <c r="I559" s="27"/>
      <c r="J559" s="27"/>
      <c r="K559" s="27"/>
      <c r="L559" s="22">
        <f t="shared" si="5"/>
        <v>0</v>
      </c>
    </row>
    <row r="560">
      <c r="A560" s="27"/>
      <c r="B560" s="27"/>
      <c r="C560" s="27"/>
      <c r="D560" s="27"/>
      <c r="E560" s="22">
        <f t="shared" si="2"/>
        <v>0</v>
      </c>
      <c r="F560" s="23" t="str">
        <f t="shared" si="3"/>
        <v/>
      </c>
      <c r="G560" s="23" t="str">
        <f t="shared" si="4"/>
        <v/>
      </c>
      <c r="H560" s="27"/>
      <c r="I560" s="27"/>
      <c r="J560" s="27"/>
      <c r="K560" s="27"/>
      <c r="L560" s="22">
        <f t="shared" si="5"/>
        <v>0</v>
      </c>
    </row>
    <row r="561">
      <c r="A561" s="27"/>
      <c r="B561" s="27"/>
      <c r="C561" s="27"/>
      <c r="D561" s="27"/>
      <c r="E561" s="22">
        <f t="shared" si="2"/>
        <v>0</v>
      </c>
      <c r="F561" s="23" t="str">
        <f t="shared" si="3"/>
        <v/>
      </c>
      <c r="G561" s="23" t="str">
        <f t="shared" si="4"/>
        <v/>
      </c>
      <c r="H561" s="27"/>
      <c r="I561" s="27"/>
      <c r="J561" s="27"/>
      <c r="K561" s="27"/>
      <c r="L561" s="22">
        <f t="shared" si="5"/>
        <v>0</v>
      </c>
    </row>
    <row r="562">
      <c r="A562" s="27"/>
      <c r="B562" s="27"/>
      <c r="C562" s="27"/>
      <c r="D562" s="27"/>
      <c r="E562" s="22">
        <f t="shared" si="2"/>
        <v>0</v>
      </c>
      <c r="F562" s="23" t="str">
        <f t="shared" si="3"/>
        <v/>
      </c>
      <c r="G562" s="23" t="str">
        <f t="shared" si="4"/>
        <v/>
      </c>
      <c r="H562" s="27"/>
      <c r="I562" s="27"/>
      <c r="J562" s="27"/>
      <c r="K562" s="27"/>
      <c r="L562" s="22">
        <f t="shared" si="5"/>
        <v>0</v>
      </c>
    </row>
    <row r="563">
      <c r="A563" s="27"/>
      <c r="B563" s="27"/>
      <c r="C563" s="27"/>
      <c r="D563" s="27"/>
      <c r="E563" s="22">
        <f t="shared" si="2"/>
        <v>0</v>
      </c>
      <c r="F563" s="23" t="str">
        <f t="shared" si="3"/>
        <v/>
      </c>
      <c r="G563" s="23" t="str">
        <f t="shared" si="4"/>
        <v/>
      </c>
      <c r="H563" s="27"/>
      <c r="I563" s="27"/>
      <c r="J563" s="27"/>
      <c r="K563" s="27"/>
      <c r="L563" s="22">
        <f t="shared" si="5"/>
        <v>0</v>
      </c>
    </row>
    <row r="564">
      <c r="A564" s="27"/>
      <c r="B564" s="27"/>
      <c r="C564" s="27"/>
      <c r="D564" s="27"/>
      <c r="E564" s="22">
        <f t="shared" si="2"/>
        <v>0</v>
      </c>
      <c r="F564" s="23" t="str">
        <f t="shared" si="3"/>
        <v/>
      </c>
      <c r="G564" s="23" t="str">
        <f t="shared" si="4"/>
        <v/>
      </c>
      <c r="H564" s="27"/>
      <c r="I564" s="27"/>
      <c r="J564" s="27"/>
      <c r="K564" s="27"/>
      <c r="L564" s="22">
        <f t="shared" si="5"/>
        <v>0</v>
      </c>
    </row>
    <row r="565">
      <c r="A565" s="27"/>
      <c r="B565" s="27"/>
      <c r="C565" s="27"/>
      <c r="D565" s="27"/>
      <c r="E565" s="22">
        <f t="shared" si="2"/>
        <v>0</v>
      </c>
      <c r="F565" s="23" t="str">
        <f t="shared" si="3"/>
        <v/>
      </c>
      <c r="G565" s="23" t="str">
        <f t="shared" si="4"/>
        <v/>
      </c>
      <c r="H565" s="27"/>
      <c r="I565" s="27"/>
      <c r="J565" s="27"/>
      <c r="K565" s="27"/>
      <c r="L565" s="22">
        <f t="shared" si="5"/>
        <v>0</v>
      </c>
    </row>
    <row r="566">
      <c r="A566" s="27"/>
      <c r="B566" s="27"/>
      <c r="C566" s="27"/>
      <c r="D566" s="27"/>
      <c r="E566" s="22">
        <f t="shared" si="2"/>
        <v>0</v>
      </c>
      <c r="F566" s="23" t="str">
        <f t="shared" si="3"/>
        <v/>
      </c>
      <c r="G566" s="23" t="str">
        <f t="shared" si="4"/>
        <v/>
      </c>
      <c r="H566" s="27"/>
      <c r="I566" s="27"/>
      <c r="J566" s="27"/>
      <c r="K566" s="27"/>
      <c r="L566" s="22">
        <f t="shared" si="5"/>
        <v>0</v>
      </c>
    </row>
    <row r="567">
      <c r="A567" s="27"/>
      <c r="B567" s="27"/>
      <c r="C567" s="27"/>
      <c r="D567" s="27"/>
      <c r="E567" s="22">
        <f t="shared" si="2"/>
        <v>0</v>
      </c>
      <c r="F567" s="23" t="str">
        <f t="shared" si="3"/>
        <v/>
      </c>
      <c r="G567" s="23" t="str">
        <f t="shared" si="4"/>
        <v/>
      </c>
      <c r="H567" s="27"/>
      <c r="I567" s="27"/>
      <c r="J567" s="27"/>
      <c r="K567" s="27"/>
      <c r="L567" s="22">
        <f t="shared" si="5"/>
        <v>0</v>
      </c>
    </row>
    <row r="568">
      <c r="A568" s="27"/>
      <c r="B568" s="27"/>
      <c r="C568" s="27"/>
      <c r="D568" s="27"/>
      <c r="E568" s="22">
        <f t="shared" si="2"/>
        <v>0</v>
      </c>
      <c r="F568" s="23" t="str">
        <f t="shared" si="3"/>
        <v/>
      </c>
      <c r="G568" s="23" t="str">
        <f t="shared" si="4"/>
        <v/>
      </c>
      <c r="H568" s="27"/>
      <c r="I568" s="27"/>
      <c r="J568" s="27"/>
      <c r="K568" s="27"/>
      <c r="L568" s="22">
        <f t="shared" si="5"/>
        <v>0</v>
      </c>
    </row>
    <row r="569">
      <c r="A569" s="27"/>
      <c r="B569" s="27"/>
      <c r="C569" s="27"/>
      <c r="D569" s="27"/>
      <c r="E569" s="22">
        <f t="shared" si="2"/>
        <v>0</v>
      </c>
      <c r="F569" s="23" t="str">
        <f t="shared" si="3"/>
        <v/>
      </c>
      <c r="G569" s="23" t="str">
        <f t="shared" si="4"/>
        <v/>
      </c>
      <c r="H569" s="27"/>
      <c r="I569" s="27"/>
      <c r="J569" s="27"/>
      <c r="K569" s="27"/>
      <c r="L569" s="22">
        <f t="shared" si="5"/>
        <v>0</v>
      </c>
    </row>
    <row r="570">
      <c r="A570" s="27"/>
      <c r="B570" s="27"/>
      <c r="C570" s="27"/>
      <c r="D570" s="27"/>
      <c r="E570" s="22">
        <f t="shared" si="2"/>
        <v>0</v>
      </c>
      <c r="F570" s="23" t="str">
        <f t="shared" si="3"/>
        <v/>
      </c>
      <c r="G570" s="23" t="str">
        <f t="shared" si="4"/>
        <v/>
      </c>
      <c r="H570" s="27"/>
      <c r="I570" s="27"/>
      <c r="J570" s="27"/>
      <c r="K570" s="27"/>
      <c r="L570" s="22">
        <f t="shared" si="5"/>
        <v>0</v>
      </c>
    </row>
    <row r="571">
      <c r="A571" s="27"/>
      <c r="B571" s="27"/>
      <c r="C571" s="27"/>
      <c r="D571" s="27"/>
      <c r="E571" s="22">
        <f t="shared" si="2"/>
        <v>0</v>
      </c>
      <c r="F571" s="23" t="str">
        <f t="shared" si="3"/>
        <v/>
      </c>
      <c r="G571" s="23" t="str">
        <f t="shared" si="4"/>
        <v/>
      </c>
      <c r="H571" s="27"/>
      <c r="I571" s="27"/>
      <c r="J571" s="27"/>
      <c r="K571" s="27"/>
      <c r="L571" s="22">
        <f t="shared" si="5"/>
        <v>0</v>
      </c>
    </row>
    <row r="572">
      <c r="A572" s="27"/>
      <c r="B572" s="27"/>
      <c r="C572" s="27"/>
      <c r="D572" s="27"/>
      <c r="E572" s="22">
        <f t="shared" si="2"/>
        <v>0</v>
      </c>
      <c r="F572" s="23" t="str">
        <f t="shared" si="3"/>
        <v/>
      </c>
      <c r="G572" s="23" t="str">
        <f t="shared" si="4"/>
        <v/>
      </c>
      <c r="H572" s="27"/>
      <c r="I572" s="27"/>
      <c r="J572" s="27"/>
      <c r="K572" s="27"/>
      <c r="L572" s="22">
        <f t="shared" si="5"/>
        <v>0</v>
      </c>
    </row>
    <row r="573">
      <c r="A573" s="27"/>
      <c r="B573" s="27"/>
      <c r="C573" s="27"/>
      <c r="D573" s="27"/>
      <c r="E573" s="22">
        <f t="shared" si="2"/>
        <v>0</v>
      </c>
      <c r="F573" s="23" t="str">
        <f t="shared" si="3"/>
        <v/>
      </c>
      <c r="G573" s="23" t="str">
        <f t="shared" si="4"/>
        <v/>
      </c>
      <c r="H573" s="27"/>
      <c r="I573" s="27"/>
      <c r="J573" s="27"/>
      <c r="K573" s="27"/>
      <c r="L573" s="22">
        <f t="shared" si="5"/>
        <v>0</v>
      </c>
    </row>
    <row r="574">
      <c r="A574" s="27"/>
      <c r="B574" s="27"/>
      <c r="C574" s="27"/>
      <c r="D574" s="27"/>
      <c r="E574" s="22">
        <f t="shared" si="2"/>
        <v>0</v>
      </c>
      <c r="F574" s="23" t="str">
        <f t="shared" si="3"/>
        <v/>
      </c>
      <c r="G574" s="23" t="str">
        <f t="shared" si="4"/>
        <v/>
      </c>
      <c r="H574" s="27"/>
      <c r="I574" s="27"/>
      <c r="J574" s="27"/>
      <c r="K574" s="27"/>
      <c r="L574" s="22">
        <f t="shared" si="5"/>
        <v>0</v>
      </c>
    </row>
    <row r="575">
      <c r="A575" s="27"/>
      <c r="B575" s="27"/>
      <c r="C575" s="27"/>
      <c r="D575" s="27"/>
      <c r="E575" s="22">
        <f t="shared" si="2"/>
        <v>0</v>
      </c>
      <c r="F575" s="23" t="str">
        <f t="shared" si="3"/>
        <v/>
      </c>
      <c r="G575" s="23" t="str">
        <f t="shared" si="4"/>
        <v/>
      </c>
      <c r="H575" s="27"/>
      <c r="I575" s="27"/>
      <c r="J575" s="27"/>
      <c r="K575" s="27"/>
      <c r="L575" s="22">
        <f t="shared" si="5"/>
        <v>0</v>
      </c>
    </row>
    <row r="576">
      <c r="A576" s="27"/>
      <c r="B576" s="27"/>
      <c r="C576" s="27"/>
      <c r="D576" s="27"/>
      <c r="E576" s="22">
        <f t="shared" si="2"/>
        <v>0</v>
      </c>
      <c r="F576" s="23" t="str">
        <f t="shared" si="3"/>
        <v/>
      </c>
      <c r="G576" s="23" t="str">
        <f t="shared" si="4"/>
        <v/>
      </c>
      <c r="H576" s="27"/>
      <c r="I576" s="27"/>
      <c r="J576" s="27"/>
      <c r="K576" s="27"/>
      <c r="L576" s="22">
        <f t="shared" si="5"/>
        <v>0</v>
      </c>
    </row>
    <row r="577">
      <c r="A577" s="27"/>
      <c r="B577" s="27"/>
      <c r="C577" s="27"/>
      <c r="D577" s="27"/>
      <c r="E577" s="22">
        <f t="shared" si="2"/>
        <v>0</v>
      </c>
      <c r="F577" s="23" t="str">
        <f t="shared" si="3"/>
        <v/>
      </c>
      <c r="G577" s="23" t="str">
        <f t="shared" si="4"/>
        <v/>
      </c>
      <c r="H577" s="27"/>
      <c r="I577" s="27"/>
      <c r="J577" s="27"/>
      <c r="K577" s="27"/>
      <c r="L577" s="22">
        <f t="shared" si="5"/>
        <v>0</v>
      </c>
    </row>
    <row r="578">
      <c r="A578" s="27"/>
      <c r="B578" s="27"/>
      <c r="C578" s="27"/>
      <c r="D578" s="27"/>
      <c r="E578" s="22">
        <f t="shared" si="2"/>
        <v>0</v>
      </c>
      <c r="F578" s="23" t="str">
        <f t="shared" si="3"/>
        <v/>
      </c>
      <c r="G578" s="23" t="str">
        <f t="shared" si="4"/>
        <v/>
      </c>
      <c r="H578" s="27"/>
      <c r="I578" s="27"/>
      <c r="J578" s="27"/>
      <c r="K578" s="27"/>
      <c r="L578" s="22">
        <f t="shared" si="5"/>
        <v>0</v>
      </c>
    </row>
    <row r="579">
      <c r="A579" s="27"/>
      <c r="B579" s="27"/>
      <c r="C579" s="27"/>
      <c r="D579" s="27"/>
      <c r="E579" s="22">
        <f t="shared" si="2"/>
        <v>0</v>
      </c>
      <c r="F579" s="23" t="str">
        <f t="shared" si="3"/>
        <v/>
      </c>
      <c r="G579" s="23" t="str">
        <f t="shared" si="4"/>
        <v/>
      </c>
      <c r="H579" s="27"/>
      <c r="I579" s="27"/>
      <c r="J579" s="27"/>
      <c r="K579" s="27"/>
      <c r="L579" s="22">
        <f t="shared" si="5"/>
        <v>0</v>
      </c>
    </row>
    <row r="580">
      <c r="A580" s="27"/>
      <c r="B580" s="27"/>
      <c r="C580" s="27"/>
      <c r="D580" s="27"/>
      <c r="E580" s="22">
        <f t="shared" si="2"/>
        <v>0</v>
      </c>
      <c r="F580" s="23" t="str">
        <f t="shared" si="3"/>
        <v/>
      </c>
      <c r="G580" s="23" t="str">
        <f t="shared" si="4"/>
        <v/>
      </c>
      <c r="H580" s="27"/>
      <c r="I580" s="27"/>
      <c r="J580" s="27"/>
      <c r="K580" s="27"/>
      <c r="L580" s="22">
        <f t="shared" si="5"/>
        <v>0</v>
      </c>
    </row>
    <row r="581">
      <c r="A581" s="27"/>
      <c r="B581" s="27"/>
      <c r="C581" s="27"/>
      <c r="D581" s="27"/>
      <c r="E581" s="22">
        <f t="shared" si="2"/>
        <v>0</v>
      </c>
      <c r="F581" s="23" t="str">
        <f t="shared" si="3"/>
        <v/>
      </c>
      <c r="G581" s="23" t="str">
        <f t="shared" si="4"/>
        <v/>
      </c>
      <c r="H581" s="27"/>
      <c r="I581" s="27"/>
      <c r="J581" s="27"/>
      <c r="K581" s="27"/>
      <c r="L581" s="22">
        <f t="shared" si="5"/>
        <v>0</v>
      </c>
    </row>
    <row r="582">
      <c r="A582" s="27"/>
      <c r="B582" s="27"/>
      <c r="C582" s="27"/>
      <c r="D582" s="27"/>
      <c r="E582" s="22">
        <f t="shared" si="2"/>
        <v>0</v>
      </c>
      <c r="F582" s="23" t="str">
        <f t="shared" si="3"/>
        <v/>
      </c>
      <c r="G582" s="23" t="str">
        <f t="shared" si="4"/>
        <v/>
      </c>
      <c r="H582" s="27"/>
      <c r="I582" s="27"/>
      <c r="J582" s="27"/>
      <c r="K582" s="27"/>
      <c r="L582" s="22">
        <f t="shared" si="5"/>
        <v>0</v>
      </c>
    </row>
    <row r="583">
      <c r="A583" s="27"/>
      <c r="B583" s="27"/>
      <c r="C583" s="27"/>
      <c r="D583" s="27"/>
      <c r="E583" s="22">
        <f t="shared" si="2"/>
        <v>0</v>
      </c>
      <c r="F583" s="23" t="str">
        <f t="shared" si="3"/>
        <v/>
      </c>
      <c r="G583" s="23" t="str">
        <f t="shared" si="4"/>
        <v/>
      </c>
      <c r="H583" s="27"/>
      <c r="I583" s="27"/>
      <c r="J583" s="27"/>
      <c r="K583" s="27"/>
      <c r="L583" s="22">
        <f t="shared" si="5"/>
        <v>0</v>
      </c>
    </row>
    <row r="584">
      <c r="A584" s="27"/>
      <c r="B584" s="27"/>
      <c r="C584" s="27"/>
      <c r="D584" s="27"/>
      <c r="E584" s="22">
        <f t="shared" si="2"/>
        <v>0</v>
      </c>
      <c r="F584" s="23" t="str">
        <f t="shared" si="3"/>
        <v/>
      </c>
      <c r="G584" s="23" t="str">
        <f t="shared" si="4"/>
        <v/>
      </c>
      <c r="H584" s="27"/>
      <c r="I584" s="27"/>
      <c r="J584" s="27"/>
      <c r="K584" s="27"/>
      <c r="L584" s="22">
        <f t="shared" si="5"/>
        <v>0</v>
      </c>
    </row>
    <row r="585">
      <c r="A585" s="27"/>
      <c r="B585" s="27"/>
      <c r="C585" s="27"/>
      <c r="D585" s="27"/>
      <c r="E585" s="22">
        <f t="shared" si="2"/>
        <v>0</v>
      </c>
      <c r="F585" s="23" t="str">
        <f t="shared" si="3"/>
        <v/>
      </c>
      <c r="G585" s="23" t="str">
        <f t="shared" si="4"/>
        <v/>
      </c>
      <c r="H585" s="27"/>
      <c r="I585" s="27"/>
      <c r="J585" s="27"/>
      <c r="K585" s="27"/>
      <c r="L585" s="22">
        <f t="shared" si="5"/>
        <v>0</v>
      </c>
    </row>
    <row r="586">
      <c r="A586" s="27"/>
      <c r="B586" s="27"/>
      <c r="C586" s="27"/>
      <c r="D586" s="27"/>
      <c r="E586" s="22">
        <f t="shared" si="2"/>
        <v>0</v>
      </c>
      <c r="F586" s="23" t="str">
        <f t="shared" si="3"/>
        <v/>
      </c>
      <c r="G586" s="23" t="str">
        <f t="shared" si="4"/>
        <v/>
      </c>
      <c r="H586" s="27"/>
      <c r="I586" s="27"/>
      <c r="J586" s="27"/>
      <c r="K586" s="27"/>
      <c r="L586" s="22">
        <f t="shared" si="5"/>
        <v>0</v>
      </c>
    </row>
    <row r="587">
      <c r="A587" s="27"/>
      <c r="B587" s="27"/>
      <c r="C587" s="27"/>
      <c r="D587" s="27"/>
      <c r="E587" s="22">
        <f t="shared" si="2"/>
        <v>0</v>
      </c>
      <c r="F587" s="23" t="str">
        <f t="shared" si="3"/>
        <v/>
      </c>
      <c r="G587" s="23" t="str">
        <f t="shared" si="4"/>
        <v/>
      </c>
      <c r="H587" s="27"/>
      <c r="I587" s="27"/>
      <c r="J587" s="27"/>
      <c r="K587" s="27"/>
      <c r="L587" s="22">
        <f t="shared" si="5"/>
        <v>0</v>
      </c>
    </row>
    <row r="588">
      <c r="A588" s="27"/>
      <c r="B588" s="27"/>
      <c r="C588" s="27"/>
      <c r="D588" s="27"/>
      <c r="E588" s="22">
        <f t="shared" si="2"/>
        <v>0</v>
      </c>
      <c r="F588" s="23" t="str">
        <f t="shared" si="3"/>
        <v/>
      </c>
      <c r="G588" s="23" t="str">
        <f t="shared" si="4"/>
        <v/>
      </c>
      <c r="H588" s="27"/>
      <c r="I588" s="27"/>
      <c r="J588" s="27"/>
      <c r="K588" s="27"/>
      <c r="L588" s="22">
        <f t="shared" si="5"/>
        <v>0</v>
      </c>
    </row>
    <row r="589">
      <c r="A589" s="27"/>
      <c r="B589" s="27"/>
      <c r="C589" s="27"/>
      <c r="D589" s="27"/>
      <c r="E589" s="22">
        <f t="shared" si="2"/>
        <v>0</v>
      </c>
      <c r="F589" s="23" t="str">
        <f t="shared" si="3"/>
        <v/>
      </c>
      <c r="G589" s="23" t="str">
        <f t="shared" si="4"/>
        <v/>
      </c>
      <c r="H589" s="27"/>
      <c r="I589" s="27"/>
      <c r="J589" s="27"/>
      <c r="K589" s="27"/>
      <c r="L589" s="22">
        <f t="shared" si="5"/>
        <v>0</v>
      </c>
    </row>
    <row r="590">
      <c r="A590" s="27"/>
      <c r="B590" s="27"/>
      <c r="C590" s="27"/>
      <c r="D590" s="27"/>
      <c r="E590" s="22">
        <f t="shared" si="2"/>
        <v>0</v>
      </c>
      <c r="F590" s="23" t="str">
        <f t="shared" si="3"/>
        <v/>
      </c>
      <c r="G590" s="23" t="str">
        <f t="shared" si="4"/>
        <v/>
      </c>
      <c r="H590" s="27"/>
      <c r="I590" s="27"/>
      <c r="J590" s="27"/>
      <c r="K590" s="27"/>
      <c r="L590" s="22">
        <f t="shared" si="5"/>
        <v>0</v>
      </c>
    </row>
    <row r="591">
      <c r="A591" s="27"/>
      <c r="B591" s="27"/>
      <c r="C591" s="27"/>
      <c r="D591" s="27"/>
      <c r="E591" s="22">
        <f t="shared" si="2"/>
        <v>0</v>
      </c>
      <c r="F591" s="23" t="str">
        <f t="shared" si="3"/>
        <v/>
      </c>
      <c r="G591" s="23" t="str">
        <f t="shared" si="4"/>
        <v/>
      </c>
      <c r="H591" s="27"/>
      <c r="I591" s="27"/>
      <c r="J591" s="27"/>
      <c r="K591" s="27"/>
      <c r="L591" s="22">
        <f t="shared" si="5"/>
        <v>0</v>
      </c>
    </row>
    <row r="592">
      <c r="A592" s="27"/>
      <c r="B592" s="27"/>
      <c r="C592" s="27"/>
      <c r="D592" s="27"/>
      <c r="E592" s="22">
        <f t="shared" si="2"/>
        <v>0</v>
      </c>
      <c r="F592" s="23" t="str">
        <f t="shared" si="3"/>
        <v/>
      </c>
      <c r="G592" s="23" t="str">
        <f t="shared" si="4"/>
        <v/>
      </c>
      <c r="H592" s="27"/>
      <c r="I592" s="27"/>
      <c r="J592" s="27"/>
      <c r="K592" s="27"/>
      <c r="L592" s="22">
        <f t="shared" si="5"/>
        <v>0</v>
      </c>
    </row>
    <row r="593">
      <c r="A593" s="27"/>
      <c r="B593" s="27"/>
      <c r="C593" s="27"/>
      <c r="D593" s="27"/>
      <c r="E593" s="22">
        <f t="shared" si="2"/>
        <v>0</v>
      </c>
      <c r="F593" s="23" t="str">
        <f t="shared" si="3"/>
        <v/>
      </c>
      <c r="G593" s="23" t="str">
        <f t="shared" si="4"/>
        <v/>
      </c>
      <c r="H593" s="27"/>
      <c r="I593" s="27"/>
      <c r="J593" s="27"/>
      <c r="K593" s="27"/>
      <c r="L593" s="22">
        <f t="shared" si="5"/>
        <v>0</v>
      </c>
    </row>
    <row r="594">
      <c r="A594" s="27"/>
      <c r="B594" s="27"/>
      <c r="C594" s="27"/>
      <c r="D594" s="27"/>
      <c r="E594" s="22">
        <f t="shared" si="2"/>
        <v>0</v>
      </c>
      <c r="F594" s="23" t="str">
        <f t="shared" si="3"/>
        <v/>
      </c>
      <c r="G594" s="23" t="str">
        <f t="shared" si="4"/>
        <v/>
      </c>
      <c r="H594" s="27"/>
      <c r="I594" s="27"/>
      <c r="J594" s="27"/>
      <c r="K594" s="27"/>
      <c r="L594" s="22">
        <f t="shared" si="5"/>
        <v>0</v>
      </c>
    </row>
    <row r="595">
      <c r="A595" s="27"/>
      <c r="B595" s="27"/>
      <c r="C595" s="27"/>
      <c r="D595" s="27"/>
      <c r="E595" s="22">
        <f t="shared" si="2"/>
        <v>0</v>
      </c>
      <c r="F595" s="23" t="str">
        <f t="shared" si="3"/>
        <v/>
      </c>
      <c r="G595" s="23" t="str">
        <f t="shared" si="4"/>
        <v/>
      </c>
      <c r="H595" s="27"/>
      <c r="I595" s="27"/>
      <c r="J595" s="27"/>
      <c r="K595" s="27"/>
      <c r="L595" s="22">
        <f t="shared" si="5"/>
        <v>0</v>
      </c>
    </row>
    <row r="596">
      <c r="A596" s="27"/>
      <c r="B596" s="27"/>
      <c r="C596" s="27"/>
      <c r="D596" s="27"/>
      <c r="E596" s="22">
        <f t="shared" si="2"/>
        <v>0</v>
      </c>
      <c r="F596" s="23" t="str">
        <f t="shared" si="3"/>
        <v/>
      </c>
      <c r="G596" s="23" t="str">
        <f t="shared" si="4"/>
        <v/>
      </c>
      <c r="H596" s="27"/>
      <c r="I596" s="27"/>
      <c r="J596" s="27"/>
      <c r="K596" s="27"/>
      <c r="L596" s="22">
        <f t="shared" si="5"/>
        <v>0</v>
      </c>
    </row>
    <row r="597">
      <c r="A597" s="27"/>
      <c r="B597" s="27"/>
      <c r="C597" s="27"/>
      <c r="D597" s="27"/>
      <c r="E597" s="22">
        <f t="shared" si="2"/>
        <v>0</v>
      </c>
      <c r="F597" s="23" t="str">
        <f t="shared" si="3"/>
        <v/>
      </c>
      <c r="G597" s="23" t="str">
        <f t="shared" si="4"/>
        <v/>
      </c>
      <c r="H597" s="27"/>
      <c r="I597" s="27"/>
      <c r="J597" s="27"/>
      <c r="K597" s="27"/>
      <c r="L597" s="22">
        <f t="shared" si="5"/>
        <v>0</v>
      </c>
    </row>
    <row r="598">
      <c r="A598" s="27"/>
      <c r="B598" s="27"/>
      <c r="C598" s="27"/>
      <c r="D598" s="27"/>
      <c r="E598" s="22">
        <f t="shared" si="2"/>
        <v>0</v>
      </c>
      <c r="F598" s="23" t="str">
        <f t="shared" si="3"/>
        <v/>
      </c>
      <c r="G598" s="23" t="str">
        <f t="shared" si="4"/>
        <v/>
      </c>
      <c r="H598" s="27"/>
      <c r="I598" s="27"/>
      <c r="J598" s="27"/>
      <c r="K598" s="27"/>
      <c r="L598" s="22">
        <f t="shared" si="5"/>
        <v>0</v>
      </c>
    </row>
    <row r="599">
      <c r="A599" s="27"/>
      <c r="B599" s="27"/>
      <c r="C599" s="27"/>
      <c r="D599" s="27"/>
      <c r="E599" s="22">
        <f t="shared" si="2"/>
        <v>0</v>
      </c>
      <c r="F599" s="23" t="str">
        <f t="shared" si="3"/>
        <v/>
      </c>
      <c r="G599" s="23" t="str">
        <f t="shared" si="4"/>
        <v/>
      </c>
      <c r="H599" s="27"/>
      <c r="I599" s="27"/>
      <c r="J599" s="27"/>
      <c r="K599" s="27"/>
      <c r="L599" s="22">
        <f t="shared" si="5"/>
        <v>0</v>
      </c>
    </row>
    <row r="600">
      <c r="A600" s="27"/>
      <c r="B600" s="27"/>
      <c r="C600" s="27"/>
      <c r="D600" s="27"/>
      <c r="E600" s="22">
        <f t="shared" si="2"/>
        <v>0</v>
      </c>
      <c r="F600" s="23" t="str">
        <f t="shared" si="3"/>
        <v/>
      </c>
      <c r="G600" s="23" t="str">
        <f t="shared" si="4"/>
        <v/>
      </c>
      <c r="H600" s="27"/>
      <c r="I600" s="27"/>
      <c r="J600" s="27"/>
      <c r="K600" s="27"/>
      <c r="L600" s="22">
        <f t="shared" si="5"/>
        <v>0</v>
      </c>
    </row>
    <row r="601">
      <c r="A601" s="27"/>
      <c r="B601" s="27"/>
      <c r="C601" s="27"/>
      <c r="D601" s="27"/>
      <c r="E601" s="22">
        <f t="shared" si="2"/>
        <v>0</v>
      </c>
      <c r="F601" s="23" t="str">
        <f t="shared" si="3"/>
        <v/>
      </c>
      <c r="G601" s="23" t="str">
        <f t="shared" si="4"/>
        <v/>
      </c>
      <c r="H601" s="27"/>
      <c r="I601" s="27"/>
      <c r="J601" s="27"/>
      <c r="K601" s="27"/>
      <c r="L601" s="22">
        <f t="shared" si="5"/>
        <v>0</v>
      </c>
    </row>
    <row r="602">
      <c r="A602" s="27"/>
      <c r="B602" s="27"/>
      <c r="C602" s="27"/>
      <c r="D602" s="27"/>
      <c r="E602" s="22">
        <f t="shared" si="2"/>
        <v>0</v>
      </c>
      <c r="F602" s="23" t="str">
        <f t="shared" si="3"/>
        <v/>
      </c>
      <c r="G602" s="23" t="str">
        <f t="shared" si="4"/>
        <v/>
      </c>
      <c r="H602" s="27"/>
      <c r="I602" s="27"/>
      <c r="J602" s="27"/>
      <c r="K602" s="27"/>
      <c r="L602" s="22">
        <f t="shared" si="5"/>
        <v>0</v>
      </c>
    </row>
    <row r="603">
      <c r="A603" s="27"/>
      <c r="B603" s="27"/>
      <c r="C603" s="27"/>
      <c r="D603" s="27"/>
      <c r="E603" s="22">
        <f t="shared" si="2"/>
        <v>0</v>
      </c>
      <c r="F603" s="23" t="str">
        <f t="shared" si="3"/>
        <v/>
      </c>
      <c r="G603" s="23" t="str">
        <f t="shared" si="4"/>
        <v/>
      </c>
      <c r="H603" s="27"/>
      <c r="I603" s="27"/>
      <c r="J603" s="27"/>
      <c r="K603" s="27"/>
      <c r="L603" s="22">
        <f t="shared" si="5"/>
        <v>0</v>
      </c>
    </row>
    <row r="604">
      <c r="A604" s="27"/>
      <c r="B604" s="27"/>
      <c r="C604" s="27"/>
      <c r="D604" s="27"/>
      <c r="E604" s="22">
        <f t="shared" si="2"/>
        <v>0</v>
      </c>
      <c r="F604" s="23" t="str">
        <f t="shared" si="3"/>
        <v/>
      </c>
      <c r="G604" s="23" t="str">
        <f t="shared" si="4"/>
        <v/>
      </c>
      <c r="H604" s="27"/>
      <c r="I604" s="27"/>
      <c r="J604" s="27"/>
      <c r="K604" s="27"/>
      <c r="L604" s="22">
        <f t="shared" si="5"/>
        <v>0</v>
      </c>
    </row>
    <row r="605">
      <c r="A605" s="27"/>
      <c r="B605" s="27"/>
      <c r="C605" s="27"/>
      <c r="D605" s="27"/>
      <c r="E605" s="22">
        <f t="shared" si="2"/>
        <v>0</v>
      </c>
      <c r="F605" s="23" t="str">
        <f t="shared" si="3"/>
        <v/>
      </c>
      <c r="G605" s="23" t="str">
        <f t="shared" si="4"/>
        <v/>
      </c>
      <c r="H605" s="27"/>
      <c r="I605" s="27"/>
      <c r="J605" s="27"/>
      <c r="K605" s="27"/>
      <c r="L605" s="22">
        <f t="shared" si="5"/>
        <v>0</v>
      </c>
    </row>
    <row r="606">
      <c r="A606" s="27"/>
      <c r="B606" s="27"/>
      <c r="C606" s="27"/>
      <c r="D606" s="27"/>
      <c r="E606" s="22">
        <f t="shared" si="2"/>
        <v>0</v>
      </c>
      <c r="F606" s="23" t="str">
        <f t="shared" si="3"/>
        <v/>
      </c>
      <c r="G606" s="23" t="str">
        <f t="shared" si="4"/>
        <v/>
      </c>
      <c r="H606" s="27"/>
      <c r="I606" s="27"/>
      <c r="J606" s="27"/>
      <c r="K606" s="27"/>
      <c r="L606" s="22">
        <f t="shared" si="5"/>
        <v>0</v>
      </c>
    </row>
    <row r="607">
      <c r="A607" s="27"/>
      <c r="B607" s="27"/>
      <c r="C607" s="27"/>
      <c r="D607" s="27"/>
      <c r="E607" s="22">
        <f t="shared" si="2"/>
        <v>0</v>
      </c>
      <c r="F607" s="23" t="str">
        <f t="shared" si="3"/>
        <v/>
      </c>
      <c r="G607" s="23" t="str">
        <f t="shared" si="4"/>
        <v/>
      </c>
      <c r="H607" s="27"/>
      <c r="I607" s="27"/>
      <c r="J607" s="27"/>
      <c r="K607" s="27"/>
      <c r="L607" s="22">
        <f t="shared" si="5"/>
        <v>0</v>
      </c>
    </row>
    <row r="608">
      <c r="A608" s="27"/>
      <c r="B608" s="27"/>
      <c r="C608" s="27"/>
      <c r="D608" s="27"/>
      <c r="E608" s="22">
        <f t="shared" si="2"/>
        <v>0</v>
      </c>
      <c r="F608" s="23" t="str">
        <f t="shared" si="3"/>
        <v/>
      </c>
      <c r="G608" s="23" t="str">
        <f t="shared" si="4"/>
        <v/>
      </c>
      <c r="H608" s="27"/>
      <c r="I608" s="27"/>
      <c r="J608" s="27"/>
      <c r="K608" s="27"/>
      <c r="L608" s="22">
        <f t="shared" si="5"/>
        <v>0</v>
      </c>
    </row>
    <row r="609">
      <c r="A609" s="27"/>
      <c r="B609" s="27"/>
      <c r="C609" s="27"/>
      <c r="D609" s="27"/>
      <c r="E609" s="22">
        <f t="shared" si="2"/>
        <v>0</v>
      </c>
      <c r="F609" s="23" t="str">
        <f t="shared" si="3"/>
        <v/>
      </c>
      <c r="G609" s="23" t="str">
        <f t="shared" si="4"/>
        <v/>
      </c>
      <c r="H609" s="27"/>
      <c r="I609" s="27"/>
      <c r="J609" s="27"/>
      <c r="K609" s="27"/>
      <c r="L609" s="22">
        <f t="shared" si="5"/>
        <v>0</v>
      </c>
    </row>
    <row r="610">
      <c r="A610" s="27"/>
      <c r="B610" s="27"/>
      <c r="C610" s="27"/>
      <c r="D610" s="27"/>
      <c r="E610" s="22">
        <f t="shared" si="2"/>
        <v>0</v>
      </c>
      <c r="F610" s="23" t="str">
        <f t="shared" si="3"/>
        <v/>
      </c>
      <c r="G610" s="23" t="str">
        <f t="shared" si="4"/>
        <v/>
      </c>
      <c r="H610" s="27"/>
      <c r="I610" s="27"/>
      <c r="J610" s="27"/>
      <c r="K610" s="27"/>
      <c r="L610" s="22">
        <f t="shared" si="5"/>
        <v>0</v>
      </c>
    </row>
    <row r="611">
      <c r="A611" s="27"/>
      <c r="B611" s="27"/>
      <c r="C611" s="27"/>
      <c r="D611" s="27"/>
      <c r="E611" s="22">
        <f t="shared" si="2"/>
        <v>0</v>
      </c>
      <c r="F611" s="23" t="str">
        <f t="shared" si="3"/>
        <v/>
      </c>
      <c r="G611" s="23" t="str">
        <f t="shared" si="4"/>
        <v/>
      </c>
      <c r="H611" s="27"/>
      <c r="I611" s="27"/>
      <c r="J611" s="27"/>
      <c r="K611" s="27"/>
      <c r="L611" s="22">
        <f t="shared" si="5"/>
        <v>0</v>
      </c>
    </row>
    <row r="612">
      <c r="A612" s="27"/>
      <c r="B612" s="27"/>
      <c r="C612" s="27"/>
      <c r="D612" s="27"/>
      <c r="E612" s="22">
        <f t="shared" si="2"/>
        <v>0</v>
      </c>
      <c r="F612" s="23" t="str">
        <f t="shared" si="3"/>
        <v/>
      </c>
      <c r="G612" s="23" t="str">
        <f t="shared" si="4"/>
        <v/>
      </c>
      <c r="H612" s="27"/>
      <c r="I612" s="27"/>
      <c r="J612" s="27"/>
      <c r="K612" s="27"/>
      <c r="L612" s="22">
        <f t="shared" si="5"/>
        <v>0</v>
      </c>
    </row>
    <row r="613">
      <c r="A613" s="27"/>
      <c r="B613" s="27"/>
      <c r="C613" s="27"/>
      <c r="D613" s="27"/>
      <c r="E613" s="22">
        <f t="shared" si="2"/>
        <v>0</v>
      </c>
      <c r="F613" s="23" t="str">
        <f t="shared" si="3"/>
        <v/>
      </c>
      <c r="G613" s="23" t="str">
        <f t="shared" si="4"/>
        <v/>
      </c>
      <c r="H613" s="27"/>
      <c r="I613" s="27"/>
      <c r="J613" s="27"/>
      <c r="K613" s="27"/>
      <c r="L613" s="22">
        <f t="shared" si="5"/>
        <v>0</v>
      </c>
    </row>
    <row r="614">
      <c r="A614" s="27"/>
      <c r="B614" s="27"/>
      <c r="C614" s="27"/>
      <c r="D614" s="27"/>
      <c r="E614" s="22">
        <f t="shared" si="2"/>
        <v>0</v>
      </c>
      <c r="F614" s="23" t="str">
        <f t="shared" si="3"/>
        <v/>
      </c>
      <c r="G614" s="23" t="str">
        <f t="shared" si="4"/>
        <v/>
      </c>
      <c r="H614" s="27"/>
      <c r="I614" s="27"/>
      <c r="J614" s="27"/>
      <c r="K614" s="27"/>
      <c r="L614" s="22">
        <f t="shared" si="5"/>
        <v>0</v>
      </c>
    </row>
    <row r="615">
      <c r="A615" s="27"/>
      <c r="B615" s="27"/>
      <c r="C615" s="27"/>
      <c r="D615" s="27"/>
      <c r="E615" s="22">
        <f t="shared" si="2"/>
        <v>0</v>
      </c>
      <c r="F615" s="23" t="str">
        <f t="shared" si="3"/>
        <v/>
      </c>
      <c r="G615" s="23" t="str">
        <f t="shared" si="4"/>
        <v/>
      </c>
      <c r="H615" s="27"/>
      <c r="I615" s="27"/>
      <c r="J615" s="27"/>
      <c r="K615" s="27"/>
      <c r="L615" s="22">
        <f t="shared" si="5"/>
        <v>0</v>
      </c>
    </row>
    <row r="616">
      <c r="A616" s="27"/>
      <c r="B616" s="27"/>
      <c r="C616" s="27"/>
      <c r="D616" s="27"/>
      <c r="E616" s="22">
        <f t="shared" si="2"/>
        <v>0</v>
      </c>
      <c r="F616" s="23" t="str">
        <f t="shared" si="3"/>
        <v/>
      </c>
      <c r="G616" s="23" t="str">
        <f t="shared" si="4"/>
        <v/>
      </c>
      <c r="H616" s="27"/>
      <c r="I616" s="27"/>
      <c r="J616" s="27"/>
      <c r="K616" s="27"/>
      <c r="L616" s="22">
        <f t="shared" si="5"/>
        <v>0</v>
      </c>
    </row>
    <row r="617">
      <c r="A617" s="27"/>
      <c r="B617" s="27"/>
      <c r="C617" s="27"/>
      <c r="D617" s="27"/>
      <c r="E617" s="22">
        <f t="shared" si="2"/>
        <v>0</v>
      </c>
      <c r="F617" s="23" t="str">
        <f t="shared" si="3"/>
        <v/>
      </c>
      <c r="G617" s="23" t="str">
        <f t="shared" si="4"/>
        <v/>
      </c>
      <c r="H617" s="27"/>
      <c r="I617" s="27"/>
      <c r="J617" s="27"/>
      <c r="K617" s="27"/>
      <c r="L617" s="22">
        <f t="shared" si="5"/>
        <v>0</v>
      </c>
    </row>
    <row r="618">
      <c r="A618" s="27"/>
      <c r="B618" s="27"/>
      <c r="C618" s="27"/>
      <c r="D618" s="27"/>
      <c r="E618" s="22">
        <f t="shared" si="2"/>
        <v>0</v>
      </c>
      <c r="F618" s="23" t="str">
        <f t="shared" si="3"/>
        <v/>
      </c>
      <c r="G618" s="23" t="str">
        <f t="shared" si="4"/>
        <v/>
      </c>
      <c r="H618" s="27"/>
      <c r="I618" s="27"/>
      <c r="J618" s="27"/>
      <c r="K618" s="27"/>
      <c r="L618" s="22">
        <f t="shared" si="5"/>
        <v>0</v>
      </c>
    </row>
    <row r="619">
      <c r="A619" s="27"/>
      <c r="B619" s="27"/>
      <c r="C619" s="27"/>
      <c r="D619" s="27"/>
      <c r="E619" s="22">
        <f t="shared" si="2"/>
        <v>0</v>
      </c>
      <c r="F619" s="23" t="str">
        <f t="shared" si="3"/>
        <v/>
      </c>
      <c r="G619" s="23" t="str">
        <f t="shared" si="4"/>
        <v/>
      </c>
      <c r="H619" s="27"/>
      <c r="I619" s="27"/>
      <c r="J619" s="27"/>
      <c r="K619" s="27"/>
      <c r="L619" s="22">
        <f t="shared" si="5"/>
        <v>0</v>
      </c>
    </row>
    <row r="620">
      <c r="A620" s="27"/>
      <c r="B620" s="27"/>
      <c r="C620" s="27"/>
      <c r="D620" s="27"/>
      <c r="E620" s="22">
        <f t="shared" si="2"/>
        <v>0</v>
      </c>
      <c r="F620" s="23" t="str">
        <f t="shared" si="3"/>
        <v/>
      </c>
      <c r="G620" s="23" t="str">
        <f t="shared" si="4"/>
        <v/>
      </c>
      <c r="H620" s="27"/>
      <c r="I620" s="27"/>
      <c r="J620" s="27"/>
      <c r="K620" s="27"/>
      <c r="L620" s="22">
        <f t="shared" si="5"/>
        <v>0</v>
      </c>
    </row>
    <row r="621">
      <c r="A621" s="27"/>
      <c r="B621" s="27"/>
      <c r="C621" s="27"/>
      <c r="D621" s="27"/>
      <c r="E621" s="22">
        <f t="shared" si="2"/>
        <v>0</v>
      </c>
      <c r="F621" s="23" t="str">
        <f t="shared" si="3"/>
        <v/>
      </c>
      <c r="G621" s="23" t="str">
        <f t="shared" si="4"/>
        <v/>
      </c>
      <c r="H621" s="27"/>
      <c r="I621" s="27"/>
      <c r="J621" s="27"/>
      <c r="K621" s="27"/>
      <c r="L621" s="22">
        <f t="shared" si="5"/>
        <v>0</v>
      </c>
    </row>
    <row r="622">
      <c r="A622" s="27"/>
      <c r="B622" s="27"/>
      <c r="C622" s="27"/>
      <c r="D622" s="27"/>
      <c r="E622" s="22">
        <f t="shared" si="2"/>
        <v>0</v>
      </c>
      <c r="F622" s="23" t="str">
        <f t="shared" si="3"/>
        <v/>
      </c>
      <c r="G622" s="23" t="str">
        <f t="shared" si="4"/>
        <v/>
      </c>
      <c r="H622" s="27"/>
      <c r="I622" s="27"/>
      <c r="J622" s="27"/>
      <c r="K622" s="27"/>
      <c r="L622" s="22">
        <f t="shared" si="5"/>
        <v>0</v>
      </c>
    </row>
    <row r="623">
      <c r="A623" s="27"/>
      <c r="B623" s="27"/>
      <c r="C623" s="27"/>
      <c r="D623" s="27"/>
      <c r="E623" s="22">
        <f t="shared" si="2"/>
        <v>0</v>
      </c>
      <c r="F623" s="23" t="str">
        <f t="shared" si="3"/>
        <v/>
      </c>
      <c r="G623" s="23" t="str">
        <f t="shared" si="4"/>
        <v/>
      </c>
      <c r="H623" s="27"/>
      <c r="I623" s="27"/>
      <c r="J623" s="27"/>
      <c r="K623" s="27"/>
      <c r="L623" s="22">
        <f t="shared" si="5"/>
        <v>0</v>
      </c>
    </row>
    <row r="624">
      <c r="A624" s="27"/>
      <c r="B624" s="27"/>
      <c r="C624" s="27"/>
      <c r="D624" s="27"/>
      <c r="E624" s="22">
        <f t="shared" si="2"/>
        <v>0</v>
      </c>
      <c r="F624" s="23" t="str">
        <f t="shared" si="3"/>
        <v/>
      </c>
      <c r="G624" s="23" t="str">
        <f t="shared" si="4"/>
        <v/>
      </c>
      <c r="H624" s="27"/>
      <c r="I624" s="27"/>
      <c r="J624" s="27"/>
      <c r="K624" s="27"/>
      <c r="L624" s="22">
        <f t="shared" si="5"/>
        <v>0</v>
      </c>
    </row>
    <row r="625">
      <c r="A625" s="27"/>
      <c r="B625" s="27"/>
      <c r="C625" s="27"/>
      <c r="D625" s="27"/>
      <c r="E625" s="22">
        <f t="shared" si="2"/>
        <v>0</v>
      </c>
      <c r="F625" s="23" t="str">
        <f t="shared" si="3"/>
        <v/>
      </c>
      <c r="G625" s="23" t="str">
        <f t="shared" si="4"/>
        <v/>
      </c>
      <c r="H625" s="27"/>
      <c r="I625" s="27"/>
      <c r="J625" s="27"/>
      <c r="K625" s="27"/>
      <c r="L625" s="22">
        <f t="shared" si="5"/>
        <v>0</v>
      </c>
    </row>
    <row r="626">
      <c r="A626" s="27"/>
      <c r="B626" s="27"/>
      <c r="C626" s="27"/>
      <c r="D626" s="27"/>
      <c r="E626" s="22">
        <f t="shared" si="2"/>
        <v>0</v>
      </c>
      <c r="F626" s="23" t="str">
        <f t="shared" si="3"/>
        <v/>
      </c>
      <c r="G626" s="23" t="str">
        <f t="shared" si="4"/>
        <v/>
      </c>
      <c r="H626" s="27"/>
      <c r="I626" s="27"/>
      <c r="J626" s="27"/>
      <c r="K626" s="27"/>
      <c r="L626" s="22">
        <f t="shared" si="5"/>
        <v>0</v>
      </c>
    </row>
    <row r="627">
      <c r="A627" s="27"/>
      <c r="B627" s="27"/>
      <c r="C627" s="27"/>
      <c r="D627" s="27"/>
      <c r="E627" s="22">
        <f t="shared" si="2"/>
        <v>0</v>
      </c>
      <c r="F627" s="23" t="str">
        <f t="shared" si="3"/>
        <v/>
      </c>
      <c r="G627" s="23" t="str">
        <f t="shared" si="4"/>
        <v/>
      </c>
      <c r="H627" s="27"/>
      <c r="I627" s="27"/>
      <c r="J627" s="27"/>
      <c r="K627" s="27"/>
      <c r="L627" s="22">
        <f t="shared" si="5"/>
        <v>0</v>
      </c>
    </row>
    <row r="628">
      <c r="A628" s="27"/>
      <c r="B628" s="27"/>
      <c r="C628" s="27"/>
      <c r="D628" s="27"/>
      <c r="E628" s="22">
        <f t="shared" si="2"/>
        <v>0</v>
      </c>
      <c r="F628" s="23" t="str">
        <f t="shared" si="3"/>
        <v/>
      </c>
      <c r="G628" s="23" t="str">
        <f t="shared" si="4"/>
        <v/>
      </c>
      <c r="H628" s="27"/>
      <c r="I628" s="27"/>
      <c r="J628" s="27"/>
      <c r="K628" s="27"/>
      <c r="L628" s="22">
        <f t="shared" si="5"/>
        <v>0</v>
      </c>
    </row>
    <row r="629">
      <c r="A629" s="27"/>
      <c r="B629" s="27"/>
      <c r="C629" s="27"/>
      <c r="D629" s="27"/>
      <c r="E629" s="22">
        <f t="shared" si="2"/>
        <v>0</v>
      </c>
      <c r="F629" s="23" t="str">
        <f t="shared" si="3"/>
        <v/>
      </c>
      <c r="G629" s="23" t="str">
        <f t="shared" si="4"/>
        <v/>
      </c>
      <c r="H629" s="27"/>
      <c r="I629" s="27"/>
      <c r="J629" s="27"/>
      <c r="K629" s="27"/>
      <c r="L629" s="22">
        <f t="shared" si="5"/>
        <v>0</v>
      </c>
    </row>
    <row r="630">
      <c r="A630" s="27"/>
      <c r="B630" s="27"/>
      <c r="C630" s="27"/>
      <c r="D630" s="27"/>
      <c r="E630" s="22">
        <f t="shared" si="2"/>
        <v>0</v>
      </c>
      <c r="F630" s="23" t="str">
        <f t="shared" si="3"/>
        <v/>
      </c>
      <c r="G630" s="23" t="str">
        <f t="shared" si="4"/>
        <v/>
      </c>
      <c r="H630" s="27"/>
      <c r="I630" s="27"/>
      <c r="J630" s="27"/>
      <c r="K630" s="27"/>
      <c r="L630" s="22">
        <f t="shared" si="5"/>
        <v>0</v>
      </c>
    </row>
    <row r="631">
      <c r="A631" s="27"/>
      <c r="B631" s="27"/>
      <c r="C631" s="27"/>
      <c r="D631" s="27"/>
      <c r="E631" s="22">
        <f t="shared" si="2"/>
        <v>0</v>
      </c>
      <c r="F631" s="23" t="str">
        <f t="shared" si="3"/>
        <v/>
      </c>
      <c r="G631" s="23" t="str">
        <f t="shared" si="4"/>
        <v/>
      </c>
      <c r="H631" s="27"/>
      <c r="I631" s="27"/>
      <c r="J631" s="27"/>
      <c r="K631" s="27"/>
      <c r="L631" s="22">
        <f t="shared" si="5"/>
        <v>0</v>
      </c>
    </row>
    <row r="632">
      <c r="A632" s="27"/>
      <c r="B632" s="27"/>
      <c r="C632" s="27"/>
      <c r="D632" s="27"/>
      <c r="E632" s="22">
        <f t="shared" si="2"/>
        <v>0</v>
      </c>
      <c r="F632" s="23" t="str">
        <f t="shared" si="3"/>
        <v/>
      </c>
      <c r="G632" s="23" t="str">
        <f t="shared" si="4"/>
        <v/>
      </c>
      <c r="H632" s="27"/>
      <c r="I632" s="27"/>
      <c r="J632" s="27"/>
      <c r="K632" s="27"/>
      <c r="L632" s="22">
        <f t="shared" si="5"/>
        <v>0</v>
      </c>
    </row>
    <row r="633">
      <c r="A633" s="27"/>
      <c r="B633" s="27"/>
      <c r="C633" s="27"/>
      <c r="D633" s="27"/>
      <c r="E633" s="22">
        <f t="shared" si="2"/>
        <v>0</v>
      </c>
      <c r="F633" s="23" t="str">
        <f t="shared" si="3"/>
        <v/>
      </c>
      <c r="G633" s="23" t="str">
        <f t="shared" si="4"/>
        <v/>
      </c>
      <c r="H633" s="27"/>
      <c r="I633" s="27"/>
      <c r="J633" s="27"/>
      <c r="K633" s="27"/>
      <c r="L633" s="22">
        <f t="shared" si="5"/>
        <v>0</v>
      </c>
    </row>
    <row r="634">
      <c r="A634" s="27"/>
      <c r="B634" s="27"/>
      <c r="C634" s="27"/>
      <c r="D634" s="27"/>
      <c r="E634" s="22">
        <f t="shared" si="2"/>
        <v>0</v>
      </c>
      <c r="F634" s="23" t="str">
        <f t="shared" si="3"/>
        <v/>
      </c>
      <c r="G634" s="23" t="str">
        <f t="shared" si="4"/>
        <v/>
      </c>
      <c r="H634" s="27"/>
      <c r="I634" s="27"/>
      <c r="J634" s="27"/>
      <c r="K634" s="27"/>
      <c r="L634" s="22">
        <f t="shared" si="5"/>
        <v>0</v>
      </c>
    </row>
    <row r="635">
      <c r="A635" s="27"/>
      <c r="B635" s="27"/>
      <c r="C635" s="27"/>
      <c r="D635" s="27"/>
      <c r="E635" s="22">
        <f t="shared" si="2"/>
        <v>0</v>
      </c>
      <c r="F635" s="23" t="str">
        <f t="shared" si="3"/>
        <v/>
      </c>
      <c r="G635" s="23" t="str">
        <f t="shared" si="4"/>
        <v/>
      </c>
      <c r="H635" s="27"/>
      <c r="I635" s="27"/>
      <c r="J635" s="27"/>
      <c r="K635" s="27"/>
      <c r="L635" s="22">
        <f t="shared" si="5"/>
        <v>0</v>
      </c>
    </row>
    <row r="636">
      <c r="A636" s="27"/>
      <c r="B636" s="27"/>
      <c r="C636" s="27"/>
      <c r="D636" s="27"/>
      <c r="E636" s="22">
        <f t="shared" si="2"/>
        <v>0</v>
      </c>
      <c r="F636" s="23" t="str">
        <f t="shared" si="3"/>
        <v/>
      </c>
      <c r="G636" s="23" t="str">
        <f t="shared" si="4"/>
        <v/>
      </c>
      <c r="H636" s="27"/>
      <c r="I636" s="27"/>
      <c r="J636" s="27"/>
      <c r="K636" s="27"/>
      <c r="L636" s="22">
        <f t="shared" si="5"/>
        <v>0</v>
      </c>
    </row>
    <row r="637">
      <c r="A637" s="27"/>
      <c r="B637" s="27"/>
      <c r="C637" s="27"/>
      <c r="D637" s="27"/>
      <c r="E637" s="22">
        <f t="shared" si="2"/>
        <v>0</v>
      </c>
      <c r="F637" s="23" t="str">
        <f t="shared" si="3"/>
        <v/>
      </c>
      <c r="G637" s="23" t="str">
        <f t="shared" si="4"/>
        <v/>
      </c>
      <c r="H637" s="27"/>
      <c r="I637" s="27"/>
      <c r="J637" s="27"/>
      <c r="K637" s="27"/>
      <c r="L637" s="22">
        <f t="shared" si="5"/>
        <v>0</v>
      </c>
    </row>
    <row r="638">
      <c r="A638" s="27"/>
      <c r="B638" s="27"/>
      <c r="C638" s="27"/>
      <c r="D638" s="27"/>
      <c r="E638" s="22">
        <f t="shared" si="2"/>
        <v>0</v>
      </c>
      <c r="F638" s="23" t="str">
        <f t="shared" si="3"/>
        <v/>
      </c>
      <c r="G638" s="23" t="str">
        <f t="shared" si="4"/>
        <v/>
      </c>
      <c r="H638" s="27"/>
      <c r="I638" s="27"/>
      <c r="J638" s="27"/>
      <c r="K638" s="27"/>
      <c r="L638" s="22">
        <f t="shared" si="5"/>
        <v>0</v>
      </c>
    </row>
    <row r="639">
      <c r="A639" s="27"/>
      <c r="B639" s="27"/>
      <c r="C639" s="27"/>
      <c r="D639" s="27"/>
      <c r="E639" s="22">
        <f t="shared" si="2"/>
        <v>0</v>
      </c>
      <c r="F639" s="23" t="str">
        <f t="shared" si="3"/>
        <v/>
      </c>
      <c r="G639" s="23" t="str">
        <f t="shared" si="4"/>
        <v/>
      </c>
      <c r="H639" s="27"/>
      <c r="I639" s="27"/>
      <c r="J639" s="27"/>
      <c r="K639" s="27"/>
      <c r="L639" s="22">
        <f t="shared" si="5"/>
        <v>0</v>
      </c>
    </row>
    <row r="640">
      <c r="A640" s="27"/>
      <c r="B640" s="27"/>
      <c r="C640" s="27"/>
      <c r="D640" s="27"/>
      <c r="E640" s="22">
        <f t="shared" si="2"/>
        <v>0</v>
      </c>
      <c r="F640" s="23" t="str">
        <f t="shared" si="3"/>
        <v/>
      </c>
      <c r="G640" s="23" t="str">
        <f t="shared" si="4"/>
        <v/>
      </c>
      <c r="H640" s="27"/>
      <c r="I640" s="27"/>
      <c r="J640" s="27"/>
      <c r="K640" s="27"/>
      <c r="L640" s="22">
        <f t="shared" si="5"/>
        <v>0</v>
      </c>
    </row>
    <row r="641">
      <c r="A641" s="27"/>
      <c r="B641" s="27"/>
      <c r="C641" s="27"/>
      <c r="D641" s="27"/>
      <c r="E641" s="22">
        <f t="shared" si="2"/>
        <v>0</v>
      </c>
      <c r="F641" s="23" t="str">
        <f t="shared" si="3"/>
        <v/>
      </c>
      <c r="G641" s="23" t="str">
        <f t="shared" si="4"/>
        <v/>
      </c>
      <c r="H641" s="27"/>
      <c r="I641" s="27"/>
      <c r="J641" s="27"/>
      <c r="K641" s="27"/>
      <c r="L641" s="22">
        <f t="shared" si="5"/>
        <v>0</v>
      </c>
    </row>
    <row r="642">
      <c r="A642" s="27"/>
      <c r="B642" s="27"/>
      <c r="C642" s="27"/>
      <c r="D642" s="27"/>
      <c r="E642" s="22">
        <f t="shared" si="2"/>
        <v>0</v>
      </c>
      <c r="F642" s="23" t="str">
        <f t="shared" si="3"/>
        <v/>
      </c>
      <c r="G642" s="23" t="str">
        <f t="shared" si="4"/>
        <v/>
      </c>
      <c r="H642" s="27"/>
      <c r="I642" s="27"/>
      <c r="J642" s="27"/>
      <c r="K642" s="27"/>
      <c r="L642" s="22">
        <f t="shared" si="5"/>
        <v>0</v>
      </c>
    </row>
    <row r="643">
      <c r="A643" s="27"/>
      <c r="B643" s="27"/>
      <c r="C643" s="27"/>
      <c r="D643" s="27"/>
      <c r="E643" s="22">
        <f t="shared" si="2"/>
        <v>0</v>
      </c>
      <c r="F643" s="23" t="str">
        <f t="shared" si="3"/>
        <v/>
      </c>
      <c r="G643" s="23" t="str">
        <f t="shared" si="4"/>
        <v/>
      </c>
      <c r="H643" s="27"/>
      <c r="I643" s="27"/>
      <c r="J643" s="27"/>
      <c r="K643" s="27"/>
      <c r="L643" s="22">
        <f t="shared" si="5"/>
        <v>0</v>
      </c>
    </row>
    <row r="644">
      <c r="A644" s="27"/>
      <c r="B644" s="27"/>
      <c r="C644" s="27"/>
      <c r="D644" s="27"/>
      <c r="E644" s="22">
        <f t="shared" si="2"/>
        <v>0</v>
      </c>
      <c r="F644" s="23" t="str">
        <f t="shared" si="3"/>
        <v/>
      </c>
      <c r="G644" s="23" t="str">
        <f t="shared" si="4"/>
        <v/>
      </c>
      <c r="H644" s="27"/>
      <c r="I644" s="27"/>
      <c r="J644" s="27"/>
      <c r="K644" s="27"/>
      <c r="L644" s="22">
        <f t="shared" si="5"/>
        <v>0</v>
      </c>
    </row>
    <row r="645">
      <c r="A645" s="27"/>
      <c r="B645" s="27"/>
      <c r="C645" s="27"/>
      <c r="D645" s="27"/>
      <c r="E645" s="22">
        <f t="shared" si="2"/>
        <v>0</v>
      </c>
      <c r="F645" s="23" t="str">
        <f t="shared" si="3"/>
        <v/>
      </c>
      <c r="G645" s="23" t="str">
        <f t="shared" si="4"/>
        <v/>
      </c>
      <c r="H645" s="27"/>
      <c r="I645" s="27"/>
      <c r="J645" s="27"/>
      <c r="K645" s="27"/>
      <c r="L645" s="22">
        <f t="shared" si="5"/>
        <v>0</v>
      </c>
    </row>
    <row r="646">
      <c r="A646" s="27"/>
      <c r="B646" s="27"/>
      <c r="C646" s="27"/>
      <c r="D646" s="27"/>
      <c r="E646" s="22">
        <f t="shared" si="2"/>
        <v>0</v>
      </c>
      <c r="F646" s="23" t="str">
        <f t="shared" si="3"/>
        <v/>
      </c>
      <c r="G646" s="23" t="str">
        <f t="shared" si="4"/>
        <v/>
      </c>
      <c r="H646" s="27"/>
      <c r="I646" s="27"/>
      <c r="J646" s="27"/>
      <c r="K646" s="27"/>
      <c r="L646" s="22">
        <f t="shared" si="5"/>
        <v>0</v>
      </c>
    </row>
    <row r="647">
      <c r="A647" s="27"/>
      <c r="B647" s="27"/>
      <c r="C647" s="27"/>
      <c r="D647" s="27"/>
      <c r="E647" s="22">
        <f t="shared" si="2"/>
        <v>0</v>
      </c>
      <c r="F647" s="23" t="str">
        <f t="shared" si="3"/>
        <v/>
      </c>
      <c r="G647" s="23" t="str">
        <f t="shared" si="4"/>
        <v/>
      </c>
      <c r="H647" s="27"/>
      <c r="I647" s="27"/>
      <c r="J647" s="27"/>
      <c r="K647" s="27"/>
      <c r="L647" s="22">
        <f t="shared" si="5"/>
        <v>0</v>
      </c>
    </row>
    <row r="648">
      <c r="A648" s="27"/>
      <c r="B648" s="27"/>
      <c r="C648" s="27"/>
      <c r="D648" s="27"/>
      <c r="E648" s="22">
        <f t="shared" si="2"/>
        <v>0</v>
      </c>
      <c r="F648" s="23" t="str">
        <f t="shared" si="3"/>
        <v/>
      </c>
      <c r="G648" s="23" t="str">
        <f t="shared" si="4"/>
        <v/>
      </c>
      <c r="H648" s="27"/>
      <c r="I648" s="27"/>
      <c r="J648" s="27"/>
      <c r="K648" s="27"/>
      <c r="L648" s="22">
        <f t="shared" si="5"/>
        <v>0</v>
      </c>
    </row>
    <row r="649">
      <c r="A649" s="27"/>
      <c r="B649" s="27"/>
      <c r="C649" s="27"/>
      <c r="D649" s="27"/>
      <c r="E649" s="22">
        <f t="shared" si="2"/>
        <v>0</v>
      </c>
      <c r="F649" s="23" t="str">
        <f t="shared" si="3"/>
        <v/>
      </c>
      <c r="G649" s="23" t="str">
        <f t="shared" si="4"/>
        <v/>
      </c>
      <c r="H649" s="27"/>
      <c r="I649" s="27"/>
      <c r="J649" s="27"/>
      <c r="K649" s="27"/>
      <c r="L649" s="22">
        <f t="shared" si="5"/>
        <v>0</v>
      </c>
    </row>
    <row r="650">
      <c r="A650" s="27"/>
      <c r="B650" s="27"/>
      <c r="C650" s="27"/>
      <c r="D650" s="27"/>
      <c r="E650" s="22">
        <f t="shared" si="2"/>
        <v>0</v>
      </c>
      <c r="F650" s="23" t="str">
        <f t="shared" si="3"/>
        <v/>
      </c>
      <c r="G650" s="23" t="str">
        <f t="shared" si="4"/>
        <v/>
      </c>
      <c r="H650" s="27"/>
      <c r="I650" s="27"/>
      <c r="J650" s="27"/>
      <c r="K650" s="27"/>
      <c r="L650" s="22">
        <f t="shared" si="5"/>
        <v>0</v>
      </c>
    </row>
    <row r="651">
      <c r="A651" s="27"/>
      <c r="B651" s="27"/>
      <c r="C651" s="27"/>
      <c r="D651" s="27"/>
      <c r="E651" s="22">
        <f t="shared" si="2"/>
        <v>0</v>
      </c>
      <c r="F651" s="23" t="str">
        <f t="shared" si="3"/>
        <v/>
      </c>
      <c r="G651" s="23" t="str">
        <f t="shared" si="4"/>
        <v/>
      </c>
      <c r="H651" s="27"/>
      <c r="I651" s="27"/>
      <c r="J651" s="27"/>
      <c r="K651" s="27"/>
      <c r="L651" s="22">
        <f t="shared" si="5"/>
        <v>0</v>
      </c>
    </row>
    <row r="652">
      <c r="A652" s="27"/>
      <c r="B652" s="27"/>
      <c r="C652" s="27"/>
      <c r="D652" s="27"/>
      <c r="E652" s="22">
        <f t="shared" si="2"/>
        <v>0</v>
      </c>
      <c r="F652" s="23" t="str">
        <f t="shared" si="3"/>
        <v/>
      </c>
      <c r="G652" s="23" t="str">
        <f t="shared" si="4"/>
        <v/>
      </c>
      <c r="H652" s="27"/>
      <c r="I652" s="27"/>
      <c r="J652" s="27"/>
      <c r="K652" s="27"/>
      <c r="L652" s="22">
        <f t="shared" si="5"/>
        <v>0</v>
      </c>
    </row>
    <row r="653">
      <c r="A653" s="27"/>
      <c r="B653" s="27"/>
      <c r="C653" s="27"/>
      <c r="D653" s="27"/>
      <c r="E653" s="22">
        <f t="shared" si="2"/>
        <v>0</v>
      </c>
      <c r="F653" s="23" t="str">
        <f t="shared" si="3"/>
        <v/>
      </c>
      <c r="G653" s="23" t="str">
        <f t="shared" si="4"/>
        <v/>
      </c>
      <c r="H653" s="27"/>
      <c r="I653" s="27"/>
      <c r="J653" s="27"/>
      <c r="K653" s="27"/>
      <c r="L653" s="22">
        <f t="shared" si="5"/>
        <v>0</v>
      </c>
    </row>
    <row r="654">
      <c r="A654" s="27"/>
      <c r="B654" s="27"/>
      <c r="C654" s="27"/>
      <c r="D654" s="27"/>
      <c r="E654" s="22">
        <f t="shared" si="2"/>
        <v>0</v>
      </c>
      <c r="F654" s="23" t="str">
        <f t="shared" si="3"/>
        <v/>
      </c>
      <c r="G654" s="23" t="str">
        <f t="shared" si="4"/>
        <v/>
      </c>
      <c r="H654" s="27"/>
      <c r="I654" s="27"/>
      <c r="J654" s="27"/>
      <c r="K654" s="27"/>
      <c r="L654" s="22">
        <f t="shared" si="5"/>
        <v>0</v>
      </c>
    </row>
    <row r="655">
      <c r="A655" s="27"/>
      <c r="B655" s="27"/>
      <c r="C655" s="27"/>
      <c r="D655" s="27"/>
      <c r="E655" s="22">
        <f t="shared" si="2"/>
        <v>0</v>
      </c>
      <c r="F655" s="23" t="str">
        <f t="shared" si="3"/>
        <v/>
      </c>
      <c r="G655" s="23" t="str">
        <f t="shared" si="4"/>
        <v/>
      </c>
      <c r="H655" s="27"/>
      <c r="I655" s="27"/>
      <c r="J655" s="27"/>
      <c r="K655" s="27"/>
      <c r="L655" s="22">
        <f t="shared" si="5"/>
        <v>0</v>
      </c>
    </row>
    <row r="656">
      <c r="A656" s="27"/>
      <c r="B656" s="27"/>
      <c r="C656" s="27"/>
      <c r="D656" s="27"/>
      <c r="E656" s="22">
        <f t="shared" si="2"/>
        <v>0</v>
      </c>
      <c r="F656" s="23" t="str">
        <f t="shared" si="3"/>
        <v/>
      </c>
      <c r="G656" s="23" t="str">
        <f t="shared" si="4"/>
        <v/>
      </c>
      <c r="H656" s="27"/>
      <c r="I656" s="27"/>
      <c r="J656" s="27"/>
      <c r="K656" s="27"/>
      <c r="L656" s="22">
        <f t="shared" si="5"/>
        <v>0</v>
      </c>
    </row>
    <row r="657">
      <c r="A657" s="27"/>
      <c r="B657" s="27"/>
      <c r="C657" s="27"/>
      <c r="D657" s="27"/>
      <c r="E657" s="22">
        <f t="shared" si="2"/>
        <v>0</v>
      </c>
      <c r="F657" s="23" t="str">
        <f t="shared" si="3"/>
        <v/>
      </c>
      <c r="G657" s="23" t="str">
        <f t="shared" si="4"/>
        <v/>
      </c>
      <c r="H657" s="27"/>
      <c r="I657" s="27"/>
      <c r="J657" s="27"/>
      <c r="K657" s="27"/>
      <c r="L657" s="22">
        <f t="shared" si="5"/>
        <v>0</v>
      </c>
    </row>
    <row r="658">
      <c r="A658" s="27"/>
      <c r="B658" s="27"/>
      <c r="C658" s="27"/>
      <c r="D658" s="27"/>
      <c r="E658" s="22">
        <f t="shared" si="2"/>
        <v>0</v>
      </c>
      <c r="F658" s="23" t="str">
        <f t="shared" si="3"/>
        <v/>
      </c>
      <c r="G658" s="23" t="str">
        <f t="shared" si="4"/>
        <v/>
      </c>
      <c r="H658" s="27"/>
      <c r="I658" s="27"/>
      <c r="J658" s="27"/>
      <c r="K658" s="27"/>
      <c r="L658" s="22">
        <f t="shared" si="5"/>
        <v>0</v>
      </c>
    </row>
    <row r="659">
      <c r="A659" s="27"/>
      <c r="B659" s="27"/>
      <c r="C659" s="27"/>
      <c r="D659" s="27"/>
      <c r="E659" s="22">
        <f t="shared" si="2"/>
        <v>0</v>
      </c>
      <c r="F659" s="23" t="str">
        <f t="shared" si="3"/>
        <v/>
      </c>
      <c r="G659" s="23" t="str">
        <f t="shared" si="4"/>
        <v/>
      </c>
      <c r="H659" s="27"/>
      <c r="I659" s="27"/>
      <c r="J659" s="27"/>
      <c r="K659" s="27"/>
      <c r="L659" s="22">
        <f t="shared" si="5"/>
        <v>0</v>
      </c>
    </row>
    <row r="660">
      <c r="A660" s="27"/>
      <c r="B660" s="27"/>
      <c r="C660" s="27"/>
      <c r="D660" s="27"/>
      <c r="E660" s="22">
        <f t="shared" si="2"/>
        <v>0</v>
      </c>
      <c r="F660" s="23" t="str">
        <f t="shared" si="3"/>
        <v/>
      </c>
      <c r="G660" s="23" t="str">
        <f t="shared" si="4"/>
        <v/>
      </c>
      <c r="H660" s="27"/>
      <c r="I660" s="27"/>
      <c r="J660" s="27"/>
      <c r="K660" s="27"/>
      <c r="L660" s="22">
        <f t="shared" si="5"/>
        <v>0</v>
      </c>
    </row>
    <row r="661">
      <c r="A661" s="27"/>
      <c r="B661" s="27"/>
      <c r="C661" s="27"/>
      <c r="D661" s="27"/>
      <c r="E661" s="22">
        <f t="shared" si="2"/>
        <v>0</v>
      </c>
      <c r="F661" s="23" t="str">
        <f t="shared" si="3"/>
        <v/>
      </c>
      <c r="G661" s="23" t="str">
        <f t="shared" si="4"/>
        <v/>
      </c>
      <c r="H661" s="27"/>
      <c r="I661" s="27"/>
      <c r="J661" s="27"/>
      <c r="K661" s="27"/>
      <c r="L661" s="22">
        <f t="shared" si="5"/>
        <v>0</v>
      </c>
    </row>
    <row r="662">
      <c r="A662" s="27"/>
      <c r="B662" s="27"/>
      <c r="C662" s="27"/>
      <c r="D662" s="27"/>
      <c r="E662" s="22">
        <f t="shared" si="2"/>
        <v>0</v>
      </c>
      <c r="F662" s="23" t="str">
        <f t="shared" si="3"/>
        <v/>
      </c>
      <c r="G662" s="23" t="str">
        <f t="shared" si="4"/>
        <v/>
      </c>
      <c r="H662" s="27"/>
      <c r="I662" s="27"/>
      <c r="J662" s="27"/>
      <c r="K662" s="27"/>
      <c r="L662" s="22">
        <f t="shared" si="5"/>
        <v>0</v>
      </c>
    </row>
    <row r="663">
      <c r="A663" s="27"/>
      <c r="B663" s="27"/>
      <c r="C663" s="27"/>
      <c r="D663" s="27"/>
      <c r="E663" s="22">
        <f t="shared" si="2"/>
        <v>0</v>
      </c>
      <c r="F663" s="23" t="str">
        <f t="shared" si="3"/>
        <v/>
      </c>
      <c r="G663" s="23" t="str">
        <f t="shared" si="4"/>
        <v/>
      </c>
      <c r="H663" s="27"/>
      <c r="I663" s="27"/>
      <c r="J663" s="27"/>
      <c r="K663" s="27"/>
      <c r="L663" s="22">
        <f t="shared" si="5"/>
        <v>0</v>
      </c>
    </row>
    <row r="664">
      <c r="A664" s="27"/>
      <c r="B664" s="27"/>
      <c r="C664" s="27"/>
      <c r="D664" s="27"/>
      <c r="E664" s="22">
        <f t="shared" si="2"/>
        <v>0</v>
      </c>
      <c r="F664" s="23" t="str">
        <f t="shared" si="3"/>
        <v/>
      </c>
      <c r="G664" s="23" t="str">
        <f t="shared" si="4"/>
        <v/>
      </c>
      <c r="H664" s="27"/>
      <c r="I664" s="27"/>
      <c r="J664" s="27"/>
      <c r="K664" s="27"/>
      <c r="L664" s="22">
        <f t="shared" si="5"/>
        <v>0</v>
      </c>
    </row>
    <row r="665">
      <c r="A665" s="27"/>
      <c r="B665" s="27"/>
      <c r="C665" s="27"/>
      <c r="D665" s="27"/>
      <c r="E665" s="22">
        <f t="shared" si="2"/>
        <v>0</v>
      </c>
      <c r="F665" s="23" t="str">
        <f t="shared" si="3"/>
        <v/>
      </c>
      <c r="G665" s="23" t="str">
        <f t="shared" si="4"/>
        <v/>
      </c>
      <c r="H665" s="27"/>
      <c r="I665" s="27"/>
      <c r="J665" s="27"/>
      <c r="K665" s="27"/>
      <c r="L665" s="22">
        <f t="shared" si="5"/>
        <v>0</v>
      </c>
    </row>
    <row r="666">
      <c r="A666" s="27"/>
      <c r="B666" s="27"/>
      <c r="C666" s="27"/>
      <c r="D666" s="27"/>
      <c r="E666" s="22">
        <f t="shared" si="2"/>
        <v>0</v>
      </c>
      <c r="F666" s="23" t="str">
        <f t="shared" si="3"/>
        <v/>
      </c>
      <c r="G666" s="23" t="str">
        <f t="shared" si="4"/>
        <v/>
      </c>
      <c r="H666" s="27"/>
      <c r="I666" s="27"/>
      <c r="J666" s="27"/>
      <c r="K666" s="27"/>
      <c r="L666" s="22">
        <f t="shared" si="5"/>
        <v>0</v>
      </c>
    </row>
    <row r="667">
      <c r="A667" s="27"/>
      <c r="B667" s="27"/>
      <c r="C667" s="27"/>
      <c r="D667" s="27"/>
      <c r="E667" s="22">
        <f t="shared" si="2"/>
        <v>0</v>
      </c>
      <c r="F667" s="23" t="str">
        <f t="shared" si="3"/>
        <v/>
      </c>
      <c r="G667" s="23" t="str">
        <f t="shared" si="4"/>
        <v/>
      </c>
      <c r="H667" s="27"/>
      <c r="I667" s="27"/>
      <c r="J667" s="27"/>
      <c r="K667" s="27"/>
      <c r="L667" s="22">
        <f t="shared" si="5"/>
        <v>0</v>
      </c>
    </row>
    <row r="668">
      <c r="A668" s="27"/>
      <c r="B668" s="27"/>
      <c r="C668" s="27"/>
      <c r="D668" s="27"/>
      <c r="E668" s="22">
        <f t="shared" si="2"/>
        <v>0</v>
      </c>
      <c r="F668" s="23" t="str">
        <f t="shared" si="3"/>
        <v/>
      </c>
      <c r="G668" s="23" t="str">
        <f t="shared" si="4"/>
        <v/>
      </c>
      <c r="H668" s="27"/>
      <c r="I668" s="27"/>
      <c r="J668" s="27"/>
      <c r="K668" s="27"/>
      <c r="L668" s="22">
        <f t="shared" si="5"/>
        <v>0</v>
      </c>
    </row>
    <row r="669">
      <c r="A669" s="27"/>
      <c r="B669" s="27"/>
      <c r="C669" s="27"/>
      <c r="D669" s="27"/>
      <c r="E669" s="22">
        <f t="shared" si="2"/>
        <v>0</v>
      </c>
      <c r="F669" s="23" t="str">
        <f t="shared" si="3"/>
        <v/>
      </c>
      <c r="G669" s="23" t="str">
        <f t="shared" si="4"/>
        <v/>
      </c>
      <c r="H669" s="27"/>
      <c r="I669" s="27"/>
      <c r="J669" s="27"/>
      <c r="K669" s="27"/>
      <c r="L669" s="22">
        <f t="shared" si="5"/>
        <v>0</v>
      </c>
    </row>
    <row r="670">
      <c r="A670" s="27"/>
      <c r="B670" s="27"/>
      <c r="C670" s="27"/>
      <c r="D670" s="27"/>
      <c r="E670" s="22">
        <f t="shared" si="2"/>
        <v>0</v>
      </c>
      <c r="F670" s="23" t="str">
        <f t="shared" si="3"/>
        <v/>
      </c>
      <c r="G670" s="23" t="str">
        <f t="shared" si="4"/>
        <v/>
      </c>
      <c r="H670" s="27"/>
      <c r="I670" s="27"/>
      <c r="J670" s="27"/>
      <c r="K670" s="27"/>
      <c r="L670" s="22">
        <f t="shared" si="5"/>
        <v>0</v>
      </c>
    </row>
    <row r="671">
      <c r="A671" s="27"/>
      <c r="B671" s="27"/>
      <c r="C671" s="27"/>
      <c r="D671" s="27"/>
      <c r="E671" s="22">
        <f t="shared" si="2"/>
        <v>0</v>
      </c>
      <c r="F671" s="23" t="str">
        <f t="shared" si="3"/>
        <v/>
      </c>
      <c r="G671" s="23" t="str">
        <f t="shared" si="4"/>
        <v/>
      </c>
      <c r="H671" s="27"/>
      <c r="I671" s="27"/>
      <c r="J671" s="27"/>
      <c r="K671" s="27"/>
      <c r="L671" s="22">
        <f t="shared" si="5"/>
        <v>0</v>
      </c>
    </row>
    <row r="672">
      <c r="A672" s="27"/>
      <c r="B672" s="27"/>
      <c r="C672" s="27"/>
      <c r="D672" s="27"/>
      <c r="E672" s="22">
        <f t="shared" si="2"/>
        <v>0</v>
      </c>
      <c r="F672" s="23" t="str">
        <f t="shared" si="3"/>
        <v/>
      </c>
      <c r="G672" s="23" t="str">
        <f t="shared" si="4"/>
        <v/>
      </c>
      <c r="H672" s="27"/>
      <c r="I672" s="27"/>
      <c r="J672" s="27"/>
      <c r="K672" s="27"/>
      <c r="L672" s="22">
        <f t="shared" si="5"/>
        <v>0</v>
      </c>
    </row>
    <row r="673">
      <c r="A673" s="27"/>
      <c r="B673" s="27"/>
      <c r="C673" s="27"/>
      <c r="D673" s="27"/>
      <c r="E673" s="22">
        <f t="shared" si="2"/>
        <v>0</v>
      </c>
      <c r="F673" s="23" t="str">
        <f t="shared" si="3"/>
        <v/>
      </c>
      <c r="G673" s="23" t="str">
        <f t="shared" si="4"/>
        <v/>
      </c>
      <c r="H673" s="27"/>
      <c r="I673" s="27"/>
      <c r="J673" s="27"/>
      <c r="K673" s="27"/>
      <c r="L673" s="22">
        <f t="shared" si="5"/>
        <v>0</v>
      </c>
    </row>
    <row r="674">
      <c r="A674" s="27"/>
      <c r="B674" s="27"/>
      <c r="C674" s="27"/>
      <c r="D674" s="27"/>
      <c r="E674" s="22">
        <f t="shared" si="2"/>
        <v>0</v>
      </c>
      <c r="F674" s="23" t="str">
        <f t="shared" si="3"/>
        <v/>
      </c>
      <c r="G674" s="23" t="str">
        <f t="shared" si="4"/>
        <v/>
      </c>
      <c r="H674" s="27"/>
      <c r="I674" s="27"/>
      <c r="J674" s="27"/>
      <c r="K674" s="27"/>
      <c r="L674" s="22">
        <f t="shared" si="5"/>
        <v>0</v>
      </c>
    </row>
    <row r="675">
      <c r="A675" s="27"/>
      <c r="B675" s="27"/>
      <c r="C675" s="27"/>
      <c r="D675" s="27"/>
      <c r="E675" s="22">
        <f t="shared" si="2"/>
        <v>0</v>
      </c>
      <c r="F675" s="23" t="str">
        <f t="shared" si="3"/>
        <v/>
      </c>
      <c r="G675" s="23" t="str">
        <f t="shared" si="4"/>
        <v/>
      </c>
      <c r="H675" s="27"/>
      <c r="I675" s="27"/>
      <c r="J675" s="27"/>
      <c r="K675" s="27"/>
      <c r="L675" s="22">
        <f t="shared" si="5"/>
        <v>0</v>
      </c>
    </row>
    <row r="676">
      <c r="A676" s="27"/>
      <c r="B676" s="27"/>
      <c r="C676" s="27"/>
      <c r="D676" s="27"/>
      <c r="E676" s="22">
        <f t="shared" si="2"/>
        <v>0</v>
      </c>
      <c r="F676" s="23" t="str">
        <f t="shared" si="3"/>
        <v/>
      </c>
      <c r="G676" s="23" t="str">
        <f t="shared" si="4"/>
        <v/>
      </c>
      <c r="H676" s="27"/>
      <c r="I676" s="27"/>
      <c r="J676" s="27"/>
      <c r="K676" s="27"/>
      <c r="L676" s="22">
        <f t="shared" si="5"/>
        <v>0</v>
      </c>
    </row>
    <row r="677">
      <c r="A677" s="27"/>
      <c r="B677" s="27"/>
      <c r="C677" s="27"/>
      <c r="D677" s="27"/>
      <c r="E677" s="22">
        <f t="shared" si="2"/>
        <v>0</v>
      </c>
      <c r="F677" s="23" t="str">
        <f t="shared" si="3"/>
        <v/>
      </c>
      <c r="G677" s="23" t="str">
        <f t="shared" si="4"/>
        <v/>
      </c>
      <c r="H677" s="27"/>
      <c r="I677" s="27"/>
      <c r="J677" s="27"/>
      <c r="K677" s="27"/>
      <c r="L677" s="22">
        <f t="shared" si="5"/>
        <v>0</v>
      </c>
    </row>
    <row r="678">
      <c r="A678" s="27"/>
      <c r="B678" s="27"/>
      <c r="C678" s="27"/>
      <c r="D678" s="27"/>
      <c r="E678" s="22">
        <f t="shared" si="2"/>
        <v>0</v>
      </c>
      <c r="F678" s="23" t="str">
        <f t="shared" si="3"/>
        <v/>
      </c>
      <c r="G678" s="23" t="str">
        <f t="shared" si="4"/>
        <v/>
      </c>
      <c r="H678" s="27"/>
      <c r="I678" s="27"/>
      <c r="J678" s="27"/>
      <c r="K678" s="27"/>
      <c r="L678" s="22">
        <f t="shared" si="5"/>
        <v>0</v>
      </c>
    </row>
    <row r="679">
      <c r="A679" s="27"/>
      <c r="B679" s="27"/>
      <c r="C679" s="27"/>
      <c r="D679" s="27"/>
      <c r="E679" s="22">
        <f t="shared" si="2"/>
        <v>0</v>
      </c>
      <c r="F679" s="23" t="str">
        <f t="shared" si="3"/>
        <v/>
      </c>
      <c r="G679" s="23" t="str">
        <f t="shared" si="4"/>
        <v/>
      </c>
      <c r="H679" s="27"/>
      <c r="I679" s="27"/>
      <c r="J679" s="27"/>
      <c r="K679" s="27"/>
      <c r="L679" s="22">
        <f t="shared" si="5"/>
        <v>0</v>
      </c>
    </row>
    <row r="680">
      <c r="A680" s="27"/>
      <c r="B680" s="27"/>
      <c r="C680" s="27"/>
      <c r="D680" s="27"/>
      <c r="E680" s="22">
        <f t="shared" si="2"/>
        <v>0</v>
      </c>
      <c r="F680" s="23" t="str">
        <f t="shared" si="3"/>
        <v/>
      </c>
      <c r="G680" s="23" t="str">
        <f t="shared" si="4"/>
        <v/>
      </c>
      <c r="H680" s="27"/>
      <c r="I680" s="27"/>
      <c r="J680" s="27"/>
      <c r="K680" s="27"/>
      <c r="L680" s="22">
        <f t="shared" si="5"/>
        <v>0</v>
      </c>
    </row>
    <row r="681">
      <c r="A681" s="27"/>
      <c r="B681" s="27"/>
      <c r="C681" s="27"/>
      <c r="D681" s="27"/>
      <c r="E681" s="22">
        <f t="shared" si="2"/>
        <v>0</v>
      </c>
      <c r="F681" s="23" t="str">
        <f t="shared" si="3"/>
        <v/>
      </c>
      <c r="G681" s="23" t="str">
        <f t="shared" si="4"/>
        <v/>
      </c>
      <c r="H681" s="27"/>
      <c r="I681" s="27"/>
      <c r="J681" s="27"/>
      <c r="K681" s="27"/>
      <c r="L681" s="22">
        <f t="shared" si="5"/>
        <v>0</v>
      </c>
    </row>
    <row r="682">
      <c r="A682" s="27"/>
      <c r="B682" s="27"/>
      <c r="C682" s="27"/>
      <c r="D682" s="27"/>
      <c r="E682" s="22">
        <f t="shared" si="2"/>
        <v>0</v>
      </c>
      <c r="F682" s="23" t="str">
        <f t="shared" si="3"/>
        <v/>
      </c>
      <c r="G682" s="23" t="str">
        <f t="shared" si="4"/>
        <v/>
      </c>
      <c r="H682" s="27"/>
      <c r="I682" s="27"/>
      <c r="J682" s="27"/>
      <c r="K682" s="27"/>
      <c r="L682" s="22">
        <f t="shared" si="5"/>
        <v>0</v>
      </c>
    </row>
    <row r="683">
      <c r="A683" s="27"/>
      <c r="B683" s="27"/>
      <c r="C683" s="27"/>
      <c r="D683" s="27"/>
      <c r="E683" s="22">
        <f t="shared" si="2"/>
        <v>0</v>
      </c>
      <c r="F683" s="23" t="str">
        <f t="shared" si="3"/>
        <v/>
      </c>
      <c r="G683" s="23" t="str">
        <f t="shared" si="4"/>
        <v/>
      </c>
      <c r="H683" s="27"/>
      <c r="I683" s="27"/>
      <c r="J683" s="27"/>
      <c r="K683" s="27"/>
      <c r="L683" s="22">
        <f t="shared" si="5"/>
        <v>0</v>
      </c>
    </row>
    <row r="684">
      <c r="A684" s="27"/>
      <c r="B684" s="27"/>
      <c r="C684" s="27"/>
      <c r="D684" s="27"/>
      <c r="E684" s="22">
        <f t="shared" si="2"/>
        <v>0</v>
      </c>
      <c r="F684" s="23" t="str">
        <f t="shared" si="3"/>
        <v/>
      </c>
      <c r="G684" s="23" t="str">
        <f t="shared" si="4"/>
        <v/>
      </c>
      <c r="H684" s="27"/>
      <c r="I684" s="27"/>
      <c r="J684" s="27"/>
      <c r="K684" s="27"/>
      <c r="L684" s="22">
        <f t="shared" si="5"/>
        <v>0</v>
      </c>
    </row>
    <row r="685">
      <c r="A685" s="27"/>
      <c r="B685" s="27"/>
      <c r="C685" s="27"/>
      <c r="D685" s="27"/>
      <c r="E685" s="22">
        <f t="shared" si="2"/>
        <v>0</v>
      </c>
      <c r="F685" s="23" t="str">
        <f t="shared" si="3"/>
        <v/>
      </c>
      <c r="G685" s="23" t="str">
        <f t="shared" si="4"/>
        <v/>
      </c>
      <c r="H685" s="27"/>
      <c r="I685" s="27"/>
      <c r="J685" s="27"/>
      <c r="K685" s="27"/>
      <c r="L685" s="22">
        <f t="shared" si="5"/>
        <v>0</v>
      </c>
    </row>
    <row r="686">
      <c r="A686" s="27"/>
      <c r="B686" s="27"/>
      <c r="C686" s="27"/>
      <c r="D686" s="27"/>
      <c r="E686" s="22">
        <f t="shared" si="2"/>
        <v>0</v>
      </c>
      <c r="F686" s="23" t="str">
        <f t="shared" si="3"/>
        <v/>
      </c>
      <c r="G686" s="23" t="str">
        <f t="shared" si="4"/>
        <v/>
      </c>
      <c r="H686" s="27"/>
      <c r="I686" s="27"/>
      <c r="J686" s="27"/>
      <c r="K686" s="27"/>
      <c r="L686" s="22">
        <f t="shared" si="5"/>
        <v>0</v>
      </c>
    </row>
    <row r="687">
      <c r="A687" s="27"/>
      <c r="B687" s="27"/>
      <c r="C687" s="27"/>
      <c r="D687" s="27"/>
      <c r="E687" s="22">
        <f t="shared" si="2"/>
        <v>0</v>
      </c>
      <c r="F687" s="23" t="str">
        <f t="shared" si="3"/>
        <v/>
      </c>
      <c r="G687" s="23" t="str">
        <f t="shared" si="4"/>
        <v/>
      </c>
      <c r="H687" s="27"/>
      <c r="I687" s="27"/>
      <c r="J687" s="27"/>
      <c r="K687" s="27"/>
      <c r="L687" s="22">
        <f t="shared" si="5"/>
        <v>0</v>
      </c>
    </row>
    <row r="688">
      <c r="A688" s="27"/>
      <c r="B688" s="27"/>
      <c r="C688" s="27"/>
      <c r="D688" s="27"/>
      <c r="E688" s="22">
        <f t="shared" si="2"/>
        <v>0</v>
      </c>
      <c r="F688" s="23" t="str">
        <f t="shared" si="3"/>
        <v/>
      </c>
      <c r="G688" s="23" t="str">
        <f t="shared" si="4"/>
        <v/>
      </c>
      <c r="H688" s="27"/>
      <c r="I688" s="27"/>
      <c r="J688" s="27"/>
      <c r="K688" s="27"/>
      <c r="L688" s="22">
        <f t="shared" si="5"/>
        <v>0</v>
      </c>
    </row>
    <row r="689">
      <c r="A689" s="27"/>
      <c r="B689" s="27"/>
      <c r="C689" s="27"/>
      <c r="D689" s="27"/>
      <c r="E689" s="22">
        <f t="shared" si="2"/>
        <v>0</v>
      </c>
      <c r="F689" s="23" t="str">
        <f t="shared" si="3"/>
        <v/>
      </c>
      <c r="G689" s="23" t="str">
        <f t="shared" si="4"/>
        <v/>
      </c>
      <c r="H689" s="27"/>
      <c r="I689" s="27"/>
      <c r="J689" s="27"/>
      <c r="K689" s="27"/>
      <c r="L689" s="22">
        <f t="shared" si="5"/>
        <v>0</v>
      </c>
    </row>
    <row r="690">
      <c r="A690" s="27"/>
      <c r="B690" s="27"/>
      <c r="C690" s="27"/>
      <c r="D690" s="27"/>
      <c r="E690" s="22">
        <f t="shared" si="2"/>
        <v>0</v>
      </c>
      <c r="F690" s="23" t="str">
        <f t="shared" si="3"/>
        <v/>
      </c>
      <c r="G690" s="23" t="str">
        <f t="shared" si="4"/>
        <v/>
      </c>
      <c r="H690" s="27"/>
      <c r="I690" s="27"/>
      <c r="J690" s="27"/>
      <c r="K690" s="27"/>
      <c r="L690" s="22">
        <f t="shared" si="5"/>
        <v>0</v>
      </c>
    </row>
    <row r="691">
      <c r="A691" s="27"/>
      <c r="B691" s="27"/>
      <c r="C691" s="27"/>
      <c r="D691" s="27"/>
      <c r="E691" s="22">
        <f t="shared" si="2"/>
        <v>0</v>
      </c>
      <c r="F691" s="23" t="str">
        <f t="shared" si="3"/>
        <v/>
      </c>
      <c r="G691" s="23" t="str">
        <f t="shared" si="4"/>
        <v/>
      </c>
      <c r="H691" s="27"/>
      <c r="I691" s="27"/>
      <c r="J691" s="27"/>
      <c r="K691" s="27"/>
      <c r="L691" s="22">
        <f t="shared" si="5"/>
        <v>0</v>
      </c>
    </row>
    <row r="692">
      <c r="A692" s="27"/>
      <c r="B692" s="27"/>
      <c r="C692" s="27"/>
      <c r="D692" s="27"/>
      <c r="E692" s="22">
        <f t="shared" si="2"/>
        <v>0</v>
      </c>
      <c r="F692" s="23" t="str">
        <f t="shared" si="3"/>
        <v/>
      </c>
      <c r="G692" s="23" t="str">
        <f t="shared" si="4"/>
        <v/>
      </c>
      <c r="H692" s="27"/>
      <c r="I692" s="27"/>
      <c r="J692" s="27"/>
      <c r="K692" s="27"/>
      <c r="L692" s="22">
        <f t="shared" si="5"/>
        <v>0</v>
      </c>
    </row>
    <row r="693">
      <c r="A693" s="27"/>
      <c r="B693" s="27"/>
      <c r="C693" s="27"/>
      <c r="D693" s="27"/>
      <c r="E693" s="22">
        <f t="shared" si="2"/>
        <v>0</v>
      </c>
      <c r="F693" s="23" t="str">
        <f t="shared" si="3"/>
        <v/>
      </c>
      <c r="G693" s="23" t="str">
        <f t="shared" si="4"/>
        <v/>
      </c>
      <c r="H693" s="27"/>
      <c r="I693" s="27"/>
      <c r="J693" s="27"/>
      <c r="K693" s="27"/>
      <c r="L693" s="22">
        <f t="shared" si="5"/>
        <v>0</v>
      </c>
    </row>
    <row r="694">
      <c r="A694" s="27"/>
      <c r="B694" s="27"/>
      <c r="C694" s="27"/>
      <c r="D694" s="27"/>
      <c r="E694" s="22">
        <f t="shared" si="2"/>
        <v>0</v>
      </c>
      <c r="F694" s="23" t="str">
        <f t="shared" si="3"/>
        <v/>
      </c>
      <c r="G694" s="23" t="str">
        <f t="shared" si="4"/>
        <v/>
      </c>
      <c r="H694" s="27"/>
      <c r="I694" s="27"/>
      <c r="J694" s="27"/>
      <c r="K694" s="27"/>
      <c r="L694" s="22">
        <f t="shared" si="5"/>
        <v>0</v>
      </c>
    </row>
    <row r="695">
      <c r="A695" s="27"/>
      <c r="B695" s="27"/>
      <c r="C695" s="27"/>
      <c r="D695" s="27"/>
      <c r="E695" s="22">
        <f t="shared" si="2"/>
        <v>0</v>
      </c>
      <c r="F695" s="23" t="str">
        <f t="shared" si="3"/>
        <v/>
      </c>
      <c r="G695" s="23" t="str">
        <f t="shared" si="4"/>
        <v/>
      </c>
      <c r="H695" s="27"/>
      <c r="I695" s="27"/>
      <c r="J695" s="27"/>
      <c r="K695" s="27"/>
      <c r="L695" s="22">
        <f t="shared" si="5"/>
        <v>0</v>
      </c>
    </row>
    <row r="696">
      <c r="A696" s="27"/>
      <c r="B696" s="27"/>
      <c r="C696" s="27"/>
      <c r="D696" s="27"/>
      <c r="E696" s="22">
        <f t="shared" si="2"/>
        <v>0</v>
      </c>
      <c r="F696" s="23" t="str">
        <f t="shared" si="3"/>
        <v/>
      </c>
      <c r="G696" s="23" t="str">
        <f t="shared" si="4"/>
        <v/>
      </c>
      <c r="H696" s="27"/>
      <c r="I696" s="27"/>
      <c r="J696" s="27"/>
      <c r="K696" s="27"/>
      <c r="L696" s="22">
        <f t="shared" si="5"/>
        <v>0</v>
      </c>
    </row>
    <row r="697">
      <c r="A697" s="27"/>
      <c r="B697" s="27"/>
      <c r="C697" s="27"/>
      <c r="D697" s="27"/>
      <c r="E697" s="22">
        <f t="shared" si="2"/>
        <v>0</v>
      </c>
      <c r="F697" s="23" t="str">
        <f t="shared" si="3"/>
        <v/>
      </c>
      <c r="G697" s="23" t="str">
        <f t="shared" si="4"/>
        <v/>
      </c>
      <c r="H697" s="27"/>
      <c r="I697" s="27"/>
      <c r="J697" s="27"/>
      <c r="K697" s="27"/>
      <c r="L697" s="22">
        <f t="shared" si="5"/>
        <v>0</v>
      </c>
    </row>
    <row r="698">
      <c r="A698" s="27"/>
      <c r="B698" s="27"/>
      <c r="C698" s="27"/>
      <c r="D698" s="27"/>
      <c r="E698" s="22">
        <f t="shared" si="2"/>
        <v>0</v>
      </c>
      <c r="F698" s="23" t="str">
        <f t="shared" si="3"/>
        <v/>
      </c>
      <c r="G698" s="23" t="str">
        <f t="shared" si="4"/>
        <v/>
      </c>
      <c r="H698" s="27"/>
      <c r="I698" s="27"/>
      <c r="J698" s="27"/>
      <c r="K698" s="27"/>
      <c r="L698" s="22">
        <f t="shared" si="5"/>
        <v>0</v>
      </c>
    </row>
    <row r="699">
      <c r="A699" s="27"/>
      <c r="B699" s="27"/>
      <c r="C699" s="27"/>
      <c r="D699" s="27"/>
      <c r="E699" s="22">
        <f t="shared" si="2"/>
        <v>0</v>
      </c>
      <c r="F699" s="23" t="str">
        <f t="shared" si="3"/>
        <v/>
      </c>
      <c r="G699" s="23" t="str">
        <f t="shared" si="4"/>
        <v/>
      </c>
      <c r="H699" s="27"/>
      <c r="I699" s="27"/>
      <c r="J699" s="27"/>
      <c r="K699" s="27"/>
      <c r="L699" s="22">
        <f t="shared" si="5"/>
        <v>0</v>
      </c>
    </row>
    <row r="700">
      <c r="A700" s="27"/>
      <c r="B700" s="27"/>
      <c r="C700" s="27"/>
      <c r="D700" s="27"/>
      <c r="E700" s="22">
        <f t="shared" si="2"/>
        <v>0</v>
      </c>
      <c r="F700" s="23" t="str">
        <f t="shared" si="3"/>
        <v/>
      </c>
      <c r="G700" s="23" t="str">
        <f t="shared" si="4"/>
        <v/>
      </c>
      <c r="H700" s="27"/>
      <c r="I700" s="27"/>
      <c r="J700" s="27"/>
      <c r="K700" s="27"/>
      <c r="L700" s="22">
        <f t="shared" si="5"/>
        <v>0</v>
      </c>
    </row>
    <row r="701">
      <c r="A701" s="27"/>
      <c r="B701" s="27"/>
      <c r="C701" s="27"/>
      <c r="D701" s="27"/>
      <c r="E701" s="22">
        <f t="shared" si="2"/>
        <v>0</v>
      </c>
      <c r="F701" s="23" t="str">
        <f t="shared" si="3"/>
        <v/>
      </c>
      <c r="G701" s="23" t="str">
        <f t="shared" si="4"/>
        <v/>
      </c>
      <c r="H701" s="27"/>
      <c r="I701" s="27"/>
      <c r="J701" s="27"/>
      <c r="K701" s="27"/>
      <c r="L701" s="22">
        <f t="shared" si="5"/>
        <v>0</v>
      </c>
    </row>
    <row r="702">
      <c r="A702" s="27"/>
      <c r="B702" s="27"/>
      <c r="C702" s="27"/>
      <c r="D702" s="27"/>
      <c r="E702" s="22">
        <f t="shared" si="2"/>
        <v>0</v>
      </c>
      <c r="F702" s="23" t="str">
        <f t="shared" si="3"/>
        <v/>
      </c>
      <c r="G702" s="23" t="str">
        <f t="shared" si="4"/>
        <v/>
      </c>
      <c r="H702" s="27"/>
      <c r="I702" s="27"/>
      <c r="J702" s="27"/>
      <c r="K702" s="27"/>
      <c r="L702" s="22">
        <f t="shared" si="5"/>
        <v>0</v>
      </c>
    </row>
    <row r="703">
      <c r="A703" s="27"/>
      <c r="B703" s="27"/>
      <c r="C703" s="27"/>
      <c r="D703" s="27"/>
      <c r="E703" s="22">
        <f t="shared" si="2"/>
        <v>0</v>
      </c>
      <c r="F703" s="23" t="str">
        <f t="shared" si="3"/>
        <v/>
      </c>
      <c r="G703" s="23" t="str">
        <f t="shared" si="4"/>
        <v/>
      </c>
      <c r="H703" s="27"/>
      <c r="I703" s="27"/>
      <c r="J703" s="27"/>
      <c r="K703" s="27"/>
      <c r="L703" s="22">
        <f t="shared" si="5"/>
        <v>0</v>
      </c>
    </row>
    <row r="704">
      <c r="A704" s="27"/>
      <c r="B704" s="27"/>
      <c r="C704" s="27"/>
      <c r="D704" s="27"/>
      <c r="E704" s="22">
        <f t="shared" si="2"/>
        <v>0</v>
      </c>
      <c r="F704" s="23" t="str">
        <f t="shared" si="3"/>
        <v/>
      </c>
      <c r="G704" s="23" t="str">
        <f t="shared" si="4"/>
        <v/>
      </c>
      <c r="H704" s="27"/>
      <c r="I704" s="27"/>
      <c r="J704" s="27"/>
      <c r="K704" s="27"/>
      <c r="L704" s="22">
        <f t="shared" si="5"/>
        <v>0</v>
      </c>
    </row>
    <row r="705">
      <c r="A705" s="27"/>
      <c r="B705" s="27"/>
      <c r="C705" s="27"/>
      <c r="D705" s="27"/>
      <c r="E705" s="22">
        <f t="shared" si="2"/>
        <v>0</v>
      </c>
      <c r="F705" s="23" t="str">
        <f t="shared" si="3"/>
        <v/>
      </c>
      <c r="G705" s="23" t="str">
        <f t="shared" si="4"/>
        <v/>
      </c>
      <c r="H705" s="27"/>
      <c r="I705" s="27"/>
      <c r="J705" s="27"/>
      <c r="K705" s="27"/>
      <c r="L705" s="22">
        <f t="shared" si="5"/>
        <v>0</v>
      </c>
    </row>
    <row r="706">
      <c r="A706" s="27"/>
      <c r="B706" s="27"/>
      <c r="C706" s="27"/>
      <c r="D706" s="27"/>
      <c r="E706" s="22">
        <f t="shared" si="2"/>
        <v>0</v>
      </c>
      <c r="F706" s="23" t="str">
        <f t="shared" si="3"/>
        <v/>
      </c>
      <c r="G706" s="23" t="str">
        <f t="shared" si="4"/>
        <v/>
      </c>
      <c r="H706" s="27"/>
      <c r="I706" s="27"/>
      <c r="J706" s="27"/>
      <c r="K706" s="27"/>
      <c r="L706" s="22">
        <f t="shared" si="5"/>
        <v>0</v>
      </c>
    </row>
    <row r="707">
      <c r="A707" s="27"/>
      <c r="B707" s="27"/>
      <c r="C707" s="27"/>
      <c r="D707" s="27"/>
      <c r="E707" s="22">
        <f t="shared" si="2"/>
        <v>0</v>
      </c>
      <c r="F707" s="23" t="str">
        <f t="shared" si="3"/>
        <v/>
      </c>
      <c r="G707" s="23" t="str">
        <f t="shared" si="4"/>
        <v/>
      </c>
      <c r="H707" s="27"/>
      <c r="I707" s="27"/>
      <c r="J707" s="27"/>
      <c r="K707" s="27"/>
      <c r="L707" s="22">
        <f t="shared" si="5"/>
        <v>0</v>
      </c>
    </row>
    <row r="708">
      <c r="A708" s="27"/>
      <c r="B708" s="27"/>
      <c r="C708" s="27"/>
      <c r="D708" s="27"/>
      <c r="E708" s="22">
        <f t="shared" si="2"/>
        <v>0</v>
      </c>
      <c r="F708" s="23" t="str">
        <f t="shared" si="3"/>
        <v/>
      </c>
      <c r="G708" s="23" t="str">
        <f t="shared" si="4"/>
        <v/>
      </c>
      <c r="H708" s="27"/>
      <c r="I708" s="27"/>
      <c r="J708" s="27"/>
      <c r="K708" s="27"/>
      <c r="L708" s="22">
        <f t="shared" si="5"/>
        <v>0</v>
      </c>
    </row>
    <row r="709">
      <c r="A709" s="27"/>
      <c r="B709" s="27"/>
      <c r="C709" s="27"/>
      <c r="D709" s="27"/>
      <c r="E709" s="22">
        <f t="shared" si="2"/>
        <v>0</v>
      </c>
      <c r="F709" s="23" t="str">
        <f t="shared" si="3"/>
        <v/>
      </c>
      <c r="G709" s="23" t="str">
        <f t="shared" si="4"/>
        <v/>
      </c>
      <c r="H709" s="27"/>
      <c r="I709" s="27"/>
      <c r="J709" s="27"/>
      <c r="K709" s="27"/>
      <c r="L709" s="22">
        <f t="shared" si="5"/>
        <v>0</v>
      </c>
    </row>
    <row r="710">
      <c r="A710" s="27"/>
      <c r="B710" s="27"/>
      <c r="C710" s="27"/>
      <c r="D710" s="27"/>
      <c r="E710" s="22">
        <f t="shared" si="2"/>
        <v>0</v>
      </c>
      <c r="F710" s="23" t="str">
        <f t="shared" si="3"/>
        <v/>
      </c>
      <c r="G710" s="23" t="str">
        <f t="shared" si="4"/>
        <v/>
      </c>
      <c r="H710" s="27"/>
      <c r="I710" s="27"/>
      <c r="J710" s="27"/>
      <c r="K710" s="27"/>
      <c r="L710" s="22">
        <f t="shared" si="5"/>
        <v>0</v>
      </c>
    </row>
    <row r="711">
      <c r="A711" s="27"/>
      <c r="B711" s="27"/>
      <c r="C711" s="27"/>
      <c r="D711" s="27"/>
      <c r="E711" s="22">
        <f t="shared" si="2"/>
        <v>0</v>
      </c>
      <c r="F711" s="23" t="str">
        <f t="shared" si="3"/>
        <v/>
      </c>
      <c r="G711" s="23" t="str">
        <f t="shared" si="4"/>
        <v/>
      </c>
      <c r="H711" s="27"/>
      <c r="I711" s="27"/>
      <c r="J711" s="27"/>
      <c r="K711" s="27"/>
      <c r="L711" s="22">
        <f t="shared" si="5"/>
        <v>0</v>
      </c>
    </row>
    <row r="712">
      <c r="A712" s="27"/>
      <c r="B712" s="27"/>
      <c r="C712" s="27"/>
      <c r="D712" s="27"/>
      <c r="E712" s="22">
        <f t="shared" si="2"/>
        <v>0</v>
      </c>
      <c r="F712" s="23" t="str">
        <f t="shared" si="3"/>
        <v/>
      </c>
      <c r="G712" s="23" t="str">
        <f t="shared" si="4"/>
        <v/>
      </c>
      <c r="H712" s="27"/>
      <c r="I712" s="27"/>
      <c r="J712" s="27"/>
      <c r="K712" s="27"/>
      <c r="L712" s="22">
        <f t="shared" si="5"/>
        <v>0</v>
      </c>
    </row>
    <row r="713">
      <c r="A713" s="27"/>
      <c r="B713" s="27"/>
      <c r="C713" s="27"/>
      <c r="D713" s="27"/>
      <c r="E713" s="22">
        <f t="shared" si="2"/>
        <v>0</v>
      </c>
      <c r="F713" s="23" t="str">
        <f t="shared" si="3"/>
        <v/>
      </c>
      <c r="G713" s="23" t="str">
        <f t="shared" si="4"/>
        <v/>
      </c>
      <c r="H713" s="27"/>
      <c r="I713" s="27"/>
      <c r="J713" s="27"/>
      <c r="K713" s="27"/>
      <c r="L713" s="22">
        <f t="shared" si="5"/>
        <v>0</v>
      </c>
    </row>
    <row r="714">
      <c r="A714" s="27"/>
      <c r="B714" s="27"/>
      <c r="C714" s="27"/>
      <c r="D714" s="27"/>
      <c r="E714" s="22">
        <f t="shared" si="2"/>
        <v>0</v>
      </c>
      <c r="F714" s="23" t="str">
        <f t="shared" si="3"/>
        <v/>
      </c>
      <c r="G714" s="23" t="str">
        <f t="shared" si="4"/>
        <v/>
      </c>
      <c r="H714" s="27"/>
      <c r="I714" s="27"/>
      <c r="J714" s="27"/>
      <c r="K714" s="27"/>
      <c r="L714" s="22">
        <f t="shared" si="5"/>
        <v>0</v>
      </c>
    </row>
    <row r="715">
      <c r="A715" s="27"/>
      <c r="B715" s="27"/>
      <c r="C715" s="27"/>
      <c r="D715" s="27"/>
      <c r="E715" s="22">
        <f t="shared" si="2"/>
        <v>0</v>
      </c>
      <c r="F715" s="23" t="str">
        <f t="shared" si="3"/>
        <v/>
      </c>
      <c r="G715" s="23" t="str">
        <f t="shared" si="4"/>
        <v/>
      </c>
      <c r="H715" s="27"/>
      <c r="I715" s="27"/>
      <c r="J715" s="27"/>
      <c r="K715" s="27"/>
      <c r="L715" s="22">
        <f t="shared" si="5"/>
        <v>0</v>
      </c>
    </row>
    <row r="716">
      <c r="A716" s="27"/>
      <c r="B716" s="27"/>
      <c r="C716" s="27"/>
      <c r="D716" s="27"/>
      <c r="E716" s="22">
        <f t="shared" si="2"/>
        <v>0</v>
      </c>
      <c r="F716" s="23" t="str">
        <f t="shared" si="3"/>
        <v/>
      </c>
      <c r="G716" s="23" t="str">
        <f t="shared" si="4"/>
        <v/>
      </c>
      <c r="H716" s="27"/>
      <c r="I716" s="27"/>
      <c r="J716" s="27"/>
      <c r="K716" s="27"/>
      <c r="L716" s="22">
        <f t="shared" si="5"/>
        <v>0</v>
      </c>
    </row>
    <row r="717">
      <c r="A717" s="27"/>
      <c r="B717" s="27"/>
      <c r="C717" s="27"/>
      <c r="D717" s="27"/>
      <c r="E717" s="22">
        <f t="shared" si="2"/>
        <v>0</v>
      </c>
      <c r="F717" s="23" t="str">
        <f t="shared" si="3"/>
        <v/>
      </c>
      <c r="G717" s="23" t="str">
        <f t="shared" si="4"/>
        <v/>
      </c>
      <c r="H717" s="27"/>
      <c r="I717" s="27"/>
      <c r="J717" s="27"/>
      <c r="K717" s="27"/>
      <c r="L717" s="22">
        <f t="shared" si="5"/>
        <v>0</v>
      </c>
    </row>
    <row r="718">
      <c r="A718" s="27"/>
      <c r="B718" s="27"/>
      <c r="C718" s="27"/>
      <c r="D718" s="27"/>
      <c r="E718" s="22">
        <f t="shared" si="2"/>
        <v>0</v>
      </c>
      <c r="F718" s="23" t="str">
        <f t="shared" si="3"/>
        <v/>
      </c>
      <c r="G718" s="23" t="str">
        <f t="shared" si="4"/>
        <v/>
      </c>
      <c r="H718" s="27"/>
      <c r="I718" s="27"/>
      <c r="J718" s="27"/>
      <c r="K718" s="27"/>
      <c r="L718" s="22">
        <f t="shared" si="5"/>
        <v>0</v>
      </c>
    </row>
    <row r="719">
      <c r="A719" s="27"/>
      <c r="B719" s="27"/>
      <c r="C719" s="27"/>
      <c r="D719" s="27"/>
      <c r="E719" s="22">
        <f t="shared" si="2"/>
        <v>0</v>
      </c>
      <c r="F719" s="23" t="str">
        <f t="shared" si="3"/>
        <v/>
      </c>
      <c r="G719" s="23" t="str">
        <f t="shared" si="4"/>
        <v/>
      </c>
      <c r="H719" s="27"/>
      <c r="I719" s="27"/>
      <c r="J719" s="27"/>
      <c r="K719" s="27"/>
      <c r="L719" s="22">
        <f t="shared" si="5"/>
        <v>0</v>
      </c>
    </row>
    <row r="720">
      <c r="A720" s="27"/>
      <c r="B720" s="27"/>
      <c r="C720" s="27"/>
      <c r="D720" s="27"/>
      <c r="E720" s="22">
        <f t="shared" si="2"/>
        <v>0</v>
      </c>
      <c r="F720" s="23" t="str">
        <f t="shared" si="3"/>
        <v/>
      </c>
      <c r="G720" s="23" t="str">
        <f t="shared" si="4"/>
        <v/>
      </c>
      <c r="H720" s="27"/>
      <c r="I720" s="27"/>
      <c r="J720" s="27"/>
      <c r="K720" s="27"/>
      <c r="L720" s="22">
        <f t="shared" si="5"/>
        <v>0</v>
      </c>
    </row>
    <row r="721">
      <c r="A721" s="27"/>
      <c r="B721" s="27"/>
      <c r="C721" s="27"/>
      <c r="D721" s="27"/>
      <c r="E721" s="22">
        <f t="shared" si="2"/>
        <v>0</v>
      </c>
      <c r="F721" s="23" t="str">
        <f t="shared" si="3"/>
        <v/>
      </c>
      <c r="G721" s="23" t="str">
        <f t="shared" si="4"/>
        <v/>
      </c>
      <c r="H721" s="27"/>
      <c r="I721" s="27"/>
      <c r="J721" s="27"/>
      <c r="K721" s="27"/>
      <c r="L721" s="22">
        <f t="shared" si="5"/>
        <v>0</v>
      </c>
    </row>
    <row r="722">
      <c r="A722" s="27"/>
      <c r="B722" s="27"/>
      <c r="C722" s="27"/>
      <c r="D722" s="27"/>
      <c r="E722" s="22">
        <f t="shared" si="2"/>
        <v>0</v>
      </c>
      <c r="F722" s="23" t="str">
        <f t="shared" si="3"/>
        <v/>
      </c>
      <c r="G722" s="23" t="str">
        <f t="shared" si="4"/>
        <v/>
      </c>
      <c r="H722" s="27"/>
      <c r="I722" s="27"/>
      <c r="J722" s="27"/>
      <c r="K722" s="27"/>
      <c r="L722" s="22">
        <f t="shared" si="5"/>
        <v>0</v>
      </c>
    </row>
    <row r="723">
      <c r="A723" s="27"/>
      <c r="B723" s="27"/>
      <c r="C723" s="27"/>
      <c r="D723" s="27"/>
      <c r="E723" s="22">
        <f t="shared" si="2"/>
        <v>0</v>
      </c>
      <c r="F723" s="23" t="str">
        <f t="shared" si="3"/>
        <v/>
      </c>
      <c r="G723" s="23" t="str">
        <f t="shared" si="4"/>
        <v/>
      </c>
      <c r="H723" s="27"/>
      <c r="I723" s="27"/>
      <c r="J723" s="27"/>
      <c r="K723" s="27"/>
      <c r="L723" s="22">
        <f t="shared" si="5"/>
        <v>0</v>
      </c>
    </row>
    <row r="724">
      <c r="A724" s="27"/>
      <c r="B724" s="27"/>
      <c r="C724" s="27"/>
      <c r="D724" s="27"/>
      <c r="E724" s="22">
        <f t="shared" si="2"/>
        <v>0</v>
      </c>
      <c r="F724" s="23" t="str">
        <f t="shared" si="3"/>
        <v/>
      </c>
      <c r="G724" s="23" t="str">
        <f t="shared" si="4"/>
        <v/>
      </c>
      <c r="H724" s="27"/>
      <c r="I724" s="27"/>
      <c r="J724" s="27"/>
      <c r="K724" s="27"/>
      <c r="L724" s="22">
        <f t="shared" si="5"/>
        <v>0</v>
      </c>
    </row>
    <row r="725">
      <c r="A725" s="27"/>
      <c r="B725" s="27"/>
      <c r="C725" s="27"/>
      <c r="D725" s="27"/>
      <c r="E725" s="22">
        <f t="shared" si="2"/>
        <v>0</v>
      </c>
      <c r="F725" s="23" t="str">
        <f t="shared" si="3"/>
        <v/>
      </c>
      <c r="G725" s="23" t="str">
        <f t="shared" si="4"/>
        <v/>
      </c>
      <c r="H725" s="27"/>
      <c r="I725" s="27"/>
      <c r="J725" s="27"/>
      <c r="K725" s="27"/>
      <c r="L725" s="22">
        <f t="shared" si="5"/>
        <v>0</v>
      </c>
    </row>
    <row r="726">
      <c r="A726" s="27"/>
      <c r="B726" s="27"/>
      <c r="C726" s="27"/>
      <c r="D726" s="27"/>
      <c r="E726" s="22">
        <f t="shared" si="2"/>
        <v>0</v>
      </c>
      <c r="F726" s="23" t="str">
        <f t="shared" si="3"/>
        <v/>
      </c>
      <c r="G726" s="23" t="str">
        <f t="shared" si="4"/>
        <v/>
      </c>
      <c r="H726" s="27"/>
      <c r="I726" s="27"/>
      <c r="J726" s="27"/>
      <c r="K726" s="27"/>
      <c r="L726" s="22">
        <f t="shared" si="5"/>
        <v>0</v>
      </c>
    </row>
    <row r="727">
      <c r="A727" s="27"/>
      <c r="B727" s="27"/>
      <c r="C727" s="27"/>
      <c r="D727" s="27"/>
      <c r="E727" s="22">
        <f t="shared" si="2"/>
        <v>0</v>
      </c>
      <c r="F727" s="23" t="str">
        <f t="shared" si="3"/>
        <v/>
      </c>
      <c r="G727" s="23" t="str">
        <f t="shared" si="4"/>
        <v/>
      </c>
      <c r="H727" s="27"/>
      <c r="I727" s="27"/>
      <c r="J727" s="27"/>
      <c r="K727" s="27"/>
      <c r="L727" s="22">
        <f t="shared" si="5"/>
        <v>0</v>
      </c>
    </row>
    <row r="728">
      <c r="A728" s="27"/>
      <c r="B728" s="27"/>
      <c r="C728" s="27"/>
      <c r="D728" s="27"/>
      <c r="E728" s="22">
        <f t="shared" si="2"/>
        <v>0</v>
      </c>
      <c r="F728" s="23" t="str">
        <f t="shared" si="3"/>
        <v/>
      </c>
      <c r="G728" s="23" t="str">
        <f t="shared" si="4"/>
        <v/>
      </c>
      <c r="H728" s="27"/>
      <c r="I728" s="27"/>
      <c r="J728" s="27"/>
      <c r="K728" s="27"/>
      <c r="L728" s="22">
        <f t="shared" si="5"/>
        <v>0</v>
      </c>
    </row>
    <row r="729">
      <c r="A729" s="27"/>
      <c r="B729" s="27"/>
      <c r="C729" s="27"/>
      <c r="D729" s="27"/>
      <c r="E729" s="22">
        <f t="shared" si="2"/>
        <v>0</v>
      </c>
      <c r="F729" s="23" t="str">
        <f t="shared" si="3"/>
        <v/>
      </c>
      <c r="G729" s="23" t="str">
        <f t="shared" si="4"/>
        <v/>
      </c>
      <c r="H729" s="27"/>
      <c r="I729" s="27"/>
      <c r="J729" s="27"/>
      <c r="K729" s="27"/>
      <c r="L729" s="22">
        <f t="shared" si="5"/>
        <v>0</v>
      </c>
    </row>
    <row r="730">
      <c r="A730" s="27"/>
      <c r="B730" s="27"/>
      <c r="C730" s="27"/>
      <c r="D730" s="27"/>
      <c r="E730" s="22">
        <f t="shared" si="2"/>
        <v>0</v>
      </c>
      <c r="F730" s="23" t="str">
        <f t="shared" si="3"/>
        <v/>
      </c>
      <c r="G730" s="23" t="str">
        <f t="shared" si="4"/>
        <v/>
      </c>
      <c r="H730" s="27"/>
      <c r="I730" s="27"/>
      <c r="J730" s="27"/>
      <c r="K730" s="27"/>
      <c r="L730" s="22">
        <f t="shared" si="5"/>
        <v>0</v>
      </c>
    </row>
    <row r="731">
      <c r="A731" s="27"/>
      <c r="B731" s="27"/>
      <c r="C731" s="27"/>
      <c r="D731" s="27"/>
      <c r="E731" s="22">
        <f t="shared" si="2"/>
        <v>0</v>
      </c>
      <c r="F731" s="23" t="str">
        <f t="shared" si="3"/>
        <v/>
      </c>
      <c r="G731" s="23" t="str">
        <f t="shared" si="4"/>
        <v/>
      </c>
      <c r="H731" s="27"/>
      <c r="I731" s="27"/>
      <c r="J731" s="27"/>
      <c r="K731" s="27"/>
      <c r="L731" s="22">
        <f t="shared" si="5"/>
        <v>0</v>
      </c>
    </row>
    <row r="732">
      <c r="A732" s="27"/>
      <c r="B732" s="27"/>
      <c r="C732" s="27"/>
      <c r="D732" s="27"/>
      <c r="E732" s="22">
        <f t="shared" si="2"/>
        <v>0</v>
      </c>
      <c r="F732" s="23" t="str">
        <f t="shared" si="3"/>
        <v/>
      </c>
      <c r="G732" s="23" t="str">
        <f t="shared" si="4"/>
        <v/>
      </c>
      <c r="H732" s="27"/>
      <c r="I732" s="27"/>
      <c r="J732" s="27"/>
      <c r="K732" s="27"/>
      <c r="L732" s="22">
        <f t="shared" si="5"/>
        <v>0</v>
      </c>
    </row>
    <row r="733">
      <c r="A733" s="27"/>
      <c r="B733" s="27"/>
      <c r="C733" s="27"/>
      <c r="D733" s="27"/>
      <c r="E733" s="22">
        <f t="shared" si="2"/>
        <v>0</v>
      </c>
      <c r="F733" s="23" t="str">
        <f t="shared" si="3"/>
        <v/>
      </c>
      <c r="G733" s="23" t="str">
        <f t="shared" si="4"/>
        <v/>
      </c>
      <c r="H733" s="27"/>
      <c r="I733" s="27"/>
      <c r="J733" s="27"/>
      <c r="K733" s="27"/>
      <c r="L733" s="22">
        <f t="shared" si="5"/>
        <v>0</v>
      </c>
    </row>
    <row r="734">
      <c r="A734" s="27"/>
      <c r="B734" s="27"/>
      <c r="C734" s="27"/>
      <c r="D734" s="27"/>
      <c r="E734" s="22">
        <f t="shared" si="2"/>
        <v>0</v>
      </c>
      <c r="F734" s="23" t="str">
        <f t="shared" si="3"/>
        <v/>
      </c>
      <c r="G734" s="23" t="str">
        <f t="shared" si="4"/>
        <v/>
      </c>
      <c r="H734" s="27"/>
      <c r="I734" s="27"/>
      <c r="J734" s="27"/>
      <c r="K734" s="27"/>
      <c r="L734" s="22">
        <f t="shared" si="5"/>
        <v>0</v>
      </c>
    </row>
    <row r="735">
      <c r="A735" s="27"/>
      <c r="B735" s="27"/>
      <c r="C735" s="27"/>
      <c r="D735" s="27"/>
      <c r="E735" s="22">
        <f t="shared" si="2"/>
        <v>0</v>
      </c>
      <c r="F735" s="23" t="str">
        <f t="shared" si="3"/>
        <v/>
      </c>
      <c r="G735" s="23" t="str">
        <f t="shared" si="4"/>
        <v/>
      </c>
      <c r="H735" s="27"/>
      <c r="I735" s="27"/>
      <c r="J735" s="27"/>
      <c r="K735" s="27"/>
      <c r="L735" s="22">
        <f t="shared" si="5"/>
        <v>0</v>
      </c>
    </row>
    <row r="736">
      <c r="A736" s="27"/>
      <c r="B736" s="27"/>
      <c r="C736" s="27"/>
      <c r="D736" s="27"/>
      <c r="E736" s="22">
        <f t="shared" si="2"/>
        <v>0</v>
      </c>
      <c r="F736" s="23" t="str">
        <f t="shared" si="3"/>
        <v/>
      </c>
      <c r="G736" s="23" t="str">
        <f t="shared" si="4"/>
        <v/>
      </c>
      <c r="H736" s="27"/>
      <c r="I736" s="27"/>
      <c r="J736" s="27"/>
      <c r="K736" s="27"/>
      <c r="L736" s="22">
        <f t="shared" si="5"/>
        <v>0</v>
      </c>
    </row>
    <row r="737">
      <c r="A737" s="27"/>
      <c r="B737" s="27"/>
      <c r="C737" s="27"/>
      <c r="D737" s="27"/>
      <c r="E737" s="22">
        <f t="shared" si="2"/>
        <v>0</v>
      </c>
      <c r="F737" s="23" t="str">
        <f t="shared" si="3"/>
        <v/>
      </c>
      <c r="G737" s="23" t="str">
        <f t="shared" si="4"/>
        <v/>
      </c>
      <c r="H737" s="27"/>
      <c r="I737" s="27"/>
      <c r="J737" s="27"/>
      <c r="K737" s="27"/>
      <c r="L737" s="22">
        <f t="shared" si="5"/>
        <v>0</v>
      </c>
    </row>
    <row r="738">
      <c r="A738" s="27"/>
      <c r="B738" s="27"/>
      <c r="C738" s="27"/>
      <c r="D738" s="27"/>
      <c r="E738" s="22">
        <f t="shared" si="2"/>
        <v>0</v>
      </c>
      <c r="F738" s="23" t="str">
        <f t="shared" si="3"/>
        <v/>
      </c>
      <c r="G738" s="23" t="str">
        <f t="shared" si="4"/>
        <v/>
      </c>
      <c r="H738" s="27"/>
      <c r="I738" s="27"/>
      <c r="J738" s="27"/>
      <c r="K738" s="27"/>
      <c r="L738" s="22">
        <f t="shared" si="5"/>
        <v>0</v>
      </c>
    </row>
    <row r="739">
      <c r="A739" s="27"/>
      <c r="B739" s="27"/>
      <c r="C739" s="27"/>
      <c r="D739" s="27"/>
      <c r="E739" s="22">
        <f t="shared" si="2"/>
        <v>0</v>
      </c>
      <c r="F739" s="23" t="str">
        <f t="shared" si="3"/>
        <v/>
      </c>
      <c r="G739" s="23" t="str">
        <f t="shared" si="4"/>
        <v/>
      </c>
      <c r="H739" s="27"/>
      <c r="I739" s="27"/>
      <c r="J739" s="27"/>
      <c r="K739" s="27"/>
      <c r="L739" s="22">
        <f t="shared" si="5"/>
        <v>0</v>
      </c>
    </row>
    <row r="740">
      <c r="A740" s="27"/>
      <c r="B740" s="27"/>
      <c r="C740" s="27"/>
      <c r="D740" s="27"/>
      <c r="E740" s="22">
        <f t="shared" si="2"/>
        <v>0</v>
      </c>
      <c r="F740" s="23" t="str">
        <f t="shared" si="3"/>
        <v/>
      </c>
      <c r="G740" s="23" t="str">
        <f t="shared" si="4"/>
        <v/>
      </c>
      <c r="H740" s="27"/>
      <c r="I740" s="27"/>
      <c r="J740" s="27"/>
      <c r="K740" s="27"/>
      <c r="L740" s="22">
        <f t="shared" si="5"/>
        <v>0</v>
      </c>
    </row>
    <row r="741">
      <c r="A741" s="27"/>
      <c r="B741" s="27"/>
      <c r="C741" s="27"/>
      <c r="D741" s="27"/>
      <c r="E741" s="22">
        <f t="shared" si="2"/>
        <v>0</v>
      </c>
      <c r="F741" s="23" t="str">
        <f t="shared" si="3"/>
        <v/>
      </c>
      <c r="G741" s="23" t="str">
        <f t="shared" si="4"/>
        <v/>
      </c>
      <c r="H741" s="27"/>
      <c r="I741" s="27"/>
      <c r="J741" s="27"/>
      <c r="K741" s="27"/>
      <c r="L741" s="22">
        <f t="shared" si="5"/>
        <v>0</v>
      </c>
    </row>
    <row r="742">
      <c r="A742" s="27"/>
      <c r="B742" s="27"/>
      <c r="C742" s="27"/>
      <c r="D742" s="27"/>
      <c r="E742" s="22">
        <f t="shared" si="2"/>
        <v>0</v>
      </c>
      <c r="F742" s="23" t="str">
        <f t="shared" si="3"/>
        <v/>
      </c>
      <c r="G742" s="23" t="str">
        <f t="shared" si="4"/>
        <v/>
      </c>
      <c r="H742" s="27"/>
      <c r="I742" s="27"/>
      <c r="J742" s="27"/>
      <c r="K742" s="27"/>
      <c r="L742" s="22">
        <f t="shared" si="5"/>
        <v>0</v>
      </c>
    </row>
    <row r="743">
      <c r="A743" s="27"/>
      <c r="B743" s="27"/>
      <c r="C743" s="27"/>
      <c r="D743" s="27"/>
      <c r="E743" s="22">
        <f t="shared" si="2"/>
        <v>0</v>
      </c>
      <c r="F743" s="23" t="str">
        <f t="shared" si="3"/>
        <v/>
      </c>
      <c r="G743" s="23" t="str">
        <f t="shared" si="4"/>
        <v/>
      </c>
      <c r="H743" s="27"/>
      <c r="I743" s="27"/>
      <c r="J743" s="27"/>
      <c r="K743" s="27"/>
      <c r="L743" s="22">
        <f t="shared" si="5"/>
        <v>0</v>
      </c>
    </row>
    <row r="744">
      <c r="A744" s="27"/>
      <c r="B744" s="27"/>
      <c r="C744" s="27"/>
      <c r="D744" s="27"/>
      <c r="E744" s="22">
        <f t="shared" si="2"/>
        <v>0</v>
      </c>
      <c r="F744" s="23" t="str">
        <f t="shared" si="3"/>
        <v/>
      </c>
      <c r="G744" s="23" t="str">
        <f t="shared" si="4"/>
        <v/>
      </c>
      <c r="H744" s="27"/>
      <c r="I744" s="27"/>
      <c r="J744" s="27"/>
      <c r="K744" s="27"/>
      <c r="L744" s="22">
        <f t="shared" si="5"/>
        <v>0</v>
      </c>
    </row>
    <row r="745">
      <c r="A745" s="27"/>
      <c r="B745" s="27"/>
      <c r="C745" s="27"/>
      <c r="D745" s="27"/>
      <c r="E745" s="22">
        <f t="shared" si="2"/>
        <v>0</v>
      </c>
      <c r="F745" s="23" t="str">
        <f t="shared" si="3"/>
        <v/>
      </c>
      <c r="G745" s="23" t="str">
        <f t="shared" si="4"/>
        <v/>
      </c>
      <c r="H745" s="27"/>
      <c r="I745" s="27"/>
      <c r="J745" s="27"/>
      <c r="K745" s="27"/>
      <c r="L745" s="22">
        <f t="shared" si="5"/>
        <v>0</v>
      </c>
    </row>
    <row r="746">
      <c r="A746" s="27"/>
      <c r="B746" s="27"/>
      <c r="C746" s="27"/>
      <c r="D746" s="27"/>
      <c r="E746" s="22">
        <f t="shared" si="2"/>
        <v>0</v>
      </c>
      <c r="F746" s="23" t="str">
        <f t="shared" si="3"/>
        <v/>
      </c>
      <c r="G746" s="23" t="str">
        <f t="shared" si="4"/>
        <v/>
      </c>
      <c r="H746" s="27"/>
      <c r="I746" s="27"/>
      <c r="J746" s="27"/>
      <c r="K746" s="27"/>
      <c r="L746" s="22">
        <f t="shared" si="5"/>
        <v>0</v>
      </c>
    </row>
    <row r="747">
      <c r="A747" s="27"/>
      <c r="B747" s="27"/>
      <c r="C747" s="27"/>
      <c r="D747" s="27"/>
      <c r="E747" s="22">
        <f t="shared" si="2"/>
        <v>0</v>
      </c>
      <c r="F747" s="23" t="str">
        <f t="shared" si="3"/>
        <v/>
      </c>
      <c r="G747" s="23" t="str">
        <f t="shared" si="4"/>
        <v/>
      </c>
      <c r="H747" s="27"/>
      <c r="I747" s="27"/>
      <c r="J747" s="27"/>
      <c r="K747" s="27"/>
      <c r="L747" s="22">
        <f t="shared" si="5"/>
        <v>0</v>
      </c>
    </row>
    <row r="748">
      <c r="A748" s="27"/>
      <c r="B748" s="27"/>
      <c r="C748" s="27"/>
      <c r="D748" s="27"/>
      <c r="E748" s="22">
        <f t="shared" si="2"/>
        <v>0</v>
      </c>
      <c r="F748" s="23" t="str">
        <f t="shared" si="3"/>
        <v/>
      </c>
      <c r="G748" s="23" t="str">
        <f t="shared" si="4"/>
        <v/>
      </c>
      <c r="H748" s="27"/>
      <c r="I748" s="27"/>
      <c r="J748" s="27"/>
      <c r="K748" s="27"/>
      <c r="L748" s="22">
        <f t="shared" si="5"/>
        <v>0</v>
      </c>
    </row>
    <row r="749">
      <c r="A749" s="27"/>
      <c r="B749" s="27"/>
      <c r="C749" s="27"/>
      <c r="D749" s="27"/>
      <c r="E749" s="22">
        <f t="shared" si="2"/>
        <v>0</v>
      </c>
      <c r="F749" s="23" t="str">
        <f t="shared" si="3"/>
        <v/>
      </c>
      <c r="G749" s="23" t="str">
        <f t="shared" si="4"/>
        <v/>
      </c>
      <c r="H749" s="27"/>
      <c r="I749" s="27"/>
      <c r="J749" s="27"/>
      <c r="K749" s="27"/>
      <c r="L749" s="22">
        <f t="shared" si="5"/>
        <v>0</v>
      </c>
    </row>
    <row r="750">
      <c r="A750" s="27"/>
      <c r="B750" s="27"/>
      <c r="C750" s="27"/>
      <c r="D750" s="27"/>
      <c r="E750" s="22">
        <f t="shared" si="2"/>
        <v>0</v>
      </c>
      <c r="F750" s="23" t="str">
        <f t="shared" si="3"/>
        <v/>
      </c>
      <c r="G750" s="23" t="str">
        <f t="shared" si="4"/>
        <v/>
      </c>
      <c r="H750" s="27"/>
      <c r="I750" s="27"/>
      <c r="J750" s="27"/>
      <c r="K750" s="27"/>
      <c r="L750" s="22">
        <f t="shared" si="5"/>
        <v>0</v>
      </c>
    </row>
    <row r="751">
      <c r="A751" s="27"/>
      <c r="B751" s="27"/>
      <c r="C751" s="27"/>
      <c r="D751" s="27"/>
      <c r="E751" s="22">
        <f t="shared" si="2"/>
        <v>0</v>
      </c>
      <c r="F751" s="23" t="str">
        <f t="shared" si="3"/>
        <v/>
      </c>
      <c r="G751" s="23" t="str">
        <f t="shared" si="4"/>
        <v/>
      </c>
      <c r="H751" s="27"/>
      <c r="I751" s="27"/>
      <c r="J751" s="27"/>
      <c r="K751" s="27"/>
      <c r="L751" s="22">
        <f t="shared" si="5"/>
        <v>0</v>
      </c>
    </row>
    <row r="752">
      <c r="A752" s="27"/>
      <c r="B752" s="27"/>
      <c r="C752" s="27"/>
      <c r="D752" s="27"/>
      <c r="E752" s="22">
        <f t="shared" si="2"/>
        <v>0</v>
      </c>
      <c r="F752" s="23" t="str">
        <f t="shared" si="3"/>
        <v/>
      </c>
      <c r="G752" s="23" t="str">
        <f t="shared" si="4"/>
        <v/>
      </c>
      <c r="H752" s="27"/>
      <c r="I752" s="27"/>
      <c r="J752" s="27"/>
      <c r="K752" s="27"/>
      <c r="L752" s="22">
        <f t="shared" si="5"/>
        <v>0</v>
      </c>
    </row>
    <row r="753">
      <c r="A753" s="27"/>
      <c r="B753" s="27"/>
      <c r="C753" s="27"/>
      <c r="D753" s="27"/>
      <c r="E753" s="22">
        <f t="shared" si="2"/>
        <v>0</v>
      </c>
      <c r="F753" s="23" t="str">
        <f t="shared" si="3"/>
        <v/>
      </c>
      <c r="G753" s="23" t="str">
        <f t="shared" si="4"/>
        <v/>
      </c>
      <c r="H753" s="27"/>
      <c r="I753" s="27"/>
      <c r="J753" s="27"/>
      <c r="K753" s="27"/>
      <c r="L753" s="22">
        <f t="shared" si="5"/>
        <v>0</v>
      </c>
    </row>
    <row r="754">
      <c r="A754" s="27"/>
      <c r="B754" s="27"/>
      <c r="C754" s="27"/>
      <c r="D754" s="27"/>
      <c r="E754" s="22">
        <f t="shared" si="2"/>
        <v>0</v>
      </c>
      <c r="F754" s="23" t="str">
        <f t="shared" si="3"/>
        <v/>
      </c>
      <c r="G754" s="23" t="str">
        <f t="shared" si="4"/>
        <v/>
      </c>
      <c r="H754" s="27"/>
      <c r="I754" s="27"/>
      <c r="J754" s="27"/>
      <c r="K754" s="27"/>
      <c r="L754" s="22">
        <f t="shared" si="5"/>
        <v>0</v>
      </c>
    </row>
    <row r="755">
      <c r="A755" s="27"/>
      <c r="B755" s="27"/>
      <c r="C755" s="27"/>
      <c r="D755" s="27"/>
      <c r="E755" s="22">
        <f t="shared" si="2"/>
        <v>0</v>
      </c>
      <c r="F755" s="23" t="str">
        <f t="shared" si="3"/>
        <v/>
      </c>
      <c r="G755" s="23" t="str">
        <f t="shared" si="4"/>
        <v/>
      </c>
      <c r="H755" s="27"/>
      <c r="I755" s="27"/>
      <c r="J755" s="27"/>
      <c r="K755" s="27"/>
      <c r="L755" s="22">
        <f t="shared" si="5"/>
        <v>0</v>
      </c>
    </row>
    <row r="756">
      <c r="A756" s="27"/>
      <c r="B756" s="27"/>
      <c r="C756" s="27"/>
      <c r="D756" s="27"/>
      <c r="E756" s="22">
        <f t="shared" si="2"/>
        <v>0</v>
      </c>
      <c r="F756" s="23" t="str">
        <f t="shared" si="3"/>
        <v/>
      </c>
      <c r="G756" s="23" t="str">
        <f t="shared" si="4"/>
        <v/>
      </c>
      <c r="H756" s="27"/>
      <c r="I756" s="27"/>
      <c r="J756" s="27"/>
      <c r="K756" s="27"/>
      <c r="L756" s="22">
        <f t="shared" si="5"/>
        <v>0</v>
      </c>
    </row>
    <row r="757">
      <c r="A757" s="27"/>
      <c r="B757" s="27"/>
      <c r="C757" s="27"/>
      <c r="D757" s="27"/>
      <c r="E757" s="22">
        <f t="shared" si="2"/>
        <v>0</v>
      </c>
      <c r="F757" s="23" t="str">
        <f t="shared" si="3"/>
        <v/>
      </c>
      <c r="G757" s="23" t="str">
        <f t="shared" si="4"/>
        <v/>
      </c>
      <c r="H757" s="27"/>
      <c r="I757" s="27"/>
      <c r="J757" s="27"/>
      <c r="K757" s="27"/>
      <c r="L757" s="22">
        <f t="shared" si="5"/>
        <v>0</v>
      </c>
    </row>
    <row r="758">
      <c r="A758" s="27"/>
      <c r="B758" s="27"/>
      <c r="C758" s="27"/>
      <c r="D758" s="27"/>
      <c r="E758" s="22">
        <f t="shared" si="2"/>
        <v>0</v>
      </c>
      <c r="F758" s="23" t="str">
        <f t="shared" si="3"/>
        <v/>
      </c>
      <c r="G758" s="23" t="str">
        <f t="shared" si="4"/>
        <v/>
      </c>
      <c r="H758" s="27"/>
      <c r="I758" s="27"/>
      <c r="J758" s="27"/>
      <c r="K758" s="27"/>
      <c r="L758" s="22">
        <f t="shared" si="5"/>
        <v>0</v>
      </c>
    </row>
    <row r="759">
      <c r="A759" s="27"/>
      <c r="B759" s="27"/>
      <c r="C759" s="27"/>
      <c r="D759" s="27"/>
      <c r="E759" s="22">
        <f t="shared" si="2"/>
        <v>0</v>
      </c>
      <c r="F759" s="23" t="str">
        <f t="shared" si="3"/>
        <v/>
      </c>
      <c r="G759" s="23" t="str">
        <f t="shared" si="4"/>
        <v/>
      </c>
      <c r="H759" s="27"/>
      <c r="I759" s="27"/>
      <c r="J759" s="27"/>
      <c r="K759" s="27"/>
      <c r="L759" s="22">
        <f t="shared" si="5"/>
        <v>0</v>
      </c>
    </row>
    <row r="760">
      <c r="A760" s="27"/>
      <c r="B760" s="27"/>
      <c r="C760" s="27"/>
      <c r="D760" s="27"/>
      <c r="E760" s="22">
        <f t="shared" si="2"/>
        <v>0</v>
      </c>
      <c r="F760" s="23" t="str">
        <f t="shared" si="3"/>
        <v/>
      </c>
      <c r="G760" s="23" t="str">
        <f t="shared" si="4"/>
        <v/>
      </c>
      <c r="H760" s="27"/>
      <c r="I760" s="27"/>
      <c r="J760" s="27"/>
      <c r="K760" s="27"/>
      <c r="L760" s="22">
        <f t="shared" si="5"/>
        <v>0</v>
      </c>
    </row>
    <row r="761">
      <c r="A761" s="27"/>
      <c r="B761" s="27"/>
      <c r="C761" s="27"/>
      <c r="D761" s="27"/>
      <c r="E761" s="22">
        <f t="shared" si="2"/>
        <v>0</v>
      </c>
      <c r="F761" s="23" t="str">
        <f t="shared" si="3"/>
        <v/>
      </c>
      <c r="G761" s="23" t="str">
        <f t="shared" si="4"/>
        <v/>
      </c>
      <c r="H761" s="27"/>
      <c r="I761" s="27"/>
      <c r="J761" s="27"/>
      <c r="K761" s="27"/>
      <c r="L761" s="22">
        <f t="shared" si="5"/>
        <v>0</v>
      </c>
    </row>
    <row r="762">
      <c r="A762" s="27"/>
      <c r="B762" s="27"/>
      <c r="C762" s="27"/>
      <c r="D762" s="27"/>
      <c r="E762" s="22">
        <f t="shared" si="2"/>
        <v>0</v>
      </c>
      <c r="F762" s="23" t="str">
        <f t="shared" si="3"/>
        <v/>
      </c>
      <c r="G762" s="23" t="str">
        <f t="shared" si="4"/>
        <v/>
      </c>
      <c r="H762" s="27"/>
      <c r="I762" s="27"/>
      <c r="J762" s="27"/>
      <c r="K762" s="27"/>
      <c r="L762" s="22">
        <f t="shared" si="5"/>
        <v>0</v>
      </c>
    </row>
    <row r="763">
      <c r="A763" s="27"/>
      <c r="B763" s="27"/>
      <c r="C763" s="27"/>
      <c r="D763" s="27"/>
      <c r="E763" s="22">
        <f t="shared" si="2"/>
        <v>0</v>
      </c>
      <c r="F763" s="23" t="str">
        <f t="shared" si="3"/>
        <v/>
      </c>
      <c r="G763" s="23" t="str">
        <f t="shared" si="4"/>
        <v/>
      </c>
      <c r="H763" s="27"/>
      <c r="I763" s="27"/>
      <c r="J763" s="27"/>
      <c r="K763" s="27"/>
      <c r="L763" s="22">
        <f t="shared" si="5"/>
        <v>0</v>
      </c>
    </row>
    <row r="764">
      <c r="A764" s="27"/>
      <c r="B764" s="27"/>
      <c r="C764" s="27"/>
      <c r="D764" s="27"/>
      <c r="E764" s="22">
        <f t="shared" si="2"/>
        <v>0</v>
      </c>
      <c r="F764" s="23" t="str">
        <f t="shared" si="3"/>
        <v/>
      </c>
      <c r="G764" s="23" t="str">
        <f t="shared" si="4"/>
        <v/>
      </c>
      <c r="H764" s="27"/>
      <c r="I764" s="27"/>
      <c r="J764" s="27"/>
      <c r="K764" s="27"/>
      <c r="L764" s="22">
        <f t="shared" si="5"/>
        <v>0</v>
      </c>
    </row>
    <row r="765">
      <c r="A765" s="27"/>
      <c r="B765" s="27"/>
      <c r="C765" s="27"/>
      <c r="D765" s="27"/>
      <c r="E765" s="22">
        <f t="shared" si="2"/>
        <v>0</v>
      </c>
      <c r="F765" s="23" t="str">
        <f t="shared" si="3"/>
        <v/>
      </c>
      <c r="G765" s="23" t="str">
        <f t="shared" si="4"/>
        <v/>
      </c>
      <c r="H765" s="27"/>
      <c r="I765" s="27"/>
      <c r="J765" s="27"/>
      <c r="K765" s="27"/>
      <c r="L765" s="22">
        <f t="shared" si="5"/>
        <v>0</v>
      </c>
    </row>
    <row r="766">
      <c r="A766" s="27"/>
      <c r="B766" s="27"/>
      <c r="C766" s="27"/>
      <c r="D766" s="27"/>
      <c r="E766" s="22">
        <f t="shared" si="2"/>
        <v>0</v>
      </c>
      <c r="F766" s="23" t="str">
        <f t="shared" si="3"/>
        <v/>
      </c>
      <c r="G766" s="23" t="str">
        <f t="shared" si="4"/>
        <v/>
      </c>
      <c r="H766" s="27"/>
      <c r="I766" s="27"/>
      <c r="J766" s="27"/>
      <c r="K766" s="27"/>
      <c r="L766" s="22">
        <f t="shared" si="5"/>
        <v>0</v>
      </c>
    </row>
    <row r="767">
      <c r="A767" s="27"/>
      <c r="B767" s="27"/>
      <c r="C767" s="27"/>
      <c r="D767" s="27"/>
      <c r="E767" s="22">
        <f t="shared" si="2"/>
        <v>0</v>
      </c>
      <c r="F767" s="23" t="str">
        <f t="shared" si="3"/>
        <v/>
      </c>
      <c r="G767" s="23" t="str">
        <f t="shared" si="4"/>
        <v/>
      </c>
      <c r="H767" s="27"/>
      <c r="I767" s="27"/>
      <c r="J767" s="27"/>
      <c r="K767" s="27"/>
      <c r="L767" s="22">
        <f t="shared" si="5"/>
        <v>0</v>
      </c>
    </row>
    <row r="768">
      <c r="A768" s="27"/>
      <c r="B768" s="27"/>
      <c r="C768" s="27"/>
      <c r="D768" s="27"/>
      <c r="E768" s="22">
        <f t="shared" si="2"/>
        <v>0</v>
      </c>
      <c r="F768" s="23" t="str">
        <f t="shared" si="3"/>
        <v/>
      </c>
      <c r="G768" s="23" t="str">
        <f t="shared" si="4"/>
        <v/>
      </c>
      <c r="H768" s="27"/>
      <c r="I768" s="27"/>
      <c r="J768" s="27"/>
      <c r="K768" s="27"/>
      <c r="L768" s="22">
        <f t="shared" si="5"/>
        <v>0</v>
      </c>
    </row>
    <row r="769">
      <c r="A769" s="27"/>
      <c r="B769" s="27"/>
      <c r="C769" s="27"/>
      <c r="D769" s="27"/>
      <c r="E769" s="22">
        <f t="shared" si="2"/>
        <v>0</v>
      </c>
      <c r="F769" s="23" t="str">
        <f t="shared" si="3"/>
        <v/>
      </c>
      <c r="G769" s="23" t="str">
        <f t="shared" si="4"/>
        <v/>
      </c>
      <c r="H769" s="27"/>
      <c r="I769" s="27"/>
      <c r="J769" s="27"/>
      <c r="K769" s="27"/>
      <c r="L769" s="22">
        <f t="shared" si="5"/>
        <v>0</v>
      </c>
    </row>
    <row r="770">
      <c r="A770" s="27"/>
      <c r="B770" s="27"/>
      <c r="C770" s="27"/>
      <c r="D770" s="27"/>
      <c r="E770" s="22">
        <f t="shared" si="2"/>
        <v>0</v>
      </c>
      <c r="F770" s="23" t="str">
        <f t="shared" si="3"/>
        <v/>
      </c>
      <c r="G770" s="23" t="str">
        <f t="shared" si="4"/>
        <v/>
      </c>
      <c r="H770" s="27"/>
      <c r="I770" s="27"/>
      <c r="J770" s="27"/>
      <c r="K770" s="27"/>
      <c r="L770" s="22">
        <f t="shared" si="5"/>
        <v>0</v>
      </c>
    </row>
    <row r="771">
      <c r="A771" s="27"/>
      <c r="B771" s="27"/>
      <c r="C771" s="27"/>
      <c r="D771" s="27"/>
      <c r="E771" s="22">
        <f t="shared" si="2"/>
        <v>0</v>
      </c>
      <c r="F771" s="23" t="str">
        <f t="shared" si="3"/>
        <v/>
      </c>
      <c r="G771" s="23" t="str">
        <f t="shared" si="4"/>
        <v/>
      </c>
      <c r="H771" s="27"/>
      <c r="I771" s="27"/>
      <c r="J771" s="27"/>
      <c r="K771" s="27"/>
      <c r="L771" s="22">
        <f t="shared" si="5"/>
        <v>0</v>
      </c>
    </row>
    <row r="772">
      <c r="A772" s="27"/>
      <c r="B772" s="27"/>
      <c r="C772" s="27"/>
      <c r="D772" s="27"/>
      <c r="E772" s="22">
        <f t="shared" si="2"/>
        <v>0</v>
      </c>
      <c r="F772" s="23" t="str">
        <f t="shared" si="3"/>
        <v/>
      </c>
      <c r="G772" s="23" t="str">
        <f t="shared" si="4"/>
        <v/>
      </c>
      <c r="H772" s="27"/>
      <c r="I772" s="27"/>
      <c r="J772" s="27"/>
      <c r="K772" s="27"/>
      <c r="L772" s="22">
        <f t="shared" si="5"/>
        <v>0</v>
      </c>
    </row>
    <row r="773">
      <c r="A773" s="27"/>
      <c r="B773" s="27"/>
      <c r="C773" s="27"/>
      <c r="D773" s="27"/>
      <c r="E773" s="22">
        <f t="shared" si="2"/>
        <v>0</v>
      </c>
      <c r="F773" s="23" t="str">
        <f t="shared" si="3"/>
        <v/>
      </c>
      <c r="G773" s="23" t="str">
        <f t="shared" si="4"/>
        <v/>
      </c>
      <c r="H773" s="27"/>
      <c r="I773" s="27"/>
      <c r="J773" s="27"/>
      <c r="K773" s="27"/>
      <c r="L773" s="22">
        <f t="shared" si="5"/>
        <v>0</v>
      </c>
    </row>
    <row r="774">
      <c r="A774" s="27"/>
      <c r="B774" s="27"/>
      <c r="C774" s="27"/>
      <c r="D774" s="27"/>
      <c r="E774" s="22">
        <f t="shared" si="2"/>
        <v>0</v>
      </c>
      <c r="F774" s="23" t="str">
        <f t="shared" si="3"/>
        <v/>
      </c>
      <c r="G774" s="23" t="str">
        <f t="shared" si="4"/>
        <v/>
      </c>
      <c r="H774" s="27"/>
      <c r="I774" s="27"/>
      <c r="J774" s="27"/>
      <c r="K774" s="27"/>
      <c r="L774" s="22">
        <f t="shared" si="5"/>
        <v>0</v>
      </c>
    </row>
    <row r="775">
      <c r="A775" s="27"/>
      <c r="B775" s="27"/>
      <c r="C775" s="27"/>
      <c r="D775" s="27"/>
      <c r="E775" s="22">
        <f t="shared" si="2"/>
        <v>0</v>
      </c>
      <c r="F775" s="23" t="str">
        <f t="shared" si="3"/>
        <v/>
      </c>
      <c r="G775" s="23" t="str">
        <f t="shared" si="4"/>
        <v/>
      </c>
      <c r="H775" s="27"/>
      <c r="I775" s="27"/>
      <c r="J775" s="27"/>
      <c r="K775" s="27"/>
      <c r="L775" s="22">
        <f t="shared" si="5"/>
        <v>0</v>
      </c>
    </row>
    <row r="776">
      <c r="A776" s="27"/>
      <c r="B776" s="27"/>
      <c r="C776" s="27"/>
      <c r="D776" s="27"/>
      <c r="E776" s="22">
        <f t="shared" si="2"/>
        <v>0</v>
      </c>
      <c r="F776" s="23" t="str">
        <f t="shared" si="3"/>
        <v/>
      </c>
      <c r="G776" s="23" t="str">
        <f t="shared" si="4"/>
        <v/>
      </c>
      <c r="H776" s="27"/>
      <c r="I776" s="27"/>
      <c r="J776" s="27"/>
      <c r="K776" s="27"/>
      <c r="L776" s="22">
        <f t="shared" si="5"/>
        <v>0</v>
      </c>
    </row>
    <row r="777">
      <c r="A777" s="27"/>
      <c r="B777" s="27"/>
      <c r="C777" s="27"/>
      <c r="D777" s="27"/>
      <c r="E777" s="22">
        <f t="shared" si="2"/>
        <v>0</v>
      </c>
      <c r="F777" s="23" t="str">
        <f t="shared" si="3"/>
        <v/>
      </c>
      <c r="G777" s="23" t="str">
        <f t="shared" si="4"/>
        <v/>
      </c>
      <c r="H777" s="27"/>
      <c r="I777" s="27"/>
      <c r="J777" s="27"/>
      <c r="K777" s="27"/>
      <c r="L777" s="22">
        <f t="shared" si="5"/>
        <v>0</v>
      </c>
    </row>
    <row r="778">
      <c r="A778" s="27"/>
      <c r="B778" s="27"/>
      <c r="C778" s="27"/>
      <c r="D778" s="27"/>
      <c r="E778" s="22">
        <f t="shared" si="2"/>
        <v>0</v>
      </c>
      <c r="F778" s="23" t="str">
        <f t="shared" si="3"/>
        <v/>
      </c>
      <c r="G778" s="23" t="str">
        <f t="shared" si="4"/>
        <v/>
      </c>
      <c r="H778" s="27"/>
      <c r="I778" s="27"/>
      <c r="J778" s="27"/>
      <c r="K778" s="27"/>
      <c r="L778" s="22">
        <f t="shared" si="5"/>
        <v>0</v>
      </c>
    </row>
    <row r="779">
      <c r="A779" s="27"/>
      <c r="B779" s="27"/>
      <c r="C779" s="27"/>
      <c r="D779" s="27"/>
      <c r="E779" s="22">
        <f t="shared" si="2"/>
        <v>0</v>
      </c>
      <c r="F779" s="23" t="str">
        <f t="shared" si="3"/>
        <v/>
      </c>
      <c r="G779" s="23" t="str">
        <f t="shared" si="4"/>
        <v/>
      </c>
      <c r="H779" s="27"/>
      <c r="I779" s="27"/>
      <c r="J779" s="27"/>
      <c r="K779" s="27"/>
      <c r="L779" s="22">
        <f t="shared" si="5"/>
        <v>0</v>
      </c>
    </row>
    <row r="780">
      <c r="A780" s="27"/>
      <c r="B780" s="27"/>
      <c r="C780" s="27"/>
      <c r="D780" s="27"/>
      <c r="E780" s="22">
        <f t="shared" si="2"/>
        <v>0</v>
      </c>
      <c r="F780" s="23" t="str">
        <f t="shared" si="3"/>
        <v/>
      </c>
      <c r="G780" s="23" t="str">
        <f t="shared" si="4"/>
        <v/>
      </c>
      <c r="H780" s="27"/>
      <c r="I780" s="27"/>
      <c r="J780" s="27"/>
      <c r="K780" s="27"/>
      <c r="L780" s="22">
        <f t="shared" si="5"/>
        <v>0</v>
      </c>
    </row>
    <row r="781">
      <c r="A781" s="27"/>
      <c r="B781" s="27"/>
      <c r="C781" s="27"/>
      <c r="D781" s="27"/>
      <c r="E781" s="22">
        <f t="shared" si="2"/>
        <v>0</v>
      </c>
      <c r="F781" s="23" t="str">
        <f t="shared" si="3"/>
        <v/>
      </c>
      <c r="G781" s="23" t="str">
        <f t="shared" si="4"/>
        <v/>
      </c>
      <c r="H781" s="27"/>
      <c r="I781" s="27"/>
      <c r="J781" s="27"/>
      <c r="K781" s="27"/>
      <c r="L781" s="22">
        <f t="shared" si="5"/>
        <v>0</v>
      </c>
    </row>
    <row r="782">
      <c r="A782" s="27"/>
      <c r="B782" s="27"/>
      <c r="C782" s="27"/>
      <c r="D782" s="27"/>
      <c r="E782" s="22">
        <f t="shared" si="2"/>
        <v>0</v>
      </c>
      <c r="F782" s="23" t="str">
        <f t="shared" si="3"/>
        <v/>
      </c>
      <c r="G782" s="23" t="str">
        <f t="shared" si="4"/>
        <v/>
      </c>
      <c r="H782" s="27"/>
      <c r="I782" s="27"/>
      <c r="J782" s="27"/>
      <c r="K782" s="27"/>
      <c r="L782" s="22">
        <f t="shared" si="5"/>
        <v>0</v>
      </c>
    </row>
    <row r="783">
      <c r="A783" s="27"/>
      <c r="B783" s="27"/>
      <c r="C783" s="27"/>
      <c r="D783" s="27"/>
      <c r="E783" s="22">
        <f t="shared" si="2"/>
        <v>0</v>
      </c>
      <c r="F783" s="23" t="str">
        <f t="shared" si="3"/>
        <v/>
      </c>
      <c r="G783" s="23" t="str">
        <f t="shared" si="4"/>
        <v/>
      </c>
      <c r="H783" s="27"/>
      <c r="I783" s="27"/>
      <c r="J783" s="27"/>
      <c r="K783" s="27"/>
      <c r="L783" s="22">
        <f t="shared" si="5"/>
        <v>0</v>
      </c>
    </row>
    <row r="784">
      <c r="A784" s="27"/>
      <c r="B784" s="27"/>
      <c r="C784" s="27"/>
      <c r="D784" s="27"/>
      <c r="E784" s="22">
        <f t="shared" si="2"/>
        <v>0</v>
      </c>
      <c r="F784" s="23" t="str">
        <f t="shared" si="3"/>
        <v/>
      </c>
      <c r="G784" s="23" t="str">
        <f t="shared" si="4"/>
        <v/>
      </c>
      <c r="H784" s="27"/>
      <c r="I784" s="27"/>
      <c r="J784" s="27"/>
      <c r="K784" s="27"/>
      <c r="L784" s="22">
        <f t="shared" si="5"/>
        <v>0</v>
      </c>
    </row>
    <row r="785">
      <c r="A785" s="27"/>
      <c r="B785" s="27"/>
      <c r="C785" s="27"/>
      <c r="D785" s="27"/>
      <c r="E785" s="22">
        <f t="shared" si="2"/>
        <v>0</v>
      </c>
      <c r="F785" s="23" t="str">
        <f t="shared" si="3"/>
        <v/>
      </c>
      <c r="G785" s="23" t="str">
        <f t="shared" si="4"/>
        <v/>
      </c>
      <c r="H785" s="27"/>
      <c r="I785" s="27"/>
      <c r="J785" s="27"/>
      <c r="K785" s="27"/>
      <c r="L785" s="22">
        <f t="shared" si="5"/>
        <v>0</v>
      </c>
    </row>
    <row r="786">
      <c r="A786" s="27"/>
      <c r="B786" s="27"/>
      <c r="C786" s="27"/>
      <c r="D786" s="27"/>
      <c r="E786" s="22">
        <f t="shared" si="2"/>
        <v>0</v>
      </c>
      <c r="F786" s="23" t="str">
        <f t="shared" si="3"/>
        <v/>
      </c>
      <c r="G786" s="23" t="str">
        <f t="shared" si="4"/>
        <v/>
      </c>
      <c r="H786" s="27"/>
      <c r="I786" s="27"/>
      <c r="J786" s="27"/>
      <c r="K786" s="27"/>
      <c r="L786" s="22">
        <f t="shared" si="5"/>
        <v>0</v>
      </c>
    </row>
    <row r="787">
      <c r="A787" s="27"/>
      <c r="B787" s="27"/>
      <c r="C787" s="27"/>
      <c r="D787" s="27"/>
      <c r="E787" s="22">
        <f t="shared" si="2"/>
        <v>0</v>
      </c>
      <c r="F787" s="23" t="str">
        <f t="shared" si="3"/>
        <v/>
      </c>
      <c r="G787" s="23" t="str">
        <f t="shared" si="4"/>
        <v/>
      </c>
      <c r="H787" s="27"/>
      <c r="I787" s="27"/>
      <c r="J787" s="27"/>
      <c r="K787" s="27"/>
      <c r="L787" s="22">
        <f t="shared" si="5"/>
        <v>0</v>
      </c>
    </row>
    <row r="788">
      <c r="A788" s="27"/>
      <c r="B788" s="27"/>
      <c r="C788" s="27"/>
      <c r="D788" s="27"/>
      <c r="E788" s="22">
        <f t="shared" si="2"/>
        <v>0</v>
      </c>
      <c r="F788" s="23" t="str">
        <f t="shared" si="3"/>
        <v/>
      </c>
      <c r="G788" s="23" t="str">
        <f t="shared" si="4"/>
        <v/>
      </c>
      <c r="H788" s="27"/>
      <c r="I788" s="27"/>
      <c r="J788" s="27"/>
      <c r="K788" s="27"/>
      <c r="L788" s="22">
        <f t="shared" si="5"/>
        <v>0</v>
      </c>
    </row>
    <row r="789">
      <c r="A789" s="27"/>
      <c r="B789" s="27"/>
      <c r="C789" s="27"/>
      <c r="D789" s="27"/>
      <c r="E789" s="22">
        <f t="shared" si="2"/>
        <v>0</v>
      </c>
      <c r="F789" s="23" t="str">
        <f t="shared" si="3"/>
        <v/>
      </c>
      <c r="G789" s="23" t="str">
        <f t="shared" si="4"/>
        <v/>
      </c>
      <c r="H789" s="27"/>
      <c r="I789" s="27"/>
      <c r="J789" s="27"/>
      <c r="K789" s="27"/>
      <c r="L789" s="22">
        <f t="shared" si="5"/>
        <v>0</v>
      </c>
    </row>
    <row r="790">
      <c r="A790" s="27"/>
      <c r="B790" s="27"/>
      <c r="C790" s="27"/>
      <c r="D790" s="27"/>
      <c r="E790" s="22">
        <f t="shared" si="2"/>
        <v>0</v>
      </c>
      <c r="F790" s="23" t="str">
        <f t="shared" si="3"/>
        <v/>
      </c>
      <c r="G790" s="23" t="str">
        <f t="shared" si="4"/>
        <v/>
      </c>
      <c r="H790" s="27"/>
      <c r="I790" s="27"/>
      <c r="J790" s="27"/>
      <c r="K790" s="27"/>
      <c r="L790" s="22">
        <f t="shared" si="5"/>
        <v>0</v>
      </c>
    </row>
    <row r="791">
      <c r="A791" s="27"/>
      <c r="B791" s="27"/>
      <c r="C791" s="27"/>
      <c r="D791" s="27"/>
      <c r="E791" s="22">
        <f t="shared" si="2"/>
        <v>0</v>
      </c>
      <c r="F791" s="23" t="str">
        <f t="shared" si="3"/>
        <v/>
      </c>
      <c r="G791" s="23" t="str">
        <f t="shared" si="4"/>
        <v/>
      </c>
      <c r="H791" s="27"/>
      <c r="I791" s="27"/>
      <c r="J791" s="27"/>
      <c r="K791" s="27"/>
      <c r="L791" s="22">
        <f t="shared" si="5"/>
        <v>0</v>
      </c>
    </row>
    <row r="792">
      <c r="A792" s="27"/>
      <c r="B792" s="27"/>
      <c r="C792" s="27"/>
      <c r="D792" s="27"/>
      <c r="E792" s="22">
        <f t="shared" si="2"/>
        <v>0</v>
      </c>
      <c r="F792" s="23" t="str">
        <f t="shared" si="3"/>
        <v/>
      </c>
      <c r="G792" s="23" t="str">
        <f t="shared" si="4"/>
        <v/>
      </c>
      <c r="H792" s="27"/>
      <c r="I792" s="27"/>
      <c r="J792" s="27"/>
      <c r="K792" s="27"/>
      <c r="L792" s="22">
        <f t="shared" si="5"/>
        <v>0</v>
      </c>
    </row>
    <row r="793">
      <c r="A793" s="27"/>
      <c r="B793" s="27"/>
      <c r="C793" s="27"/>
      <c r="D793" s="27"/>
      <c r="E793" s="22">
        <f t="shared" si="2"/>
        <v>0</v>
      </c>
      <c r="F793" s="23" t="str">
        <f t="shared" si="3"/>
        <v/>
      </c>
      <c r="G793" s="23" t="str">
        <f t="shared" si="4"/>
        <v/>
      </c>
      <c r="H793" s="27"/>
      <c r="I793" s="27"/>
      <c r="J793" s="27"/>
      <c r="K793" s="27"/>
      <c r="L793" s="22">
        <f t="shared" si="5"/>
        <v>0</v>
      </c>
    </row>
    <row r="794">
      <c r="A794" s="27"/>
      <c r="B794" s="27"/>
      <c r="C794" s="27"/>
      <c r="D794" s="27"/>
      <c r="E794" s="22">
        <f t="shared" si="2"/>
        <v>0</v>
      </c>
      <c r="F794" s="23" t="str">
        <f t="shared" si="3"/>
        <v/>
      </c>
      <c r="G794" s="23" t="str">
        <f t="shared" si="4"/>
        <v/>
      </c>
      <c r="H794" s="27"/>
      <c r="I794" s="27"/>
      <c r="J794" s="27"/>
      <c r="K794" s="27"/>
      <c r="L794" s="22">
        <f t="shared" si="5"/>
        <v>0</v>
      </c>
    </row>
    <row r="795">
      <c r="A795" s="27"/>
      <c r="B795" s="27"/>
      <c r="C795" s="27"/>
      <c r="D795" s="27"/>
      <c r="E795" s="22">
        <f t="shared" si="2"/>
        <v>0</v>
      </c>
      <c r="F795" s="23" t="str">
        <f t="shared" si="3"/>
        <v/>
      </c>
      <c r="G795" s="23" t="str">
        <f t="shared" si="4"/>
        <v/>
      </c>
      <c r="H795" s="27"/>
      <c r="I795" s="27"/>
      <c r="J795" s="27"/>
      <c r="K795" s="27"/>
      <c r="L795" s="22">
        <f t="shared" si="5"/>
        <v>0</v>
      </c>
    </row>
    <row r="796">
      <c r="A796" s="27"/>
      <c r="B796" s="27"/>
      <c r="C796" s="27"/>
      <c r="D796" s="27"/>
      <c r="E796" s="22">
        <f t="shared" si="2"/>
        <v>0</v>
      </c>
      <c r="F796" s="23" t="str">
        <f t="shared" si="3"/>
        <v/>
      </c>
      <c r="G796" s="23" t="str">
        <f t="shared" si="4"/>
        <v/>
      </c>
      <c r="H796" s="27"/>
      <c r="I796" s="27"/>
      <c r="J796" s="27"/>
      <c r="K796" s="27"/>
      <c r="L796" s="22">
        <f t="shared" si="5"/>
        <v>0</v>
      </c>
    </row>
    <row r="797">
      <c r="A797" s="27"/>
      <c r="B797" s="27"/>
      <c r="C797" s="27"/>
      <c r="D797" s="27"/>
      <c r="E797" s="22">
        <f t="shared" si="2"/>
        <v>0</v>
      </c>
      <c r="F797" s="23" t="str">
        <f t="shared" si="3"/>
        <v/>
      </c>
      <c r="G797" s="23" t="str">
        <f t="shared" si="4"/>
        <v/>
      </c>
      <c r="H797" s="27"/>
      <c r="I797" s="27"/>
      <c r="J797" s="27"/>
      <c r="K797" s="27"/>
      <c r="L797" s="22">
        <f t="shared" si="5"/>
        <v>0</v>
      </c>
    </row>
    <row r="798">
      <c r="A798" s="27"/>
      <c r="B798" s="27"/>
      <c r="C798" s="27"/>
      <c r="D798" s="27"/>
      <c r="E798" s="22">
        <f t="shared" si="2"/>
        <v>0</v>
      </c>
      <c r="F798" s="23" t="str">
        <f t="shared" si="3"/>
        <v/>
      </c>
      <c r="G798" s="23" t="str">
        <f t="shared" si="4"/>
        <v/>
      </c>
      <c r="H798" s="27"/>
      <c r="I798" s="27"/>
      <c r="J798" s="27"/>
      <c r="K798" s="27"/>
      <c r="L798" s="22">
        <f t="shared" si="5"/>
        <v>0</v>
      </c>
    </row>
    <row r="799">
      <c r="A799" s="27"/>
      <c r="B799" s="27"/>
      <c r="C799" s="27"/>
      <c r="D799" s="27"/>
      <c r="E799" s="22">
        <f t="shared" si="2"/>
        <v>0</v>
      </c>
      <c r="F799" s="23" t="str">
        <f t="shared" si="3"/>
        <v/>
      </c>
      <c r="G799" s="23" t="str">
        <f t="shared" si="4"/>
        <v/>
      </c>
      <c r="H799" s="27"/>
      <c r="I799" s="27"/>
      <c r="J799" s="27"/>
      <c r="K799" s="27"/>
      <c r="L799" s="22">
        <f t="shared" si="5"/>
        <v>0</v>
      </c>
    </row>
    <row r="800">
      <c r="A800" s="27"/>
      <c r="B800" s="27"/>
      <c r="C800" s="27"/>
      <c r="D800" s="27"/>
      <c r="E800" s="22">
        <f t="shared" si="2"/>
        <v>0</v>
      </c>
      <c r="F800" s="23" t="str">
        <f t="shared" si="3"/>
        <v/>
      </c>
      <c r="G800" s="23" t="str">
        <f t="shared" si="4"/>
        <v/>
      </c>
      <c r="H800" s="27"/>
      <c r="I800" s="27"/>
      <c r="J800" s="27"/>
      <c r="K800" s="27"/>
      <c r="L800" s="22">
        <f t="shared" si="5"/>
        <v>0</v>
      </c>
    </row>
    <row r="801">
      <c r="A801" s="27"/>
      <c r="B801" s="27"/>
      <c r="C801" s="27"/>
      <c r="D801" s="27"/>
      <c r="E801" s="22">
        <f t="shared" si="2"/>
        <v>0</v>
      </c>
      <c r="F801" s="23" t="str">
        <f t="shared" si="3"/>
        <v/>
      </c>
      <c r="G801" s="23" t="str">
        <f t="shared" si="4"/>
        <v/>
      </c>
      <c r="H801" s="27"/>
      <c r="I801" s="27"/>
      <c r="J801" s="27"/>
      <c r="K801" s="27"/>
      <c r="L801" s="22">
        <f t="shared" si="5"/>
        <v>0</v>
      </c>
    </row>
    <row r="802">
      <c r="A802" s="27"/>
      <c r="B802" s="27"/>
      <c r="C802" s="27"/>
      <c r="D802" s="27"/>
      <c r="E802" s="22">
        <f t="shared" si="2"/>
        <v>0</v>
      </c>
      <c r="F802" s="23" t="str">
        <f t="shared" si="3"/>
        <v/>
      </c>
      <c r="G802" s="23" t="str">
        <f t="shared" si="4"/>
        <v/>
      </c>
      <c r="H802" s="27"/>
      <c r="I802" s="27"/>
      <c r="J802" s="27"/>
      <c r="K802" s="27"/>
      <c r="L802" s="22">
        <f t="shared" si="5"/>
        <v>0</v>
      </c>
    </row>
    <row r="803">
      <c r="A803" s="27"/>
      <c r="B803" s="27"/>
      <c r="C803" s="27"/>
      <c r="D803" s="27"/>
      <c r="E803" s="22">
        <f t="shared" si="2"/>
        <v>0</v>
      </c>
      <c r="F803" s="23" t="str">
        <f t="shared" si="3"/>
        <v/>
      </c>
      <c r="G803" s="23" t="str">
        <f t="shared" si="4"/>
        <v/>
      </c>
      <c r="H803" s="27"/>
      <c r="I803" s="27"/>
      <c r="J803" s="27"/>
      <c r="K803" s="27"/>
      <c r="L803" s="22">
        <f t="shared" si="5"/>
        <v>0</v>
      </c>
    </row>
    <row r="804">
      <c r="A804" s="27"/>
      <c r="B804" s="27"/>
      <c r="C804" s="27"/>
      <c r="D804" s="27"/>
      <c r="E804" s="22">
        <f t="shared" si="2"/>
        <v>0</v>
      </c>
      <c r="F804" s="23" t="str">
        <f t="shared" si="3"/>
        <v/>
      </c>
      <c r="G804" s="23" t="str">
        <f t="shared" si="4"/>
        <v/>
      </c>
      <c r="H804" s="27"/>
      <c r="I804" s="27"/>
      <c r="J804" s="27"/>
      <c r="K804" s="27"/>
      <c r="L804" s="22">
        <f t="shared" si="5"/>
        <v>0</v>
      </c>
    </row>
    <row r="805">
      <c r="A805" s="27"/>
      <c r="B805" s="27"/>
      <c r="C805" s="27"/>
      <c r="D805" s="27"/>
      <c r="E805" s="22">
        <f t="shared" si="2"/>
        <v>0</v>
      </c>
      <c r="F805" s="23" t="str">
        <f t="shared" si="3"/>
        <v/>
      </c>
      <c r="G805" s="23" t="str">
        <f t="shared" si="4"/>
        <v/>
      </c>
      <c r="H805" s="27"/>
      <c r="I805" s="27"/>
      <c r="J805" s="27"/>
      <c r="K805" s="27"/>
      <c r="L805" s="22">
        <f t="shared" si="5"/>
        <v>0</v>
      </c>
    </row>
    <row r="806">
      <c r="A806" s="27"/>
      <c r="B806" s="27"/>
      <c r="C806" s="27"/>
      <c r="D806" s="27"/>
      <c r="E806" s="22">
        <f t="shared" si="2"/>
        <v>0</v>
      </c>
      <c r="F806" s="23" t="str">
        <f t="shared" si="3"/>
        <v/>
      </c>
      <c r="G806" s="23" t="str">
        <f t="shared" si="4"/>
        <v/>
      </c>
      <c r="H806" s="27"/>
      <c r="I806" s="27"/>
      <c r="J806" s="27"/>
      <c r="K806" s="27"/>
      <c r="L806" s="22">
        <f t="shared" si="5"/>
        <v>0</v>
      </c>
    </row>
    <row r="807">
      <c r="A807" s="27"/>
      <c r="B807" s="27"/>
      <c r="C807" s="27"/>
      <c r="D807" s="27"/>
      <c r="E807" s="22">
        <f t="shared" si="2"/>
        <v>0</v>
      </c>
      <c r="F807" s="23" t="str">
        <f t="shared" si="3"/>
        <v/>
      </c>
      <c r="G807" s="23" t="str">
        <f t="shared" si="4"/>
        <v/>
      </c>
      <c r="H807" s="27"/>
      <c r="I807" s="27"/>
      <c r="J807" s="27"/>
      <c r="K807" s="27"/>
      <c r="L807" s="22">
        <f t="shared" si="5"/>
        <v>0</v>
      </c>
    </row>
    <row r="808">
      <c r="A808" s="27"/>
      <c r="B808" s="27"/>
      <c r="C808" s="27"/>
      <c r="D808" s="27"/>
      <c r="E808" s="22">
        <f t="shared" si="2"/>
        <v>0</v>
      </c>
      <c r="F808" s="23" t="str">
        <f t="shared" si="3"/>
        <v/>
      </c>
      <c r="G808" s="23" t="str">
        <f t="shared" si="4"/>
        <v/>
      </c>
      <c r="H808" s="27"/>
      <c r="I808" s="27"/>
      <c r="J808" s="27"/>
      <c r="K808" s="27"/>
      <c r="L808" s="22">
        <f t="shared" si="5"/>
        <v>0</v>
      </c>
    </row>
    <row r="809">
      <c r="A809" s="27"/>
      <c r="B809" s="27"/>
      <c r="C809" s="27"/>
      <c r="D809" s="27"/>
      <c r="E809" s="22">
        <f t="shared" si="2"/>
        <v>0</v>
      </c>
      <c r="F809" s="23" t="str">
        <f t="shared" si="3"/>
        <v/>
      </c>
      <c r="G809" s="23" t="str">
        <f t="shared" si="4"/>
        <v/>
      </c>
      <c r="H809" s="27"/>
      <c r="I809" s="27"/>
      <c r="J809" s="27"/>
      <c r="K809" s="27"/>
      <c r="L809" s="22">
        <f t="shared" si="5"/>
        <v>0</v>
      </c>
    </row>
    <row r="810">
      <c r="A810" s="27"/>
      <c r="B810" s="27"/>
      <c r="C810" s="27"/>
      <c r="D810" s="27"/>
      <c r="E810" s="22">
        <f t="shared" si="2"/>
        <v>0</v>
      </c>
      <c r="F810" s="23" t="str">
        <f t="shared" si="3"/>
        <v/>
      </c>
      <c r="G810" s="23" t="str">
        <f t="shared" si="4"/>
        <v/>
      </c>
      <c r="H810" s="27"/>
      <c r="I810" s="27"/>
      <c r="J810" s="27"/>
      <c r="K810" s="27"/>
      <c r="L810" s="22">
        <f t="shared" si="5"/>
        <v>0</v>
      </c>
    </row>
    <row r="811">
      <c r="A811" s="27"/>
      <c r="B811" s="27"/>
      <c r="C811" s="27"/>
      <c r="D811" s="27"/>
      <c r="E811" s="22">
        <f t="shared" si="2"/>
        <v>0</v>
      </c>
      <c r="F811" s="23" t="str">
        <f t="shared" si="3"/>
        <v/>
      </c>
      <c r="G811" s="23" t="str">
        <f t="shared" si="4"/>
        <v/>
      </c>
      <c r="H811" s="27"/>
      <c r="I811" s="27"/>
      <c r="J811" s="27"/>
      <c r="K811" s="27"/>
      <c r="L811" s="22">
        <f t="shared" si="5"/>
        <v>0</v>
      </c>
    </row>
    <row r="812">
      <c r="A812" s="27"/>
      <c r="B812" s="27"/>
      <c r="C812" s="27"/>
      <c r="D812" s="27"/>
      <c r="E812" s="22">
        <f t="shared" si="2"/>
        <v>0</v>
      </c>
      <c r="F812" s="23" t="str">
        <f t="shared" si="3"/>
        <v/>
      </c>
      <c r="G812" s="23" t="str">
        <f t="shared" si="4"/>
        <v/>
      </c>
      <c r="H812" s="27"/>
      <c r="I812" s="27"/>
      <c r="J812" s="27"/>
      <c r="K812" s="27"/>
      <c r="L812" s="22">
        <f t="shared" si="5"/>
        <v>0</v>
      </c>
    </row>
    <row r="813">
      <c r="A813" s="27"/>
      <c r="B813" s="27"/>
      <c r="C813" s="27"/>
      <c r="D813" s="27"/>
      <c r="E813" s="22">
        <f t="shared" si="2"/>
        <v>0</v>
      </c>
      <c r="F813" s="23" t="str">
        <f t="shared" si="3"/>
        <v/>
      </c>
      <c r="G813" s="23" t="str">
        <f t="shared" si="4"/>
        <v/>
      </c>
      <c r="H813" s="27"/>
      <c r="I813" s="27"/>
      <c r="J813" s="27"/>
      <c r="K813" s="27"/>
      <c r="L813" s="22">
        <f t="shared" si="5"/>
        <v>0</v>
      </c>
    </row>
    <row r="814">
      <c r="A814" s="27"/>
      <c r="B814" s="27"/>
      <c r="C814" s="27"/>
      <c r="D814" s="27"/>
      <c r="E814" s="22">
        <f t="shared" si="2"/>
        <v>0</v>
      </c>
      <c r="F814" s="23" t="str">
        <f t="shared" si="3"/>
        <v/>
      </c>
      <c r="G814" s="23" t="str">
        <f t="shared" si="4"/>
        <v/>
      </c>
      <c r="H814" s="27"/>
      <c r="I814" s="27"/>
      <c r="J814" s="27"/>
      <c r="K814" s="27"/>
      <c r="L814" s="22">
        <f t="shared" si="5"/>
        <v>0</v>
      </c>
    </row>
    <row r="815">
      <c r="A815" s="27"/>
      <c r="B815" s="27"/>
      <c r="C815" s="27"/>
      <c r="D815" s="27"/>
      <c r="E815" s="22">
        <f t="shared" si="2"/>
        <v>0</v>
      </c>
      <c r="F815" s="23" t="str">
        <f t="shared" si="3"/>
        <v/>
      </c>
      <c r="G815" s="23" t="str">
        <f t="shared" si="4"/>
        <v/>
      </c>
      <c r="H815" s="27"/>
      <c r="I815" s="27"/>
      <c r="J815" s="27"/>
      <c r="K815" s="27"/>
      <c r="L815" s="22">
        <f t="shared" si="5"/>
        <v>0</v>
      </c>
    </row>
    <row r="816">
      <c r="A816" s="27"/>
      <c r="B816" s="27"/>
      <c r="C816" s="27"/>
      <c r="D816" s="27"/>
      <c r="E816" s="22">
        <f t="shared" si="2"/>
        <v>0</v>
      </c>
      <c r="F816" s="23" t="str">
        <f t="shared" si="3"/>
        <v/>
      </c>
      <c r="G816" s="23" t="str">
        <f t="shared" si="4"/>
        <v/>
      </c>
      <c r="H816" s="27"/>
      <c r="I816" s="27"/>
      <c r="J816" s="27"/>
      <c r="K816" s="27"/>
      <c r="L816" s="22">
        <f t="shared" si="5"/>
        <v>0</v>
      </c>
    </row>
    <row r="817">
      <c r="A817" s="27"/>
      <c r="B817" s="27"/>
      <c r="C817" s="27"/>
      <c r="D817" s="27"/>
      <c r="E817" s="22">
        <f t="shared" si="2"/>
        <v>0</v>
      </c>
      <c r="F817" s="23" t="str">
        <f t="shared" si="3"/>
        <v/>
      </c>
      <c r="G817" s="23" t="str">
        <f t="shared" si="4"/>
        <v/>
      </c>
      <c r="H817" s="27"/>
      <c r="I817" s="27"/>
      <c r="J817" s="27"/>
      <c r="K817" s="27"/>
      <c r="L817" s="22">
        <f t="shared" si="5"/>
        <v>0</v>
      </c>
    </row>
    <row r="818">
      <c r="A818" s="27"/>
      <c r="B818" s="27"/>
      <c r="C818" s="27"/>
      <c r="D818" s="27"/>
      <c r="E818" s="22">
        <f t="shared" si="2"/>
        <v>0</v>
      </c>
      <c r="F818" s="23" t="str">
        <f t="shared" si="3"/>
        <v/>
      </c>
      <c r="G818" s="23" t="str">
        <f t="shared" si="4"/>
        <v/>
      </c>
      <c r="H818" s="27"/>
      <c r="I818" s="27"/>
      <c r="J818" s="27"/>
      <c r="K818" s="27"/>
      <c r="L818" s="22">
        <f t="shared" si="5"/>
        <v>0</v>
      </c>
    </row>
    <row r="819">
      <c r="A819" s="27"/>
      <c r="B819" s="27"/>
      <c r="C819" s="27"/>
      <c r="D819" s="27"/>
      <c r="E819" s="22">
        <f t="shared" si="2"/>
        <v>0</v>
      </c>
      <c r="F819" s="23" t="str">
        <f t="shared" si="3"/>
        <v/>
      </c>
      <c r="G819" s="23" t="str">
        <f t="shared" si="4"/>
        <v/>
      </c>
      <c r="H819" s="27"/>
      <c r="I819" s="27"/>
      <c r="J819" s="27"/>
      <c r="K819" s="27"/>
      <c r="L819" s="22">
        <f t="shared" si="5"/>
        <v>0</v>
      </c>
    </row>
    <row r="820">
      <c r="A820" s="27"/>
      <c r="B820" s="27"/>
      <c r="C820" s="27"/>
      <c r="D820" s="27"/>
      <c r="E820" s="22">
        <f t="shared" si="2"/>
        <v>0</v>
      </c>
      <c r="F820" s="23" t="str">
        <f t="shared" si="3"/>
        <v/>
      </c>
      <c r="G820" s="23" t="str">
        <f t="shared" si="4"/>
        <v/>
      </c>
      <c r="H820" s="27"/>
      <c r="I820" s="27"/>
      <c r="J820" s="27"/>
      <c r="K820" s="27"/>
      <c r="L820" s="22">
        <f t="shared" si="5"/>
        <v>0</v>
      </c>
    </row>
    <row r="821">
      <c r="A821" s="27"/>
      <c r="B821" s="27"/>
      <c r="C821" s="27"/>
      <c r="D821" s="27"/>
      <c r="E821" s="22">
        <f t="shared" si="2"/>
        <v>0</v>
      </c>
      <c r="F821" s="23" t="str">
        <f t="shared" si="3"/>
        <v/>
      </c>
      <c r="G821" s="23" t="str">
        <f t="shared" si="4"/>
        <v/>
      </c>
      <c r="H821" s="27"/>
      <c r="I821" s="27"/>
      <c r="J821" s="27"/>
      <c r="K821" s="27"/>
      <c r="L821" s="22">
        <f t="shared" si="5"/>
        <v>0</v>
      </c>
    </row>
    <row r="822">
      <c r="A822" s="27"/>
      <c r="B822" s="27"/>
      <c r="C822" s="27"/>
      <c r="D822" s="27"/>
      <c r="E822" s="22">
        <f t="shared" si="2"/>
        <v>0</v>
      </c>
      <c r="F822" s="23" t="str">
        <f t="shared" si="3"/>
        <v/>
      </c>
      <c r="G822" s="23" t="str">
        <f t="shared" si="4"/>
        <v/>
      </c>
      <c r="H822" s="27"/>
      <c r="I822" s="27"/>
      <c r="J822" s="27"/>
      <c r="K822" s="27"/>
      <c r="L822" s="22">
        <f t="shared" si="5"/>
        <v>0</v>
      </c>
    </row>
    <row r="823">
      <c r="A823" s="27"/>
      <c r="B823" s="27"/>
      <c r="C823" s="27"/>
      <c r="D823" s="27"/>
      <c r="E823" s="22">
        <f t="shared" si="2"/>
        <v>0</v>
      </c>
      <c r="F823" s="23" t="str">
        <f t="shared" si="3"/>
        <v/>
      </c>
      <c r="G823" s="23" t="str">
        <f t="shared" si="4"/>
        <v/>
      </c>
      <c r="H823" s="27"/>
      <c r="I823" s="27"/>
      <c r="J823" s="27"/>
      <c r="K823" s="27"/>
      <c r="L823" s="22">
        <f t="shared" si="5"/>
        <v>0</v>
      </c>
    </row>
    <row r="824">
      <c r="A824" s="27"/>
      <c r="B824" s="27"/>
      <c r="C824" s="27"/>
      <c r="D824" s="27"/>
      <c r="E824" s="22">
        <f t="shared" si="2"/>
        <v>0</v>
      </c>
      <c r="F824" s="23" t="str">
        <f t="shared" si="3"/>
        <v/>
      </c>
      <c r="G824" s="23" t="str">
        <f t="shared" si="4"/>
        <v/>
      </c>
      <c r="H824" s="27"/>
      <c r="I824" s="27"/>
      <c r="J824" s="27"/>
      <c r="K824" s="27"/>
      <c r="L824" s="22">
        <f t="shared" si="5"/>
        <v>0</v>
      </c>
    </row>
    <row r="825">
      <c r="A825" s="27"/>
      <c r="B825" s="27"/>
      <c r="C825" s="27"/>
      <c r="D825" s="27"/>
      <c r="E825" s="22">
        <f t="shared" si="2"/>
        <v>0</v>
      </c>
      <c r="F825" s="23" t="str">
        <f t="shared" si="3"/>
        <v/>
      </c>
      <c r="G825" s="23" t="str">
        <f t="shared" si="4"/>
        <v/>
      </c>
      <c r="H825" s="27"/>
      <c r="I825" s="27"/>
      <c r="J825" s="27"/>
      <c r="K825" s="27"/>
      <c r="L825" s="22">
        <f t="shared" si="5"/>
        <v>0</v>
      </c>
    </row>
    <row r="826">
      <c r="A826" s="27"/>
      <c r="B826" s="27"/>
      <c r="C826" s="27"/>
      <c r="D826" s="27"/>
      <c r="E826" s="22">
        <f t="shared" si="2"/>
        <v>0</v>
      </c>
      <c r="F826" s="23" t="str">
        <f t="shared" si="3"/>
        <v/>
      </c>
      <c r="G826" s="23" t="str">
        <f t="shared" si="4"/>
        <v/>
      </c>
      <c r="H826" s="27"/>
      <c r="I826" s="27"/>
      <c r="J826" s="27"/>
      <c r="K826" s="27"/>
      <c r="L826" s="22">
        <f t="shared" si="5"/>
        <v>0</v>
      </c>
    </row>
    <row r="827">
      <c r="A827" s="27"/>
      <c r="B827" s="27"/>
      <c r="C827" s="27"/>
      <c r="D827" s="27"/>
      <c r="E827" s="22">
        <f t="shared" si="2"/>
        <v>0</v>
      </c>
      <c r="F827" s="23" t="str">
        <f t="shared" si="3"/>
        <v/>
      </c>
      <c r="G827" s="23" t="str">
        <f t="shared" si="4"/>
        <v/>
      </c>
      <c r="H827" s="27"/>
      <c r="I827" s="27"/>
      <c r="J827" s="27"/>
      <c r="K827" s="27"/>
      <c r="L827" s="22">
        <f t="shared" si="5"/>
        <v>0</v>
      </c>
    </row>
    <row r="828">
      <c r="A828" s="27"/>
      <c r="B828" s="27"/>
      <c r="C828" s="27"/>
      <c r="D828" s="27"/>
      <c r="E828" s="22">
        <f t="shared" si="2"/>
        <v>0</v>
      </c>
      <c r="F828" s="23" t="str">
        <f t="shared" si="3"/>
        <v/>
      </c>
      <c r="G828" s="23" t="str">
        <f t="shared" si="4"/>
        <v/>
      </c>
      <c r="H828" s="27"/>
      <c r="I828" s="27"/>
      <c r="J828" s="27"/>
      <c r="K828" s="27"/>
      <c r="L828" s="22">
        <f t="shared" si="5"/>
        <v>0</v>
      </c>
    </row>
    <row r="829">
      <c r="A829" s="27"/>
      <c r="B829" s="27"/>
      <c r="C829" s="27"/>
      <c r="D829" s="27"/>
      <c r="E829" s="22">
        <f t="shared" si="2"/>
        <v>0</v>
      </c>
      <c r="F829" s="23" t="str">
        <f t="shared" si="3"/>
        <v/>
      </c>
      <c r="G829" s="23" t="str">
        <f t="shared" si="4"/>
        <v/>
      </c>
      <c r="H829" s="27"/>
      <c r="I829" s="27"/>
      <c r="J829" s="27"/>
      <c r="K829" s="27"/>
      <c r="L829" s="22">
        <f t="shared" si="5"/>
        <v>0</v>
      </c>
    </row>
    <row r="830">
      <c r="A830" s="27"/>
      <c r="B830" s="27"/>
      <c r="C830" s="27"/>
      <c r="D830" s="27"/>
      <c r="E830" s="22">
        <f t="shared" si="2"/>
        <v>0</v>
      </c>
      <c r="F830" s="23" t="str">
        <f t="shared" si="3"/>
        <v/>
      </c>
      <c r="G830" s="23" t="str">
        <f t="shared" si="4"/>
        <v/>
      </c>
      <c r="H830" s="27"/>
      <c r="I830" s="27"/>
      <c r="J830" s="27"/>
      <c r="K830" s="27"/>
      <c r="L830" s="22">
        <f t="shared" si="5"/>
        <v>0</v>
      </c>
    </row>
    <row r="831">
      <c r="A831" s="27"/>
      <c r="B831" s="27"/>
      <c r="C831" s="27"/>
      <c r="D831" s="27"/>
      <c r="E831" s="22">
        <f t="shared" si="2"/>
        <v>0</v>
      </c>
      <c r="F831" s="23" t="str">
        <f t="shared" si="3"/>
        <v/>
      </c>
      <c r="G831" s="23" t="str">
        <f t="shared" si="4"/>
        <v/>
      </c>
      <c r="H831" s="27"/>
      <c r="I831" s="27"/>
      <c r="J831" s="27"/>
      <c r="K831" s="27"/>
      <c r="L831" s="22">
        <f t="shared" si="5"/>
        <v>0</v>
      </c>
    </row>
    <row r="832">
      <c r="A832" s="27"/>
      <c r="B832" s="27"/>
      <c r="C832" s="27"/>
      <c r="D832" s="27"/>
      <c r="E832" s="22">
        <f t="shared" si="2"/>
        <v>0</v>
      </c>
      <c r="F832" s="23" t="str">
        <f t="shared" si="3"/>
        <v/>
      </c>
      <c r="G832" s="23" t="str">
        <f t="shared" si="4"/>
        <v/>
      </c>
      <c r="H832" s="27"/>
      <c r="I832" s="27"/>
      <c r="J832" s="27"/>
      <c r="K832" s="27"/>
      <c r="L832" s="22">
        <f t="shared" si="5"/>
        <v>0</v>
      </c>
    </row>
    <row r="833">
      <c r="A833" s="27"/>
      <c r="B833" s="27"/>
      <c r="C833" s="27"/>
      <c r="D833" s="27"/>
      <c r="E833" s="22">
        <f t="shared" si="2"/>
        <v>0</v>
      </c>
      <c r="F833" s="23" t="str">
        <f t="shared" si="3"/>
        <v/>
      </c>
      <c r="G833" s="23" t="str">
        <f t="shared" si="4"/>
        <v/>
      </c>
      <c r="H833" s="27"/>
      <c r="I833" s="27"/>
      <c r="J833" s="27"/>
      <c r="K833" s="27"/>
      <c r="L833" s="22">
        <f t="shared" si="5"/>
        <v>0</v>
      </c>
    </row>
    <row r="834">
      <c r="A834" s="27"/>
      <c r="B834" s="27"/>
      <c r="C834" s="27"/>
      <c r="D834" s="27"/>
      <c r="E834" s="22">
        <f t="shared" si="2"/>
        <v>0</v>
      </c>
      <c r="F834" s="23" t="str">
        <f t="shared" si="3"/>
        <v/>
      </c>
      <c r="G834" s="23" t="str">
        <f t="shared" si="4"/>
        <v/>
      </c>
      <c r="H834" s="27"/>
      <c r="I834" s="27"/>
      <c r="J834" s="27"/>
      <c r="K834" s="27"/>
      <c r="L834" s="22">
        <f t="shared" si="5"/>
        <v>0</v>
      </c>
    </row>
    <row r="835">
      <c r="A835" s="27"/>
      <c r="B835" s="27"/>
      <c r="C835" s="27"/>
      <c r="D835" s="27"/>
      <c r="E835" s="22">
        <f t="shared" si="2"/>
        <v>0</v>
      </c>
      <c r="F835" s="23" t="str">
        <f t="shared" si="3"/>
        <v/>
      </c>
      <c r="G835" s="23" t="str">
        <f t="shared" si="4"/>
        <v/>
      </c>
      <c r="H835" s="27"/>
      <c r="I835" s="27"/>
      <c r="J835" s="27"/>
      <c r="K835" s="27"/>
      <c r="L835" s="22">
        <f t="shared" si="5"/>
        <v>0</v>
      </c>
    </row>
    <row r="836">
      <c r="A836" s="27"/>
      <c r="B836" s="27"/>
      <c r="C836" s="27"/>
      <c r="D836" s="27"/>
      <c r="E836" s="22">
        <f t="shared" si="2"/>
        <v>0</v>
      </c>
      <c r="F836" s="23" t="str">
        <f t="shared" si="3"/>
        <v/>
      </c>
      <c r="G836" s="23" t="str">
        <f t="shared" si="4"/>
        <v/>
      </c>
      <c r="H836" s="27"/>
      <c r="I836" s="27"/>
      <c r="J836" s="27"/>
      <c r="K836" s="27"/>
      <c r="L836" s="22">
        <f t="shared" si="5"/>
        <v>0</v>
      </c>
    </row>
    <row r="837">
      <c r="A837" s="27"/>
      <c r="B837" s="27"/>
      <c r="C837" s="27"/>
      <c r="D837" s="27"/>
      <c r="E837" s="22">
        <f t="shared" si="2"/>
        <v>0</v>
      </c>
      <c r="F837" s="23" t="str">
        <f t="shared" si="3"/>
        <v/>
      </c>
      <c r="G837" s="23" t="str">
        <f t="shared" si="4"/>
        <v/>
      </c>
      <c r="H837" s="27"/>
      <c r="I837" s="27"/>
      <c r="J837" s="27"/>
      <c r="K837" s="27"/>
      <c r="L837" s="22">
        <f t="shared" si="5"/>
        <v>0</v>
      </c>
    </row>
    <row r="838">
      <c r="A838" s="27"/>
      <c r="B838" s="27"/>
      <c r="C838" s="27"/>
      <c r="D838" s="27"/>
      <c r="E838" s="22">
        <f t="shared" si="2"/>
        <v>0</v>
      </c>
      <c r="F838" s="23" t="str">
        <f t="shared" si="3"/>
        <v/>
      </c>
      <c r="G838" s="23" t="str">
        <f t="shared" si="4"/>
        <v/>
      </c>
      <c r="H838" s="27"/>
      <c r="I838" s="27"/>
      <c r="J838" s="27"/>
      <c r="K838" s="27"/>
      <c r="L838" s="22">
        <f t="shared" si="5"/>
        <v>0</v>
      </c>
    </row>
    <row r="839">
      <c r="A839" s="27"/>
      <c r="B839" s="27"/>
      <c r="C839" s="27"/>
      <c r="D839" s="27"/>
      <c r="E839" s="22">
        <f t="shared" si="2"/>
        <v>0</v>
      </c>
      <c r="F839" s="23" t="str">
        <f t="shared" si="3"/>
        <v/>
      </c>
      <c r="G839" s="23" t="str">
        <f t="shared" si="4"/>
        <v/>
      </c>
      <c r="H839" s="27"/>
      <c r="I839" s="27"/>
      <c r="J839" s="27"/>
      <c r="K839" s="27"/>
      <c r="L839" s="22">
        <f t="shared" si="5"/>
        <v>0</v>
      </c>
    </row>
    <row r="840">
      <c r="A840" s="27"/>
      <c r="B840" s="27"/>
      <c r="C840" s="27"/>
      <c r="D840" s="27"/>
      <c r="E840" s="22">
        <f t="shared" si="2"/>
        <v>0</v>
      </c>
      <c r="F840" s="23" t="str">
        <f t="shared" si="3"/>
        <v/>
      </c>
      <c r="G840" s="23" t="str">
        <f t="shared" si="4"/>
        <v/>
      </c>
      <c r="H840" s="27"/>
      <c r="I840" s="27"/>
      <c r="J840" s="27"/>
      <c r="K840" s="27"/>
      <c r="L840" s="22">
        <f t="shared" si="5"/>
        <v>0</v>
      </c>
    </row>
    <row r="841">
      <c r="A841" s="27"/>
      <c r="B841" s="27"/>
      <c r="C841" s="27"/>
      <c r="D841" s="27"/>
      <c r="E841" s="22">
        <f t="shared" si="2"/>
        <v>0</v>
      </c>
      <c r="F841" s="23" t="str">
        <f t="shared" si="3"/>
        <v/>
      </c>
      <c r="G841" s="23" t="str">
        <f t="shared" si="4"/>
        <v/>
      </c>
      <c r="H841" s="27"/>
      <c r="I841" s="27"/>
      <c r="J841" s="27"/>
      <c r="K841" s="27"/>
      <c r="L841" s="22">
        <f t="shared" si="5"/>
        <v>0</v>
      </c>
    </row>
    <row r="842">
      <c r="A842" s="27"/>
      <c r="B842" s="27"/>
      <c r="C842" s="27"/>
      <c r="D842" s="27"/>
      <c r="E842" s="22">
        <f t="shared" si="2"/>
        <v>0</v>
      </c>
      <c r="F842" s="23" t="str">
        <f t="shared" si="3"/>
        <v/>
      </c>
      <c r="G842" s="23" t="str">
        <f t="shared" si="4"/>
        <v/>
      </c>
      <c r="H842" s="27"/>
      <c r="I842" s="27"/>
      <c r="J842" s="27"/>
      <c r="K842" s="27"/>
      <c r="L842" s="22">
        <f t="shared" si="5"/>
        <v>0</v>
      </c>
    </row>
    <row r="843">
      <c r="A843" s="27"/>
      <c r="B843" s="27"/>
      <c r="C843" s="27"/>
      <c r="D843" s="27"/>
      <c r="E843" s="22">
        <f t="shared" si="2"/>
        <v>0</v>
      </c>
      <c r="F843" s="23" t="str">
        <f t="shared" si="3"/>
        <v/>
      </c>
      <c r="G843" s="23" t="str">
        <f t="shared" si="4"/>
        <v/>
      </c>
      <c r="H843" s="27"/>
      <c r="I843" s="27"/>
      <c r="J843" s="27"/>
      <c r="K843" s="27"/>
      <c r="L843" s="22">
        <f t="shared" si="5"/>
        <v>0</v>
      </c>
    </row>
    <row r="844">
      <c r="A844" s="27"/>
      <c r="B844" s="27"/>
      <c r="C844" s="27"/>
      <c r="D844" s="27"/>
      <c r="E844" s="22">
        <f t="shared" si="2"/>
        <v>0</v>
      </c>
      <c r="F844" s="23" t="str">
        <f t="shared" si="3"/>
        <v/>
      </c>
      <c r="G844" s="23" t="str">
        <f t="shared" si="4"/>
        <v/>
      </c>
      <c r="H844" s="27"/>
      <c r="I844" s="27"/>
      <c r="J844" s="27"/>
      <c r="K844" s="27"/>
      <c r="L844" s="22">
        <f t="shared" si="5"/>
        <v>0</v>
      </c>
    </row>
    <row r="845">
      <c r="A845" s="27"/>
      <c r="B845" s="27"/>
      <c r="C845" s="27"/>
      <c r="D845" s="27"/>
      <c r="E845" s="22">
        <f t="shared" si="2"/>
        <v>0</v>
      </c>
      <c r="F845" s="23" t="str">
        <f t="shared" si="3"/>
        <v/>
      </c>
      <c r="G845" s="23" t="str">
        <f t="shared" si="4"/>
        <v/>
      </c>
      <c r="H845" s="27"/>
      <c r="I845" s="27"/>
      <c r="J845" s="27"/>
      <c r="K845" s="27"/>
      <c r="L845" s="22">
        <f t="shared" si="5"/>
        <v>0</v>
      </c>
    </row>
    <row r="846">
      <c r="A846" s="27"/>
      <c r="B846" s="27"/>
      <c r="C846" s="27"/>
      <c r="D846" s="27"/>
      <c r="E846" s="22">
        <f t="shared" si="2"/>
        <v>0</v>
      </c>
      <c r="F846" s="23" t="str">
        <f t="shared" si="3"/>
        <v/>
      </c>
      <c r="G846" s="23" t="str">
        <f t="shared" si="4"/>
        <v/>
      </c>
      <c r="H846" s="27"/>
      <c r="I846" s="27"/>
      <c r="J846" s="27"/>
      <c r="K846" s="27"/>
      <c r="L846" s="22">
        <f t="shared" si="5"/>
        <v>0</v>
      </c>
    </row>
    <row r="847">
      <c r="A847" s="27"/>
      <c r="B847" s="27"/>
      <c r="C847" s="27"/>
      <c r="D847" s="27"/>
      <c r="E847" s="22">
        <f t="shared" si="2"/>
        <v>0</v>
      </c>
      <c r="F847" s="23" t="str">
        <f t="shared" si="3"/>
        <v/>
      </c>
      <c r="G847" s="23" t="str">
        <f t="shared" si="4"/>
        <v/>
      </c>
      <c r="H847" s="27"/>
      <c r="I847" s="27"/>
      <c r="J847" s="27"/>
      <c r="K847" s="27"/>
      <c r="L847" s="22">
        <f t="shared" si="5"/>
        <v>0</v>
      </c>
    </row>
    <row r="848">
      <c r="A848" s="27"/>
      <c r="B848" s="27"/>
      <c r="C848" s="27"/>
      <c r="D848" s="27"/>
      <c r="E848" s="22">
        <f t="shared" si="2"/>
        <v>0</v>
      </c>
      <c r="F848" s="23" t="str">
        <f t="shared" si="3"/>
        <v/>
      </c>
      <c r="G848" s="23" t="str">
        <f t="shared" si="4"/>
        <v/>
      </c>
      <c r="H848" s="27"/>
      <c r="I848" s="27"/>
      <c r="J848" s="27"/>
      <c r="K848" s="27"/>
      <c r="L848" s="22">
        <f t="shared" si="5"/>
        <v>0</v>
      </c>
    </row>
    <row r="849">
      <c r="A849" s="27"/>
      <c r="B849" s="27"/>
      <c r="C849" s="27"/>
      <c r="D849" s="27"/>
      <c r="E849" s="22">
        <f t="shared" si="2"/>
        <v>0</v>
      </c>
      <c r="F849" s="23" t="str">
        <f t="shared" si="3"/>
        <v/>
      </c>
      <c r="G849" s="23" t="str">
        <f t="shared" si="4"/>
        <v/>
      </c>
      <c r="H849" s="27"/>
      <c r="I849" s="27"/>
      <c r="J849" s="27"/>
      <c r="K849" s="27"/>
      <c r="L849" s="22">
        <f t="shared" si="5"/>
        <v>0</v>
      </c>
    </row>
    <row r="850">
      <c r="A850" s="27"/>
      <c r="B850" s="27"/>
      <c r="C850" s="27"/>
      <c r="D850" s="27"/>
      <c r="E850" s="22">
        <f t="shared" si="2"/>
        <v>0</v>
      </c>
      <c r="F850" s="23" t="str">
        <f t="shared" si="3"/>
        <v/>
      </c>
      <c r="G850" s="23" t="str">
        <f t="shared" si="4"/>
        <v/>
      </c>
      <c r="H850" s="27"/>
      <c r="I850" s="27"/>
      <c r="J850" s="27"/>
      <c r="K850" s="27"/>
      <c r="L850" s="22">
        <f t="shared" si="5"/>
        <v>0</v>
      </c>
    </row>
    <row r="851">
      <c r="A851" s="27"/>
      <c r="B851" s="27"/>
      <c r="C851" s="27"/>
      <c r="D851" s="27"/>
      <c r="E851" s="22">
        <f t="shared" si="2"/>
        <v>0</v>
      </c>
      <c r="F851" s="23" t="str">
        <f t="shared" si="3"/>
        <v/>
      </c>
      <c r="G851" s="23" t="str">
        <f t="shared" si="4"/>
        <v/>
      </c>
      <c r="H851" s="27"/>
      <c r="I851" s="27"/>
      <c r="J851" s="27"/>
      <c r="K851" s="27"/>
      <c r="L851" s="22">
        <f t="shared" si="5"/>
        <v>0</v>
      </c>
    </row>
    <row r="852">
      <c r="A852" s="27"/>
      <c r="B852" s="27"/>
      <c r="C852" s="27"/>
      <c r="D852" s="27"/>
      <c r="E852" s="22">
        <f t="shared" si="2"/>
        <v>0</v>
      </c>
      <c r="F852" s="23" t="str">
        <f t="shared" si="3"/>
        <v/>
      </c>
      <c r="G852" s="23" t="str">
        <f t="shared" si="4"/>
        <v/>
      </c>
      <c r="H852" s="27"/>
      <c r="I852" s="27"/>
      <c r="J852" s="27"/>
      <c r="K852" s="27"/>
      <c r="L852" s="22">
        <f t="shared" si="5"/>
        <v>0</v>
      </c>
    </row>
    <row r="853">
      <c r="A853" s="27"/>
      <c r="B853" s="27"/>
      <c r="C853" s="27"/>
      <c r="D853" s="27"/>
      <c r="E853" s="22">
        <f t="shared" si="2"/>
        <v>0</v>
      </c>
      <c r="F853" s="23" t="str">
        <f t="shared" si="3"/>
        <v/>
      </c>
      <c r="G853" s="23" t="str">
        <f t="shared" si="4"/>
        <v/>
      </c>
      <c r="H853" s="27"/>
      <c r="I853" s="27"/>
      <c r="J853" s="27"/>
      <c r="K853" s="27"/>
      <c r="L853" s="22">
        <f t="shared" si="5"/>
        <v>0</v>
      </c>
    </row>
    <row r="854">
      <c r="A854" s="27"/>
      <c r="B854" s="27"/>
      <c r="C854" s="27"/>
      <c r="D854" s="27"/>
      <c r="E854" s="22">
        <f t="shared" si="2"/>
        <v>0</v>
      </c>
      <c r="F854" s="23" t="str">
        <f t="shared" si="3"/>
        <v/>
      </c>
      <c r="G854" s="23" t="str">
        <f t="shared" si="4"/>
        <v/>
      </c>
      <c r="H854" s="27"/>
      <c r="I854" s="27"/>
      <c r="J854" s="27"/>
      <c r="K854" s="27"/>
      <c r="L854" s="22">
        <f t="shared" si="5"/>
        <v>0</v>
      </c>
    </row>
    <row r="855">
      <c r="A855" s="27"/>
      <c r="B855" s="27"/>
      <c r="C855" s="27"/>
      <c r="D855" s="27"/>
      <c r="E855" s="22">
        <f t="shared" si="2"/>
        <v>0</v>
      </c>
      <c r="F855" s="23" t="str">
        <f t="shared" si="3"/>
        <v/>
      </c>
      <c r="G855" s="23" t="str">
        <f t="shared" si="4"/>
        <v/>
      </c>
      <c r="H855" s="27"/>
      <c r="I855" s="27"/>
      <c r="J855" s="27"/>
      <c r="K855" s="27"/>
      <c r="L855" s="22">
        <f t="shared" si="5"/>
        <v>0</v>
      </c>
    </row>
    <row r="856">
      <c r="A856" s="27"/>
      <c r="B856" s="27"/>
      <c r="C856" s="27"/>
      <c r="D856" s="27"/>
      <c r="E856" s="22">
        <f t="shared" si="2"/>
        <v>0</v>
      </c>
      <c r="F856" s="23" t="str">
        <f t="shared" si="3"/>
        <v/>
      </c>
      <c r="G856" s="23" t="str">
        <f t="shared" si="4"/>
        <v/>
      </c>
      <c r="H856" s="27"/>
      <c r="I856" s="27"/>
      <c r="J856" s="27"/>
      <c r="K856" s="27"/>
      <c r="L856" s="22">
        <f t="shared" si="5"/>
        <v>0</v>
      </c>
    </row>
    <row r="857">
      <c r="A857" s="27"/>
      <c r="B857" s="27"/>
      <c r="C857" s="27"/>
      <c r="D857" s="27"/>
      <c r="E857" s="22">
        <f t="shared" si="2"/>
        <v>0</v>
      </c>
      <c r="F857" s="23" t="str">
        <f t="shared" si="3"/>
        <v/>
      </c>
      <c r="G857" s="23" t="str">
        <f t="shared" si="4"/>
        <v/>
      </c>
      <c r="H857" s="27"/>
      <c r="I857" s="27"/>
      <c r="J857" s="27"/>
      <c r="K857" s="27"/>
      <c r="L857" s="22">
        <f t="shared" si="5"/>
        <v>0</v>
      </c>
    </row>
    <row r="858">
      <c r="A858" s="27"/>
      <c r="B858" s="27"/>
      <c r="C858" s="27"/>
      <c r="D858" s="27"/>
      <c r="E858" s="22">
        <f t="shared" si="2"/>
        <v>0</v>
      </c>
      <c r="F858" s="23" t="str">
        <f t="shared" si="3"/>
        <v/>
      </c>
      <c r="G858" s="23" t="str">
        <f t="shared" si="4"/>
        <v/>
      </c>
      <c r="H858" s="27"/>
      <c r="I858" s="27"/>
      <c r="J858" s="27"/>
      <c r="K858" s="27"/>
      <c r="L858" s="22">
        <f t="shared" si="5"/>
        <v>0</v>
      </c>
    </row>
    <row r="859">
      <c r="A859" s="27"/>
      <c r="B859" s="27"/>
      <c r="C859" s="27"/>
      <c r="D859" s="27"/>
      <c r="E859" s="22">
        <f t="shared" si="2"/>
        <v>0</v>
      </c>
      <c r="F859" s="23" t="str">
        <f t="shared" si="3"/>
        <v/>
      </c>
      <c r="G859" s="23" t="str">
        <f t="shared" si="4"/>
        <v/>
      </c>
      <c r="H859" s="27"/>
      <c r="I859" s="27"/>
      <c r="J859" s="27"/>
      <c r="K859" s="27"/>
      <c r="L859" s="22">
        <f t="shared" si="5"/>
        <v>0</v>
      </c>
    </row>
    <row r="860">
      <c r="A860" s="27"/>
      <c r="B860" s="27"/>
      <c r="C860" s="27"/>
      <c r="D860" s="27"/>
      <c r="E860" s="22">
        <f t="shared" si="2"/>
        <v>0</v>
      </c>
      <c r="F860" s="23" t="str">
        <f t="shared" si="3"/>
        <v/>
      </c>
      <c r="G860" s="23" t="str">
        <f t="shared" si="4"/>
        <v/>
      </c>
      <c r="H860" s="27"/>
      <c r="I860" s="27"/>
      <c r="J860" s="27"/>
      <c r="K860" s="27"/>
      <c r="L860" s="22">
        <f t="shared" si="5"/>
        <v>0</v>
      </c>
    </row>
    <row r="861">
      <c r="A861" s="27"/>
      <c r="B861" s="27"/>
      <c r="C861" s="27"/>
      <c r="D861" s="27"/>
      <c r="E861" s="22">
        <f t="shared" si="2"/>
        <v>0</v>
      </c>
      <c r="F861" s="23" t="str">
        <f t="shared" si="3"/>
        <v/>
      </c>
      <c r="G861" s="23" t="str">
        <f t="shared" si="4"/>
        <v/>
      </c>
      <c r="H861" s="27"/>
      <c r="I861" s="27"/>
      <c r="J861" s="27"/>
      <c r="K861" s="27"/>
      <c r="L861" s="22">
        <f t="shared" si="5"/>
        <v>0</v>
      </c>
    </row>
    <row r="862">
      <c r="A862" s="27"/>
      <c r="B862" s="27"/>
      <c r="C862" s="27"/>
      <c r="D862" s="27"/>
      <c r="E862" s="22">
        <f t="shared" si="2"/>
        <v>0</v>
      </c>
      <c r="F862" s="23" t="str">
        <f t="shared" si="3"/>
        <v/>
      </c>
      <c r="G862" s="23" t="str">
        <f t="shared" si="4"/>
        <v/>
      </c>
      <c r="H862" s="27"/>
      <c r="I862" s="27"/>
      <c r="J862" s="27"/>
      <c r="K862" s="27"/>
      <c r="L862" s="22">
        <f t="shared" si="5"/>
        <v>0</v>
      </c>
    </row>
    <row r="863">
      <c r="A863" s="27"/>
      <c r="B863" s="27"/>
      <c r="C863" s="27"/>
      <c r="D863" s="27"/>
      <c r="E863" s="22">
        <f t="shared" si="2"/>
        <v>0</v>
      </c>
      <c r="F863" s="23" t="str">
        <f t="shared" si="3"/>
        <v/>
      </c>
      <c r="G863" s="23" t="str">
        <f t="shared" si="4"/>
        <v/>
      </c>
      <c r="H863" s="27"/>
      <c r="I863" s="27"/>
      <c r="J863" s="27"/>
      <c r="K863" s="27"/>
      <c r="L863" s="22">
        <f t="shared" si="5"/>
        <v>0</v>
      </c>
    </row>
    <row r="864">
      <c r="A864" s="27"/>
      <c r="B864" s="27"/>
      <c r="C864" s="27"/>
      <c r="D864" s="27"/>
      <c r="E864" s="22">
        <f t="shared" si="2"/>
        <v>0</v>
      </c>
      <c r="F864" s="23" t="str">
        <f t="shared" si="3"/>
        <v/>
      </c>
      <c r="G864" s="23" t="str">
        <f t="shared" si="4"/>
        <v/>
      </c>
      <c r="H864" s="27"/>
      <c r="I864" s="27"/>
      <c r="J864" s="27"/>
      <c r="K864" s="27"/>
      <c r="L864" s="22">
        <f t="shared" si="5"/>
        <v>0</v>
      </c>
    </row>
    <row r="865">
      <c r="A865" s="27"/>
      <c r="B865" s="27"/>
      <c r="C865" s="27"/>
      <c r="D865" s="27"/>
      <c r="E865" s="22">
        <f t="shared" si="2"/>
        <v>0</v>
      </c>
      <c r="F865" s="23" t="str">
        <f t="shared" si="3"/>
        <v/>
      </c>
      <c r="G865" s="23" t="str">
        <f t="shared" si="4"/>
        <v/>
      </c>
      <c r="H865" s="27"/>
      <c r="I865" s="27"/>
      <c r="J865" s="27"/>
      <c r="K865" s="27"/>
      <c r="L865" s="22">
        <f t="shared" si="5"/>
        <v>0</v>
      </c>
    </row>
    <row r="866">
      <c r="A866" s="27"/>
      <c r="B866" s="27"/>
      <c r="C866" s="27"/>
      <c r="D866" s="27"/>
      <c r="E866" s="22">
        <f t="shared" si="2"/>
        <v>0</v>
      </c>
      <c r="F866" s="23" t="str">
        <f t="shared" si="3"/>
        <v/>
      </c>
      <c r="G866" s="23" t="str">
        <f t="shared" si="4"/>
        <v/>
      </c>
      <c r="H866" s="27"/>
      <c r="I866" s="27"/>
      <c r="J866" s="27"/>
      <c r="K866" s="27"/>
      <c r="L866" s="22">
        <f t="shared" si="5"/>
        <v>0</v>
      </c>
    </row>
    <row r="867">
      <c r="A867" s="27"/>
      <c r="B867" s="27"/>
      <c r="C867" s="27"/>
      <c r="D867" s="27"/>
      <c r="E867" s="22">
        <f t="shared" si="2"/>
        <v>0</v>
      </c>
      <c r="F867" s="23" t="str">
        <f t="shared" si="3"/>
        <v/>
      </c>
      <c r="G867" s="23" t="str">
        <f t="shared" si="4"/>
        <v/>
      </c>
      <c r="H867" s="27"/>
      <c r="I867" s="27"/>
      <c r="J867" s="27"/>
      <c r="K867" s="27"/>
      <c r="L867" s="22">
        <f t="shared" si="5"/>
        <v>0</v>
      </c>
    </row>
    <row r="868">
      <c r="A868" s="27"/>
      <c r="B868" s="27"/>
      <c r="C868" s="27"/>
      <c r="D868" s="27"/>
      <c r="E868" s="22">
        <f t="shared" si="2"/>
        <v>0</v>
      </c>
      <c r="F868" s="23" t="str">
        <f t="shared" si="3"/>
        <v/>
      </c>
      <c r="G868" s="23" t="str">
        <f t="shared" si="4"/>
        <v/>
      </c>
      <c r="H868" s="27"/>
      <c r="I868" s="27"/>
      <c r="J868" s="27"/>
      <c r="K868" s="27"/>
      <c r="L868" s="22">
        <f t="shared" si="5"/>
        <v>0</v>
      </c>
    </row>
    <row r="869">
      <c r="A869" s="27"/>
      <c r="B869" s="27"/>
      <c r="C869" s="27"/>
      <c r="D869" s="27"/>
      <c r="E869" s="22">
        <f t="shared" si="2"/>
        <v>0</v>
      </c>
      <c r="F869" s="23" t="str">
        <f t="shared" si="3"/>
        <v/>
      </c>
      <c r="G869" s="23" t="str">
        <f t="shared" si="4"/>
        <v/>
      </c>
      <c r="H869" s="27"/>
      <c r="I869" s="27"/>
      <c r="J869" s="27"/>
      <c r="K869" s="27"/>
      <c r="L869" s="22">
        <f t="shared" si="5"/>
        <v>0</v>
      </c>
    </row>
    <row r="870">
      <c r="A870" s="27"/>
      <c r="B870" s="27"/>
      <c r="C870" s="27"/>
      <c r="D870" s="27"/>
      <c r="E870" s="22">
        <f t="shared" si="2"/>
        <v>0</v>
      </c>
      <c r="F870" s="23" t="str">
        <f t="shared" si="3"/>
        <v/>
      </c>
      <c r="G870" s="23" t="str">
        <f t="shared" si="4"/>
        <v/>
      </c>
      <c r="H870" s="27"/>
      <c r="I870" s="27"/>
      <c r="J870" s="27"/>
      <c r="K870" s="27"/>
      <c r="L870" s="22">
        <f t="shared" si="5"/>
        <v>0</v>
      </c>
    </row>
    <row r="871">
      <c r="A871" s="27"/>
      <c r="B871" s="27"/>
      <c r="C871" s="27"/>
      <c r="D871" s="27"/>
      <c r="E871" s="22">
        <f t="shared" si="2"/>
        <v>0</v>
      </c>
      <c r="F871" s="23" t="str">
        <f t="shared" si="3"/>
        <v/>
      </c>
      <c r="G871" s="23" t="str">
        <f t="shared" si="4"/>
        <v/>
      </c>
      <c r="H871" s="27"/>
      <c r="I871" s="27"/>
      <c r="J871" s="27"/>
      <c r="K871" s="27"/>
      <c r="L871" s="22">
        <f t="shared" si="5"/>
        <v>0</v>
      </c>
    </row>
    <row r="872">
      <c r="A872" s="27"/>
      <c r="B872" s="27"/>
      <c r="C872" s="27"/>
      <c r="D872" s="27"/>
      <c r="E872" s="22">
        <f t="shared" si="2"/>
        <v>0</v>
      </c>
      <c r="F872" s="23" t="str">
        <f t="shared" si="3"/>
        <v/>
      </c>
      <c r="G872" s="23" t="str">
        <f t="shared" si="4"/>
        <v/>
      </c>
      <c r="H872" s="27"/>
      <c r="I872" s="27"/>
      <c r="J872" s="27"/>
      <c r="K872" s="27"/>
      <c r="L872" s="22">
        <f t="shared" si="5"/>
        <v>0</v>
      </c>
    </row>
    <row r="873">
      <c r="A873" s="27"/>
      <c r="B873" s="27"/>
      <c r="C873" s="27"/>
      <c r="D873" s="27"/>
      <c r="E873" s="22">
        <f t="shared" si="2"/>
        <v>0</v>
      </c>
      <c r="F873" s="23" t="str">
        <f t="shared" si="3"/>
        <v/>
      </c>
      <c r="G873" s="23" t="str">
        <f t="shared" si="4"/>
        <v/>
      </c>
      <c r="H873" s="27"/>
      <c r="I873" s="27"/>
      <c r="J873" s="27"/>
      <c r="K873" s="27"/>
      <c r="L873" s="22">
        <f t="shared" si="5"/>
        <v>0</v>
      </c>
    </row>
    <row r="874">
      <c r="A874" s="27"/>
      <c r="B874" s="27"/>
      <c r="C874" s="27"/>
      <c r="D874" s="27"/>
      <c r="E874" s="22">
        <f t="shared" si="2"/>
        <v>0</v>
      </c>
      <c r="F874" s="23" t="str">
        <f t="shared" si="3"/>
        <v/>
      </c>
      <c r="G874" s="23" t="str">
        <f t="shared" si="4"/>
        <v/>
      </c>
      <c r="H874" s="27"/>
      <c r="I874" s="27"/>
      <c r="J874" s="27"/>
      <c r="K874" s="27"/>
      <c r="L874" s="22">
        <f t="shared" si="5"/>
        <v>0</v>
      </c>
    </row>
    <row r="875">
      <c r="A875" s="27"/>
      <c r="B875" s="27"/>
      <c r="C875" s="27"/>
      <c r="D875" s="27"/>
      <c r="E875" s="22">
        <f t="shared" si="2"/>
        <v>0</v>
      </c>
      <c r="F875" s="23" t="str">
        <f t="shared" si="3"/>
        <v/>
      </c>
      <c r="G875" s="23" t="str">
        <f t="shared" si="4"/>
        <v/>
      </c>
      <c r="H875" s="27"/>
      <c r="I875" s="27"/>
      <c r="J875" s="27"/>
      <c r="K875" s="27"/>
      <c r="L875" s="22">
        <f t="shared" si="5"/>
        <v>0</v>
      </c>
    </row>
    <row r="876">
      <c r="A876" s="27"/>
      <c r="B876" s="27"/>
      <c r="C876" s="27"/>
      <c r="D876" s="27"/>
      <c r="E876" s="22">
        <f t="shared" si="2"/>
        <v>0</v>
      </c>
      <c r="F876" s="23" t="str">
        <f t="shared" si="3"/>
        <v/>
      </c>
      <c r="G876" s="23" t="str">
        <f t="shared" si="4"/>
        <v/>
      </c>
      <c r="H876" s="27"/>
      <c r="I876" s="27"/>
      <c r="J876" s="27"/>
      <c r="K876" s="27"/>
      <c r="L876" s="22">
        <f t="shared" si="5"/>
        <v>0</v>
      </c>
    </row>
    <row r="877">
      <c r="A877" s="27"/>
      <c r="B877" s="27"/>
      <c r="C877" s="27"/>
      <c r="D877" s="27"/>
      <c r="E877" s="22">
        <f t="shared" si="2"/>
        <v>0</v>
      </c>
      <c r="F877" s="23" t="str">
        <f t="shared" si="3"/>
        <v/>
      </c>
      <c r="G877" s="23" t="str">
        <f t="shared" si="4"/>
        <v/>
      </c>
      <c r="H877" s="27"/>
      <c r="I877" s="27"/>
      <c r="J877" s="27"/>
      <c r="K877" s="27"/>
      <c r="L877" s="22">
        <f t="shared" si="5"/>
        <v>0</v>
      </c>
    </row>
    <row r="878">
      <c r="A878" s="27"/>
      <c r="B878" s="27"/>
      <c r="C878" s="27"/>
      <c r="D878" s="27"/>
      <c r="E878" s="22">
        <f t="shared" si="2"/>
        <v>0</v>
      </c>
      <c r="F878" s="23" t="str">
        <f t="shared" si="3"/>
        <v/>
      </c>
      <c r="G878" s="23" t="str">
        <f t="shared" si="4"/>
        <v/>
      </c>
      <c r="H878" s="27"/>
      <c r="I878" s="27"/>
      <c r="J878" s="27"/>
      <c r="K878" s="27"/>
      <c r="L878" s="22">
        <f t="shared" si="5"/>
        <v>0</v>
      </c>
    </row>
    <row r="879">
      <c r="A879" s="27"/>
      <c r="B879" s="27"/>
      <c r="C879" s="27"/>
      <c r="D879" s="27"/>
      <c r="E879" s="22">
        <f t="shared" si="2"/>
        <v>0</v>
      </c>
      <c r="F879" s="23" t="str">
        <f t="shared" si="3"/>
        <v/>
      </c>
      <c r="G879" s="23" t="str">
        <f t="shared" si="4"/>
        <v/>
      </c>
      <c r="H879" s="27"/>
      <c r="I879" s="27"/>
      <c r="J879" s="27"/>
      <c r="K879" s="27"/>
      <c r="L879" s="22">
        <f t="shared" si="5"/>
        <v>0</v>
      </c>
    </row>
    <row r="880">
      <c r="A880" s="27"/>
      <c r="B880" s="27"/>
      <c r="C880" s="27"/>
      <c r="D880" s="27"/>
      <c r="E880" s="22">
        <f t="shared" si="2"/>
        <v>0</v>
      </c>
      <c r="F880" s="23" t="str">
        <f t="shared" si="3"/>
        <v/>
      </c>
      <c r="G880" s="23" t="str">
        <f t="shared" si="4"/>
        <v/>
      </c>
      <c r="H880" s="27"/>
      <c r="I880" s="27"/>
      <c r="J880" s="27"/>
      <c r="K880" s="27"/>
      <c r="L880" s="22">
        <f t="shared" si="5"/>
        <v>0</v>
      </c>
    </row>
    <row r="881">
      <c r="A881" s="27"/>
      <c r="B881" s="27"/>
      <c r="C881" s="27"/>
      <c r="D881" s="27"/>
      <c r="E881" s="22">
        <f t="shared" si="2"/>
        <v>0</v>
      </c>
      <c r="F881" s="23" t="str">
        <f t="shared" si="3"/>
        <v/>
      </c>
      <c r="G881" s="23" t="str">
        <f t="shared" si="4"/>
        <v/>
      </c>
      <c r="H881" s="27"/>
      <c r="I881" s="27"/>
      <c r="J881" s="27"/>
      <c r="K881" s="27"/>
      <c r="L881" s="22">
        <f t="shared" si="5"/>
        <v>0</v>
      </c>
    </row>
    <row r="882">
      <c r="A882" s="27"/>
      <c r="B882" s="27"/>
      <c r="C882" s="27"/>
      <c r="D882" s="27"/>
      <c r="E882" s="22">
        <f t="shared" si="2"/>
        <v>0</v>
      </c>
      <c r="F882" s="23" t="str">
        <f t="shared" si="3"/>
        <v/>
      </c>
      <c r="G882" s="23" t="str">
        <f t="shared" si="4"/>
        <v/>
      </c>
      <c r="H882" s="27"/>
      <c r="I882" s="27"/>
      <c r="J882" s="27"/>
      <c r="K882" s="27"/>
      <c r="L882" s="22">
        <f t="shared" si="5"/>
        <v>0</v>
      </c>
    </row>
    <row r="883">
      <c r="A883" s="27"/>
      <c r="B883" s="27"/>
      <c r="C883" s="27"/>
      <c r="D883" s="27"/>
      <c r="E883" s="22">
        <f t="shared" si="2"/>
        <v>0</v>
      </c>
      <c r="F883" s="23" t="str">
        <f t="shared" si="3"/>
        <v/>
      </c>
      <c r="G883" s="23" t="str">
        <f t="shared" si="4"/>
        <v/>
      </c>
      <c r="H883" s="27"/>
      <c r="I883" s="27"/>
      <c r="J883" s="27"/>
      <c r="K883" s="27"/>
      <c r="L883" s="22">
        <f t="shared" si="5"/>
        <v>0</v>
      </c>
    </row>
    <row r="884">
      <c r="A884" s="27"/>
      <c r="B884" s="27"/>
      <c r="C884" s="27"/>
      <c r="D884" s="27"/>
      <c r="E884" s="22">
        <f t="shared" si="2"/>
        <v>0</v>
      </c>
      <c r="F884" s="23" t="str">
        <f t="shared" si="3"/>
        <v/>
      </c>
      <c r="G884" s="23" t="str">
        <f t="shared" si="4"/>
        <v/>
      </c>
      <c r="H884" s="27"/>
      <c r="I884" s="27"/>
      <c r="J884" s="27"/>
      <c r="K884" s="27"/>
      <c r="L884" s="22">
        <f t="shared" si="5"/>
        <v>0</v>
      </c>
    </row>
    <row r="885">
      <c r="A885" s="27"/>
      <c r="B885" s="27"/>
      <c r="C885" s="27"/>
      <c r="D885" s="27"/>
      <c r="E885" s="22">
        <f t="shared" si="2"/>
        <v>0</v>
      </c>
      <c r="F885" s="23" t="str">
        <f t="shared" si="3"/>
        <v/>
      </c>
      <c r="G885" s="23" t="str">
        <f t="shared" si="4"/>
        <v/>
      </c>
      <c r="H885" s="27"/>
      <c r="I885" s="27"/>
      <c r="J885" s="27"/>
      <c r="K885" s="27"/>
      <c r="L885" s="22">
        <f t="shared" si="5"/>
        <v>0</v>
      </c>
    </row>
    <row r="886">
      <c r="A886" s="27"/>
      <c r="B886" s="27"/>
      <c r="C886" s="27"/>
      <c r="D886" s="27"/>
      <c r="E886" s="22">
        <f t="shared" si="2"/>
        <v>0</v>
      </c>
      <c r="F886" s="23" t="str">
        <f t="shared" si="3"/>
        <v/>
      </c>
      <c r="G886" s="23" t="str">
        <f t="shared" si="4"/>
        <v/>
      </c>
      <c r="H886" s="27"/>
      <c r="I886" s="27"/>
      <c r="J886" s="27"/>
      <c r="K886" s="27"/>
      <c r="L886" s="22">
        <f t="shared" si="5"/>
        <v>0</v>
      </c>
    </row>
    <row r="887">
      <c r="A887" s="27"/>
      <c r="B887" s="27"/>
      <c r="C887" s="27"/>
      <c r="D887" s="27"/>
      <c r="E887" s="22">
        <f t="shared" si="2"/>
        <v>0</v>
      </c>
      <c r="F887" s="23" t="str">
        <f t="shared" si="3"/>
        <v/>
      </c>
      <c r="G887" s="23" t="str">
        <f t="shared" si="4"/>
        <v/>
      </c>
      <c r="H887" s="27"/>
      <c r="I887" s="27"/>
      <c r="J887" s="27"/>
      <c r="K887" s="27"/>
      <c r="L887" s="22">
        <f t="shared" si="5"/>
        <v>0</v>
      </c>
    </row>
    <row r="888">
      <c r="A888" s="27"/>
      <c r="B888" s="27"/>
      <c r="C888" s="27"/>
      <c r="D888" s="27"/>
      <c r="E888" s="22">
        <f t="shared" si="2"/>
        <v>0</v>
      </c>
      <c r="F888" s="23" t="str">
        <f t="shared" si="3"/>
        <v/>
      </c>
      <c r="G888" s="23" t="str">
        <f t="shared" si="4"/>
        <v/>
      </c>
      <c r="H888" s="27"/>
      <c r="I888" s="27"/>
      <c r="J888" s="27"/>
      <c r="K888" s="27"/>
      <c r="L888" s="22">
        <f t="shared" si="5"/>
        <v>0</v>
      </c>
    </row>
    <row r="889">
      <c r="A889" s="27"/>
      <c r="B889" s="27"/>
      <c r="C889" s="27"/>
      <c r="D889" s="27"/>
      <c r="E889" s="22">
        <f t="shared" si="2"/>
        <v>0</v>
      </c>
      <c r="F889" s="23" t="str">
        <f t="shared" si="3"/>
        <v/>
      </c>
      <c r="G889" s="23" t="str">
        <f t="shared" si="4"/>
        <v/>
      </c>
      <c r="H889" s="27"/>
      <c r="I889" s="27"/>
      <c r="J889" s="27"/>
      <c r="K889" s="27"/>
      <c r="L889" s="22">
        <f t="shared" si="5"/>
        <v>0</v>
      </c>
    </row>
    <row r="890">
      <c r="A890" s="27"/>
      <c r="B890" s="27"/>
      <c r="C890" s="27"/>
      <c r="D890" s="27"/>
      <c r="E890" s="22">
        <f t="shared" si="2"/>
        <v>0</v>
      </c>
      <c r="F890" s="23" t="str">
        <f t="shared" si="3"/>
        <v/>
      </c>
      <c r="G890" s="23" t="str">
        <f t="shared" si="4"/>
        <v/>
      </c>
      <c r="H890" s="27"/>
      <c r="I890" s="27"/>
      <c r="J890" s="27"/>
      <c r="K890" s="27"/>
      <c r="L890" s="22">
        <f t="shared" si="5"/>
        <v>0</v>
      </c>
    </row>
    <row r="891">
      <c r="A891" s="27"/>
      <c r="B891" s="27"/>
      <c r="C891" s="27"/>
      <c r="D891" s="27"/>
      <c r="E891" s="22">
        <f t="shared" si="2"/>
        <v>0</v>
      </c>
      <c r="F891" s="23" t="str">
        <f t="shared" si="3"/>
        <v/>
      </c>
      <c r="G891" s="23" t="str">
        <f t="shared" si="4"/>
        <v/>
      </c>
      <c r="H891" s="27"/>
      <c r="I891" s="27"/>
      <c r="J891" s="27"/>
      <c r="K891" s="27"/>
      <c r="L891" s="22">
        <f t="shared" si="5"/>
        <v>0</v>
      </c>
    </row>
    <row r="892">
      <c r="A892" s="27"/>
      <c r="B892" s="27"/>
      <c r="C892" s="27"/>
      <c r="D892" s="27"/>
      <c r="E892" s="22">
        <f t="shared" si="2"/>
        <v>0</v>
      </c>
      <c r="F892" s="23" t="str">
        <f t="shared" si="3"/>
        <v/>
      </c>
      <c r="G892" s="23" t="str">
        <f t="shared" si="4"/>
        <v/>
      </c>
      <c r="H892" s="27"/>
      <c r="I892" s="27"/>
      <c r="J892" s="27"/>
      <c r="K892" s="27"/>
      <c r="L892" s="22">
        <f t="shared" si="5"/>
        <v>0</v>
      </c>
    </row>
    <row r="893">
      <c r="A893" s="27"/>
      <c r="B893" s="27"/>
      <c r="C893" s="27"/>
      <c r="D893" s="27"/>
      <c r="E893" s="22">
        <f t="shared" si="2"/>
        <v>0</v>
      </c>
      <c r="F893" s="23" t="str">
        <f t="shared" si="3"/>
        <v/>
      </c>
      <c r="G893" s="23" t="str">
        <f t="shared" si="4"/>
        <v/>
      </c>
      <c r="H893" s="27"/>
      <c r="I893" s="27"/>
      <c r="J893" s="27"/>
      <c r="K893" s="27"/>
      <c r="L893" s="22">
        <f t="shared" si="5"/>
        <v>0</v>
      </c>
    </row>
    <row r="894">
      <c r="A894" s="27"/>
      <c r="B894" s="27"/>
      <c r="C894" s="27"/>
      <c r="D894" s="27"/>
      <c r="E894" s="22">
        <f t="shared" si="2"/>
        <v>0</v>
      </c>
      <c r="F894" s="23" t="str">
        <f t="shared" si="3"/>
        <v/>
      </c>
      <c r="G894" s="23" t="str">
        <f t="shared" si="4"/>
        <v/>
      </c>
      <c r="H894" s="27"/>
      <c r="I894" s="27"/>
      <c r="J894" s="27"/>
      <c r="K894" s="27"/>
      <c r="L894" s="22">
        <f t="shared" si="5"/>
        <v>0</v>
      </c>
    </row>
    <row r="895">
      <c r="A895" s="27"/>
      <c r="B895" s="27"/>
      <c r="C895" s="27"/>
      <c r="D895" s="27"/>
      <c r="E895" s="22">
        <f t="shared" si="2"/>
        <v>0</v>
      </c>
      <c r="F895" s="23" t="str">
        <f t="shared" si="3"/>
        <v/>
      </c>
      <c r="G895" s="23" t="str">
        <f t="shared" si="4"/>
        <v/>
      </c>
      <c r="H895" s="27"/>
      <c r="I895" s="27"/>
      <c r="J895" s="27"/>
      <c r="K895" s="27"/>
      <c r="L895" s="22">
        <f t="shared" si="5"/>
        <v>0</v>
      </c>
    </row>
    <row r="896">
      <c r="A896" s="27"/>
      <c r="B896" s="27"/>
      <c r="C896" s="27"/>
      <c r="D896" s="27"/>
      <c r="E896" s="22">
        <f t="shared" si="2"/>
        <v>0</v>
      </c>
      <c r="F896" s="23" t="str">
        <f t="shared" si="3"/>
        <v/>
      </c>
      <c r="G896" s="23" t="str">
        <f t="shared" si="4"/>
        <v/>
      </c>
      <c r="H896" s="27"/>
      <c r="I896" s="27"/>
      <c r="J896" s="27"/>
      <c r="K896" s="27"/>
      <c r="L896" s="22">
        <f t="shared" si="5"/>
        <v>0</v>
      </c>
    </row>
    <row r="897">
      <c r="A897" s="27"/>
      <c r="B897" s="27"/>
      <c r="C897" s="27"/>
      <c r="D897" s="27"/>
      <c r="E897" s="22">
        <f t="shared" si="2"/>
        <v>0</v>
      </c>
      <c r="F897" s="23" t="str">
        <f t="shared" si="3"/>
        <v/>
      </c>
      <c r="G897" s="23" t="str">
        <f t="shared" si="4"/>
        <v/>
      </c>
      <c r="H897" s="27"/>
      <c r="I897" s="27"/>
      <c r="J897" s="27"/>
      <c r="K897" s="27"/>
      <c r="L897" s="22">
        <f t="shared" si="5"/>
        <v>0</v>
      </c>
    </row>
    <row r="898">
      <c r="A898" s="27"/>
      <c r="B898" s="27"/>
      <c r="C898" s="27"/>
      <c r="D898" s="27"/>
      <c r="E898" s="22">
        <f t="shared" si="2"/>
        <v>0</v>
      </c>
      <c r="F898" s="23" t="str">
        <f t="shared" si="3"/>
        <v/>
      </c>
      <c r="G898" s="23" t="str">
        <f t="shared" si="4"/>
        <v/>
      </c>
      <c r="H898" s="27"/>
      <c r="I898" s="27"/>
      <c r="J898" s="27"/>
      <c r="K898" s="27"/>
      <c r="L898" s="22">
        <f t="shared" si="5"/>
        <v>0</v>
      </c>
    </row>
    <row r="899">
      <c r="A899" s="27"/>
      <c r="B899" s="27"/>
      <c r="C899" s="27"/>
      <c r="D899" s="27"/>
      <c r="E899" s="22">
        <f t="shared" si="2"/>
        <v>0</v>
      </c>
      <c r="F899" s="23" t="str">
        <f t="shared" si="3"/>
        <v/>
      </c>
      <c r="G899" s="23" t="str">
        <f t="shared" si="4"/>
        <v/>
      </c>
      <c r="H899" s="27"/>
      <c r="I899" s="27"/>
      <c r="J899" s="27"/>
      <c r="K899" s="27"/>
      <c r="L899" s="22">
        <f t="shared" si="5"/>
        <v>0</v>
      </c>
    </row>
    <row r="900">
      <c r="A900" s="27"/>
      <c r="B900" s="27"/>
      <c r="C900" s="27"/>
      <c r="D900" s="27"/>
      <c r="E900" s="22">
        <f t="shared" si="2"/>
        <v>0</v>
      </c>
      <c r="F900" s="23" t="str">
        <f t="shared" si="3"/>
        <v/>
      </c>
      <c r="G900" s="23" t="str">
        <f t="shared" si="4"/>
        <v/>
      </c>
      <c r="H900" s="27"/>
      <c r="I900" s="27"/>
      <c r="J900" s="27"/>
      <c r="K900" s="27"/>
      <c r="L900" s="22">
        <f t="shared" si="5"/>
        <v>0</v>
      </c>
    </row>
    <row r="901">
      <c r="A901" s="27"/>
      <c r="B901" s="27"/>
      <c r="C901" s="27"/>
      <c r="D901" s="27"/>
      <c r="E901" s="22">
        <f t="shared" si="2"/>
        <v>0</v>
      </c>
      <c r="F901" s="23" t="str">
        <f t="shared" si="3"/>
        <v/>
      </c>
      <c r="G901" s="23" t="str">
        <f t="shared" si="4"/>
        <v/>
      </c>
      <c r="H901" s="27"/>
      <c r="I901" s="27"/>
      <c r="J901" s="27"/>
      <c r="K901" s="27"/>
      <c r="L901" s="22">
        <f t="shared" si="5"/>
        <v>0</v>
      </c>
    </row>
    <row r="902">
      <c r="A902" s="27"/>
      <c r="B902" s="27"/>
      <c r="C902" s="27"/>
      <c r="D902" s="27"/>
      <c r="E902" s="22">
        <f t="shared" si="2"/>
        <v>0</v>
      </c>
      <c r="F902" s="23" t="str">
        <f t="shared" si="3"/>
        <v/>
      </c>
      <c r="G902" s="23" t="str">
        <f t="shared" si="4"/>
        <v/>
      </c>
      <c r="H902" s="27"/>
      <c r="I902" s="27"/>
      <c r="J902" s="27"/>
      <c r="K902" s="27"/>
      <c r="L902" s="22">
        <f t="shared" si="5"/>
        <v>0</v>
      </c>
    </row>
    <row r="903">
      <c r="A903" s="27"/>
      <c r="B903" s="27"/>
      <c r="C903" s="27"/>
      <c r="D903" s="27"/>
      <c r="E903" s="22">
        <f t="shared" si="2"/>
        <v>0</v>
      </c>
      <c r="F903" s="23" t="str">
        <f t="shared" si="3"/>
        <v/>
      </c>
      <c r="G903" s="23" t="str">
        <f t="shared" si="4"/>
        <v/>
      </c>
      <c r="H903" s="27"/>
      <c r="I903" s="27"/>
      <c r="J903" s="27"/>
      <c r="K903" s="27"/>
      <c r="L903" s="22">
        <f t="shared" si="5"/>
        <v>0</v>
      </c>
    </row>
    <row r="904">
      <c r="A904" s="27"/>
      <c r="B904" s="27"/>
      <c r="C904" s="27"/>
      <c r="D904" s="27"/>
      <c r="E904" s="22">
        <f t="shared" si="2"/>
        <v>0</v>
      </c>
      <c r="F904" s="23" t="str">
        <f t="shared" si="3"/>
        <v/>
      </c>
      <c r="G904" s="23" t="str">
        <f t="shared" si="4"/>
        <v/>
      </c>
      <c r="H904" s="27"/>
      <c r="I904" s="27"/>
      <c r="J904" s="27"/>
      <c r="K904" s="27"/>
      <c r="L904" s="22">
        <f t="shared" si="5"/>
        <v>0</v>
      </c>
    </row>
    <row r="905">
      <c r="A905" s="27"/>
      <c r="B905" s="27"/>
      <c r="C905" s="27"/>
      <c r="D905" s="27"/>
      <c r="E905" s="22">
        <f t="shared" si="2"/>
        <v>0</v>
      </c>
      <c r="F905" s="23" t="str">
        <f t="shared" si="3"/>
        <v/>
      </c>
      <c r="G905" s="23" t="str">
        <f t="shared" si="4"/>
        <v/>
      </c>
      <c r="H905" s="27"/>
      <c r="I905" s="27"/>
      <c r="J905" s="27"/>
      <c r="K905" s="27"/>
      <c r="L905" s="22">
        <f t="shared" si="5"/>
        <v>0</v>
      </c>
    </row>
    <row r="906">
      <c r="A906" s="27"/>
      <c r="B906" s="27"/>
      <c r="C906" s="27"/>
      <c r="D906" s="27"/>
      <c r="E906" s="22">
        <f t="shared" si="2"/>
        <v>0</v>
      </c>
      <c r="F906" s="23" t="str">
        <f t="shared" si="3"/>
        <v/>
      </c>
      <c r="G906" s="23" t="str">
        <f t="shared" si="4"/>
        <v/>
      </c>
      <c r="H906" s="27"/>
      <c r="I906" s="27"/>
      <c r="J906" s="27"/>
      <c r="K906" s="27"/>
      <c r="L906" s="22">
        <f t="shared" si="5"/>
        <v>0</v>
      </c>
    </row>
    <row r="907">
      <c r="A907" s="27"/>
      <c r="B907" s="27"/>
      <c r="C907" s="27"/>
      <c r="D907" s="27"/>
      <c r="E907" s="22">
        <f t="shared" si="2"/>
        <v>0</v>
      </c>
      <c r="F907" s="23" t="str">
        <f t="shared" si="3"/>
        <v/>
      </c>
      <c r="G907" s="23" t="str">
        <f t="shared" si="4"/>
        <v/>
      </c>
      <c r="H907" s="27"/>
      <c r="I907" s="27"/>
      <c r="J907" s="27"/>
      <c r="K907" s="27"/>
      <c r="L907" s="22">
        <f t="shared" si="5"/>
        <v>0</v>
      </c>
    </row>
    <row r="908">
      <c r="A908" s="27"/>
      <c r="B908" s="27"/>
      <c r="C908" s="27"/>
      <c r="D908" s="27"/>
      <c r="E908" s="22">
        <f t="shared" si="2"/>
        <v>0</v>
      </c>
      <c r="F908" s="23" t="str">
        <f t="shared" si="3"/>
        <v/>
      </c>
      <c r="G908" s="23" t="str">
        <f t="shared" si="4"/>
        <v/>
      </c>
      <c r="H908" s="27"/>
      <c r="I908" s="27"/>
      <c r="J908" s="27"/>
      <c r="K908" s="27"/>
      <c r="L908" s="22">
        <f t="shared" si="5"/>
        <v>0</v>
      </c>
    </row>
    <row r="909">
      <c r="A909" s="27"/>
      <c r="B909" s="27"/>
      <c r="C909" s="27"/>
      <c r="D909" s="27"/>
      <c r="E909" s="22">
        <f t="shared" si="2"/>
        <v>0</v>
      </c>
      <c r="F909" s="23" t="str">
        <f t="shared" si="3"/>
        <v/>
      </c>
      <c r="G909" s="23" t="str">
        <f t="shared" si="4"/>
        <v/>
      </c>
      <c r="H909" s="27"/>
      <c r="I909" s="27"/>
      <c r="J909" s="27"/>
      <c r="K909" s="27"/>
      <c r="L909" s="22">
        <f t="shared" si="5"/>
        <v>0</v>
      </c>
    </row>
    <row r="910">
      <c r="A910" s="27"/>
      <c r="B910" s="27"/>
      <c r="C910" s="27"/>
      <c r="D910" s="27"/>
      <c r="E910" s="22">
        <f t="shared" si="2"/>
        <v>0</v>
      </c>
      <c r="F910" s="23" t="str">
        <f t="shared" si="3"/>
        <v/>
      </c>
      <c r="G910" s="23" t="str">
        <f t="shared" si="4"/>
        <v/>
      </c>
      <c r="H910" s="27"/>
      <c r="I910" s="27"/>
      <c r="J910" s="27"/>
      <c r="K910" s="27"/>
      <c r="L910" s="22">
        <f t="shared" si="5"/>
        <v>0</v>
      </c>
    </row>
    <row r="911">
      <c r="A911" s="27"/>
      <c r="B911" s="27"/>
      <c r="C911" s="27"/>
      <c r="D911" s="27"/>
      <c r="E911" s="22">
        <f t="shared" si="2"/>
        <v>0</v>
      </c>
      <c r="F911" s="23" t="str">
        <f t="shared" si="3"/>
        <v/>
      </c>
      <c r="G911" s="23" t="str">
        <f t="shared" si="4"/>
        <v/>
      </c>
      <c r="H911" s="27"/>
      <c r="I911" s="27"/>
      <c r="J911" s="27"/>
      <c r="K911" s="27"/>
      <c r="L911" s="22">
        <f t="shared" si="5"/>
        <v>0</v>
      </c>
    </row>
    <row r="912">
      <c r="A912" s="27"/>
      <c r="B912" s="27"/>
      <c r="C912" s="27"/>
      <c r="D912" s="27"/>
      <c r="E912" s="22">
        <f t="shared" si="2"/>
        <v>0</v>
      </c>
      <c r="F912" s="23" t="str">
        <f t="shared" si="3"/>
        <v/>
      </c>
      <c r="G912" s="23" t="str">
        <f t="shared" si="4"/>
        <v/>
      </c>
      <c r="H912" s="27"/>
      <c r="I912" s="27"/>
      <c r="J912" s="27"/>
      <c r="K912" s="27"/>
      <c r="L912" s="22">
        <f t="shared" si="5"/>
        <v>0</v>
      </c>
    </row>
    <row r="913">
      <c r="A913" s="27"/>
      <c r="B913" s="27"/>
      <c r="C913" s="27"/>
      <c r="D913" s="27"/>
      <c r="E913" s="22">
        <f t="shared" si="2"/>
        <v>0</v>
      </c>
      <c r="F913" s="23" t="str">
        <f t="shared" si="3"/>
        <v/>
      </c>
      <c r="G913" s="23" t="str">
        <f t="shared" si="4"/>
        <v/>
      </c>
      <c r="H913" s="27"/>
      <c r="I913" s="27"/>
      <c r="J913" s="27"/>
      <c r="K913" s="27"/>
      <c r="L913" s="22">
        <f t="shared" si="5"/>
        <v>0</v>
      </c>
    </row>
    <row r="914">
      <c r="A914" s="27"/>
      <c r="B914" s="27"/>
      <c r="C914" s="27"/>
      <c r="D914" s="27"/>
      <c r="E914" s="22">
        <f t="shared" si="2"/>
        <v>0</v>
      </c>
      <c r="F914" s="23" t="str">
        <f t="shared" si="3"/>
        <v/>
      </c>
      <c r="G914" s="23" t="str">
        <f t="shared" si="4"/>
        <v/>
      </c>
      <c r="H914" s="27"/>
      <c r="I914" s="27"/>
      <c r="J914" s="27"/>
      <c r="K914" s="27"/>
      <c r="L914" s="22">
        <f t="shared" si="5"/>
        <v>0</v>
      </c>
    </row>
    <row r="915">
      <c r="A915" s="27"/>
      <c r="B915" s="27"/>
      <c r="C915" s="27"/>
      <c r="D915" s="27"/>
      <c r="E915" s="22">
        <f t="shared" si="2"/>
        <v>0</v>
      </c>
      <c r="F915" s="23" t="str">
        <f t="shared" si="3"/>
        <v/>
      </c>
      <c r="G915" s="23" t="str">
        <f t="shared" si="4"/>
        <v/>
      </c>
      <c r="H915" s="27"/>
      <c r="I915" s="27"/>
      <c r="J915" s="27"/>
      <c r="K915" s="27"/>
      <c r="L915" s="22">
        <f t="shared" si="5"/>
        <v>0</v>
      </c>
    </row>
    <row r="916">
      <c r="A916" s="27"/>
      <c r="B916" s="27"/>
      <c r="C916" s="27"/>
      <c r="D916" s="27"/>
      <c r="E916" s="22">
        <f t="shared" si="2"/>
        <v>0</v>
      </c>
      <c r="F916" s="23" t="str">
        <f t="shared" si="3"/>
        <v/>
      </c>
      <c r="G916" s="23" t="str">
        <f t="shared" si="4"/>
        <v/>
      </c>
      <c r="H916" s="27"/>
      <c r="I916" s="27"/>
      <c r="J916" s="27"/>
      <c r="K916" s="27"/>
      <c r="L916" s="22">
        <f t="shared" si="5"/>
        <v>0</v>
      </c>
    </row>
    <row r="917">
      <c r="A917" s="27"/>
      <c r="B917" s="27"/>
      <c r="C917" s="27"/>
      <c r="D917" s="27"/>
      <c r="E917" s="22">
        <f t="shared" si="2"/>
        <v>0</v>
      </c>
      <c r="F917" s="23" t="str">
        <f t="shared" si="3"/>
        <v/>
      </c>
      <c r="G917" s="23" t="str">
        <f t="shared" si="4"/>
        <v/>
      </c>
      <c r="H917" s="27"/>
      <c r="I917" s="27"/>
      <c r="J917" s="27"/>
      <c r="K917" s="27"/>
      <c r="L917" s="22">
        <f t="shared" si="5"/>
        <v>0</v>
      </c>
    </row>
    <row r="918">
      <c r="A918" s="27"/>
      <c r="B918" s="27"/>
      <c r="C918" s="27"/>
      <c r="D918" s="27"/>
      <c r="E918" s="22">
        <f t="shared" si="2"/>
        <v>0</v>
      </c>
      <c r="F918" s="23" t="str">
        <f t="shared" si="3"/>
        <v/>
      </c>
      <c r="G918" s="23" t="str">
        <f t="shared" si="4"/>
        <v/>
      </c>
      <c r="H918" s="27"/>
      <c r="I918" s="27"/>
      <c r="J918" s="27"/>
      <c r="K918" s="27"/>
      <c r="L918" s="22">
        <f t="shared" si="5"/>
        <v>0</v>
      </c>
    </row>
    <row r="919">
      <c r="A919" s="27"/>
      <c r="B919" s="27"/>
      <c r="C919" s="27"/>
      <c r="D919" s="27"/>
      <c r="E919" s="22">
        <f t="shared" si="2"/>
        <v>0</v>
      </c>
      <c r="F919" s="23" t="str">
        <f t="shared" si="3"/>
        <v/>
      </c>
      <c r="G919" s="23" t="str">
        <f t="shared" si="4"/>
        <v/>
      </c>
      <c r="H919" s="27"/>
      <c r="I919" s="27"/>
      <c r="J919" s="27"/>
      <c r="K919" s="27"/>
      <c r="L919" s="22">
        <f t="shared" si="5"/>
        <v>0</v>
      </c>
    </row>
    <row r="920">
      <c r="A920" s="27"/>
      <c r="B920" s="27"/>
      <c r="C920" s="27"/>
      <c r="D920" s="27"/>
      <c r="E920" s="22">
        <f t="shared" si="2"/>
        <v>0</v>
      </c>
      <c r="F920" s="23" t="str">
        <f t="shared" si="3"/>
        <v/>
      </c>
      <c r="G920" s="23" t="str">
        <f t="shared" si="4"/>
        <v/>
      </c>
      <c r="H920" s="27"/>
      <c r="I920" s="27"/>
      <c r="J920" s="27"/>
      <c r="K920" s="27"/>
      <c r="L920" s="22">
        <f t="shared" si="5"/>
        <v>0</v>
      </c>
    </row>
    <row r="921">
      <c r="A921" s="27"/>
      <c r="B921" s="27"/>
      <c r="C921" s="27"/>
      <c r="D921" s="27"/>
      <c r="E921" s="22">
        <f t="shared" si="2"/>
        <v>0</v>
      </c>
      <c r="F921" s="23" t="str">
        <f t="shared" si="3"/>
        <v/>
      </c>
      <c r="G921" s="23" t="str">
        <f t="shared" si="4"/>
        <v/>
      </c>
      <c r="H921" s="27"/>
      <c r="I921" s="27"/>
      <c r="J921" s="27"/>
      <c r="K921" s="27"/>
      <c r="L921" s="22">
        <f t="shared" si="5"/>
        <v>0</v>
      </c>
    </row>
    <row r="922">
      <c r="A922" s="27"/>
      <c r="B922" s="27"/>
      <c r="C922" s="27"/>
      <c r="D922" s="27"/>
      <c r="E922" s="22">
        <f t="shared" si="2"/>
        <v>0</v>
      </c>
      <c r="F922" s="23" t="str">
        <f t="shared" si="3"/>
        <v/>
      </c>
      <c r="G922" s="23" t="str">
        <f t="shared" si="4"/>
        <v/>
      </c>
      <c r="H922" s="27"/>
      <c r="I922" s="27"/>
      <c r="J922" s="27"/>
      <c r="K922" s="27"/>
      <c r="L922" s="22">
        <f t="shared" si="5"/>
        <v>0</v>
      </c>
    </row>
    <row r="923">
      <c r="A923" s="27"/>
      <c r="B923" s="27"/>
      <c r="C923" s="27"/>
      <c r="D923" s="27"/>
      <c r="E923" s="22">
        <f t="shared" si="2"/>
        <v>0</v>
      </c>
      <c r="F923" s="23" t="str">
        <f t="shared" si="3"/>
        <v/>
      </c>
      <c r="G923" s="23" t="str">
        <f t="shared" si="4"/>
        <v/>
      </c>
      <c r="H923" s="27"/>
      <c r="I923" s="27"/>
      <c r="J923" s="27"/>
      <c r="K923" s="27"/>
      <c r="L923" s="22">
        <f t="shared" si="5"/>
        <v>0</v>
      </c>
    </row>
    <row r="924">
      <c r="A924" s="27"/>
      <c r="B924" s="27"/>
      <c r="C924" s="27"/>
      <c r="D924" s="27"/>
      <c r="E924" s="22">
        <f t="shared" si="2"/>
        <v>0</v>
      </c>
      <c r="F924" s="23" t="str">
        <f t="shared" si="3"/>
        <v/>
      </c>
      <c r="G924" s="23" t="str">
        <f t="shared" si="4"/>
        <v/>
      </c>
      <c r="H924" s="27"/>
      <c r="I924" s="27"/>
      <c r="J924" s="27"/>
      <c r="K924" s="27"/>
      <c r="L924" s="22">
        <f t="shared" si="5"/>
        <v>0</v>
      </c>
    </row>
    <row r="925">
      <c r="A925" s="27"/>
      <c r="B925" s="27"/>
      <c r="C925" s="27"/>
      <c r="D925" s="27"/>
      <c r="E925" s="22">
        <f t="shared" si="2"/>
        <v>0</v>
      </c>
      <c r="F925" s="23" t="str">
        <f t="shared" si="3"/>
        <v/>
      </c>
      <c r="G925" s="23" t="str">
        <f t="shared" si="4"/>
        <v/>
      </c>
      <c r="H925" s="27"/>
      <c r="I925" s="27"/>
      <c r="J925" s="27"/>
      <c r="K925" s="27"/>
      <c r="L925" s="22">
        <f t="shared" si="5"/>
        <v>0</v>
      </c>
    </row>
    <row r="926">
      <c r="A926" s="27"/>
      <c r="B926" s="27"/>
      <c r="C926" s="27"/>
      <c r="D926" s="27"/>
      <c r="E926" s="22">
        <f t="shared" si="2"/>
        <v>0</v>
      </c>
      <c r="F926" s="23" t="str">
        <f t="shared" si="3"/>
        <v/>
      </c>
      <c r="G926" s="23" t="str">
        <f t="shared" si="4"/>
        <v/>
      </c>
      <c r="H926" s="27"/>
      <c r="I926" s="27"/>
      <c r="J926" s="27"/>
      <c r="K926" s="27"/>
      <c r="L926" s="22">
        <f t="shared" si="5"/>
        <v>0</v>
      </c>
    </row>
    <row r="927">
      <c r="A927" s="27"/>
      <c r="B927" s="27"/>
      <c r="C927" s="27"/>
      <c r="D927" s="27"/>
      <c r="E927" s="22">
        <f t="shared" si="2"/>
        <v>0</v>
      </c>
      <c r="F927" s="23" t="str">
        <f t="shared" si="3"/>
        <v/>
      </c>
      <c r="G927" s="23" t="str">
        <f t="shared" si="4"/>
        <v/>
      </c>
      <c r="H927" s="27"/>
      <c r="I927" s="27"/>
      <c r="J927" s="27"/>
      <c r="K927" s="27"/>
      <c r="L927" s="22">
        <f t="shared" si="5"/>
        <v>0</v>
      </c>
    </row>
    <row r="928">
      <c r="A928" s="27"/>
      <c r="B928" s="27"/>
      <c r="C928" s="27"/>
      <c r="D928" s="27"/>
      <c r="E928" s="22">
        <f t="shared" si="2"/>
        <v>0</v>
      </c>
      <c r="F928" s="23" t="str">
        <f t="shared" si="3"/>
        <v/>
      </c>
      <c r="G928" s="23" t="str">
        <f t="shared" si="4"/>
        <v/>
      </c>
      <c r="H928" s="27"/>
      <c r="I928" s="27"/>
      <c r="J928" s="27"/>
      <c r="K928" s="27"/>
      <c r="L928" s="22">
        <f t="shared" si="5"/>
        <v>0</v>
      </c>
    </row>
    <row r="929">
      <c r="A929" s="27"/>
      <c r="B929" s="27"/>
      <c r="C929" s="27"/>
      <c r="D929" s="27"/>
      <c r="E929" s="22">
        <f t="shared" si="2"/>
        <v>0</v>
      </c>
      <c r="F929" s="23" t="str">
        <f t="shared" si="3"/>
        <v/>
      </c>
      <c r="G929" s="23" t="str">
        <f t="shared" si="4"/>
        <v/>
      </c>
      <c r="H929" s="27"/>
      <c r="I929" s="27"/>
      <c r="J929" s="27"/>
      <c r="K929" s="27"/>
      <c r="L929" s="22">
        <f t="shared" si="5"/>
        <v>0</v>
      </c>
    </row>
    <row r="930">
      <c r="A930" s="27"/>
      <c r="B930" s="27"/>
      <c r="C930" s="27"/>
      <c r="D930" s="27"/>
      <c r="E930" s="22">
        <f t="shared" si="2"/>
        <v>0</v>
      </c>
      <c r="F930" s="23" t="str">
        <f t="shared" si="3"/>
        <v/>
      </c>
      <c r="G930" s="23" t="str">
        <f t="shared" si="4"/>
        <v/>
      </c>
      <c r="H930" s="27"/>
      <c r="I930" s="27"/>
      <c r="J930" s="27"/>
      <c r="K930" s="27"/>
      <c r="L930" s="22">
        <f t="shared" si="5"/>
        <v>0</v>
      </c>
    </row>
    <row r="931">
      <c r="A931" s="27"/>
      <c r="B931" s="27"/>
      <c r="C931" s="27"/>
      <c r="D931" s="27"/>
      <c r="E931" s="22">
        <f t="shared" si="2"/>
        <v>0</v>
      </c>
      <c r="F931" s="23" t="str">
        <f t="shared" si="3"/>
        <v/>
      </c>
      <c r="G931" s="23" t="str">
        <f t="shared" si="4"/>
        <v/>
      </c>
      <c r="H931" s="27"/>
      <c r="I931" s="27"/>
      <c r="J931" s="27"/>
      <c r="K931" s="27"/>
      <c r="L931" s="22">
        <f t="shared" si="5"/>
        <v>0</v>
      </c>
    </row>
    <row r="932">
      <c r="A932" s="27"/>
      <c r="B932" s="27"/>
      <c r="C932" s="27"/>
      <c r="D932" s="27"/>
      <c r="E932" s="22">
        <f t="shared" si="2"/>
        <v>0</v>
      </c>
      <c r="F932" s="23" t="str">
        <f t="shared" si="3"/>
        <v/>
      </c>
      <c r="G932" s="23" t="str">
        <f t="shared" si="4"/>
        <v/>
      </c>
      <c r="H932" s="27"/>
      <c r="I932" s="27"/>
      <c r="J932" s="27"/>
      <c r="K932" s="27"/>
      <c r="L932" s="22">
        <f t="shared" si="5"/>
        <v>0</v>
      </c>
    </row>
    <row r="933">
      <c r="A933" s="27"/>
      <c r="B933" s="27"/>
      <c r="C933" s="27"/>
      <c r="D933" s="27"/>
      <c r="E933" s="22">
        <f t="shared" si="2"/>
        <v>0</v>
      </c>
      <c r="F933" s="23" t="str">
        <f t="shared" si="3"/>
        <v/>
      </c>
      <c r="G933" s="23" t="str">
        <f t="shared" si="4"/>
        <v/>
      </c>
      <c r="H933" s="27"/>
      <c r="I933" s="27"/>
      <c r="J933" s="27"/>
      <c r="K933" s="27"/>
      <c r="L933" s="22">
        <f t="shared" si="5"/>
        <v>0</v>
      </c>
    </row>
    <row r="934">
      <c r="A934" s="27"/>
      <c r="B934" s="27"/>
      <c r="C934" s="27"/>
      <c r="D934" s="27"/>
      <c r="E934" s="22">
        <f t="shared" si="2"/>
        <v>0</v>
      </c>
      <c r="F934" s="23" t="str">
        <f t="shared" si="3"/>
        <v/>
      </c>
      <c r="G934" s="23" t="str">
        <f t="shared" si="4"/>
        <v/>
      </c>
      <c r="H934" s="27"/>
      <c r="I934" s="27"/>
      <c r="J934" s="27"/>
      <c r="K934" s="27"/>
      <c r="L934" s="22">
        <f t="shared" si="5"/>
        <v>0</v>
      </c>
    </row>
    <row r="935">
      <c r="A935" s="27"/>
      <c r="B935" s="27"/>
      <c r="C935" s="27"/>
      <c r="D935" s="27"/>
      <c r="E935" s="22">
        <f t="shared" si="2"/>
        <v>0</v>
      </c>
      <c r="F935" s="23" t="str">
        <f t="shared" si="3"/>
        <v/>
      </c>
      <c r="G935" s="23" t="str">
        <f t="shared" si="4"/>
        <v/>
      </c>
      <c r="H935" s="27"/>
      <c r="I935" s="27"/>
      <c r="J935" s="27"/>
      <c r="K935" s="27"/>
      <c r="L935" s="22">
        <f t="shared" si="5"/>
        <v>0</v>
      </c>
    </row>
    <row r="936">
      <c r="A936" s="27"/>
      <c r="B936" s="27"/>
      <c r="C936" s="27"/>
      <c r="D936" s="27"/>
      <c r="E936" s="22">
        <f t="shared" si="2"/>
        <v>0</v>
      </c>
      <c r="F936" s="23" t="str">
        <f t="shared" si="3"/>
        <v/>
      </c>
      <c r="G936" s="23" t="str">
        <f t="shared" si="4"/>
        <v/>
      </c>
      <c r="H936" s="27"/>
      <c r="I936" s="27"/>
      <c r="J936" s="27"/>
      <c r="K936" s="27"/>
      <c r="L936" s="22">
        <f t="shared" si="5"/>
        <v>0</v>
      </c>
    </row>
    <row r="937">
      <c r="A937" s="27"/>
      <c r="B937" s="27"/>
      <c r="C937" s="27"/>
      <c r="D937" s="27"/>
      <c r="E937" s="22">
        <f t="shared" si="2"/>
        <v>0</v>
      </c>
      <c r="F937" s="23" t="str">
        <f t="shared" si="3"/>
        <v/>
      </c>
      <c r="G937" s="23" t="str">
        <f t="shared" si="4"/>
        <v/>
      </c>
      <c r="H937" s="27"/>
      <c r="I937" s="27"/>
      <c r="J937" s="27"/>
      <c r="K937" s="27"/>
      <c r="L937" s="22">
        <f t="shared" si="5"/>
        <v>0</v>
      </c>
    </row>
    <row r="938">
      <c r="A938" s="27"/>
      <c r="B938" s="27"/>
      <c r="C938" s="27"/>
      <c r="D938" s="27"/>
      <c r="E938" s="22">
        <f t="shared" si="2"/>
        <v>0</v>
      </c>
      <c r="F938" s="23" t="str">
        <f t="shared" si="3"/>
        <v/>
      </c>
      <c r="G938" s="23" t="str">
        <f t="shared" si="4"/>
        <v/>
      </c>
      <c r="H938" s="27"/>
      <c r="I938" s="27"/>
      <c r="J938" s="27"/>
      <c r="K938" s="27"/>
      <c r="L938" s="22">
        <f t="shared" si="5"/>
        <v>0</v>
      </c>
    </row>
    <row r="939">
      <c r="A939" s="27"/>
      <c r="B939" s="27"/>
      <c r="C939" s="27"/>
      <c r="D939" s="27"/>
      <c r="E939" s="22">
        <f t="shared" si="2"/>
        <v>0</v>
      </c>
      <c r="F939" s="23" t="str">
        <f t="shared" si="3"/>
        <v/>
      </c>
      <c r="G939" s="23" t="str">
        <f t="shared" si="4"/>
        <v/>
      </c>
      <c r="H939" s="27"/>
      <c r="I939" s="27"/>
      <c r="J939" s="27"/>
      <c r="K939" s="27"/>
      <c r="L939" s="22">
        <f t="shared" si="5"/>
        <v>0</v>
      </c>
    </row>
    <row r="940">
      <c r="A940" s="27"/>
      <c r="B940" s="27"/>
      <c r="C940" s="27"/>
      <c r="D940" s="27"/>
      <c r="E940" s="22">
        <f t="shared" si="2"/>
        <v>0</v>
      </c>
      <c r="F940" s="23" t="str">
        <f t="shared" si="3"/>
        <v/>
      </c>
      <c r="G940" s="23" t="str">
        <f t="shared" si="4"/>
        <v/>
      </c>
      <c r="H940" s="27"/>
      <c r="I940" s="27"/>
      <c r="J940" s="27"/>
      <c r="K940" s="27"/>
      <c r="L940" s="22">
        <f t="shared" si="5"/>
        <v>0</v>
      </c>
    </row>
    <row r="941">
      <c r="A941" s="27"/>
      <c r="B941" s="27"/>
      <c r="C941" s="27"/>
      <c r="D941" s="27"/>
      <c r="E941" s="22">
        <f t="shared" si="2"/>
        <v>0</v>
      </c>
      <c r="F941" s="23" t="str">
        <f t="shared" si="3"/>
        <v/>
      </c>
      <c r="G941" s="23" t="str">
        <f t="shared" si="4"/>
        <v/>
      </c>
      <c r="H941" s="27"/>
      <c r="I941" s="27"/>
      <c r="J941" s="27"/>
      <c r="K941" s="27"/>
      <c r="L941" s="22">
        <f t="shared" si="5"/>
        <v>0</v>
      </c>
    </row>
    <row r="942">
      <c r="A942" s="27"/>
      <c r="B942" s="27"/>
      <c r="C942" s="27"/>
      <c r="D942" s="27"/>
      <c r="E942" s="22">
        <f t="shared" si="2"/>
        <v>0</v>
      </c>
      <c r="F942" s="23" t="str">
        <f t="shared" si="3"/>
        <v/>
      </c>
      <c r="G942" s="23" t="str">
        <f t="shared" si="4"/>
        <v/>
      </c>
      <c r="H942" s="27"/>
      <c r="I942" s="27"/>
      <c r="J942" s="27"/>
      <c r="K942" s="27"/>
      <c r="L942" s="22">
        <f t="shared" si="5"/>
        <v>0</v>
      </c>
    </row>
    <row r="943">
      <c r="A943" s="27"/>
      <c r="B943" s="27"/>
      <c r="C943" s="27"/>
      <c r="D943" s="27"/>
      <c r="E943" s="22">
        <f t="shared" si="2"/>
        <v>0</v>
      </c>
      <c r="F943" s="23" t="str">
        <f t="shared" si="3"/>
        <v/>
      </c>
      <c r="G943" s="23" t="str">
        <f t="shared" si="4"/>
        <v/>
      </c>
      <c r="H943" s="27"/>
      <c r="I943" s="27"/>
      <c r="J943" s="27"/>
      <c r="K943" s="27"/>
      <c r="L943" s="22">
        <f t="shared" si="5"/>
        <v>0</v>
      </c>
    </row>
    <row r="944">
      <c r="A944" s="27"/>
      <c r="B944" s="27"/>
      <c r="C944" s="27"/>
      <c r="D944" s="27"/>
      <c r="E944" s="22">
        <f t="shared" si="2"/>
        <v>0</v>
      </c>
      <c r="F944" s="23" t="str">
        <f t="shared" si="3"/>
        <v/>
      </c>
      <c r="G944" s="23" t="str">
        <f t="shared" si="4"/>
        <v/>
      </c>
      <c r="H944" s="27"/>
      <c r="I944" s="27"/>
      <c r="J944" s="27"/>
      <c r="K944" s="27"/>
      <c r="L944" s="22">
        <f t="shared" si="5"/>
        <v>0</v>
      </c>
    </row>
    <row r="945">
      <c r="A945" s="27"/>
      <c r="B945" s="27"/>
      <c r="C945" s="27"/>
      <c r="D945" s="27"/>
      <c r="E945" s="22">
        <f t="shared" si="2"/>
        <v>0</v>
      </c>
      <c r="F945" s="23" t="str">
        <f t="shared" si="3"/>
        <v/>
      </c>
      <c r="G945" s="23" t="str">
        <f t="shared" si="4"/>
        <v/>
      </c>
      <c r="H945" s="27"/>
      <c r="I945" s="27"/>
      <c r="J945" s="27"/>
      <c r="K945" s="27"/>
      <c r="L945" s="22">
        <f t="shared" si="5"/>
        <v>0</v>
      </c>
    </row>
    <row r="946">
      <c r="A946" s="27"/>
      <c r="B946" s="27"/>
      <c r="C946" s="27"/>
      <c r="D946" s="27"/>
      <c r="E946" s="22">
        <f t="shared" si="2"/>
        <v>0</v>
      </c>
      <c r="F946" s="23" t="str">
        <f t="shared" si="3"/>
        <v/>
      </c>
      <c r="G946" s="23" t="str">
        <f t="shared" si="4"/>
        <v/>
      </c>
      <c r="H946" s="27"/>
      <c r="I946" s="27"/>
      <c r="J946" s="27"/>
      <c r="K946" s="27"/>
      <c r="L946" s="22">
        <f t="shared" si="5"/>
        <v>0</v>
      </c>
    </row>
    <row r="947">
      <c r="A947" s="27"/>
      <c r="B947" s="27"/>
      <c r="C947" s="27"/>
      <c r="D947" s="27"/>
      <c r="E947" s="22">
        <f t="shared" si="2"/>
        <v>0</v>
      </c>
      <c r="F947" s="23" t="str">
        <f t="shared" si="3"/>
        <v/>
      </c>
      <c r="G947" s="23" t="str">
        <f t="shared" si="4"/>
        <v/>
      </c>
      <c r="H947" s="27"/>
      <c r="I947" s="27"/>
      <c r="J947" s="27"/>
      <c r="K947" s="27"/>
      <c r="L947" s="22">
        <f t="shared" si="5"/>
        <v>0</v>
      </c>
    </row>
    <row r="948">
      <c r="A948" s="27"/>
      <c r="B948" s="27"/>
      <c r="C948" s="27"/>
      <c r="D948" s="27"/>
      <c r="E948" s="22">
        <f t="shared" si="2"/>
        <v>0</v>
      </c>
      <c r="F948" s="23" t="str">
        <f t="shared" si="3"/>
        <v/>
      </c>
      <c r="G948" s="23" t="str">
        <f t="shared" si="4"/>
        <v/>
      </c>
      <c r="H948" s="27"/>
      <c r="I948" s="27"/>
      <c r="J948" s="27"/>
      <c r="K948" s="27"/>
      <c r="L948" s="22">
        <f t="shared" si="5"/>
        <v>0</v>
      </c>
    </row>
    <row r="949">
      <c r="A949" s="27"/>
      <c r="B949" s="27"/>
      <c r="C949" s="27"/>
      <c r="D949" s="27"/>
      <c r="E949" s="22">
        <f t="shared" si="2"/>
        <v>0</v>
      </c>
      <c r="F949" s="23" t="str">
        <f t="shared" si="3"/>
        <v/>
      </c>
      <c r="G949" s="23" t="str">
        <f t="shared" si="4"/>
        <v/>
      </c>
      <c r="H949" s="27"/>
      <c r="I949" s="27"/>
      <c r="J949" s="27"/>
      <c r="K949" s="27"/>
      <c r="L949" s="22">
        <f t="shared" si="5"/>
        <v>0</v>
      </c>
    </row>
    <row r="950">
      <c r="A950" s="27"/>
      <c r="B950" s="27"/>
      <c r="C950" s="27"/>
      <c r="D950" s="27"/>
      <c r="E950" s="22">
        <f t="shared" si="2"/>
        <v>0</v>
      </c>
      <c r="F950" s="23" t="str">
        <f t="shared" si="3"/>
        <v/>
      </c>
      <c r="G950" s="23" t="str">
        <f t="shared" si="4"/>
        <v/>
      </c>
      <c r="H950" s="27"/>
      <c r="I950" s="27"/>
      <c r="J950" s="27"/>
      <c r="K950" s="27"/>
      <c r="L950" s="22">
        <f t="shared" si="5"/>
        <v>0</v>
      </c>
    </row>
    <row r="951">
      <c r="A951" s="27"/>
      <c r="B951" s="27"/>
      <c r="C951" s="27"/>
      <c r="D951" s="27"/>
      <c r="E951" s="22">
        <f t="shared" si="2"/>
        <v>0</v>
      </c>
      <c r="F951" s="23" t="str">
        <f t="shared" si="3"/>
        <v/>
      </c>
      <c r="G951" s="23" t="str">
        <f t="shared" si="4"/>
        <v/>
      </c>
      <c r="H951" s="27"/>
      <c r="I951" s="27"/>
      <c r="J951" s="27"/>
      <c r="K951" s="27"/>
      <c r="L951" s="22">
        <f t="shared" si="5"/>
        <v>0</v>
      </c>
    </row>
    <row r="952">
      <c r="A952" s="27"/>
      <c r="B952" s="27"/>
      <c r="C952" s="27"/>
      <c r="D952" s="27"/>
      <c r="E952" s="22">
        <f t="shared" si="2"/>
        <v>0</v>
      </c>
      <c r="F952" s="23" t="str">
        <f t="shared" si="3"/>
        <v/>
      </c>
      <c r="G952" s="23" t="str">
        <f t="shared" si="4"/>
        <v/>
      </c>
      <c r="H952" s="27"/>
      <c r="I952" s="27"/>
      <c r="J952" s="27"/>
      <c r="K952" s="27"/>
      <c r="L952" s="22">
        <f t="shared" si="5"/>
        <v>0</v>
      </c>
    </row>
    <row r="953">
      <c r="A953" s="27"/>
      <c r="B953" s="27"/>
      <c r="C953" s="27"/>
      <c r="D953" s="27"/>
      <c r="E953" s="22">
        <f t="shared" si="2"/>
        <v>0</v>
      </c>
      <c r="F953" s="23" t="str">
        <f t="shared" si="3"/>
        <v/>
      </c>
      <c r="G953" s="23" t="str">
        <f t="shared" si="4"/>
        <v/>
      </c>
      <c r="H953" s="27"/>
      <c r="I953" s="27"/>
      <c r="J953" s="27"/>
      <c r="K953" s="27"/>
      <c r="L953" s="22">
        <f t="shared" si="5"/>
        <v>0</v>
      </c>
    </row>
    <row r="954">
      <c r="A954" s="27"/>
      <c r="B954" s="27"/>
      <c r="C954" s="27"/>
      <c r="D954" s="27"/>
      <c r="E954" s="22">
        <f t="shared" si="2"/>
        <v>0</v>
      </c>
      <c r="F954" s="23" t="str">
        <f t="shared" si="3"/>
        <v/>
      </c>
      <c r="G954" s="23" t="str">
        <f t="shared" si="4"/>
        <v/>
      </c>
      <c r="H954" s="27"/>
      <c r="I954" s="27"/>
      <c r="J954" s="27"/>
      <c r="K954" s="27"/>
      <c r="L954" s="22">
        <f t="shared" si="5"/>
        <v>0</v>
      </c>
    </row>
    <row r="955">
      <c r="A955" s="27"/>
      <c r="B955" s="27"/>
      <c r="C955" s="27"/>
      <c r="D955" s="27"/>
      <c r="E955" s="22">
        <f t="shared" si="2"/>
        <v>0</v>
      </c>
      <c r="F955" s="23" t="str">
        <f t="shared" si="3"/>
        <v/>
      </c>
      <c r="G955" s="23" t="str">
        <f t="shared" si="4"/>
        <v/>
      </c>
      <c r="H955" s="27"/>
      <c r="I955" s="27"/>
      <c r="J955" s="27"/>
      <c r="K955" s="27"/>
      <c r="L955" s="22">
        <f t="shared" si="5"/>
        <v>0</v>
      </c>
    </row>
    <row r="956">
      <c r="A956" s="27"/>
      <c r="B956" s="27"/>
      <c r="C956" s="27"/>
      <c r="D956" s="27"/>
      <c r="E956" s="22">
        <f t="shared" si="2"/>
        <v>0</v>
      </c>
      <c r="F956" s="23" t="str">
        <f t="shared" si="3"/>
        <v/>
      </c>
      <c r="G956" s="23" t="str">
        <f t="shared" si="4"/>
        <v/>
      </c>
      <c r="H956" s="27"/>
      <c r="I956" s="27"/>
      <c r="J956" s="27"/>
      <c r="K956" s="27"/>
      <c r="L956" s="22">
        <f t="shared" si="5"/>
        <v>0</v>
      </c>
    </row>
    <row r="957">
      <c r="A957" s="27"/>
      <c r="B957" s="27"/>
      <c r="C957" s="27"/>
      <c r="D957" s="27"/>
      <c r="E957" s="22">
        <f t="shared" si="2"/>
        <v>0</v>
      </c>
      <c r="F957" s="23" t="str">
        <f t="shared" si="3"/>
        <v/>
      </c>
      <c r="G957" s="23" t="str">
        <f t="shared" si="4"/>
        <v/>
      </c>
      <c r="H957" s="27"/>
      <c r="I957" s="27"/>
      <c r="J957" s="27"/>
      <c r="K957" s="27"/>
      <c r="L957" s="22">
        <f t="shared" si="5"/>
        <v>0</v>
      </c>
    </row>
    <row r="958">
      <c r="A958" s="27"/>
      <c r="B958" s="27"/>
      <c r="C958" s="27"/>
      <c r="D958" s="27"/>
      <c r="E958" s="22">
        <f t="shared" si="2"/>
        <v>0</v>
      </c>
      <c r="F958" s="23" t="str">
        <f t="shared" si="3"/>
        <v/>
      </c>
      <c r="G958" s="23" t="str">
        <f t="shared" si="4"/>
        <v/>
      </c>
      <c r="H958" s="27"/>
      <c r="I958" s="27"/>
      <c r="J958" s="27"/>
      <c r="K958" s="27"/>
      <c r="L958" s="22">
        <f t="shared" si="5"/>
        <v>0</v>
      </c>
    </row>
    <row r="959">
      <c r="A959" s="27"/>
      <c r="B959" s="27"/>
      <c r="C959" s="27"/>
      <c r="D959" s="27"/>
      <c r="E959" s="22">
        <f t="shared" si="2"/>
        <v>0</v>
      </c>
      <c r="F959" s="23" t="str">
        <f t="shared" si="3"/>
        <v/>
      </c>
      <c r="G959" s="23" t="str">
        <f t="shared" si="4"/>
        <v/>
      </c>
      <c r="H959" s="27"/>
      <c r="I959" s="27"/>
      <c r="J959" s="27"/>
      <c r="K959" s="27"/>
      <c r="L959" s="22">
        <f t="shared" si="5"/>
        <v>0</v>
      </c>
    </row>
    <row r="960">
      <c r="A960" s="27"/>
      <c r="B960" s="27"/>
      <c r="C960" s="27"/>
      <c r="D960" s="27"/>
      <c r="E960" s="22">
        <f t="shared" si="2"/>
        <v>0</v>
      </c>
      <c r="F960" s="23" t="str">
        <f t="shared" si="3"/>
        <v/>
      </c>
      <c r="G960" s="23" t="str">
        <f t="shared" si="4"/>
        <v/>
      </c>
      <c r="H960" s="27"/>
      <c r="I960" s="27"/>
      <c r="J960" s="27"/>
      <c r="K960" s="27"/>
      <c r="L960" s="22">
        <f t="shared" si="5"/>
        <v>0</v>
      </c>
    </row>
    <row r="961">
      <c r="A961" s="27"/>
      <c r="B961" s="27"/>
      <c r="C961" s="27"/>
      <c r="D961" s="27"/>
      <c r="E961" s="22">
        <f t="shared" si="2"/>
        <v>0</v>
      </c>
      <c r="F961" s="23" t="str">
        <f t="shared" si="3"/>
        <v/>
      </c>
      <c r="G961" s="23" t="str">
        <f t="shared" si="4"/>
        <v/>
      </c>
      <c r="H961" s="27"/>
      <c r="I961" s="27"/>
      <c r="J961" s="27"/>
      <c r="K961" s="27"/>
      <c r="L961" s="22">
        <f t="shared" si="5"/>
        <v>0</v>
      </c>
    </row>
    <row r="962">
      <c r="A962" s="27"/>
      <c r="B962" s="27"/>
      <c r="C962" s="27"/>
      <c r="D962" s="27"/>
      <c r="E962" s="22">
        <f t="shared" si="2"/>
        <v>0</v>
      </c>
      <c r="F962" s="23" t="str">
        <f t="shared" si="3"/>
        <v/>
      </c>
      <c r="G962" s="23" t="str">
        <f t="shared" si="4"/>
        <v/>
      </c>
      <c r="H962" s="27"/>
      <c r="I962" s="27"/>
      <c r="J962" s="27"/>
      <c r="K962" s="27"/>
      <c r="L962" s="22">
        <f t="shared" si="5"/>
        <v>0</v>
      </c>
    </row>
    <row r="963">
      <c r="A963" s="27"/>
      <c r="B963" s="27"/>
      <c r="C963" s="27"/>
      <c r="D963" s="27"/>
      <c r="E963" s="22">
        <f t="shared" si="2"/>
        <v>0</v>
      </c>
      <c r="F963" s="23" t="str">
        <f t="shared" si="3"/>
        <v/>
      </c>
      <c r="G963" s="23" t="str">
        <f t="shared" si="4"/>
        <v/>
      </c>
      <c r="H963" s="27"/>
      <c r="I963" s="27"/>
      <c r="J963" s="27"/>
      <c r="K963" s="27"/>
      <c r="L963" s="22">
        <f t="shared" si="5"/>
        <v>0</v>
      </c>
    </row>
    <row r="964">
      <c r="A964" s="27"/>
      <c r="B964" s="27"/>
      <c r="C964" s="27"/>
      <c r="D964" s="27"/>
      <c r="E964" s="22">
        <f t="shared" si="2"/>
        <v>0</v>
      </c>
      <c r="F964" s="23" t="str">
        <f t="shared" si="3"/>
        <v/>
      </c>
      <c r="G964" s="23" t="str">
        <f t="shared" si="4"/>
        <v/>
      </c>
      <c r="H964" s="27"/>
      <c r="I964" s="27"/>
      <c r="J964" s="27"/>
      <c r="K964" s="27"/>
      <c r="L964" s="22">
        <f t="shared" si="5"/>
        <v>0</v>
      </c>
    </row>
    <row r="965">
      <c r="A965" s="27"/>
      <c r="B965" s="27"/>
      <c r="C965" s="27"/>
      <c r="D965" s="27"/>
      <c r="E965" s="22">
        <f t="shared" si="2"/>
        <v>0</v>
      </c>
      <c r="F965" s="23" t="str">
        <f t="shared" si="3"/>
        <v/>
      </c>
      <c r="G965" s="23" t="str">
        <f t="shared" si="4"/>
        <v/>
      </c>
      <c r="H965" s="27"/>
      <c r="I965" s="27"/>
      <c r="J965" s="27"/>
      <c r="K965" s="27"/>
      <c r="L965" s="22">
        <f t="shared" si="5"/>
        <v>0</v>
      </c>
    </row>
    <row r="966">
      <c r="A966" s="27"/>
      <c r="B966" s="27"/>
      <c r="C966" s="27"/>
      <c r="D966" s="27"/>
      <c r="E966" s="22">
        <f t="shared" si="2"/>
        <v>0</v>
      </c>
      <c r="F966" s="23" t="str">
        <f t="shared" si="3"/>
        <v/>
      </c>
      <c r="G966" s="23" t="str">
        <f t="shared" si="4"/>
        <v/>
      </c>
      <c r="H966" s="27"/>
      <c r="I966" s="27"/>
      <c r="J966" s="27"/>
      <c r="K966" s="27"/>
      <c r="L966" s="22">
        <f t="shared" si="5"/>
        <v>0</v>
      </c>
    </row>
    <row r="967">
      <c r="A967" s="27"/>
      <c r="B967" s="27"/>
      <c r="C967" s="27"/>
      <c r="D967" s="27"/>
      <c r="E967" s="22">
        <f t="shared" si="2"/>
        <v>0</v>
      </c>
      <c r="F967" s="23" t="str">
        <f t="shared" si="3"/>
        <v/>
      </c>
      <c r="G967" s="23" t="str">
        <f t="shared" si="4"/>
        <v/>
      </c>
      <c r="H967" s="27"/>
      <c r="I967" s="27"/>
      <c r="J967" s="27"/>
      <c r="K967" s="27"/>
      <c r="L967" s="22">
        <f t="shared" si="5"/>
        <v>0</v>
      </c>
    </row>
    <row r="968">
      <c r="A968" s="27"/>
      <c r="B968" s="27"/>
      <c r="C968" s="27"/>
      <c r="D968" s="27"/>
      <c r="E968" s="22">
        <f t="shared" si="2"/>
        <v>0</v>
      </c>
      <c r="F968" s="23" t="str">
        <f t="shared" si="3"/>
        <v/>
      </c>
      <c r="G968" s="23" t="str">
        <f t="shared" si="4"/>
        <v/>
      </c>
      <c r="H968" s="27"/>
      <c r="I968" s="27"/>
      <c r="J968" s="27"/>
      <c r="K968" s="27"/>
      <c r="L968" s="22">
        <f t="shared" si="5"/>
        <v>0</v>
      </c>
    </row>
    <row r="969">
      <c r="A969" s="27"/>
      <c r="B969" s="27"/>
      <c r="C969" s="27"/>
      <c r="D969" s="27"/>
      <c r="E969" s="22">
        <f t="shared" si="2"/>
        <v>0</v>
      </c>
      <c r="F969" s="23" t="str">
        <f t="shared" si="3"/>
        <v/>
      </c>
      <c r="G969" s="23" t="str">
        <f t="shared" si="4"/>
        <v/>
      </c>
      <c r="H969" s="27"/>
      <c r="I969" s="27"/>
      <c r="J969" s="27"/>
      <c r="K969" s="27"/>
      <c r="L969" s="22">
        <f t="shared" si="5"/>
        <v>0</v>
      </c>
    </row>
    <row r="970">
      <c r="A970" s="27"/>
      <c r="B970" s="27"/>
      <c r="C970" s="27"/>
      <c r="D970" s="27"/>
      <c r="E970" s="22">
        <f t="shared" si="2"/>
        <v>0</v>
      </c>
      <c r="F970" s="23" t="str">
        <f t="shared" si="3"/>
        <v/>
      </c>
      <c r="G970" s="23" t="str">
        <f t="shared" si="4"/>
        <v/>
      </c>
      <c r="H970" s="27"/>
      <c r="I970" s="27"/>
      <c r="J970" s="27"/>
      <c r="K970" s="27"/>
      <c r="L970" s="22">
        <f t="shared" si="5"/>
        <v>0</v>
      </c>
    </row>
    <row r="971">
      <c r="A971" s="27"/>
      <c r="B971" s="27"/>
      <c r="C971" s="27"/>
      <c r="D971" s="27"/>
      <c r="E971" s="22">
        <f t="shared" si="2"/>
        <v>0</v>
      </c>
      <c r="F971" s="23" t="str">
        <f t="shared" si="3"/>
        <v/>
      </c>
      <c r="G971" s="23" t="str">
        <f t="shared" si="4"/>
        <v/>
      </c>
      <c r="H971" s="27"/>
      <c r="I971" s="27"/>
      <c r="J971" s="27"/>
      <c r="K971" s="27"/>
      <c r="L971" s="22">
        <f t="shared" si="5"/>
        <v>0</v>
      </c>
    </row>
    <row r="972">
      <c r="A972" s="27"/>
      <c r="B972" s="27"/>
      <c r="C972" s="27"/>
      <c r="D972" s="27"/>
      <c r="E972" s="22">
        <f t="shared" si="2"/>
        <v>0</v>
      </c>
      <c r="F972" s="23" t="str">
        <f t="shared" si="3"/>
        <v/>
      </c>
      <c r="G972" s="23" t="str">
        <f t="shared" si="4"/>
        <v/>
      </c>
      <c r="H972" s="27"/>
      <c r="I972" s="27"/>
      <c r="J972" s="27"/>
      <c r="K972" s="27"/>
      <c r="L972" s="22">
        <f t="shared" si="5"/>
        <v>0</v>
      </c>
    </row>
    <row r="973">
      <c r="A973" s="27"/>
      <c r="B973" s="27"/>
      <c r="C973" s="27"/>
      <c r="D973" s="27"/>
      <c r="E973" s="22">
        <f t="shared" si="2"/>
        <v>0</v>
      </c>
      <c r="F973" s="23" t="str">
        <f t="shared" si="3"/>
        <v/>
      </c>
      <c r="G973" s="23" t="str">
        <f t="shared" si="4"/>
        <v/>
      </c>
      <c r="H973" s="27"/>
      <c r="I973" s="27"/>
      <c r="J973" s="27"/>
      <c r="K973" s="27"/>
      <c r="L973" s="22">
        <f t="shared" si="5"/>
        <v>0</v>
      </c>
    </row>
    <row r="974">
      <c r="A974" s="27"/>
      <c r="B974" s="27"/>
      <c r="C974" s="27"/>
      <c r="D974" s="27"/>
      <c r="E974" s="22">
        <f t="shared" si="2"/>
        <v>0</v>
      </c>
      <c r="F974" s="23" t="str">
        <f t="shared" si="3"/>
        <v/>
      </c>
      <c r="G974" s="23" t="str">
        <f t="shared" si="4"/>
        <v/>
      </c>
      <c r="H974" s="27"/>
      <c r="I974" s="27"/>
      <c r="J974" s="27"/>
      <c r="K974" s="27"/>
      <c r="L974" s="22">
        <f t="shared" si="5"/>
        <v>0</v>
      </c>
    </row>
    <row r="975">
      <c r="A975" s="27"/>
      <c r="B975" s="27"/>
      <c r="C975" s="27"/>
      <c r="D975" s="27"/>
      <c r="E975" s="22">
        <f t="shared" si="2"/>
        <v>0</v>
      </c>
      <c r="F975" s="23" t="str">
        <f t="shared" si="3"/>
        <v/>
      </c>
      <c r="G975" s="23" t="str">
        <f t="shared" si="4"/>
        <v/>
      </c>
      <c r="H975" s="27"/>
      <c r="I975" s="27"/>
      <c r="J975" s="27"/>
      <c r="K975" s="27"/>
      <c r="L975" s="22">
        <f t="shared" si="5"/>
        <v>0</v>
      </c>
    </row>
    <row r="976">
      <c r="A976" s="27"/>
      <c r="B976" s="27"/>
      <c r="C976" s="27"/>
      <c r="D976" s="27"/>
      <c r="E976" s="22">
        <f t="shared" si="2"/>
        <v>0</v>
      </c>
      <c r="F976" s="23" t="str">
        <f t="shared" si="3"/>
        <v/>
      </c>
      <c r="G976" s="23" t="str">
        <f t="shared" si="4"/>
        <v/>
      </c>
      <c r="H976" s="27"/>
      <c r="I976" s="27"/>
      <c r="J976" s="27"/>
      <c r="K976" s="27"/>
      <c r="L976" s="22">
        <f t="shared" si="5"/>
        <v>0</v>
      </c>
    </row>
    <row r="977">
      <c r="A977" s="27"/>
      <c r="B977" s="27"/>
      <c r="C977" s="27"/>
      <c r="D977" s="27"/>
      <c r="E977" s="22">
        <f t="shared" si="2"/>
        <v>0</v>
      </c>
      <c r="F977" s="23" t="str">
        <f t="shared" si="3"/>
        <v/>
      </c>
      <c r="G977" s="23" t="str">
        <f t="shared" si="4"/>
        <v/>
      </c>
      <c r="H977" s="27"/>
      <c r="I977" s="27"/>
      <c r="J977" s="27"/>
      <c r="K977" s="27"/>
      <c r="L977" s="22">
        <f t="shared" si="5"/>
        <v>0</v>
      </c>
    </row>
    <row r="978">
      <c r="A978" s="27"/>
      <c r="B978" s="27"/>
      <c r="C978" s="27"/>
      <c r="D978" s="27"/>
      <c r="E978" s="22">
        <f t="shared" si="2"/>
        <v>0</v>
      </c>
      <c r="F978" s="23" t="str">
        <f t="shared" si="3"/>
        <v/>
      </c>
      <c r="G978" s="23" t="str">
        <f t="shared" si="4"/>
        <v/>
      </c>
      <c r="H978" s="27"/>
      <c r="I978" s="27"/>
      <c r="J978" s="27"/>
      <c r="K978" s="27"/>
      <c r="L978" s="22">
        <f t="shared" si="5"/>
        <v>0</v>
      </c>
    </row>
    <row r="979">
      <c r="A979" s="27"/>
      <c r="B979" s="27"/>
      <c r="C979" s="27"/>
      <c r="D979" s="27"/>
      <c r="E979" s="22">
        <f t="shared" si="2"/>
        <v>0</v>
      </c>
      <c r="F979" s="23" t="str">
        <f t="shared" si="3"/>
        <v/>
      </c>
      <c r="G979" s="23" t="str">
        <f t="shared" si="4"/>
        <v/>
      </c>
      <c r="H979" s="27"/>
      <c r="I979" s="27"/>
      <c r="J979" s="27"/>
      <c r="K979" s="27"/>
      <c r="L979" s="22">
        <f t="shared" si="5"/>
        <v>0</v>
      </c>
    </row>
    <row r="980">
      <c r="A980" s="27"/>
      <c r="B980" s="27"/>
      <c r="C980" s="27"/>
      <c r="D980" s="27"/>
      <c r="E980" s="22">
        <f t="shared" si="2"/>
        <v>0</v>
      </c>
      <c r="F980" s="23" t="str">
        <f t="shared" si="3"/>
        <v/>
      </c>
      <c r="G980" s="23" t="str">
        <f t="shared" si="4"/>
        <v/>
      </c>
      <c r="H980" s="27"/>
      <c r="I980" s="27"/>
      <c r="J980" s="27"/>
      <c r="K980" s="27"/>
      <c r="L980" s="22">
        <f t="shared" si="5"/>
        <v>0</v>
      </c>
    </row>
    <row r="981">
      <c r="A981" s="27"/>
      <c r="B981" s="27"/>
      <c r="C981" s="27"/>
      <c r="D981" s="27"/>
      <c r="E981" s="22">
        <f t="shared" si="2"/>
        <v>0</v>
      </c>
      <c r="F981" s="23" t="str">
        <f t="shared" si="3"/>
        <v/>
      </c>
      <c r="G981" s="23" t="str">
        <f t="shared" si="4"/>
        <v/>
      </c>
      <c r="H981" s="27"/>
      <c r="I981" s="27"/>
      <c r="J981" s="27"/>
      <c r="K981" s="27"/>
      <c r="L981" s="22">
        <f t="shared" si="5"/>
        <v>0</v>
      </c>
    </row>
    <row r="982">
      <c r="A982" s="27"/>
      <c r="B982" s="27"/>
      <c r="C982" s="27"/>
      <c r="D982" s="27"/>
      <c r="E982" s="22">
        <f t="shared" si="2"/>
        <v>0</v>
      </c>
      <c r="F982" s="23" t="str">
        <f t="shared" si="3"/>
        <v/>
      </c>
      <c r="G982" s="23" t="str">
        <f t="shared" si="4"/>
        <v/>
      </c>
      <c r="H982" s="27"/>
      <c r="I982" s="27"/>
      <c r="J982" s="27"/>
      <c r="K982" s="27"/>
      <c r="L982" s="22">
        <f t="shared" si="5"/>
        <v>0</v>
      </c>
    </row>
    <row r="983">
      <c r="A983" s="27"/>
      <c r="B983" s="27"/>
      <c r="C983" s="27"/>
      <c r="D983" s="27"/>
      <c r="E983" s="22">
        <f t="shared" si="2"/>
        <v>0</v>
      </c>
      <c r="F983" s="23" t="str">
        <f t="shared" si="3"/>
        <v/>
      </c>
      <c r="G983" s="23" t="str">
        <f t="shared" si="4"/>
        <v/>
      </c>
      <c r="H983" s="27"/>
      <c r="I983" s="27"/>
      <c r="J983" s="27"/>
      <c r="K983" s="27"/>
      <c r="L983" s="22">
        <f t="shared" si="5"/>
        <v>0</v>
      </c>
    </row>
    <row r="984">
      <c r="A984" s="27"/>
      <c r="B984" s="27"/>
      <c r="C984" s="27"/>
      <c r="D984" s="27"/>
      <c r="E984" s="22">
        <f t="shared" si="2"/>
        <v>0</v>
      </c>
      <c r="F984" s="23" t="str">
        <f t="shared" si="3"/>
        <v/>
      </c>
      <c r="G984" s="23" t="str">
        <f t="shared" si="4"/>
        <v/>
      </c>
      <c r="H984" s="27"/>
      <c r="I984" s="27"/>
      <c r="J984" s="27"/>
      <c r="K984" s="27"/>
      <c r="L984" s="22">
        <f t="shared" si="5"/>
        <v>0</v>
      </c>
    </row>
    <row r="985">
      <c r="A985" s="27"/>
      <c r="B985" s="27"/>
      <c r="C985" s="27"/>
      <c r="D985" s="27"/>
      <c r="E985" s="22">
        <f t="shared" si="2"/>
        <v>0</v>
      </c>
      <c r="F985" s="23" t="str">
        <f t="shared" si="3"/>
        <v/>
      </c>
      <c r="G985" s="23" t="str">
        <f t="shared" si="4"/>
        <v/>
      </c>
      <c r="H985" s="27"/>
      <c r="I985" s="27"/>
      <c r="J985" s="27"/>
      <c r="K985" s="27"/>
      <c r="L985" s="22">
        <f t="shared" si="5"/>
        <v>0</v>
      </c>
    </row>
    <row r="986">
      <c r="A986" s="27"/>
      <c r="B986" s="27"/>
      <c r="C986" s="27"/>
      <c r="D986" s="27"/>
      <c r="E986" s="22">
        <f t="shared" si="2"/>
        <v>0</v>
      </c>
      <c r="F986" s="23" t="str">
        <f t="shared" si="3"/>
        <v/>
      </c>
      <c r="G986" s="23" t="str">
        <f t="shared" si="4"/>
        <v/>
      </c>
      <c r="H986" s="27"/>
      <c r="I986" s="27"/>
      <c r="J986" s="27"/>
      <c r="K986" s="27"/>
      <c r="L986" s="22">
        <f t="shared" si="5"/>
        <v>0</v>
      </c>
    </row>
    <row r="987">
      <c r="A987" s="27"/>
      <c r="B987" s="27"/>
      <c r="C987" s="27"/>
      <c r="D987" s="27"/>
      <c r="E987" s="22">
        <f t="shared" si="2"/>
        <v>0</v>
      </c>
      <c r="F987" s="23" t="str">
        <f t="shared" si="3"/>
        <v/>
      </c>
      <c r="G987" s="23" t="str">
        <f t="shared" si="4"/>
        <v/>
      </c>
      <c r="H987" s="27"/>
      <c r="I987" s="27"/>
      <c r="J987" s="27"/>
      <c r="K987" s="27"/>
      <c r="L987" s="22">
        <f t="shared" si="5"/>
        <v>0</v>
      </c>
    </row>
    <row r="988">
      <c r="A988" s="27"/>
      <c r="B988" s="27"/>
      <c r="C988" s="27"/>
      <c r="D988" s="27"/>
      <c r="E988" s="22">
        <f t="shared" si="2"/>
        <v>0</v>
      </c>
      <c r="F988" s="23" t="str">
        <f t="shared" si="3"/>
        <v/>
      </c>
      <c r="G988" s="23" t="str">
        <f t="shared" si="4"/>
        <v/>
      </c>
      <c r="H988" s="27"/>
      <c r="I988" s="27"/>
      <c r="J988" s="27"/>
      <c r="K988" s="27"/>
      <c r="L988" s="22">
        <f t="shared" si="5"/>
        <v>0</v>
      </c>
    </row>
    <row r="989">
      <c r="A989" s="27"/>
      <c r="B989" s="27"/>
      <c r="C989" s="27"/>
      <c r="D989" s="27"/>
      <c r="E989" s="22">
        <f t="shared" si="2"/>
        <v>0</v>
      </c>
      <c r="F989" s="23" t="str">
        <f t="shared" si="3"/>
        <v/>
      </c>
      <c r="G989" s="23" t="str">
        <f t="shared" si="4"/>
        <v/>
      </c>
      <c r="H989" s="27"/>
      <c r="I989" s="27"/>
      <c r="J989" s="27"/>
      <c r="K989" s="27"/>
      <c r="L989" s="22">
        <f t="shared" si="5"/>
        <v>0</v>
      </c>
    </row>
    <row r="990">
      <c r="A990" s="27"/>
      <c r="B990" s="27"/>
      <c r="C990" s="27"/>
      <c r="D990" s="27"/>
      <c r="E990" s="22">
        <f t="shared" si="2"/>
        <v>0</v>
      </c>
      <c r="F990" s="23" t="str">
        <f t="shared" si="3"/>
        <v/>
      </c>
      <c r="G990" s="23" t="str">
        <f t="shared" si="4"/>
        <v/>
      </c>
      <c r="H990" s="27"/>
      <c r="I990" s="27"/>
      <c r="J990" s="27"/>
      <c r="K990" s="27"/>
      <c r="L990" s="22">
        <f t="shared" si="5"/>
        <v>0</v>
      </c>
    </row>
    <row r="991">
      <c r="A991" s="27"/>
      <c r="B991" s="27"/>
      <c r="C991" s="27"/>
      <c r="D991" s="27"/>
      <c r="E991" s="22">
        <f t="shared" si="2"/>
        <v>0</v>
      </c>
      <c r="F991" s="23" t="str">
        <f t="shared" si="3"/>
        <v/>
      </c>
      <c r="G991" s="23" t="str">
        <f t="shared" si="4"/>
        <v/>
      </c>
      <c r="H991" s="27"/>
      <c r="I991" s="27"/>
      <c r="J991" s="27"/>
      <c r="K991" s="27"/>
      <c r="L991" s="22">
        <f t="shared" si="5"/>
        <v>0</v>
      </c>
    </row>
    <row r="992">
      <c r="A992" s="27"/>
      <c r="B992" s="27"/>
      <c r="C992" s="27"/>
      <c r="D992" s="27"/>
      <c r="E992" s="22">
        <f t="shared" si="2"/>
        <v>0</v>
      </c>
      <c r="F992" s="23" t="str">
        <f t="shared" si="3"/>
        <v/>
      </c>
      <c r="G992" s="23" t="str">
        <f t="shared" si="4"/>
        <v/>
      </c>
      <c r="H992" s="27"/>
      <c r="I992" s="27"/>
      <c r="J992" s="27"/>
      <c r="K992" s="27"/>
      <c r="L992" s="22">
        <f t="shared" si="5"/>
        <v>0</v>
      </c>
    </row>
    <row r="993">
      <c r="A993" s="27"/>
      <c r="B993" s="27"/>
      <c r="C993" s="27"/>
      <c r="D993" s="27"/>
      <c r="E993" s="22">
        <f t="shared" si="2"/>
        <v>0</v>
      </c>
      <c r="F993" s="23" t="str">
        <f t="shared" si="3"/>
        <v/>
      </c>
      <c r="G993" s="23" t="str">
        <f t="shared" si="4"/>
        <v/>
      </c>
      <c r="H993" s="27"/>
      <c r="I993" s="27"/>
      <c r="J993" s="27"/>
      <c r="K993" s="27"/>
      <c r="L993" s="22">
        <f t="shared" si="5"/>
        <v>0</v>
      </c>
    </row>
    <row r="994">
      <c r="A994" s="27"/>
      <c r="B994" s="27"/>
      <c r="C994" s="27"/>
      <c r="D994" s="27"/>
      <c r="E994" s="22">
        <f t="shared" si="2"/>
        <v>0</v>
      </c>
      <c r="F994" s="23" t="str">
        <f t="shared" si="3"/>
        <v/>
      </c>
      <c r="G994" s="23" t="str">
        <f t="shared" si="4"/>
        <v/>
      </c>
      <c r="H994" s="27"/>
      <c r="I994" s="27"/>
      <c r="J994" s="27"/>
      <c r="K994" s="27"/>
      <c r="L994" s="22">
        <f t="shared" si="5"/>
        <v>0</v>
      </c>
    </row>
    <row r="995">
      <c r="A995" s="27"/>
      <c r="B995" s="27"/>
      <c r="C995" s="27"/>
      <c r="D995" s="27"/>
      <c r="E995" s="22">
        <f t="shared" si="2"/>
        <v>0</v>
      </c>
      <c r="F995" s="23" t="str">
        <f t="shared" si="3"/>
        <v/>
      </c>
      <c r="G995" s="23" t="str">
        <f t="shared" si="4"/>
        <v/>
      </c>
      <c r="H995" s="27"/>
      <c r="I995" s="27"/>
      <c r="J995" s="27"/>
      <c r="K995" s="27"/>
      <c r="L995" s="22">
        <f t="shared" si="5"/>
        <v>0</v>
      </c>
    </row>
    <row r="996">
      <c r="A996" s="27"/>
      <c r="B996" s="27"/>
      <c r="C996" s="27"/>
      <c r="D996" s="27"/>
      <c r="E996" s="22">
        <f t="shared" si="2"/>
        <v>0</v>
      </c>
      <c r="F996" s="23" t="str">
        <f t="shared" si="3"/>
        <v/>
      </c>
      <c r="G996" s="23" t="str">
        <f t="shared" si="4"/>
        <v/>
      </c>
      <c r="H996" s="27"/>
      <c r="I996" s="27"/>
      <c r="J996" s="27"/>
      <c r="K996" s="27"/>
      <c r="L996" s="22">
        <f t="shared" si="5"/>
        <v>0</v>
      </c>
    </row>
    <row r="997">
      <c r="A997" s="27"/>
      <c r="B997" s="27"/>
      <c r="C997" s="27"/>
      <c r="D997" s="27"/>
      <c r="E997" s="22">
        <f t="shared" si="2"/>
        <v>0</v>
      </c>
      <c r="F997" s="23" t="str">
        <f t="shared" si="3"/>
        <v/>
      </c>
      <c r="G997" s="23" t="str">
        <f t="shared" si="4"/>
        <v/>
      </c>
      <c r="L997" s="22">
        <f t="shared" si="5"/>
        <v>0</v>
      </c>
    </row>
    <row r="998">
      <c r="A998" s="27"/>
      <c r="B998" s="27"/>
      <c r="C998" s="27"/>
      <c r="D998" s="27"/>
      <c r="E998" s="22">
        <f t="shared" si="2"/>
        <v>0</v>
      </c>
      <c r="F998" s="23" t="str">
        <f t="shared" si="3"/>
        <v/>
      </c>
      <c r="G998" s="23" t="str">
        <f t="shared" si="4"/>
        <v/>
      </c>
      <c r="L998" s="22">
        <f t="shared" si="5"/>
        <v>0</v>
      </c>
    </row>
    <row r="999">
      <c r="A999" s="27"/>
      <c r="B999" s="27"/>
      <c r="C999" s="27"/>
      <c r="D999" s="27"/>
      <c r="E999" s="22">
        <f t="shared" si="2"/>
        <v>0</v>
      </c>
      <c r="F999" s="23" t="str">
        <f t="shared" si="3"/>
        <v/>
      </c>
      <c r="G999" s="23" t="str">
        <f t="shared" si="4"/>
        <v/>
      </c>
      <c r="L999" s="22">
        <f t="shared" si="5"/>
        <v>0</v>
      </c>
    </row>
    <row r="1000">
      <c r="A1000" s="27"/>
      <c r="B1000" s="27"/>
      <c r="C1000" s="27"/>
      <c r="D1000" s="27"/>
      <c r="E1000" s="22">
        <f t="shared" si="2"/>
        <v>0</v>
      </c>
      <c r="F1000" s="23" t="str">
        <f t="shared" si="3"/>
        <v/>
      </c>
      <c r="G1000" s="23" t="str">
        <f t="shared" si="4"/>
        <v/>
      </c>
      <c r="L1000" s="22">
        <f t="shared" si="5"/>
        <v>0</v>
      </c>
    </row>
    <row r="1001">
      <c r="A1001" s="27"/>
      <c r="B1001" s="27"/>
      <c r="C1001" s="27"/>
      <c r="D1001" s="27"/>
      <c r="E1001" s="22">
        <f t="shared" si="2"/>
        <v>0</v>
      </c>
      <c r="F1001" s="23" t="str">
        <f t="shared" si="3"/>
        <v/>
      </c>
      <c r="G1001" s="23" t="str">
        <f t="shared" si="4"/>
        <v/>
      </c>
      <c r="L1001" s="22">
        <f t="shared" si="5"/>
        <v>0</v>
      </c>
    </row>
    <row r="1002">
      <c r="A1002" s="27"/>
      <c r="B1002" s="27"/>
      <c r="C1002" s="27"/>
      <c r="D1002" s="27"/>
      <c r="E1002" s="22">
        <f t="shared" si="2"/>
        <v>0</v>
      </c>
      <c r="F1002" s="23" t="str">
        <f t="shared" si="3"/>
        <v/>
      </c>
      <c r="G1002" s="23" t="str">
        <f t="shared" si="4"/>
        <v/>
      </c>
      <c r="L1002" s="22">
        <f t="shared" si="5"/>
        <v>0</v>
      </c>
    </row>
    <row r="1003">
      <c r="E1003" s="22">
        <f t="shared" si="2"/>
        <v>0</v>
      </c>
      <c r="F1003" s="23" t="str">
        <f t="shared" si="3"/>
        <v/>
      </c>
      <c r="G1003" s="23" t="str">
        <f t="shared" si="4"/>
        <v/>
      </c>
      <c r="L1003" s="22">
        <f t="shared" si="5"/>
        <v>0</v>
      </c>
    </row>
    <row r="1004">
      <c r="E1004" s="22">
        <f t="shared" si="2"/>
        <v>0</v>
      </c>
      <c r="F1004" s="23" t="str">
        <f t="shared" si="3"/>
        <v/>
      </c>
      <c r="G1004" s="23" t="str">
        <f t="shared" si="4"/>
        <v/>
      </c>
      <c r="L1004" s="22">
        <f t="shared" si="5"/>
        <v>0</v>
      </c>
    </row>
    <row r="1005">
      <c r="E1005" s="22">
        <f t="shared" si="2"/>
        <v>0</v>
      </c>
      <c r="F1005" s="23" t="str">
        <f t="shared" si="3"/>
        <v/>
      </c>
      <c r="G1005" s="23" t="str">
        <f t="shared" si="4"/>
        <v/>
      </c>
      <c r="L1005" s="22">
        <f t="shared" si="5"/>
        <v>0</v>
      </c>
    </row>
    <row r="1006">
      <c r="E1006" s="22">
        <f t="shared" si="2"/>
        <v>0</v>
      </c>
      <c r="F1006" s="23" t="str">
        <f t="shared" si="3"/>
        <v/>
      </c>
      <c r="G1006" s="23" t="str">
        <f t="shared" si="4"/>
        <v/>
      </c>
      <c r="L1006" s="22">
        <f t="shared" si="5"/>
        <v>0</v>
      </c>
    </row>
    <row r="1007">
      <c r="E1007" s="22">
        <f t="shared" si="2"/>
        <v>0</v>
      </c>
      <c r="F1007" s="23" t="str">
        <f t="shared" si="3"/>
        <v/>
      </c>
      <c r="G1007" s="23" t="str">
        <f t="shared" si="4"/>
        <v/>
      </c>
      <c r="L1007" s="22">
        <f t="shared" si="5"/>
        <v>0</v>
      </c>
    </row>
    <row r="1008">
      <c r="E1008" s="22">
        <f t="shared" si="2"/>
        <v>0</v>
      </c>
      <c r="F1008" s="23" t="str">
        <f t="shared" si="3"/>
        <v/>
      </c>
      <c r="G1008" s="23" t="str">
        <f t="shared" si="4"/>
        <v/>
      </c>
      <c r="L1008" s="22">
        <f t="shared" si="5"/>
        <v>0</v>
      </c>
    </row>
    <row r="1009">
      <c r="E1009" s="22">
        <f t="shared" si="2"/>
        <v>0</v>
      </c>
      <c r="F1009" s="23" t="str">
        <f t="shared" si="3"/>
        <v/>
      </c>
      <c r="G1009" s="23" t="str">
        <f t="shared" si="4"/>
        <v/>
      </c>
      <c r="L1009" s="22">
        <f t="shared" si="5"/>
        <v>0</v>
      </c>
    </row>
    <row r="1010">
      <c r="E1010" s="22">
        <f t="shared" si="2"/>
        <v>0</v>
      </c>
      <c r="F1010" s="23" t="str">
        <f t="shared" si="3"/>
        <v/>
      </c>
      <c r="G1010" s="23" t="str">
        <f t="shared" si="4"/>
        <v/>
      </c>
      <c r="L1010" s="22">
        <f t="shared" si="5"/>
        <v>0</v>
      </c>
    </row>
    <row r="1011">
      <c r="E1011" s="22">
        <f t="shared" si="2"/>
        <v>0</v>
      </c>
      <c r="F1011" s="23" t="str">
        <f t="shared" si="3"/>
        <v/>
      </c>
      <c r="G1011" s="23" t="str">
        <f t="shared" si="4"/>
        <v/>
      </c>
      <c r="L1011" s="22">
        <f t="shared" si="5"/>
        <v>0</v>
      </c>
    </row>
    <row r="1012">
      <c r="E1012" s="22">
        <f t="shared" si="2"/>
        <v>0</v>
      </c>
      <c r="F1012" s="23" t="str">
        <f t="shared" si="3"/>
        <v/>
      </c>
      <c r="G1012" s="23" t="str">
        <f t="shared" si="4"/>
        <v/>
      </c>
      <c r="L1012" s="22">
        <f t="shared" si="5"/>
        <v>0</v>
      </c>
    </row>
    <row r="1013">
      <c r="E1013" s="22">
        <f t="shared" si="2"/>
        <v>0</v>
      </c>
      <c r="F1013" s="23" t="str">
        <f t="shared" si="3"/>
        <v/>
      </c>
      <c r="G1013" s="23" t="str">
        <f t="shared" si="4"/>
        <v/>
      </c>
      <c r="L1013" s="22">
        <f t="shared" si="5"/>
        <v>0</v>
      </c>
    </row>
    <row r="1014">
      <c r="E1014" s="22">
        <f t="shared" si="2"/>
        <v>0</v>
      </c>
      <c r="F1014" s="23" t="str">
        <f t="shared" si="3"/>
        <v/>
      </c>
      <c r="G1014" s="23" t="str">
        <f t="shared" si="4"/>
        <v/>
      </c>
      <c r="L1014" s="22">
        <f t="shared" si="5"/>
        <v>0</v>
      </c>
    </row>
    <row r="1015">
      <c r="E1015" s="22">
        <f t="shared" si="2"/>
        <v>0</v>
      </c>
      <c r="F1015" s="23" t="str">
        <f t="shared" si="3"/>
        <v/>
      </c>
      <c r="G1015" s="23" t="str">
        <f t="shared" si="4"/>
        <v/>
      </c>
      <c r="L1015" s="22">
        <f t="shared" si="5"/>
        <v>0</v>
      </c>
    </row>
    <row r="1016">
      <c r="E1016" s="22">
        <f t="shared" si="2"/>
        <v>0</v>
      </c>
      <c r="F1016" s="23" t="str">
        <f t="shared" si="3"/>
        <v/>
      </c>
      <c r="G1016" s="23" t="str">
        <f t="shared" si="4"/>
        <v/>
      </c>
      <c r="L1016" s="22">
        <f t="shared" si="5"/>
        <v>0</v>
      </c>
    </row>
    <row r="1017">
      <c r="E1017" s="22">
        <f t="shared" si="2"/>
        <v>0</v>
      </c>
      <c r="F1017" s="23" t="str">
        <f t="shared" si="3"/>
        <v/>
      </c>
      <c r="G1017" s="23" t="str">
        <f t="shared" si="4"/>
        <v/>
      </c>
      <c r="L1017" s="22">
        <f t="shared" si="5"/>
        <v>0</v>
      </c>
    </row>
    <row r="1018">
      <c r="E1018" s="22">
        <f t="shared" si="2"/>
        <v>0</v>
      </c>
      <c r="F1018" s="23" t="str">
        <f t="shared" si="3"/>
        <v/>
      </c>
      <c r="G1018" s="23" t="str">
        <f t="shared" si="4"/>
        <v/>
      </c>
      <c r="L1018" s="22">
        <f t="shared" si="5"/>
        <v>0</v>
      </c>
    </row>
    <row r="1019">
      <c r="E1019" s="22">
        <f t="shared" si="2"/>
        <v>0</v>
      </c>
      <c r="F1019" s="23" t="str">
        <f t="shared" si="3"/>
        <v/>
      </c>
      <c r="G1019" s="23" t="str">
        <f t="shared" si="4"/>
        <v/>
      </c>
      <c r="L1019" s="22">
        <f t="shared" si="5"/>
        <v>0</v>
      </c>
    </row>
    <row r="1020">
      <c r="E1020" s="22">
        <f t="shared" si="2"/>
        <v>0</v>
      </c>
      <c r="F1020" s="23" t="str">
        <f t="shared" si="3"/>
        <v/>
      </c>
      <c r="G1020" s="23" t="str">
        <f t="shared" si="4"/>
        <v/>
      </c>
      <c r="L1020" s="22">
        <f t="shared" si="5"/>
        <v>0</v>
      </c>
    </row>
    <row r="1021">
      <c r="E1021" s="22">
        <f t="shared" si="2"/>
        <v>0</v>
      </c>
      <c r="F1021" s="23" t="str">
        <f t="shared" si="3"/>
        <v/>
      </c>
      <c r="G1021" s="23" t="str">
        <f t="shared" si="4"/>
        <v/>
      </c>
      <c r="L1021" s="22">
        <f t="shared" si="5"/>
        <v>0</v>
      </c>
    </row>
    <row r="1022">
      <c r="E1022" s="22">
        <f t="shared" si="2"/>
        <v>0</v>
      </c>
      <c r="F1022" s="23" t="str">
        <f t="shared" si="3"/>
        <v/>
      </c>
      <c r="G1022" s="23" t="str">
        <f t="shared" si="4"/>
        <v/>
      </c>
      <c r="L1022" s="22">
        <f t="shared" si="5"/>
        <v>0</v>
      </c>
    </row>
    <row r="1023">
      <c r="E1023" s="22">
        <f t="shared" si="2"/>
        <v>0</v>
      </c>
      <c r="F1023" s="23" t="str">
        <f t="shared" si="3"/>
        <v/>
      </c>
      <c r="G1023" s="23" t="str">
        <f t="shared" si="4"/>
        <v/>
      </c>
      <c r="L1023" s="22">
        <f t="shared" si="5"/>
        <v>0</v>
      </c>
    </row>
    <row r="1024">
      <c r="E1024" s="22">
        <f t="shared" si="2"/>
        <v>0</v>
      </c>
      <c r="F1024" s="23" t="str">
        <f t="shared" si="3"/>
        <v/>
      </c>
      <c r="G1024" s="23" t="str">
        <f t="shared" si="4"/>
        <v/>
      </c>
      <c r="L1024" s="22">
        <f t="shared" si="5"/>
        <v>0</v>
      </c>
    </row>
    <row r="1025">
      <c r="E1025" s="22">
        <f t="shared" si="2"/>
        <v>0</v>
      </c>
      <c r="F1025" s="23" t="str">
        <f t="shared" si="3"/>
        <v/>
      </c>
      <c r="G1025" s="23" t="str">
        <f t="shared" si="4"/>
        <v/>
      </c>
      <c r="L1025" s="22">
        <f t="shared" si="5"/>
        <v>0</v>
      </c>
    </row>
    <row r="1026">
      <c r="E1026" s="22">
        <f t="shared" si="2"/>
        <v>0</v>
      </c>
      <c r="F1026" s="23" t="str">
        <f t="shared" si="3"/>
        <v/>
      </c>
      <c r="G1026" s="23" t="str">
        <f t="shared" si="4"/>
        <v/>
      </c>
      <c r="L1026" s="22">
        <f t="shared" si="5"/>
        <v>0</v>
      </c>
    </row>
    <row r="1027">
      <c r="E1027" s="22">
        <f t="shared" si="2"/>
        <v>0</v>
      </c>
      <c r="F1027" s="23" t="str">
        <f t="shared" si="3"/>
        <v/>
      </c>
      <c r="G1027" s="23" t="str">
        <f t="shared" si="4"/>
        <v/>
      </c>
      <c r="L1027" s="22">
        <f t="shared" si="5"/>
        <v>0</v>
      </c>
    </row>
    <row r="1028">
      <c r="E1028" s="22">
        <f t="shared" si="2"/>
        <v>0</v>
      </c>
      <c r="F1028" s="23" t="str">
        <f t="shared" si="3"/>
        <v/>
      </c>
      <c r="G1028" s="23" t="str">
        <f t="shared" si="4"/>
        <v/>
      </c>
      <c r="L1028" s="22">
        <f t="shared" si="5"/>
        <v>0</v>
      </c>
    </row>
    <row r="1029">
      <c r="E1029" s="22">
        <f t="shared" si="2"/>
        <v>0</v>
      </c>
      <c r="F1029" s="23" t="str">
        <f t="shared" si="3"/>
        <v/>
      </c>
      <c r="G1029" s="23" t="str">
        <f t="shared" si="4"/>
        <v/>
      </c>
      <c r="L1029" s="22">
        <f t="shared" si="5"/>
        <v>0</v>
      </c>
    </row>
    <row r="1030">
      <c r="E1030" s="22">
        <f t="shared" si="2"/>
        <v>0</v>
      </c>
      <c r="F1030" s="23" t="str">
        <f t="shared" si="3"/>
        <v/>
      </c>
      <c r="G1030" s="23" t="str">
        <f t="shared" si="4"/>
        <v/>
      </c>
      <c r="L1030" s="22">
        <f t="shared" si="5"/>
        <v>0</v>
      </c>
    </row>
    <row r="1031">
      <c r="E1031" s="22">
        <f t="shared" si="2"/>
        <v>0</v>
      </c>
      <c r="F1031" s="23" t="str">
        <f t="shared" si="3"/>
        <v/>
      </c>
      <c r="G1031" s="23" t="str">
        <f t="shared" si="4"/>
        <v/>
      </c>
      <c r="L1031" s="22">
        <f t="shared" si="5"/>
        <v>0</v>
      </c>
    </row>
    <row r="1032">
      <c r="E1032" s="22">
        <f t="shared" si="2"/>
        <v>0</v>
      </c>
      <c r="F1032" s="23" t="str">
        <f t="shared" si="3"/>
        <v/>
      </c>
      <c r="G1032" s="23" t="str">
        <f t="shared" si="4"/>
        <v/>
      </c>
      <c r="L1032" s="22">
        <f t="shared" si="5"/>
        <v>0</v>
      </c>
    </row>
    <row r="1033">
      <c r="E1033" s="22">
        <f t="shared" si="2"/>
        <v>0</v>
      </c>
      <c r="F1033" s="23" t="str">
        <f t="shared" si="3"/>
        <v/>
      </c>
      <c r="G1033" s="23" t="str">
        <f t="shared" si="4"/>
        <v/>
      </c>
      <c r="L1033" s="22">
        <f t="shared" si="5"/>
        <v>0</v>
      </c>
    </row>
    <row r="1034">
      <c r="E1034" s="22">
        <f t="shared" si="2"/>
        <v>0</v>
      </c>
      <c r="F1034" s="23" t="str">
        <f t="shared" si="3"/>
        <v/>
      </c>
      <c r="G1034" s="23" t="str">
        <f t="shared" si="4"/>
        <v/>
      </c>
      <c r="L1034" s="22">
        <f t="shared" si="5"/>
        <v>0</v>
      </c>
    </row>
    <row r="1035">
      <c r="E1035" s="22">
        <f t="shared" si="2"/>
        <v>0</v>
      </c>
      <c r="F1035" s="23" t="str">
        <f t="shared" si="3"/>
        <v/>
      </c>
      <c r="G1035" s="23" t="str">
        <f t="shared" si="4"/>
        <v/>
      </c>
      <c r="L1035" s="22">
        <f t="shared" si="5"/>
        <v>0</v>
      </c>
    </row>
    <row r="1036">
      <c r="E1036" s="22">
        <f t="shared" si="2"/>
        <v>0</v>
      </c>
      <c r="F1036" s="23" t="str">
        <f t="shared" si="3"/>
        <v/>
      </c>
      <c r="G1036" s="23" t="str">
        <f t="shared" si="4"/>
        <v/>
      </c>
      <c r="L1036" s="22">
        <f t="shared" si="5"/>
        <v>0</v>
      </c>
    </row>
    <row r="1037">
      <c r="E1037" s="22">
        <f t="shared" si="2"/>
        <v>0</v>
      </c>
      <c r="F1037" s="23" t="str">
        <f t="shared" si="3"/>
        <v/>
      </c>
      <c r="G1037" s="23" t="str">
        <f t="shared" si="4"/>
        <v/>
      </c>
      <c r="L1037" s="22">
        <f t="shared" si="5"/>
        <v>0</v>
      </c>
    </row>
    <row r="1038">
      <c r="E1038" s="22">
        <f t="shared" si="2"/>
        <v>0</v>
      </c>
      <c r="F1038" s="23" t="str">
        <f t="shared" si="3"/>
        <v/>
      </c>
      <c r="G1038" s="23" t="str">
        <f t="shared" si="4"/>
        <v/>
      </c>
      <c r="L1038" s="22">
        <f t="shared" si="5"/>
        <v>0</v>
      </c>
    </row>
    <row r="1039">
      <c r="E1039" s="22">
        <f t="shared" si="2"/>
        <v>0</v>
      </c>
      <c r="F1039" s="23" t="str">
        <f t="shared" si="3"/>
        <v/>
      </c>
      <c r="G1039" s="23" t="str">
        <f t="shared" si="4"/>
        <v/>
      </c>
      <c r="L1039" s="22">
        <f t="shared" si="5"/>
        <v>0</v>
      </c>
    </row>
    <row r="1040">
      <c r="E1040" s="22">
        <f t="shared" si="2"/>
        <v>0</v>
      </c>
      <c r="F1040" s="23" t="str">
        <f t="shared" si="3"/>
        <v/>
      </c>
      <c r="G1040" s="23" t="str">
        <f t="shared" si="4"/>
        <v/>
      </c>
      <c r="L1040" s="22">
        <f t="shared" si="5"/>
        <v>0</v>
      </c>
    </row>
    <row r="1041">
      <c r="E1041" s="22">
        <f t="shared" si="2"/>
        <v>0</v>
      </c>
      <c r="F1041" s="23" t="str">
        <f t="shared" si="3"/>
        <v/>
      </c>
      <c r="G1041" s="23" t="str">
        <f t="shared" si="4"/>
        <v/>
      </c>
      <c r="L1041" s="22">
        <f t="shared" si="5"/>
        <v>0</v>
      </c>
    </row>
    <row r="1042">
      <c r="E1042" s="22">
        <f t="shared" si="2"/>
        <v>0</v>
      </c>
      <c r="F1042" s="23" t="str">
        <f t="shared" si="3"/>
        <v/>
      </c>
      <c r="G1042" s="23" t="str">
        <f t="shared" si="4"/>
        <v/>
      </c>
      <c r="L1042" s="22">
        <f t="shared" si="5"/>
        <v>0</v>
      </c>
    </row>
    <row r="1043">
      <c r="E1043" s="22">
        <f t="shared" si="2"/>
        <v>0</v>
      </c>
      <c r="F1043" s="23" t="str">
        <f t="shared" si="3"/>
        <v/>
      </c>
      <c r="G1043" s="23" t="str">
        <f t="shared" si="4"/>
        <v/>
      </c>
      <c r="L1043" s="22">
        <f t="shared" si="5"/>
        <v>0</v>
      </c>
    </row>
    <row r="1044">
      <c r="E1044" s="22">
        <f t="shared" si="2"/>
        <v>0</v>
      </c>
      <c r="F1044" s="23" t="str">
        <f t="shared" si="3"/>
        <v/>
      </c>
      <c r="G1044" s="23" t="str">
        <f t="shared" si="4"/>
        <v/>
      </c>
      <c r="L1044" s="22">
        <f t="shared" si="5"/>
        <v>0</v>
      </c>
    </row>
    <row r="1045">
      <c r="E1045" s="22">
        <f t="shared" si="2"/>
        <v>0</v>
      </c>
      <c r="F1045" s="23" t="str">
        <f t="shared" si="3"/>
        <v/>
      </c>
      <c r="G1045" s="23" t="str">
        <f t="shared" si="4"/>
        <v/>
      </c>
      <c r="L1045" s="22">
        <f t="shared" si="5"/>
        <v>0</v>
      </c>
    </row>
    <row r="1046">
      <c r="E1046" s="22">
        <f t="shared" si="2"/>
        <v>0</v>
      </c>
      <c r="F1046" s="23" t="str">
        <f t="shared" si="3"/>
        <v/>
      </c>
      <c r="G1046" s="23" t="str">
        <f t="shared" si="4"/>
        <v/>
      </c>
      <c r="L1046" s="22">
        <f t="shared" si="5"/>
        <v>0</v>
      </c>
    </row>
    <row r="1047">
      <c r="E1047" s="22">
        <f t="shared" si="2"/>
        <v>0</v>
      </c>
      <c r="F1047" s="23" t="str">
        <f t="shared" si="3"/>
        <v/>
      </c>
      <c r="G1047" s="23" t="str">
        <f t="shared" si="4"/>
        <v/>
      </c>
      <c r="L1047" s="22">
        <f t="shared" si="5"/>
        <v>0</v>
      </c>
    </row>
    <row r="1048">
      <c r="E1048" s="22">
        <f t="shared" si="2"/>
        <v>0</v>
      </c>
      <c r="F1048" s="23" t="str">
        <f t="shared" si="3"/>
        <v/>
      </c>
      <c r="G1048" s="23" t="str">
        <f t="shared" si="4"/>
        <v/>
      </c>
      <c r="L1048" s="22">
        <f t="shared" si="5"/>
        <v>0</v>
      </c>
    </row>
    <row r="1049">
      <c r="E1049" s="22">
        <f t="shared" si="2"/>
        <v>0</v>
      </c>
      <c r="F1049" s="23" t="str">
        <f t="shared" si="3"/>
        <v/>
      </c>
      <c r="G1049" s="23" t="str">
        <f t="shared" si="4"/>
        <v/>
      </c>
      <c r="L1049" s="22">
        <f t="shared" si="5"/>
        <v>0</v>
      </c>
    </row>
    <row r="1050">
      <c r="E1050" s="22">
        <f t="shared" si="2"/>
        <v>0</v>
      </c>
      <c r="F1050" s="23" t="str">
        <f t="shared" si="3"/>
        <v/>
      </c>
      <c r="G1050" s="23" t="str">
        <f t="shared" si="4"/>
        <v/>
      </c>
      <c r="L1050" s="22">
        <f t="shared" si="5"/>
        <v>0</v>
      </c>
    </row>
    <row r="1051">
      <c r="E1051" s="22">
        <f t="shared" si="2"/>
        <v>0</v>
      </c>
      <c r="F1051" s="23" t="str">
        <f t="shared" si="3"/>
        <v/>
      </c>
      <c r="G1051" s="23" t="str">
        <f t="shared" si="4"/>
        <v/>
      </c>
      <c r="L1051" s="22">
        <f t="shared" si="5"/>
        <v>0</v>
      </c>
    </row>
    <row r="1052">
      <c r="E1052" s="22">
        <f t="shared" si="2"/>
        <v>0</v>
      </c>
      <c r="F1052" s="23" t="str">
        <f t="shared" si="3"/>
        <v/>
      </c>
      <c r="G1052" s="23" t="str">
        <f t="shared" si="4"/>
        <v/>
      </c>
      <c r="L1052" s="22">
        <f t="shared" si="5"/>
        <v>0</v>
      </c>
    </row>
    <row r="1053">
      <c r="E1053" s="22">
        <f t="shared" si="2"/>
        <v>0</v>
      </c>
      <c r="F1053" s="23" t="str">
        <f t="shared" si="3"/>
        <v/>
      </c>
      <c r="G1053" s="23" t="str">
        <f t="shared" si="4"/>
        <v/>
      </c>
      <c r="L1053" s="22">
        <f t="shared" si="5"/>
        <v>0</v>
      </c>
    </row>
    <row r="1054">
      <c r="E1054" s="22">
        <f t="shared" si="2"/>
        <v>0</v>
      </c>
      <c r="F1054" s="23" t="str">
        <f t="shared" si="3"/>
        <v/>
      </c>
      <c r="G1054" s="23" t="str">
        <f t="shared" si="4"/>
        <v/>
      </c>
      <c r="L1054" s="22">
        <f t="shared" si="5"/>
        <v>0</v>
      </c>
    </row>
    <row r="1055">
      <c r="E1055" s="22">
        <f t="shared" si="2"/>
        <v>0</v>
      </c>
      <c r="F1055" s="23" t="str">
        <f t="shared" si="3"/>
        <v/>
      </c>
      <c r="G1055" s="23" t="str">
        <f t="shared" si="4"/>
        <v/>
      </c>
      <c r="L1055" s="22">
        <f t="shared" si="5"/>
        <v>0</v>
      </c>
    </row>
    <row r="1056">
      <c r="E1056" s="22">
        <f t="shared" si="2"/>
        <v>0</v>
      </c>
      <c r="F1056" s="23" t="str">
        <f t="shared" si="3"/>
        <v/>
      </c>
      <c r="G1056" s="23" t="str">
        <f t="shared" si="4"/>
        <v/>
      </c>
      <c r="L1056" s="22">
        <f t="shared" si="5"/>
        <v>0</v>
      </c>
    </row>
    <row r="1057">
      <c r="E1057" s="22">
        <f t="shared" si="2"/>
        <v>0</v>
      </c>
      <c r="F1057" s="23" t="str">
        <f t="shared" si="3"/>
        <v/>
      </c>
      <c r="G1057" s="23" t="str">
        <f t="shared" si="4"/>
        <v/>
      </c>
      <c r="L1057" s="22">
        <f t="shared" si="5"/>
        <v>0</v>
      </c>
    </row>
    <row r="1058">
      <c r="E1058" s="22">
        <f t="shared" si="2"/>
        <v>0</v>
      </c>
      <c r="F1058" s="23" t="str">
        <f t="shared" si="3"/>
        <v/>
      </c>
      <c r="G1058" s="23" t="str">
        <f t="shared" si="4"/>
        <v/>
      </c>
      <c r="L1058" s="22">
        <f t="shared" si="5"/>
        <v>0</v>
      </c>
    </row>
    <row r="1059">
      <c r="E1059" s="22">
        <f t="shared" si="2"/>
        <v>0</v>
      </c>
      <c r="F1059" s="23" t="str">
        <f t="shared" si="3"/>
        <v/>
      </c>
      <c r="G1059" s="23" t="str">
        <f t="shared" si="4"/>
        <v/>
      </c>
      <c r="L1059" s="22">
        <f t="shared" si="5"/>
        <v>0</v>
      </c>
    </row>
    <row r="1060">
      <c r="E1060" s="22">
        <f t="shared" si="2"/>
        <v>0</v>
      </c>
      <c r="F1060" s="23" t="str">
        <f t="shared" si="3"/>
        <v/>
      </c>
      <c r="G1060" s="23" t="str">
        <f t="shared" si="4"/>
        <v/>
      </c>
      <c r="L1060" s="22">
        <f t="shared" si="5"/>
        <v>0</v>
      </c>
    </row>
    <row r="1061">
      <c r="E1061" s="22">
        <f t="shared" si="2"/>
        <v>0</v>
      </c>
      <c r="F1061" s="23" t="str">
        <f t="shared" si="3"/>
        <v/>
      </c>
      <c r="G1061" s="23" t="str">
        <f t="shared" si="4"/>
        <v/>
      </c>
      <c r="L1061" s="22">
        <f t="shared" si="5"/>
        <v>0</v>
      </c>
    </row>
    <row r="1062">
      <c r="E1062" s="22">
        <f t="shared" si="2"/>
        <v>0</v>
      </c>
      <c r="F1062" s="23" t="str">
        <f t="shared" si="3"/>
        <v/>
      </c>
      <c r="G1062" s="23" t="str">
        <f t="shared" si="4"/>
        <v/>
      </c>
      <c r="L1062" s="22">
        <f t="shared" si="5"/>
        <v>0</v>
      </c>
    </row>
    <row r="1063">
      <c r="E1063" s="22">
        <f t="shared" si="2"/>
        <v>0</v>
      </c>
      <c r="F1063" s="23" t="str">
        <f t="shared" si="3"/>
        <v/>
      </c>
      <c r="G1063" s="23" t="str">
        <f t="shared" si="4"/>
        <v/>
      </c>
      <c r="L1063" s="22">
        <f t="shared" si="5"/>
        <v>0</v>
      </c>
    </row>
    <row r="1064">
      <c r="E1064" s="22">
        <f t="shared" si="2"/>
        <v>0</v>
      </c>
      <c r="F1064" s="23" t="str">
        <f t="shared" si="3"/>
        <v/>
      </c>
      <c r="G1064" s="23" t="str">
        <f t="shared" si="4"/>
        <v/>
      </c>
      <c r="L1064" s="22">
        <f t="shared" si="5"/>
        <v>0</v>
      </c>
    </row>
    <row r="1065">
      <c r="E1065" s="22">
        <f t="shared" si="2"/>
        <v>0</v>
      </c>
      <c r="F1065" s="23" t="str">
        <f t="shared" si="3"/>
        <v/>
      </c>
      <c r="G1065" s="23" t="str">
        <f t="shared" si="4"/>
        <v/>
      </c>
      <c r="L1065" s="22">
        <f t="shared" si="5"/>
        <v>0</v>
      </c>
    </row>
    <row r="1066">
      <c r="E1066" s="22">
        <f t="shared" si="2"/>
        <v>0</v>
      </c>
      <c r="F1066" s="23" t="str">
        <f t="shared" si="3"/>
        <v/>
      </c>
      <c r="G1066" s="23" t="str">
        <f t="shared" si="4"/>
        <v/>
      </c>
      <c r="L1066" s="22">
        <f t="shared" si="5"/>
        <v>0</v>
      </c>
    </row>
    <row r="1067">
      <c r="E1067" s="22">
        <f t="shared" si="2"/>
        <v>0</v>
      </c>
      <c r="F1067" s="23" t="str">
        <f t="shared" si="3"/>
        <v/>
      </c>
      <c r="G1067" s="23" t="str">
        <f t="shared" si="4"/>
        <v/>
      </c>
      <c r="L1067" s="22">
        <f t="shared" si="5"/>
        <v>0</v>
      </c>
    </row>
    <row r="1068">
      <c r="E1068" s="22">
        <f t="shared" si="2"/>
        <v>0</v>
      </c>
      <c r="F1068" s="23" t="str">
        <f t="shared" si="3"/>
        <v/>
      </c>
      <c r="G1068" s="23" t="str">
        <f t="shared" si="4"/>
        <v/>
      </c>
      <c r="L1068" s="22">
        <f t="shared" si="5"/>
        <v>0</v>
      </c>
    </row>
    <row r="1069">
      <c r="E1069" s="22">
        <f t="shared" si="2"/>
        <v>0</v>
      </c>
      <c r="F1069" s="23" t="str">
        <f t="shared" si="3"/>
        <v/>
      </c>
      <c r="G1069" s="23" t="str">
        <f t="shared" si="4"/>
        <v/>
      </c>
      <c r="L1069" s="22">
        <f t="shared" si="5"/>
        <v>0</v>
      </c>
    </row>
    <row r="1070">
      <c r="E1070" s="22">
        <f t="shared" si="2"/>
        <v>0</v>
      </c>
      <c r="F1070" s="23" t="str">
        <f t="shared" si="3"/>
        <v/>
      </c>
      <c r="G1070" s="23" t="str">
        <f t="shared" si="4"/>
        <v/>
      </c>
      <c r="L1070" s="22">
        <f t="shared" si="5"/>
        <v>0</v>
      </c>
    </row>
    <row r="1071">
      <c r="E1071" s="22">
        <f t="shared" si="2"/>
        <v>0</v>
      </c>
      <c r="F1071" s="23" t="str">
        <f t="shared" si="3"/>
        <v/>
      </c>
      <c r="G1071" s="23" t="str">
        <f t="shared" si="4"/>
        <v/>
      </c>
      <c r="L1071" s="22">
        <f t="shared" si="5"/>
        <v>0</v>
      </c>
    </row>
    <row r="1072">
      <c r="E1072" s="22">
        <f t="shared" si="2"/>
        <v>0</v>
      </c>
      <c r="F1072" s="23" t="str">
        <f t="shared" si="3"/>
        <v/>
      </c>
      <c r="G1072" s="23" t="str">
        <f t="shared" si="4"/>
        <v/>
      </c>
      <c r="L1072" s="22">
        <f t="shared" si="5"/>
        <v>0</v>
      </c>
    </row>
    <row r="1073">
      <c r="E1073" s="22">
        <f t="shared" si="2"/>
        <v>0</v>
      </c>
      <c r="F1073" s="23" t="str">
        <f t="shared" si="3"/>
        <v/>
      </c>
      <c r="G1073" s="23" t="str">
        <f t="shared" si="4"/>
        <v/>
      </c>
      <c r="L1073" s="22">
        <f t="shared" si="5"/>
        <v>0</v>
      </c>
    </row>
    <row r="1074">
      <c r="E1074" s="22">
        <f t="shared" si="2"/>
        <v>0</v>
      </c>
      <c r="F1074" s="23" t="str">
        <f t="shared" si="3"/>
        <v/>
      </c>
      <c r="G1074" s="23" t="str">
        <f t="shared" si="4"/>
        <v/>
      </c>
      <c r="L1074" s="22">
        <f t="shared" si="5"/>
        <v>0</v>
      </c>
    </row>
    <row r="1075">
      <c r="E1075" s="22">
        <f t="shared" si="2"/>
        <v>0</v>
      </c>
      <c r="F1075" s="23" t="str">
        <f t="shared" si="3"/>
        <v/>
      </c>
      <c r="G1075" s="23" t="str">
        <f t="shared" si="4"/>
        <v/>
      </c>
      <c r="L1075" s="22">
        <f t="shared" si="5"/>
        <v>0</v>
      </c>
    </row>
    <row r="1076">
      <c r="E1076" s="22">
        <f t="shared" si="2"/>
        <v>0</v>
      </c>
      <c r="F1076" s="23" t="str">
        <f t="shared" si="3"/>
        <v/>
      </c>
      <c r="G1076" s="23" t="str">
        <f t="shared" si="4"/>
        <v/>
      </c>
      <c r="L1076" s="22">
        <f t="shared" si="5"/>
        <v>0</v>
      </c>
    </row>
    <row r="1077">
      <c r="E1077" s="22">
        <f t="shared" si="2"/>
        <v>0</v>
      </c>
      <c r="F1077" s="23" t="str">
        <f t="shared" si="3"/>
        <v/>
      </c>
      <c r="G1077" s="23" t="str">
        <f t="shared" si="4"/>
        <v/>
      </c>
      <c r="L1077" s="22">
        <f t="shared" si="5"/>
        <v>0</v>
      </c>
    </row>
    <row r="1078">
      <c r="E1078" s="22">
        <f t="shared" si="2"/>
        <v>0</v>
      </c>
      <c r="F1078" s="23" t="str">
        <f t="shared" si="3"/>
        <v/>
      </c>
      <c r="G1078" s="23" t="str">
        <f t="shared" si="4"/>
        <v/>
      </c>
      <c r="L1078" s="22">
        <f t="shared" si="5"/>
        <v>0</v>
      </c>
    </row>
    <row r="1079">
      <c r="E1079" s="22">
        <f t="shared" si="2"/>
        <v>0</v>
      </c>
      <c r="F1079" s="23" t="str">
        <f t="shared" si="3"/>
        <v/>
      </c>
      <c r="G1079" s="23" t="str">
        <f t="shared" si="4"/>
        <v/>
      </c>
      <c r="L1079" s="22">
        <f t="shared" si="5"/>
        <v>0</v>
      </c>
    </row>
    <row r="1080">
      <c r="E1080" s="22">
        <f t="shared" si="2"/>
        <v>0</v>
      </c>
      <c r="F1080" s="23" t="str">
        <f t="shared" si="3"/>
        <v/>
      </c>
      <c r="G1080" s="23" t="str">
        <f t="shared" si="4"/>
        <v/>
      </c>
      <c r="L1080" s="22">
        <f t="shared" si="5"/>
        <v>0</v>
      </c>
    </row>
    <row r="1081">
      <c r="E1081" s="22">
        <f t="shared" si="2"/>
        <v>0</v>
      </c>
      <c r="F1081" s="23" t="str">
        <f t="shared" si="3"/>
        <v/>
      </c>
      <c r="G1081" s="23" t="str">
        <f t="shared" si="4"/>
        <v/>
      </c>
      <c r="L1081" s="22">
        <f t="shared" si="5"/>
        <v>0</v>
      </c>
    </row>
    <row r="1082">
      <c r="E1082" s="22">
        <f t="shared" si="2"/>
        <v>0</v>
      </c>
      <c r="F1082" s="23" t="str">
        <f t="shared" si="3"/>
        <v/>
      </c>
      <c r="G1082" s="23" t="str">
        <f t="shared" si="4"/>
        <v/>
      </c>
      <c r="L1082" s="22">
        <f t="shared" si="5"/>
        <v>0</v>
      </c>
    </row>
    <row r="1083">
      <c r="E1083" s="22">
        <f t="shared" si="2"/>
        <v>0</v>
      </c>
      <c r="F1083" s="23" t="str">
        <f t="shared" si="3"/>
        <v/>
      </c>
      <c r="G1083" s="23" t="str">
        <f t="shared" si="4"/>
        <v/>
      </c>
      <c r="L1083" s="22">
        <f t="shared" si="5"/>
        <v>0</v>
      </c>
    </row>
    <row r="1084">
      <c r="E1084" s="22">
        <f t="shared" si="2"/>
        <v>0</v>
      </c>
      <c r="F1084" s="23" t="str">
        <f t="shared" si="3"/>
        <v/>
      </c>
      <c r="G1084" s="23" t="str">
        <f t="shared" si="4"/>
        <v/>
      </c>
      <c r="L1084" s="22">
        <f t="shared" si="5"/>
        <v>0</v>
      </c>
    </row>
    <row r="1085">
      <c r="E1085" s="22">
        <f t="shared" si="2"/>
        <v>0</v>
      </c>
      <c r="F1085" s="23" t="str">
        <f t="shared" si="3"/>
        <v/>
      </c>
      <c r="G1085" s="23" t="str">
        <f t="shared" si="4"/>
        <v/>
      </c>
      <c r="L1085" s="22">
        <f t="shared" si="5"/>
        <v>0</v>
      </c>
    </row>
    <row r="1086">
      <c r="E1086" s="22">
        <f t="shared" si="2"/>
        <v>0</v>
      </c>
      <c r="F1086" s="23" t="str">
        <f t="shared" si="3"/>
        <v/>
      </c>
      <c r="G1086" s="23" t="str">
        <f t="shared" si="4"/>
        <v/>
      </c>
      <c r="L1086" s="22">
        <f t="shared" si="5"/>
        <v>0</v>
      </c>
    </row>
    <row r="1087">
      <c r="E1087" s="22">
        <f t="shared" si="2"/>
        <v>0</v>
      </c>
      <c r="F1087" s="23" t="str">
        <f t="shared" si="3"/>
        <v/>
      </c>
      <c r="G1087" s="23" t="str">
        <f t="shared" si="4"/>
        <v/>
      </c>
      <c r="L1087" s="22">
        <f t="shared" si="5"/>
        <v>0</v>
      </c>
    </row>
    <row r="1088">
      <c r="E1088" s="22">
        <f t="shared" si="2"/>
        <v>0</v>
      </c>
      <c r="F1088" s="23" t="str">
        <f t="shared" si="3"/>
        <v/>
      </c>
      <c r="G1088" s="23" t="str">
        <f t="shared" si="4"/>
        <v/>
      </c>
      <c r="L1088" s="22">
        <f t="shared" si="5"/>
        <v>0</v>
      </c>
    </row>
    <row r="1089">
      <c r="E1089" s="22">
        <f t="shared" si="2"/>
        <v>0</v>
      </c>
      <c r="F1089" s="23" t="str">
        <f t="shared" si="3"/>
        <v/>
      </c>
      <c r="G1089" s="23" t="str">
        <f t="shared" si="4"/>
        <v/>
      </c>
      <c r="L1089" s="22">
        <f t="shared" si="5"/>
        <v>0</v>
      </c>
    </row>
    <row r="1090">
      <c r="E1090" s="22">
        <f t="shared" si="2"/>
        <v>0</v>
      </c>
      <c r="F1090" s="23" t="str">
        <f t="shared" si="3"/>
        <v/>
      </c>
      <c r="G1090" s="23" t="str">
        <f t="shared" si="4"/>
        <v/>
      </c>
      <c r="L1090" s="22">
        <f t="shared" si="5"/>
        <v>0</v>
      </c>
    </row>
    <row r="1091">
      <c r="E1091" s="22">
        <f t="shared" si="2"/>
        <v>0</v>
      </c>
      <c r="F1091" s="23" t="str">
        <f t="shared" si="3"/>
        <v/>
      </c>
      <c r="G1091" s="23" t="str">
        <f t="shared" si="4"/>
        <v/>
      </c>
      <c r="L1091" s="22">
        <f t="shared" si="5"/>
        <v>0</v>
      </c>
    </row>
    <row r="1092">
      <c r="E1092" s="22">
        <f t="shared" si="2"/>
        <v>0</v>
      </c>
      <c r="F1092" s="23" t="str">
        <f t="shared" si="3"/>
        <v/>
      </c>
      <c r="G1092" s="23" t="str">
        <f t="shared" si="4"/>
        <v/>
      </c>
      <c r="L1092" s="22">
        <f t="shared" si="5"/>
        <v>0</v>
      </c>
    </row>
    <row r="1093">
      <c r="E1093" s="22">
        <f t="shared" si="2"/>
        <v>0</v>
      </c>
      <c r="F1093" s="23" t="str">
        <f t="shared" si="3"/>
        <v/>
      </c>
      <c r="G1093" s="23" t="str">
        <f t="shared" si="4"/>
        <v/>
      </c>
      <c r="L1093" s="22">
        <f t="shared" si="5"/>
        <v>0</v>
      </c>
    </row>
    <row r="1094">
      <c r="E1094" s="22">
        <f t="shared" si="2"/>
        <v>0</v>
      </c>
      <c r="F1094" s="23" t="str">
        <f t="shared" si="3"/>
        <v/>
      </c>
      <c r="G1094" s="23" t="str">
        <f t="shared" si="4"/>
        <v/>
      </c>
      <c r="L1094" s="22">
        <f t="shared" si="5"/>
        <v>0</v>
      </c>
    </row>
    <row r="1095">
      <c r="E1095" s="22">
        <f t="shared" si="2"/>
        <v>0</v>
      </c>
      <c r="F1095" s="23" t="str">
        <f t="shared" si="3"/>
        <v/>
      </c>
      <c r="G1095" s="23" t="str">
        <f t="shared" si="4"/>
        <v/>
      </c>
      <c r="L1095" s="22">
        <f t="shared" si="5"/>
        <v>0</v>
      </c>
    </row>
    <row r="1096">
      <c r="E1096" s="22">
        <f t="shared" si="2"/>
        <v>0</v>
      </c>
      <c r="F1096" s="23" t="str">
        <f t="shared" si="3"/>
        <v/>
      </c>
      <c r="G1096" s="23" t="str">
        <f t="shared" si="4"/>
        <v/>
      </c>
      <c r="L1096" s="22">
        <f t="shared" si="5"/>
        <v>0</v>
      </c>
    </row>
    <row r="1097">
      <c r="E1097" s="22">
        <f t="shared" si="2"/>
        <v>0</v>
      </c>
      <c r="F1097" s="23" t="str">
        <f t="shared" si="3"/>
        <v/>
      </c>
      <c r="G1097" s="23" t="str">
        <f t="shared" si="4"/>
        <v/>
      </c>
      <c r="L1097" s="22">
        <f t="shared" si="5"/>
        <v>0</v>
      </c>
    </row>
    <row r="1098">
      <c r="E1098" s="22">
        <f t="shared" si="2"/>
        <v>0</v>
      </c>
      <c r="F1098" s="23" t="str">
        <f t="shared" si="3"/>
        <v/>
      </c>
      <c r="G1098" s="23" t="str">
        <f t="shared" si="4"/>
        <v/>
      </c>
      <c r="L1098" s="22">
        <f t="shared" si="5"/>
        <v>0</v>
      </c>
    </row>
    <row r="1099">
      <c r="E1099" s="22">
        <f t="shared" si="2"/>
        <v>0</v>
      </c>
      <c r="F1099" s="23" t="str">
        <f t="shared" si="3"/>
        <v/>
      </c>
      <c r="G1099" s="23" t="str">
        <f t="shared" si="4"/>
        <v/>
      </c>
      <c r="L1099" s="22">
        <f t="shared" si="5"/>
        <v>0</v>
      </c>
    </row>
    <row r="1100">
      <c r="E1100" s="22">
        <f t="shared" si="2"/>
        <v>0</v>
      </c>
      <c r="F1100" s="23" t="str">
        <f t="shared" si="3"/>
        <v/>
      </c>
      <c r="G1100" s="23" t="str">
        <f t="shared" si="4"/>
        <v/>
      </c>
      <c r="L1100" s="22">
        <f t="shared" si="5"/>
        <v>0</v>
      </c>
    </row>
    <row r="1101">
      <c r="E1101" s="22">
        <f t="shared" si="2"/>
        <v>0</v>
      </c>
      <c r="F1101" s="23" t="str">
        <f t="shared" si="3"/>
        <v/>
      </c>
      <c r="G1101" s="23" t="str">
        <f t="shared" si="4"/>
        <v/>
      </c>
      <c r="L1101" s="22">
        <f t="shared" si="5"/>
        <v>0</v>
      </c>
    </row>
    <row r="1102">
      <c r="E1102" s="22">
        <f t="shared" si="2"/>
        <v>0</v>
      </c>
      <c r="F1102" s="23" t="str">
        <f t="shared" si="3"/>
        <v/>
      </c>
      <c r="G1102" s="23" t="str">
        <f t="shared" si="4"/>
        <v/>
      </c>
      <c r="L1102" s="22">
        <f t="shared" si="5"/>
        <v>0</v>
      </c>
    </row>
    <row r="1103">
      <c r="E1103" s="22">
        <f t="shared" si="2"/>
        <v>0</v>
      </c>
      <c r="F1103" s="23" t="str">
        <f t="shared" si="3"/>
        <v/>
      </c>
      <c r="G1103" s="23" t="str">
        <f t="shared" si="4"/>
        <v/>
      </c>
      <c r="L1103" s="22">
        <f t="shared" si="5"/>
        <v>0</v>
      </c>
    </row>
    <row r="1104">
      <c r="E1104" s="22">
        <f t="shared" si="2"/>
        <v>0</v>
      </c>
      <c r="F1104" s="23" t="str">
        <f t="shared" si="3"/>
        <v/>
      </c>
      <c r="G1104" s="23" t="str">
        <f t="shared" si="4"/>
        <v/>
      </c>
      <c r="L1104" s="22">
        <f t="shared" si="5"/>
        <v>0</v>
      </c>
    </row>
    <row r="1105">
      <c r="E1105" s="22">
        <f t="shared" si="2"/>
        <v>0</v>
      </c>
      <c r="F1105" s="23" t="str">
        <f t="shared" si="3"/>
        <v/>
      </c>
      <c r="G1105" s="23" t="str">
        <f t="shared" si="4"/>
        <v/>
      </c>
      <c r="L1105" s="22">
        <f t="shared" si="5"/>
        <v>0</v>
      </c>
    </row>
    <row r="1106">
      <c r="E1106" s="22">
        <f t="shared" si="2"/>
        <v>0</v>
      </c>
      <c r="F1106" s="23" t="str">
        <f t="shared" si="3"/>
        <v/>
      </c>
      <c r="G1106" s="23" t="str">
        <f t="shared" si="4"/>
        <v/>
      </c>
      <c r="L1106" s="22">
        <f t="shared" si="5"/>
        <v>0</v>
      </c>
    </row>
    <row r="1107">
      <c r="E1107" s="22">
        <f t="shared" si="2"/>
        <v>0</v>
      </c>
      <c r="F1107" s="23" t="str">
        <f t="shared" si="3"/>
        <v/>
      </c>
      <c r="G1107" s="23" t="str">
        <f t="shared" si="4"/>
        <v/>
      </c>
      <c r="L1107" s="22">
        <f t="shared" si="5"/>
        <v>0</v>
      </c>
    </row>
    <row r="1108">
      <c r="E1108" s="22">
        <f t="shared" si="2"/>
        <v>0</v>
      </c>
      <c r="F1108" s="23" t="str">
        <f t="shared" si="3"/>
        <v/>
      </c>
      <c r="G1108" s="23" t="str">
        <f t="shared" si="4"/>
        <v/>
      </c>
      <c r="L1108" s="22">
        <f t="shared" si="5"/>
        <v>0</v>
      </c>
    </row>
    <row r="1109">
      <c r="E1109" s="22">
        <f t="shared" si="2"/>
        <v>0</v>
      </c>
      <c r="F1109" s="23" t="str">
        <f t="shared" si="3"/>
        <v/>
      </c>
      <c r="G1109" s="23" t="str">
        <f t="shared" si="4"/>
        <v/>
      </c>
      <c r="L1109" s="22">
        <f t="shared" si="5"/>
        <v>0</v>
      </c>
    </row>
    <row r="1110">
      <c r="E1110" s="22">
        <f t="shared" si="2"/>
        <v>0</v>
      </c>
      <c r="F1110" s="23" t="str">
        <f t="shared" si="3"/>
        <v/>
      </c>
      <c r="G1110" s="23" t="str">
        <f t="shared" si="4"/>
        <v/>
      </c>
      <c r="L1110" s="22">
        <f t="shared" si="5"/>
        <v>0</v>
      </c>
    </row>
    <row r="1111">
      <c r="E1111" s="22">
        <f t="shared" si="2"/>
        <v>0</v>
      </c>
      <c r="F1111" s="23" t="str">
        <f t="shared" si="3"/>
        <v/>
      </c>
      <c r="G1111" s="23" t="str">
        <f t="shared" si="4"/>
        <v/>
      </c>
      <c r="L1111" s="22">
        <f t="shared" si="5"/>
        <v>0</v>
      </c>
    </row>
    <row r="1112">
      <c r="E1112" s="22">
        <f t="shared" si="2"/>
        <v>0</v>
      </c>
      <c r="F1112" s="23" t="str">
        <f t="shared" si="3"/>
        <v/>
      </c>
      <c r="G1112" s="23" t="str">
        <f t="shared" si="4"/>
        <v/>
      </c>
      <c r="L1112" s="22">
        <f t="shared" si="5"/>
        <v>0</v>
      </c>
    </row>
    <row r="1113">
      <c r="E1113" s="22">
        <f t="shared" si="2"/>
        <v>0</v>
      </c>
      <c r="F1113" s="23" t="str">
        <f t="shared" si="3"/>
        <v/>
      </c>
      <c r="G1113" s="23" t="str">
        <f t="shared" si="4"/>
        <v/>
      </c>
      <c r="L1113" s="22">
        <f t="shared" si="5"/>
        <v>0</v>
      </c>
    </row>
    <row r="1114">
      <c r="E1114" s="22">
        <f t="shared" si="2"/>
        <v>0</v>
      </c>
      <c r="F1114" s="23" t="str">
        <f t="shared" si="3"/>
        <v/>
      </c>
      <c r="G1114" s="23" t="str">
        <f t="shared" si="4"/>
        <v/>
      </c>
      <c r="L1114" s="22">
        <f t="shared" si="5"/>
        <v>0</v>
      </c>
    </row>
    <row r="1115">
      <c r="E1115" s="22">
        <f t="shared" si="2"/>
        <v>0</v>
      </c>
      <c r="F1115" s="23" t="str">
        <f t="shared" si="3"/>
        <v/>
      </c>
      <c r="G1115" s="23" t="str">
        <f t="shared" si="4"/>
        <v/>
      </c>
      <c r="L1115" s="22">
        <f t="shared" si="5"/>
        <v>0</v>
      </c>
    </row>
    <row r="1116">
      <c r="E1116" s="22">
        <f t="shared" si="2"/>
        <v>0</v>
      </c>
      <c r="F1116" s="23" t="str">
        <f t="shared" si="3"/>
        <v/>
      </c>
      <c r="G1116" s="23" t="str">
        <f t="shared" si="4"/>
        <v/>
      </c>
      <c r="L1116" s="22">
        <f t="shared" si="5"/>
        <v>0</v>
      </c>
    </row>
    <row r="1117">
      <c r="E1117" s="22">
        <f t="shared" si="2"/>
        <v>0</v>
      </c>
      <c r="F1117" s="23" t="str">
        <f t="shared" si="3"/>
        <v/>
      </c>
      <c r="G1117" s="23" t="str">
        <f t="shared" si="4"/>
        <v/>
      </c>
      <c r="L1117" s="22">
        <f t="shared" si="5"/>
        <v>0</v>
      </c>
    </row>
    <row r="1118">
      <c r="E1118" s="22">
        <f t="shared" si="2"/>
        <v>0</v>
      </c>
      <c r="F1118" s="23" t="str">
        <f t="shared" si="3"/>
        <v/>
      </c>
      <c r="G1118" s="23" t="str">
        <f t="shared" si="4"/>
        <v/>
      </c>
      <c r="L1118" s="22">
        <f t="shared" si="5"/>
        <v>0</v>
      </c>
    </row>
    <row r="1119">
      <c r="E1119" s="22">
        <f t="shared" si="2"/>
        <v>0</v>
      </c>
      <c r="F1119" s="23" t="str">
        <f t="shared" si="3"/>
        <v/>
      </c>
      <c r="G1119" s="23" t="str">
        <f t="shared" si="4"/>
        <v/>
      </c>
      <c r="L1119" s="22">
        <f t="shared" si="5"/>
        <v>0</v>
      </c>
    </row>
    <row r="1120">
      <c r="E1120" s="22">
        <f t="shared" si="2"/>
        <v>0</v>
      </c>
      <c r="F1120" s="23" t="str">
        <f t="shared" si="3"/>
        <v/>
      </c>
      <c r="G1120" s="23" t="str">
        <f t="shared" si="4"/>
        <v/>
      </c>
      <c r="L1120" s="22">
        <f t="shared" si="5"/>
        <v>0</v>
      </c>
    </row>
    <row r="1121">
      <c r="E1121" s="22">
        <f t="shared" si="2"/>
        <v>0</v>
      </c>
      <c r="F1121" s="23" t="str">
        <f t="shared" si="3"/>
        <v/>
      </c>
      <c r="G1121" s="23" t="str">
        <f t="shared" si="4"/>
        <v/>
      </c>
      <c r="L1121" s="22">
        <f t="shared" si="5"/>
        <v>0</v>
      </c>
    </row>
    <row r="1122">
      <c r="E1122" s="22">
        <f t="shared" si="2"/>
        <v>0</v>
      </c>
      <c r="F1122" s="23" t="str">
        <f t="shared" si="3"/>
        <v/>
      </c>
      <c r="G1122" s="23" t="str">
        <f t="shared" si="4"/>
        <v/>
      </c>
      <c r="L1122" s="22">
        <f t="shared" si="5"/>
        <v>0</v>
      </c>
    </row>
    <row r="1123">
      <c r="E1123" s="22">
        <f t="shared" si="2"/>
        <v>0</v>
      </c>
      <c r="F1123" s="23" t="str">
        <f t="shared" si="3"/>
        <v/>
      </c>
      <c r="G1123" s="23" t="str">
        <f t="shared" si="4"/>
        <v/>
      </c>
      <c r="L1123" s="22">
        <f t="shared" si="5"/>
        <v>0</v>
      </c>
    </row>
    <row r="1124">
      <c r="E1124" s="22">
        <f t="shared" si="2"/>
        <v>0</v>
      </c>
      <c r="F1124" s="23" t="str">
        <f t="shared" si="3"/>
        <v/>
      </c>
      <c r="G1124" s="23" t="str">
        <f t="shared" si="4"/>
        <v/>
      </c>
      <c r="L1124" s="22">
        <f t="shared" si="5"/>
        <v>0</v>
      </c>
    </row>
    <row r="1125">
      <c r="E1125" s="22">
        <f t="shared" si="2"/>
        <v>0</v>
      </c>
      <c r="F1125" s="23" t="str">
        <f t="shared" si="3"/>
        <v/>
      </c>
      <c r="G1125" s="23" t="str">
        <f t="shared" si="4"/>
        <v/>
      </c>
      <c r="L1125" s="22">
        <f t="shared" si="5"/>
        <v>0</v>
      </c>
    </row>
    <row r="1126">
      <c r="E1126" s="22">
        <f t="shared" si="2"/>
        <v>0</v>
      </c>
      <c r="F1126" s="23" t="str">
        <f t="shared" si="3"/>
        <v/>
      </c>
      <c r="G1126" s="23" t="str">
        <f t="shared" si="4"/>
        <v/>
      </c>
      <c r="L1126" s="22">
        <f t="shared" si="5"/>
        <v>0</v>
      </c>
    </row>
    <row r="1127">
      <c r="E1127" s="22">
        <f t="shared" si="2"/>
        <v>0</v>
      </c>
      <c r="F1127" s="23" t="str">
        <f t="shared" si="3"/>
        <v/>
      </c>
      <c r="G1127" s="23" t="str">
        <f t="shared" si="4"/>
        <v/>
      </c>
      <c r="L1127" s="22">
        <f t="shared" si="5"/>
        <v>0</v>
      </c>
    </row>
    <row r="1128">
      <c r="E1128" s="22">
        <f t="shared" si="2"/>
        <v>0</v>
      </c>
      <c r="F1128" s="23" t="str">
        <f t="shared" si="3"/>
        <v/>
      </c>
      <c r="G1128" s="23" t="str">
        <f t="shared" si="4"/>
        <v/>
      </c>
      <c r="L1128" s="22">
        <f t="shared" si="5"/>
        <v>0</v>
      </c>
    </row>
    <row r="1129">
      <c r="E1129" s="22">
        <f t="shared" si="2"/>
        <v>0</v>
      </c>
      <c r="F1129" s="23" t="str">
        <f t="shared" si="3"/>
        <v/>
      </c>
      <c r="G1129" s="23" t="str">
        <f t="shared" si="4"/>
        <v/>
      </c>
      <c r="L1129" s="22">
        <f t="shared" si="5"/>
        <v>0</v>
      </c>
    </row>
    <row r="1130">
      <c r="E1130" s="22">
        <f t="shared" si="2"/>
        <v>0</v>
      </c>
      <c r="F1130" s="23" t="str">
        <f t="shared" si="3"/>
        <v/>
      </c>
      <c r="G1130" s="23" t="str">
        <f t="shared" si="4"/>
        <v/>
      </c>
      <c r="L1130" s="22">
        <f t="shared" si="5"/>
        <v>0</v>
      </c>
    </row>
    <row r="1131">
      <c r="E1131" s="22">
        <f t="shared" si="2"/>
        <v>0</v>
      </c>
      <c r="F1131" s="23" t="str">
        <f t="shared" si="3"/>
        <v/>
      </c>
      <c r="G1131" s="23" t="str">
        <f t="shared" si="4"/>
        <v/>
      </c>
      <c r="L1131" s="22">
        <f t="shared" si="5"/>
        <v>0</v>
      </c>
    </row>
    <row r="1132">
      <c r="E1132" s="22">
        <f t="shared" si="2"/>
        <v>0</v>
      </c>
      <c r="F1132" s="23" t="str">
        <f t="shared" si="3"/>
        <v/>
      </c>
      <c r="G1132" s="23" t="str">
        <f t="shared" si="4"/>
        <v/>
      </c>
      <c r="L1132" s="22">
        <f t="shared" si="5"/>
        <v>0</v>
      </c>
    </row>
    <row r="1133">
      <c r="E1133" s="22">
        <f t="shared" si="2"/>
        <v>0</v>
      </c>
      <c r="F1133" s="23" t="str">
        <f t="shared" si="3"/>
        <v/>
      </c>
      <c r="G1133" s="23" t="str">
        <f t="shared" si="4"/>
        <v/>
      </c>
      <c r="L1133" s="22">
        <f t="shared" si="5"/>
        <v>0</v>
      </c>
    </row>
    <row r="1134">
      <c r="E1134" s="22">
        <f t="shared" si="2"/>
        <v>0</v>
      </c>
      <c r="F1134" s="23" t="str">
        <f t="shared" si="3"/>
        <v/>
      </c>
      <c r="G1134" s="23" t="str">
        <f t="shared" si="4"/>
        <v/>
      </c>
      <c r="L1134" s="22">
        <f t="shared" si="5"/>
        <v>0</v>
      </c>
    </row>
    <row r="1135">
      <c r="E1135" s="22">
        <f t="shared" si="2"/>
        <v>0</v>
      </c>
      <c r="F1135" s="23" t="str">
        <f t="shared" si="3"/>
        <v/>
      </c>
      <c r="G1135" s="23" t="str">
        <f t="shared" si="4"/>
        <v/>
      </c>
      <c r="L1135" s="22">
        <f t="shared" si="5"/>
        <v>0</v>
      </c>
    </row>
    <row r="1136">
      <c r="E1136" s="22">
        <f t="shared" si="2"/>
        <v>0</v>
      </c>
      <c r="F1136" s="23" t="str">
        <f t="shared" si="3"/>
        <v/>
      </c>
      <c r="G1136" s="23" t="str">
        <f t="shared" si="4"/>
        <v/>
      </c>
      <c r="L1136" s="22">
        <f t="shared" si="5"/>
        <v>0</v>
      </c>
    </row>
    <row r="1137">
      <c r="E1137" s="22">
        <f t="shared" si="2"/>
        <v>0</v>
      </c>
      <c r="F1137" s="23" t="str">
        <f t="shared" si="3"/>
        <v/>
      </c>
      <c r="G1137" s="23" t="str">
        <f t="shared" si="4"/>
        <v/>
      </c>
      <c r="L1137" s="22">
        <f t="shared" si="5"/>
        <v>0</v>
      </c>
    </row>
    <row r="1138">
      <c r="E1138" s="22">
        <f t="shared" si="2"/>
        <v>0</v>
      </c>
      <c r="F1138" s="23" t="str">
        <f t="shared" si="3"/>
        <v/>
      </c>
      <c r="G1138" s="23" t="str">
        <f t="shared" si="4"/>
        <v/>
      </c>
      <c r="L1138" s="22">
        <f t="shared" si="5"/>
        <v>0</v>
      </c>
    </row>
    <row r="1139">
      <c r="E1139" s="22">
        <f t="shared" si="2"/>
        <v>0</v>
      </c>
      <c r="F1139" s="23" t="str">
        <f t="shared" si="3"/>
        <v/>
      </c>
      <c r="G1139" s="23" t="str">
        <f t="shared" si="4"/>
        <v/>
      </c>
      <c r="L1139" s="22">
        <f t="shared" si="5"/>
        <v>0</v>
      </c>
    </row>
    <row r="1140">
      <c r="E1140" s="22">
        <f t="shared" si="2"/>
        <v>0</v>
      </c>
      <c r="F1140" s="23" t="str">
        <f t="shared" si="3"/>
        <v/>
      </c>
      <c r="G1140" s="23" t="str">
        <f t="shared" si="4"/>
        <v/>
      </c>
      <c r="L1140" s="22">
        <f t="shared" si="5"/>
        <v>0</v>
      </c>
    </row>
    <row r="1141">
      <c r="E1141" s="22">
        <f t="shared" si="2"/>
        <v>0</v>
      </c>
      <c r="F1141" s="23" t="str">
        <f t="shared" si="3"/>
        <v/>
      </c>
      <c r="G1141" s="23" t="str">
        <f t="shared" si="4"/>
        <v/>
      </c>
      <c r="L1141" s="22">
        <f t="shared" si="5"/>
        <v>0</v>
      </c>
    </row>
    <row r="1142">
      <c r="E1142" s="22">
        <f t="shared" si="2"/>
        <v>0</v>
      </c>
      <c r="F1142" s="23" t="str">
        <f t="shared" si="3"/>
        <v/>
      </c>
      <c r="G1142" s="23" t="str">
        <f t="shared" si="4"/>
        <v/>
      </c>
      <c r="L1142" s="22">
        <f t="shared" si="5"/>
        <v>0</v>
      </c>
    </row>
    <row r="1143">
      <c r="E1143" s="22">
        <f t="shared" si="2"/>
        <v>0</v>
      </c>
      <c r="F1143" s="23" t="str">
        <f t="shared" si="3"/>
        <v/>
      </c>
      <c r="G1143" s="23" t="str">
        <f t="shared" si="4"/>
        <v/>
      </c>
      <c r="L1143" s="22">
        <f t="shared" si="5"/>
        <v>0</v>
      </c>
    </row>
    <row r="1144">
      <c r="E1144" s="22">
        <f t="shared" si="2"/>
        <v>0</v>
      </c>
      <c r="F1144" s="23" t="str">
        <f t="shared" si="3"/>
        <v/>
      </c>
      <c r="G1144" s="23" t="str">
        <f t="shared" si="4"/>
        <v/>
      </c>
      <c r="L1144" s="22">
        <f t="shared" si="5"/>
        <v>0</v>
      </c>
    </row>
    <row r="1145">
      <c r="E1145" s="22">
        <f t="shared" si="2"/>
        <v>0</v>
      </c>
      <c r="F1145" s="23" t="str">
        <f t="shared" si="3"/>
        <v/>
      </c>
      <c r="G1145" s="23" t="str">
        <f t="shared" si="4"/>
        <v/>
      </c>
      <c r="L1145" s="22">
        <f t="shared" si="5"/>
        <v>0</v>
      </c>
    </row>
    <row r="1146">
      <c r="E1146" s="22">
        <f t="shared" si="2"/>
        <v>0</v>
      </c>
      <c r="F1146" s="23" t="str">
        <f t="shared" si="3"/>
        <v/>
      </c>
      <c r="G1146" s="23" t="str">
        <f t="shared" si="4"/>
        <v/>
      </c>
      <c r="L1146" s="22">
        <f t="shared" si="5"/>
        <v>0</v>
      </c>
    </row>
    <row r="1147">
      <c r="E1147" s="22">
        <f t="shared" si="2"/>
        <v>0</v>
      </c>
      <c r="F1147" s="23" t="str">
        <f t="shared" si="3"/>
        <v/>
      </c>
      <c r="G1147" s="23" t="str">
        <f t="shared" si="4"/>
        <v/>
      </c>
      <c r="L1147" s="22">
        <f t="shared" si="5"/>
        <v>0</v>
      </c>
    </row>
    <row r="1148">
      <c r="E1148" s="22">
        <f t="shared" si="2"/>
        <v>0</v>
      </c>
      <c r="F1148" s="23" t="str">
        <f t="shared" si="3"/>
        <v/>
      </c>
      <c r="G1148" s="23" t="str">
        <f t="shared" si="4"/>
        <v/>
      </c>
      <c r="L1148" s="22">
        <f t="shared" si="5"/>
        <v>0</v>
      </c>
    </row>
    <row r="1149">
      <c r="E1149" s="22">
        <f t="shared" si="2"/>
        <v>0</v>
      </c>
      <c r="F1149" s="23" t="str">
        <f t="shared" si="3"/>
        <v/>
      </c>
      <c r="G1149" s="23" t="str">
        <f t="shared" si="4"/>
        <v/>
      </c>
      <c r="L1149" s="22">
        <f t="shared" si="5"/>
        <v>0</v>
      </c>
    </row>
    <row r="1150">
      <c r="E1150" s="22">
        <f t="shared" si="2"/>
        <v>0</v>
      </c>
      <c r="F1150" s="23" t="str">
        <f t="shared" si="3"/>
        <v/>
      </c>
      <c r="G1150" s="23" t="str">
        <f t="shared" si="4"/>
        <v/>
      </c>
      <c r="L1150" s="22">
        <f t="shared" si="5"/>
        <v>0</v>
      </c>
    </row>
    <row r="1151">
      <c r="E1151" s="22">
        <f t="shared" si="2"/>
        <v>0</v>
      </c>
      <c r="F1151" s="23" t="str">
        <f t="shared" si="3"/>
        <v/>
      </c>
      <c r="G1151" s="23" t="str">
        <f t="shared" si="4"/>
        <v/>
      </c>
      <c r="L1151" s="22">
        <f t="shared" si="5"/>
        <v>0</v>
      </c>
    </row>
    <row r="1152">
      <c r="E1152" s="22">
        <f t="shared" si="2"/>
        <v>0</v>
      </c>
      <c r="F1152" s="23" t="str">
        <f t="shared" si="3"/>
        <v/>
      </c>
      <c r="G1152" s="23" t="str">
        <f t="shared" si="4"/>
        <v/>
      </c>
      <c r="L1152" s="22">
        <f t="shared" si="5"/>
        <v>0</v>
      </c>
    </row>
    <row r="1153">
      <c r="E1153" s="22">
        <f t="shared" si="2"/>
        <v>0</v>
      </c>
      <c r="F1153" s="23" t="str">
        <f t="shared" si="3"/>
        <v/>
      </c>
      <c r="G1153" s="23" t="str">
        <f t="shared" si="4"/>
        <v/>
      </c>
      <c r="L1153" s="22">
        <f t="shared" si="5"/>
        <v>0</v>
      </c>
    </row>
    <row r="1154">
      <c r="E1154" s="22">
        <f t="shared" si="2"/>
        <v>0</v>
      </c>
      <c r="F1154" s="23" t="str">
        <f t="shared" si="3"/>
        <v/>
      </c>
      <c r="G1154" s="23" t="str">
        <f t="shared" si="4"/>
        <v/>
      </c>
      <c r="L1154" s="22">
        <f t="shared" si="5"/>
        <v>0</v>
      </c>
    </row>
    <row r="1155">
      <c r="E1155" s="22">
        <f t="shared" si="2"/>
        <v>0</v>
      </c>
      <c r="F1155" s="23" t="str">
        <f t="shared" si="3"/>
        <v/>
      </c>
      <c r="G1155" s="23" t="str">
        <f t="shared" si="4"/>
        <v/>
      </c>
      <c r="L1155" s="22">
        <f t="shared" si="5"/>
        <v>0</v>
      </c>
    </row>
    <row r="1156">
      <c r="E1156" s="22">
        <f t="shared" si="2"/>
        <v>0</v>
      </c>
      <c r="F1156" s="23" t="str">
        <f t="shared" si="3"/>
        <v/>
      </c>
      <c r="G1156" s="23" t="str">
        <f t="shared" si="4"/>
        <v/>
      </c>
      <c r="L1156" s="22">
        <f t="shared" si="5"/>
        <v>0</v>
      </c>
    </row>
    <row r="1157">
      <c r="E1157" s="22">
        <f t="shared" si="2"/>
        <v>0</v>
      </c>
      <c r="F1157" s="23" t="str">
        <f t="shared" si="3"/>
        <v/>
      </c>
      <c r="G1157" s="23" t="str">
        <f t="shared" si="4"/>
        <v/>
      </c>
      <c r="L1157" s="22">
        <f t="shared" si="5"/>
        <v>0</v>
      </c>
    </row>
    <row r="1158">
      <c r="E1158" s="22">
        <f t="shared" si="2"/>
        <v>0</v>
      </c>
      <c r="F1158" s="23" t="str">
        <f t="shared" si="3"/>
        <v/>
      </c>
      <c r="G1158" s="23" t="str">
        <f t="shared" si="4"/>
        <v/>
      </c>
      <c r="L1158" s="22">
        <f t="shared" si="5"/>
        <v>0</v>
      </c>
    </row>
    <row r="1159">
      <c r="E1159" s="22">
        <f t="shared" si="2"/>
        <v>0</v>
      </c>
      <c r="F1159" s="23" t="str">
        <f t="shared" si="3"/>
        <v/>
      </c>
      <c r="G1159" s="23" t="str">
        <f t="shared" si="4"/>
        <v/>
      </c>
      <c r="L1159" s="22">
        <f t="shared" si="5"/>
        <v>0</v>
      </c>
    </row>
    <row r="1160">
      <c r="E1160" s="22">
        <f t="shared" si="2"/>
        <v>0</v>
      </c>
      <c r="F1160" s="23" t="str">
        <f t="shared" si="3"/>
        <v/>
      </c>
      <c r="G1160" s="23" t="str">
        <f t="shared" si="4"/>
        <v/>
      </c>
      <c r="L1160" s="22">
        <f t="shared" si="5"/>
        <v>0</v>
      </c>
    </row>
    <row r="1161">
      <c r="E1161" s="22">
        <f t="shared" si="2"/>
        <v>0</v>
      </c>
      <c r="F1161" s="23" t="str">
        <f t="shared" si="3"/>
        <v/>
      </c>
      <c r="G1161" s="23" t="str">
        <f t="shared" si="4"/>
        <v/>
      </c>
      <c r="L1161" s="22">
        <f t="shared" si="5"/>
        <v>0</v>
      </c>
    </row>
    <row r="1162">
      <c r="E1162" s="22">
        <f t="shared" si="2"/>
        <v>0</v>
      </c>
      <c r="F1162" s="23" t="str">
        <f t="shared" si="3"/>
        <v/>
      </c>
      <c r="G1162" s="23" t="str">
        <f t="shared" si="4"/>
        <v/>
      </c>
      <c r="L1162" s="22">
        <f t="shared" si="5"/>
        <v>0</v>
      </c>
    </row>
    <row r="1163">
      <c r="E1163" s="22">
        <f t="shared" si="2"/>
        <v>0</v>
      </c>
      <c r="F1163" s="23" t="str">
        <f t="shared" si="3"/>
        <v/>
      </c>
      <c r="G1163" s="23" t="str">
        <f t="shared" si="4"/>
        <v/>
      </c>
      <c r="L1163" s="22">
        <f t="shared" si="5"/>
        <v>0</v>
      </c>
    </row>
    <row r="1164">
      <c r="E1164" s="22">
        <f t="shared" si="2"/>
        <v>0</v>
      </c>
      <c r="F1164" s="23" t="str">
        <f t="shared" si="3"/>
        <v/>
      </c>
      <c r="G1164" s="23" t="str">
        <f t="shared" si="4"/>
        <v/>
      </c>
      <c r="L1164" s="22">
        <f t="shared" si="5"/>
        <v>0</v>
      </c>
    </row>
    <row r="1165">
      <c r="E1165" s="22">
        <f t="shared" si="2"/>
        <v>0</v>
      </c>
      <c r="F1165" s="23" t="str">
        <f t="shared" si="3"/>
        <v/>
      </c>
      <c r="G1165" s="23" t="str">
        <f t="shared" si="4"/>
        <v/>
      </c>
      <c r="L1165" s="22">
        <f t="shared" si="5"/>
        <v>0</v>
      </c>
    </row>
    <row r="1166">
      <c r="E1166" s="22">
        <f t="shared" si="2"/>
        <v>0</v>
      </c>
      <c r="F1166" s="23" t="str">
        <f t="shared" si="3"/>
        <v/>
      </c>
      <c r="G1166" s="23" t="str">
        <f t="shared" si="4"/>
        <v/>
      </c>
      <c r="L1166" s="22">
        <f t="shared" si="5"/>
        <v>0</v>
      </c>
    </row>
    <row r="1167">
      <c r="E1167" s="22">
        <f t="shared" si="2"/>
        <v>0</v>
      </c>
      <c r="F1167" s="23" t="str">
        <f t="shared" si="3"/>
        <v/>
      </c>
      <c r="G1167" s="23" t="str">
        <f t="shared" si="4"/>
        <v/>
      </c>
      <c r="L1167" s="22">
        <f t="shared" si="5"/>
        <v>0</v>
      </c>
    </row>
    <row r="1168">
      <c r="E1168" s="22">
        <f t="shared" si="2"/>
        <v>0</v>
      </c>
      <c r="F1168" s="23" t="str">
        <f t="shared" si="3"/>
        <v/>
      </c>
      <c r="G1168" s="23" t="str">
        <f t="shared" si="4"/>
        <v/>
      </c>
      <c r="L1168" s="22">
        <f t="shared" si="5"/>
        <v>0</v>
      </c>
    </row>
    <row r="1169">
      <c r="E1169" s="22">
        <f t="shared" si="2"/>
        <v>0</v>
      </c>
      <c r="F1169" s="23" t="str">
        <f t="shared" si="3"/>
        <v/>
      </c>
      <c r="G1169" s="23" t="str">
        <f t="shared" si="4"/>
        <v/>
      </c>
      <c r="L1169" s="22">
        <f t="shared" si="5"/>
        <v>0</v>
      </c>
    </row>
    <row r="1170">
      <c r="E1170" s="22">
        <f t="shared" si="2"/>
        <v>0</v>
      </c>
      <c r="F1170" s="23" t="str">
        <f t="shared" si="3"/>
        <v/>
      </c>
      <c r="G1170" s="23" t="str">
        <f t="shared" si="4"/>
        <v/>
      </c>
      <c r="L1170" s="22">
        <f t="shared" si="5"/>
        <v>0</v>
      </c>
    </row>
    <row r="1171">
      <c r="E1171" s="22">
        <f t="shared" si="2"/>
        <v>0</v>
      </c>
      <c r="F1171" s="23" t="str">
        <f t="shared" si="3"/>
        <v/>
      </c>
      <c r="G1171" s="23" t="str">
        <f t="shared" si="4"/>
        <v/>
      </c>
      <c r="L1171" s="22">
        <f t="shared" si="5"/>
        <v>0</v>
      </c>
    </row>
    <row r="1172">
      <c r="E1172" s="22">
        <f t="shared" si="2"/>
        <v>0</v>
      </c>
      <c r="F1172" s="23" t="str">
        <f t="shared" si="3"/>
        <v/>
      </c>
      <c r="G1172" s="23" t="str">
        <f t="shared" si="4"/>
        <v/>
      </c>
      <c r="L1172" s="22">
        <f t="shared" si="5"/>
        <v>0</v>
      </c>
    </row>
    <row r="1173">
      <c r="E1173" s="22">
        <f t="shared" si="2"/>
        <v>0</v>
      </c>
      <c r="F1173" s="23" t="str">
        <f t="shared" si="3"/>
        <v/>
      </c>
      <c r="G1173" s="23" t="str">
        <f t="shared" si="4"/>
        <v/>
      </c>
      <c r="L1173" s="22">
        <f t="shared" si="5"/>
        <v>0</v>
      </c>
    </row>
    <row r="1174">
      <c r="E1174" s="22">
        <f t="shared" si="2"/>
        <v>0</v>
      </c>
      <c r="F1174" s="23" t="str">
        <f t="shared" si="3"/>
        <v/>
      </c>
      <c r="G1174" s="23" t="str">
        <f t="shared" si="4"/>
        <v/>
      </c>
      <c r="L1174" s="22">
        <f t="shared" si="5"/>
        <v>0</v>
      </c>
    </row>
    <row r="1175">
      <c r="E1175" s="22">
        <f t="shared" si="2"/>
        <v>0</v>
      </c>
      <c r="F1175" s="23" t="str">
        <f t="shared" si="3"/>
        <v/>
      </c>
      <c r="G1175" s="23" t="str">
        <f t="shared" si="4"/>
        <v/>
      </c>
      <c r="L1175" s="22">
        <f t="shared" si="5"/>
        <v>0</v>
      </c>
    </row>
    <row r="1176">
      <c r="E1176" s="22">
        <f t="shared" si="2"/>
        <v>0</v>
      </c>
      <c r="F1176" s="23" t="str">
        <f t="shared" si="3"/>
        <v/>
      </c>
      <c r="G1176" s="23" t="str">
        <f t="shared" si="4"/>
        <v/>
      </c>
      <c r="L1176" s="22">
        <f t="shared" si="5"/>
        <v>0</v>
      </c>
    </row>
    <row r="1177">
      <c r="E1177" s="22">
        <f t="shared" si="2"/>
        <v>0</v>
      </c>
      <c r="F1177" s="23" t="str">
        <f t="shared" si="3"/>
        <v/>
      </c>
      <c r="G1177" s="23" t="str">
        <f t="shared" si="4"/>
        <v/>
      </c>
      <c r="L1177" s="22">
        <f t="shared" si="5"/>
        <v>0</v>
      </c>
    </row>
    <row r="1178">
      <c r="E1178" s="22">
        <f t="shared" si="2"/>
        <v>0</v>
      </c>
      <c r="F1178" s="23" t="str">
        <f t="shared" si="3"/>
        <v/>
      </c>
      <c r="G1178" s="23" t="str">
        <f t="shared" si="4"/>
        <v/>
      </c>
      <c r="L1178" s="22">
        <f t="shared" si="5"/>
        <v>0</v>
      </c>
    </row>
    <row r="1179">
      <c r="E1179" s="22">
        <f t="shared" si="2"/>
        <v>0</v>
      </c>
      <c r="F1179" s="23" t="str">
        <f t="shared" si="3"/>
        <v/>
      </c>
      <c r="G1179" s="23" t="str">
        <f t="shared" si="4"/>
        <v/>
      </c>
      <c r="L1179" s="22">
        <f t="shared" si="5"/>
        <v>0</v>
      </c>
    </row>
    <row r="1180">
      <c r="E1180" s="22">
        <f t="shared" si="2"/>
        <v>0</v>
      </c>
      <c r="F1180" s="23" t="str">
        <f t="shared" si="3"/>
        <v/>
      </c>
      <c r="G1180" s="23" t="str">
        <f t="shared" si="4"/>
        <v/>
      </c>
      <c r="L1180" s="22">
        <f t="shared" si="5"/>
        <v>0</v>
      </c>
    </row>
    <row r="1181">
      <c r="E1181" s="22">
        <f t="shared" si="2"/>
        <v>0</v>
      </c>
      <c r="F1181" s="23" t="str">
        <f t="shared" si="3"/>
        <v/>
      </c>
      <c r="G1181" s="23" t="str">
        <f t="shared" si="4"/>
        <v/>
      </c>
      <c r="L1181" s="22">
        <f t="shared" si="5"/>
        <v>0</v>
      </c>
    </row>
    <row r="1182">
      <c r="E1182" s="22">
        <f t="shared" si="2"/>
        <v>0</v>
      </c>
      <c r="F1182" s="23" t="str">
        <f t="shared" si="3"/>
        <v/>
      </c>
      <c r="G1182" s="23" t="str">
        <f t="shared" si="4"/>
        <v/>
      </c>
      <c r="L1182" s="22">
        <f t="shared" si="5"/>
        <v>0</v>
      </c>
    </row>
    <row r="1183">
      <c r="E1183" s="22">
        <f t="shared" si="2"/>
        <v>0</v>
      </c>
      <c r="F1183" s="23" t="str">
        <f t="shared" si="3"/>
        <v/>
      </c>
      <c r="G1183" s="23" t="str">
        <f t="shared" si="4"/>
        <v/>
      </c>
      <c r="L1183" s="22">
        <f t="shared" si="5"/>
        <v>0</v>
      </c>
    </row>
    <row r="1184">
      <c r="E1184" s="22">
        <f t="shared" si="2"/>
        <v>0</v>
      </c>
      <c r="F1184" s="23" t="str">
        <f t="shared" si="3"/>
        <v/>
      </c>
      <c r="G1184" s="23" t="str">
        <f t="shared" si="4"/>
        <v/>
      </c>
      <c r="L1184" s="22">
        <f t="shared" si="5"/>
        <v>0</v>
      </c>
    </row>
    <row r="1185">
      <c r="E1185" s="22">
        <f t="shared" si="2"/>
        <v>0</v>
      </c>
      <c r="F1185" s="23" t="str">
        <f t="shared" si="3"/>
        <v/>
      </c>
      <c r="G1185" s="23" t="str">
        <f t="shared" si="4"/>
        <v/>
      </c>
      <c r="L1185" s="22">
        <f t="shared" si="5"/>
        <v>0</v>
      </c>
    </row>
    <row r="1186">
      <c r="E1186" s="22">
        <f t="shared" si="2"/>
        <v>0</v>
      </c>
      <c r="F1186" s="23" t="str">
        <f t="shared" si="3"/>
        <v/>
      </c>
      <c r="G1186" s="23" t="str">
        <f t="shared" si="4"/>
        <v/>
      </c>
      <c r="L1186" s="22">
        <f t="shared" si="5"/>
        <v>0</v>
      </c>
    </row>
    <row r="1187">
      <c r="E1187" s="22">
        <f t="shared" si="2"/>
        <v>0</v>
      </c>
      <c r="F1187" s="23" t="str">
        <f t="shared" si="3"/>
        <v/>
      </c>
      <c r="G1187" s="23" t="str">
        <f t="shared" si="4"/>
        <v/>
      </c>
      <c r="L1187" s="22">
        <f t="shared" si="5"/>
        <v>0</v>
      </c>
    </row>
    <row r="1188">
      <c r="E1188" s="22">
        <f t="shared" si="2"/>
        <v>0</v>
      </c>
      <c r="F1188" s="23" t="str">
        <f t="shared" si="3"/>
        <v/>
      </c>
      <c r="G1188" s="23" t="str">
        <f t="shared" si="4"/>
        <v/>
      </c>
      <c r="L1188" s="22">
        <f t="shared" si="5"/>
        <v>0</v>
      </c>
    </row>
    <row r="1189">
      <c r="E1189" s="22">
        <f t="shared" si="2"/>
        <v>0</v>
      </c>
      <c r="F1189" s="23" t="str">
        <f t="shared" si="3"/>
        <v/>
      </c>
      <c r="G1189" s="23" t="str">
        <f t="shared" si="4"/>
        <v/>
      </c>
      <c r="L1189" s="22">
        <f t="shared" si="5"/>
        <v>0</v>
      </c>
    </row>
    <row r="1190">
      <c r="E1190" s="22">
        <f t="shared" si="2"/>
        <v>0</v>
      </c>
      <c r="F1190" s="23" t="str">
        <f t="shared" si="3"/>
        <v/>
      </c>
      <c r="G1190" s="23" t="str">
        <f t="shared" si="4"/>
        <v/>
      </c>
      <c r="L1190" s="22">
        <f t="shared" si="5"/>
        <v>0</v>
      </c>
    </row>
    <row r="1191">
      <c r="E1191" s="22">
        <f t="shared" si="2"/>
        <v>0</v>
      </c>
      <c r="F1191" s="23" t="str">
        <f t="shared" si="3"/>
        <v/>
      </c>
      <c r="G1191" s="23" t="str">
        <f t="shared" si="4"/>
        <v/>
      </c>
      <c r="L1191" s="22">
        <f t="shared" si="5"/>
        <v>0</v>
      </c>
    </row>
    <row r="1192">
      <c r="E1192" s="22">
        <f t="shared" si="2"/>
        <v>0</v>
      </c>
      <c r="F1192" s="23" t="str">
        <f t="shared" si="3"/>
        <v/>
      </c>
      <c r="G1192" s="23" t="str">
        <f t="shared" si="4"/>
        <v/>
      </c>
      <c r="L1192" s="22">
        <f t="shared" si="5"/>
        <v>0</v>
      </c>
    </row>
    <row r="1193">
      <c r="E1193" s="22">
        <f t="shared" si="2"/>
        <v>0</v>
      </c>
      <c r="F1193" s="23" t="str">
        <f t="shared" si="3"/>
        <v/>
      </c>
      <c r="G1193" s="23" t="str">
        <f t="shared" si="4"/>
        <v/>
      </c>
      <c r="L1193" s="22">
        <f t="shared" si="5"/>
        <v>0</v>
      </c>
    </row>
    <row r="1194">
      <c r="E1194" s="22">
        <f t="shared" si="2"/>
        <v>0</v>
      </c>
      <c r="F1194" s="23" t="str">
        <f t="shared" si="3"/>
        <v/>
      </c>
      <c r="G1194" s="23" t="str">
        <f t="shared" si="4"/>
        <v/>
      </c>
      <c r="L1194" s="22">
        <f t="shared" si="5"/>
        <v>0</v>
      </c>
    </row>
    <row r="1195">
      <c r="E1195" s="22">
        <f t="shared" si="2"/>
        <v>0</v>
      </c>
      <c r="F1195" s="23" t="str">
        <f t="shared" si="3"/>
        <v/>
      </c>
      <c r="G1195" s="23" t="str">
        <f t="shared" si="4"/>
        <v/>
      </c>
      <c r="L1195" s="22">
        <f t="shared" si="5"/>
        <v>0</v>
      </c>
    </row>
    <row r="1196">
      <c r="E1196" s="22">
        <f t="shared" si="2"/>
        <v>0</v>
      </c>
      <c r="F1196" s="23" t="str">
        <f t="shared" si="3"/>
        <v/>
      </c>
      <c r="G1196" s="23" t="str">
        <f t="shared" si="4"/>
        <v/>
      </c>
      <c r="L1196" s="22">
        <f t="shared" si="5"/>
        <v>0</v>
      </c>
    </row>
    <row r="1197">
      <c r="E1197" s="22">
        <f t="shared" si="2"/>
        <v>0</v>
      </c>
      <c r="F1197" s="23" t="str">
        <f t="shared" si="3"/>
        <v/>
      </c>
      <c r="G1197" s="23" t="str">
        <f t="shared" si="4"/>
        <v/>
      </c>
      <c r="L1197" s="22">
        <f t="shared" si="5"/>
        <v>0</v>
      </c>
    </row>
    <row r="1198">
      <c r="E1198" s="22">
        <f t="shared" si="2"/>
        <v>0</v>
      </c>
      <c r="F1198" s="23" t="str">
        <f t="shared" si="3"/>
        <v/>
      </c>
      <c r="G1198" s="23" t="str">
        <f t="shared" si="4"/>
        <v/>
      </c>
      <c r="L1198" s="22">
        <f t="shared" si="5"/>
        <v>0</v>
      </c>
    </row>
    <row r="1199">
      <c r="E1199" s="22">
        <f t="shared" si="2"/>
        <v>0</v>
      </c>
      <c r="F1199" s="23" t="str">
        <f t="shared" si="3"/>
        <v/>
      </c>
      <c r="G1199" s="23" t="str">
        <f t="shared" si="4"/>
        <v/>
      </c>
      <c r="L1199" s="22">
        <f t="shared" si="5"/>
        <v>0</v>
      </c>
    </row>
    <row r="1200">
      <c r="E1200" s="22">
        <f t="shared" si="2"/>
        <v>0</v>
      </c>
      <c r="F1200" s="23" t="str">
        <f t="shared" si="3"/>
        <v/>
      </c>
      <c r="G1200" s="23" t="str">
        <f t="shared" si="4"/>
        <v/>
      </c>
      <c r="L1200" s="22">
        <f t="shared" si="5"/>
        <v>0</v>
      </c>
    </row>
    <row r="1201">
      <c r="E1201" s="22">
        <f t="shared" si="2"/>
        <v>0</v>
      </c>
      <c r="F1201" s="23" t="str">
        <f t="shared" si="3"/>
        <v/>
      </c>
      <c r="G1201" s="23" t="str">
        <f t="shared" si="4"/>
        <v/>
      </c>
      <c r="L1201" s="22">
        <f t="shared" si="5"/>
        <v>0</v>
      </c>
    </row>
    <row r="1202">
      <c r="E1202" s="22">
        <f t="shared" si="2"/>
        <v>0</v>
      </c>
      <c r="F1202" s="23" t="str">
        <f t="shared" si="3"/>
        <v/>
      </c>
      <c r="G1202" s="23" t="str">
        <f t="shared" si="4"/>
        <v/>
      </c>
      <c r="L1202" s="22">
        <f t="shared" si="5"/>
        <v>0</v>
      </c>
    </row>
    <row r="1203">
      <c r="E1203" s="22">
        <f t="shared" si="2"/>
        <v>0</v>
      </c>
      <c r="F1203" s="23" t="str">
        <f t="shared" si="3"/>
        <v/>
      </c>
      <c r="G1203" s="23" t="str">
        <f t="shared" si="4"/>
        <v/>
      </c>
      <c r="L1203" s="22">
        <f t="shared" si="5"/>
        <v>0</v>
      </c>
    </row>
    <row r="1204">
      <c r="E1204" s="22">
        <f t="shared" si="2"/>
        <v>0</v>
      </c>
      <c r="F1204" s="23" t="str">
        <f t="shared" si="3"/>
        <v/>
      </c>
      <c r="G1204" s="23" t="str">
        <f t="shared" si="4"/>
        <v/>
      </c>
      <c r="L1204" s="22">
        <f t="shared" si="5"/>
        <v>0</v>
      </c>
    </row>
    <row r="1205">
      <c r="E1205" s="22">
        <f t="shared" si="2"/>
        <v>0</v>
      </c>
      <c r="F1205" s="23" t="str">
        <f t="shared" si="3"/>
        <v/>
      </c>
      <c r="G1205" s="23" t="str">
        <f t="shared" si="4"/>
        <v/>
      </c>
      <c r="L1205" s="22">
        <f t="shared" si="5"/>
        <v>0</v>
      </c>
    </row>
    <row r="1206">
      <c r="E1206" s="22">
        <f t="shared" si="2"/>
        <v>0</v>
      </c>
      <c r="F1206" s="23" t="str">
        <f t="shared" si="3"/>
        <v/>
      </c>
      <c r="G1206" s="23" t="str">
        <f t="shared" si="4"/>
        <v/>
      </c>
      <c r="L1206" s="22">
        <f t="shared" si="5"/>
        <v>0</v>
      </c>
    </row>
    <row r="1207">
      <c r="E1207" s="22">
        <f t="shared" si="2"/>
        <v>0</v>
      </c>
      <c r="F1207" s="23" t="str">
        <f t="shared" si="3"/>
        <v/>
      </c>
      <c r="G1207" s="23" t="str">
        <f t="shared" si="4"/>
        <v/>
      </c>
      <c r="L1207" s="22">
        <f t="shared" si="5"/>
        <v>0</v>
      </c>
    </row>
    <row r="1208">
      <c r="E1208" s="22">
        <f t="shared" si="2"/>
        <v>0</v>
      </c>
      <c r="F1208" s="23" t="str">
        <f t="shared" si="3"/>
        <v/>
      </c>
      <c r="G1208" s="23" t="str">
        <f t="shared" si="4"/>
        <v/>
      </c>
      <c r="L1208" s="22">
        <f t="shared" si="5"/>
        <v>0</v>
      </c>
    </row>
    <row r="1209">
      <c r="E1209" s="22">
        <f t="shared" si="2"/>
        <v>0</v>
      </c>
      <c r="F1209" s="23" t="str">
        <f t="shared" si="3"/>
        <v/>
      </c>
      <c r="G1209" s="23" t="str">
        <f t="shared" si="4"/>
        <v/>
      </c>
      <c r="L1209" s="22">
        <f t="shared" si="5"/>
        <v>0</v>
      </c>
    </row>
    <row r="1210">
      <c r="E1210" s="22">
        <f t="shared" si="2"/>
        <v>0</v>
      </c>
      <c r="F1210" s="23" t="str">
        <f t="shared" si="3"/>
        <v/>
      </c>
      <c r="G1210" s="23" t="str">
        <f t="shared" si="4"/>
        <v/>
      </c>
      <c r="L1210" s="22">
        <f t="shared" si="5"/>
        <v>0</v>
      </c>
    </row>
    <row r="1211">
      <c r="E1211" s="22">
        <f t="shared" si="2"/>
        <v>0</v>
      </c>
      <c r="F1211" s="23" t="str">
        <f t="shared" si="3"/>
        <v/>
      </c>
      <c r="G1211" s="23" t="str">
        <f t="shared" si="4"/>
        <v/>
      </c>
      <c r="L1211" s="22">
        <f t="shared" si="5"/>
        <v>0</v>
      </c>
    </row>
    <row r="1212">
      <c r="E1212" s="22">
        <f t="shared" si="2"/>
        <v>0</v>
      </c>
      <c r="F1212" s="23" t="str">
        <f t="shared" si="3"/>
        <v/>
      </c>
      <c r="G1212" s="23" t="str">
        <f t="shared" si="4"/>
        <v/>
      </c>
      <c r="L1212" s="22">
        <f t="shared" si="5"/>
        <v>0</v>
      </c>
    </row>
    <row r="1213">
      <c r="E1213" s="22">
        <f t="shared" si="2"/>
        <v>0</v>
      </c>
      <c r="F1213" s="23" t="str">
        <f t="shared" si="3"/>
        <v/>
      </c>
      <c r="G1213" s="23" t="str">
        <f t="shared" si="4"/>
        <v/>
      </c>
      <c r="L1213" s="22">
        <f t="shared" si="5"/>
        <v>0</v>
      </c>
    </row>
    <row r="1214">
      <c r="E1214" s="22">
        <f t="shared" si="2"/>
        <v>0</v>
      </c>
      <c r="F1214" s="23" t="str">
        <f t="shared" si="3"/>
        <v/>
      </c>
      <c r="G1214" s="23" t="str">
        <f t="shared" si="4"/>
        <v/>
      </c>
      <c r="L1214" s="22">
        <f t="shared" si="5"/>
        <v>0</v>
      </c>
    </row>
    <row r="1215">
      <c r="E1215" s="22">
        <f t="shared" si="2"/>
        <v>0</v>
      </c>
      <c r="F1215" s="23" t="str">
        <f t="shared" si="3"/>
        <v/>
      </c>
      <c r="G1215" s="23" t="str">
        <f t="shared" si="4"/>
        <v/>
      </c>
      <c r="L1215" s="22">
        <f t="shared" si="5"/>
        <v>0</v>
      </c>
    </row>
    <row r="1216">
      <c r="E1216" s="22">
        <f t="shared" si="2"/>
        <v>0</v>
      </c>
      <c r="F1216" s="23" t="str">
        <f t="shared" si="3"/>
        <v/>
      </c>
      <c r="G1216" s="23" t="str">
        <f t="shared" si="4"/>
        <v/>
      </c>
      <c r="L1216" s="22">
        <f t="shared" si="5"/>
        <v>0</v>
      </c>
    </row>
    <row r="1217">
      <c r="E1217" s="22">
        <f t="shared" si="2"/>
        <v>0</v>
      </c>
      <c r="F1217" s="23" t="str">
        <f t="shared" si="3"/>
        <v/>
      </c>
      <c r="G1217" s="23" t="str">
        <f t="shared" si="4"/>
        <v/>
      </c>
      <c r="L1217" s="22">
        <f t="shared" si="5"/>
        <v>0</v>
      </c>
    </row>
    <row r="1218">
      <c r="E1218" s="22">
        <f t="shared" si="2"/>
        <v>0</v>
      </c>
      <c r="F1218" s="23" t="str">
        <f t="shared" si="3"/>
        <v/>
      </c>
      <c r="G1218" s="23" t="str">
        <f t="shared" si="4"/>
        <v/>
      </c>
      <c r="L1218" s="22">
        <f t="shared" si="5"/>
        <v>0</v>
      </c>
    </row>
    <row r="1219">
      <c r="E1219" s="22">
        <f t="shared" si="2"/>
        <v>0</v>
      </c>
      <c r="F1219" s="23" t="str">
        <f t="shared" si="3"/>
        <v/>
      </c>
      <c r="G1219" s="23" t="str">
        <f t="shared" si="4"/>
        <v/>
      </c>
      <c r="L1219" s="22">
        <f t="shared" si="5"/>
        <v>0</v>
      </c>
    </row>
    <row r="1220">
      <c r="E1220" s="22">
        <f t="shared" si="2"/>
        <v>0</v>
      </c>
      <c r="F1220" s="23" t="str">
        <f t="shared" si="3"/>
        <v/>
      </c>
      <c r="G1220" s="23" t="str">
        <f t="shared" si="4"/>
        <v/>
      </c>
      <c r="L1220" s="22">
        <f t="shared" si="5"/>
        <v>0</v>
      </c>
    </row>
    <row r="1221">
      <c r="E1221" s="22">
        <f t="shared" si="2"/>
        <v>0</v>
      </c>
      <c r="F1221" s="23" t="str">
        <f t="shared" si="3"/>
        <v/>
      </c>
      <c r="G1221" s="23" t="str">
        <f t="shared" si="4"/>
        <v/>
      </c>
      <c r="L1221" s="22">
        <f t="shared" si="5"/>
        <v>0</v>
      </c>
    </row>
    <row r="1222">
      <c r="E1222" s="22">
        <f t="shared" si="2"/>
        <v>0</v>
      </c>
      <c r="F1222" s="23" t="str">
        <f t="shared" si="3"/>
        <v/>
      </c>
      <c r="G1222" s="23" t="str">
        <f t="shared" si="4"/>
        <v/>
      </c>
      <c r="L1222" s="22">
        <f t="shared" si="5"/>
        <v>0</v>
      </c>
    </row>
    <row r="1223">
      <c r="E1223" s="22">
        <f t="shared" si="2"/>
        <v>0</v>
      </c>
      <c r="F1223" s="23" t="str">
        <f t="shared" si="3"/>
        <v/>
      </c>
      <c r="G1223" s="23" t="str">
        <f t="shared" si="4"/>
        <v/>
      </c>
      <c r="L1223" s="22">
        <f t="shared" si="5"/>
        <v>0</v>
      </c>
    </row>
    <row r="1224">
      <c r="E1224" s="22">
        <f t="shared" si="2"/>
        <v>0</v>
      </c>
      <c r="F1224" s="23" t="str">
        <f t="shared" si="3"/>
        <v/>
      </c>
      <c r="G1224" s="23" t="str">
        <f t="shared" si="4"/>
        <v/>
      </c>
      <c r="L1224" s="22">
        <f t="shared" si="5"/>
        <v>0</v>
      </c>
    </row>
    <row r="1225">
      <c r="E1225" s="22">
        <f t="shared" si="2"/>
        <v>0</v>
      </c>
      <c r="F1225" s="23" t="str">
        <f t="shared" si="3"/>
        <v/>
      </c>
      <c r="G1225" s="23" t="str">
        <f t="shared" si="4"/>
        <v/>
      </c>
      <c r="L1225" s="22">
        <f t="shared" si="5"/>
        <v>0</v>
      </c>
    </row>
    <row r="1226">
      <c r="E1226" s="22">
        <f t="shared" si="2"/>
        <v>0</v>
      </c>
      <c r="F1226" s="23" t="str">
        <f t="shared" si="3"/>
        <v/>
      </c>
      <c r="G1226" s="23" t="str">
        <f t="shared" si="4"/>
        <v/>
      </c>
      <c r="L1226" s="22">
        <f t="shared" si="5"/>
        <v>0</v>
      </c>
    </row>
    <row r="1227">
      <c r="E1227" s="22">
        <f t="shared" si="2"/>
        <v>0</v>
      </c>
      <c r="F1227" s="23" t="str">
        <f t="shared" si="3"/>
        <v/>
      </c>
      <c r="G1227" s="23" t="str">
        <f t="shared" si="4"/>
        <v/>
      </c>
      <c r="L1227" s="22">
        <f t="shared" si="5"/>
        <v>0</v>
      </c>
    </row>
    <row r="1228">
      <c r="E1228" s="22">
        <f t="shared" si="2"/>
        <v>0</v>
      </c>
      <c r="F1228" s="23" t="str">
        <f t="shared" si="3"/>
        <v/>
      </c>
      <c r="G1228" s="23" t="str">
        <f t="shared" si="4"/>
        <v/>
      </c>
      <c r="L1228" s="22">
        <f t="shared" si="5"/>
        <v>0</v>
      </c>
    </row>
    <row r="1229">
      <c r="E1229" s="22">
        <f t="shared" si="2"/>
        <v>0</v>
      </c>
      <c r="F1229" s="23" t="str">
        <f t="shared" si="3"/>
        <v/>
      </c>
      <c r="G1229" s="23" t="str">
        <f t="shared" si="4"/>
        <v/>
      </c>
      <c r="L1229" s="22">
        <f t="shared" si="5"/>
        <v>0</v>
      </c>
    </row>
    <row r="1230">
      <c r="E1230" s="22">
        <f t="shared" si="2"/>
        <v>0</v>
      </c>
      <c r="F1230" s="23" t="str">
        <f t="shared" si="3"/>
        <v/>
      </c>
      <c r="G1230" s="23" t="str">
        <f t="shared" si="4"/>
        <v/>
      </c>
      <c r="L1230" s="22">
        <f t="shared" si="5"/>
        <v>0</v>
      </c>
    </row>
    <row r="1231">
      <c r="E1231" s="22">
        <f t="shared" si="2"/>
        <v>0</v>
      </c>
      <c r="F1231" s="23" t="str">
        <f t="shared" si="3"/>
        <v/>
      </c>
      <c r="G1231" s="23" t="str">
        <f t="shared" si="4"/>
        <v/>
      </c>
      <c r="L1231" s="22">
        <f t="shared" si="5"/>
        <v>0</v>
      </c>
    </row>
    <row r="1232">
      <c r="E1232" s="22">
        <f t="shared" si="2"/>
        <v>0</v>
      </c>
      <c r="F1232" s="23" t="str">
        <f t="shared" si="3"/>
        <v/>
      </c>
      <c r="G1232" s="23" t="str">
        <f t="shared" si="4"/>
        <v/>
      </c>
      <c r="L1232" s="22">
        <f t="shared" si="5"/>
        <v>0</v>
      </c>
    </row>
    <row r="1233">
      <c r="E1233" s="22">
        <f t="shared" si="2"/>
        <v>0</v>
      </c>
      <c r="F1233" s="23" t="str">
        <f t="shared" si="3"/>
        <v/>
      </c>
      <c r="G1233" s="23" t="str">
        <f t="shared" si="4"/>
        <v/>
      </c>
      <c r="L1233" s="22">
        <f t="shared" si="5"/>
        <v>0</v>
      </c>
    </row>
    <row r="1234">
      <c r="E1234" s="22">
        <f t="shared" si="2"/>
        <v>0</v>
      </c>
      <c r="F1234" s="23" t="str">
        <f t="shared" si="3"/>
        <v/>
      </c>
      <c r="G1234" s="23" t="str">
        <f t="shared" si="4"/>
        <v/>
      </c>
      <c r="L1234" s="22">
        <f t="shared" si="5"/>
        <v>0</v>
      </c>
    </row>
    <row r="1235">
      <c r="E1235" s="22">
        <f t="shared" si="2"/>
        <v>0</v>
      </c>
      <c r="F1235" s="23" t="str">
        <f t="shared" si="3"/>
        <v/>
      </c>
      <c r="G1235" s="23" t="str">
        <f t="shared" si="4"/>
        <v/>
      </c>
      <c r="L1235" s="22">
        <f t="shared" si="5"/>
        <v>0</v>
      </c>
    </row>
    <row r="1236">
      <c r="E1236" s="22">
        <f t="shared" si="2"/>
        <v>0</v>
      </c>
      <c r="F1236" s="23" t="str">
        <f t="shared" si="3"/>
        <v/>
      </c>
      <c r="G1236" s="23" t="str">
        <f t="shared" si="4"/>
        <v/>
      </c>
      <c r="L1236" s="22">
        <f t="shared" si="5"/>
        <v>0</v>
      </c>
    </row>
    <row r="1237">
      <c r="E1237" s="22">
        <f t="shared" si="2"/>
        <v>0</v>
      </c>
      <c r="F1237" s="23" t="str">
        <f t="shared" si="3"/>
        <v/>
      </c>
      <c r="G1237" s="23" t="str">
        <f t="shared" si="4"/>
        <v/>
      </c>
      <c r="L1237" s="22">
        <f t="shared" si="5"/>
        <v>0</v>
      </c>
    </row>
    <row r="1238">
      <c r="E1238" s="22">
        <f t="shared" si="2"/>
        <v>0</v>
      </c>
      <c r="F1238" s="23" t="str">
        <f t="shared" si="3"/>
        <v/>
      </c>
      <c r="G1238" s="23" t="str">
        <f t="shared" si="4"/>
        <v/>
      </c>
      <c r="L1238" s="22">
        <f t="shared" si="5"/>
        <v>0</v>
      </c>
    </row>
    <row r="1239">
      <c r="E1239" s="22">
        <f t="shared" si="2"/>
        <v>0</v>
      </c>
      <c r="F1239" s="23" t="str">
        <f t="shared" si="3"/>
        <v/>
      </c>
      <c r="G1239" s="23" t="str">
        <f t="shared" si="4"/>
        <v/>
      </c>
      <c r="L1239" s="22">
        <f t="shared" si="5"/>
        <v>0</v>
      </c>
    </row>
    <row r="1240">
      <c r="E1240" s="22">
        <f t="shared" si="2"/>
        <v>0</v>
      </c>
      <c r="F1240" s="23" t="str">
        <f t="shared" si="3"/>
        <v/>
      </c>
      <c r="G1240" s="23" t="str">
        <f t="shared" si="4"/>
        <v/>
      </c>
      <c r="L1240" s="22">
        <f t="shared" si="5"/>
        <v>0</v>
      </c>
    </row>
    <row r="1241">
      <c r="E1241" s="22">
        <f t="shared" si="2"/>
        <v>0</v>
      </c>
      <c r="F1241" s="23" t="str">
        <f t="shared" si="3"/>
        <v/>
      </c>
      <c r="G1241" s="23" t="str">
        <f t="shared" si="4"/>
        <v/>
      </c>
      <c r="L1241" s="22">
        <f t="shared" si="5"/>
        <v>0</v>
      </c>
    </row>
    <row r="1242">
      <c r="E1242" s="22">
        <f t="shared" si="2"/>
        <v>0</v>
      </c>
      <c r="F1242" s="23" t="str">
        <f t="shared" si="3"/>
        <v/>
      </c>
      <c r="G1242" s="23" t="str">
        <f t="shared" si="4"/>
        <v/>
      </c>
      <c r="L1242" s="22">
        <f t="shared" si="5"/>
        <v>0</v>
      </c>
    </row>
    <row r="1243">
      <c r="E1243" s="22">
        <f t="shared" si="2"/>
        <v>0</v>
      </c>
      <c r="F1243" s="23" t="str">
        <f t="shared" si="3"/>
        <v/>
      </c>
      <c r="G1243" s="23" t="str">
        <f t="shared" si="4"/>
        <v/>
      </c>
      <c r="L1243" s="22">
        <f t="shared" si="5"/>
        <v>0</v>
      </c>
    </row>
    <row r="1244">
      <c r="E1244" s="22">
        <f t="shared" si="2"/>
        <v>0</v>
      </c>
      <c r="F1244" s="23" t="str">
        <f t="shared" si="3"/>
        <v/>
      </c>
      <c r="G1244" s="23" t="str">
        <f t="shared" si="4"/>
        <v/>
      </c>
      <c r="L1244" s="22">
        <f t="shared" si="5"/>
        <v>0</v>
      </c>
    </row>
    <row r="1245">
      <c r="E1245" s="22">
        <f t="shared" si="2"/>
        <v>0</v>
      </c>
      <c r="F1245" s="23" t="str">
        <f t="shared" si="3"/>
        <v/>
      </c>
      <c r="G1245" s="23" t="str">
        <f t="shared" si="4"/>
        <v/>
      </c>
      <c r="L1245" s="22">
        <f t="shared" si="5"/>
        <v>0</v>
      </c>
    </row>
    <row r="1246">
      <c r="E1246" s="22">
        <f t="shared" si="2"/>
        <v>0</v>
      </c>
      <c r="F1246" s="23" t="str">
        <f t="shared" si="3"/>
        <v/>
      </c>
      <c r="G1246" s="23" t="str">
        <f t="shared" si="4"/>
        <v/>
      </c>
      <c r="L1246" s="22">
        <f t="shared" si="5"/>
        <v>0</v>
      </c>
    </row>
    <row r="1247">
      <c r="E1247" s="22">
        <f t="shared" si="2"/>
        <v>0</v>
      </c>
      <c r="F1247" s="23" t="str">
        <f t="shared" si="3"/>
        <v/>
      </c>
      <c r="G1247" s="23" t="str">
        <f t="shared" si="4"/>
        <v/>
      </c>
      <c r="L1247" s="22">
        <f t="shared" si="5"/>
        <v>0</v>
      </c>
    </row>
    <row r="1248">
      <c r="E1248" s="22">
        <f t="shared" si="2"/>
        <v>0</v>
      </c>
      <c r="F1248" s="23" t="str">
        <f t="shared" si="3"/>
        <v/>
      </c>
      <c r="G1248" s="23" t="str">
        <f t="shared" si="4"/>
        <v/>
      </c>
      <c r="L1248" s="22">
        <f t="shared" si="5"/>
        <v>0</v>
      </c>
    </row>
    <row r="1249">
      <c r="E1249" s="22">
        <f t="shared" si="2"/>
        <v>0</v>
      </c>
      <c r="F1249" s="23" t="str">
        <f t="shared" si="3"/>
        <v/>
      </c>
      <c r="G1249" s="23" t="str">
        <f t="shared" si="4"/>
        <v/>
      </c>
      <c r="L1249" s="22">
        <f t="shared" si="5"/>
        <v>0</v>
      </c>
    </row>
    <row r="1250">
      <c r="E1250" s="22">
        <f t="shared" si="2"/>
        <v>0</v>
      </c>
      <c r="F1250" s="23" t="str">
        <f t="shared" si="3"/>
        <v/>
      </c>
      <c r="G1250" s="23" t="str">
        <f t="shared" si="4"/>
        <v/>
      </c>
      <c r="L1250" s="22">
        <f t="shared" si="5"/>
        <v>0</v>
      </c>
    </row>
    <row r="1251">
      <c r="E1251" s="22">
        <f t="shared" si="2"/>
        <v>0</v>
      </c>
      <c r="F1251" s="23" t="str">
        <f t="shared" si="3"/>
        <v/>
      </c>
      <c r="G1251" s="23" t="str">
        <f t="shared" si="4"/>
        <v/>
      </c>
      <c r="L1251" s="22">
        <f t="shared" si="5"/>
        <v>0</v>
      </c>
    </row>
    <row r="1252">
      <c r="E1252" s="22">
        <f t="shared" si="2"/>
        <v>0</v>
      </c>
      <c r="F1252" s="23" t="str">
        <f t="shared" si="3"/>
        <v/>
      </c>
      <c r="G1252" s="23" t="str">
        <f t="shared" si="4"/>
        <v/>
      </c>
      <c r="L1252" s="22">
        <f t="shared" si="5"/>
        <v>0</v>
      </c>
    </row>
    <row r="1253">
      <c r="E1253" s="22">
        <f t="shared" si="2"/>
        <v>0</v>
      </c>
      <c r="F1253" s="23" t="str">
        <f t="shared" si="3"/>
        <v/>
      </c>
      <c r="G1253" s="23" t="str">
        <f t="shared" si="4"/>
        <v/>
      </c>
      <c r="L1253" s="22">
        <f t="shared" si="5"/>
        <v>0</v>
      </c>
    </row>
    <row r="1254">
      <c r="E1254" s="22">
        <f t="shared" si="2"/>
        <v>0</v>
      </c>
      <c r="F1254" s="23" t="str">
        <f t="shared" si="3"/>
        <v/>
      </c>
      <c r="G1254" s="23" t="str">
        <f t="shared" si="4"/>
        <v/>
      </c>
      <c r="L1254" s="22">
        <f t="shared" si="5"/>
        <v>0</v>
      </c>
    </row>
    <row r="1255">
      <c r="E1255" s="22">
        <f t="shared" si="2"/>
        <v>0</v>
      </c>
      <c r="F1255" s="23" t="str">
        <f t="shared" si="3"/>
        <v/>
      </c>
      <c r="G1255" s="23" t="str">
        <f t="shared" si="4"/>
        <v/>
      </c>
      <c r="L1255" s="22">
        <f t="shared" si="5"/>
        <v>0</v>
      </c>
    </row>
    <row r="1256">
      <c r="E1256" s="22">
        <f t="shared" si="2"/>
        <v>0</v>
      </c>
      <c r="F1256" s="23" t="str">
        <f t="shared" si="3"/>
        <v/>
      </c>
      <c r="G1256" s="23" t="str">
        <f t="shared" si="4"/>
        <v/>
      </c>
      <c r="L1256" s="22">
        <f t="shared" si="5"/>
        <v>0</v>
      </c>
    </row>
    <row r="1257">
      <c r="E1257" s="22">
        <f t="shared" si="2"/>
        <v>0</v>
      </c>
      <c r="F1257" s="23" t="str">
        <f t="shared" si="3"/>
        <v/>
      </c>
      <c r="G1257" s="23" t="str">
        <f t="shared" si="4"/>
        <v/>
      </c>
      <c r="L1257" s="22">
        <f t="shared" si="5"/>
        <v>0</v>
      </c>
    </row>
    <row r="1258">
      <c r="E1258" s="22">
        <f t="shared" si="2"/>
        <v>0</v>
      </c>
      <c r="F1258" s="23" t="str">
        <f t="shared" si="3"/>
        <v/>
      </c>
      <c r="G1258" s="23" t="str">
        <f t="shared" si="4"/>
        <v/>
      </c>
      <c r="L1258" s="22">
        <f t="shared" si="5"/>
        <v>0</v>
      </c>
    </row>
    <row r="1259">
      <c r="E1259" s="22">
        <f t="shared" si="2"/>
        <v>0</v>
      </c>
      <c r="F1259" s="23" t="str">
        <f t="shared" si="3"/>
        <v/>
      </c>
      <c r="G1259" s="23" t="str">
        <f t="shared" si="4"/>
        <v/>
      </c>
      <c r="L1259" s="22">
        <f t="shared" si="5"/>
        <v>0</v>
      </c>
    </row>
    <row r="1260">
      <c r="E1260" s="22">
        <f t="shared" si="2"/>
        <v>0</v>
      </c>
      <c r="F1260" s="23" t="str">
        <f t="shared" si="3"/>
        <v/>
      </c>
      <c r="G1260" s="23" t="str">
        <f t="shared" si="4"/>
        <v/>
      </c>
      <c r="L1260" s="22">
        <f t="shared" si="5"/>
        <v>0</v>
      </c>
    </row>
    <row r="1261">
      <c r="E1261" s="22">
        <f t="shared" si="2"/>
        <v>0</v>
      </c>
      <c r="F1261" s="23" t="str">
        <f t="shared" si="3"/>
        <v/>
      </c>
      <c r="G1261" s="23" t="str">
        <f t="shared" si="4"/>
        <v/>
      </c>
      <c r="L1261" s="22">
        <f t="shared" si="5"/>
        <v>0</v>
      </c>
    </row>
    <row r="1262">
      <c r="E1262" s="22">
        <f t="shared" si="2"/>
        <v>0</v>
      </c>
      <c r="F1262" s="23" t="str">
        <f t="shared" si="3"/>
        <v/>
      </c>
      <c r="G1262" s="23" t="str">
        <f t="shared" si="4"/>
        <v/>
      </c>
      <c r="L1262" s="22">
        <f t="shared" si="5"/>
        <v>0</v>
      </c>
    </row>
    <row r="1263">
      <c r="E1263" s="22">
        <f t="shared" si="2"/>
        <v>0</v>
      </c>
      <c r="F1263" s="23" t="str">
        <f t="shared" si="3"/>
        <v/>
      </c>
      <c r="G1263" s="23" t="str">
        <f t="shared" si="4"/>
        <v/>
      </c>
      <c r="L1263" s="22">
        <f t="shared" si="5"/>
        <v>0</v>
      </c>
    </row>
    <row r="1264">
      <c r="E1264" s="22">
        <f t="shared" si="2"/>
        <v>0</v>
      </c>
      <c r="F1264" s="23" t="str">
        <f t="shared" si="3"/>
        <v/>
      </c>
      <c r="G1264" s="23" t="str">
        <f t="shared" si="4"/>
        <v/>
      </c>
      <c r="L1264" s="22">
        <f t="shared" si="5"/>
        <v>0</v>
      </c>
    </row>
    <row r="1265">
      <c r="E1265" s="22">
        <f t="shared" si="2"/>
        <v>0</v>
      </c>
      <c r="F1265" s="23" t="str">
        <f t="shared" si="3"/>
        <v/>
      </c>
      <c r="G1265" s="23" t="str">
        <f t="shared" si="4"/>
        <v/>
      </c>
      <c r="L1265" s="22">
        <f t="shared" si="5"/>
        <v>0</v>
      </c>
    </row>
    <row r="1266">
      <c r="E1266" s="22">
        <f t="shared" si="2"/>
        <v>0</v>
      </c>
      <c r="F1266" s="23" t="str">
        <f t="shared" si="3"/>
        <v/>
      </c>
      <c r="G1266" s="23" t="str">
        <f t="shared" si="4"/>
        <v/>
      </c>
      <c r="L1266" s="22">
        <f t="shared" si="5"/>
        <v>0</v>
      </c>
    </row>
    <row r="1267">
      <c r="E1267" s="22">
        <f t="shared" si="2"/>
        <v>0</v>
      </c>
      <c r="F1267" s="23" t="str">
        <f t="shared" si="3"/>
        <v/>
      </c>
      <c r="G1267" s="23" t="str">
        <f t="shared" si="4"/>
        <v/>
      </c>
      <c r="L1267" s="22">
        <f t="shared" si="5"/>
        <v>0</v>
      </c>
    </row>
    <row r="1268">
      <c r="E1268" s="22">
        <f t="shared" si="2"/>
        <v>0</v>
      </c>
      <c r="F1268" s="23" t="str">
        <f t="shared" si="3"/>
        <v/>
      </c>
      <c r="G1268" s="23" t="str">
        <f t="shared" si="4"/>
        <v/>
      </c>
      <c r="L1268" s="22">
        <f t="shared" si="5"/>
        <v>0</v>
      </c>
    </row>
    <row r="1269">
      <c r="E1269" s="22">
        <f t="shared" si="2"/>
        <v>0</v>
      </c>
      <c r="F1269" s="23" t="str">
        <f t="shared" si="3"/>
        <v/>
      </c>
      <c r="G1269" s="23" t="str">
        <f t="shared" si="4"/>
        <v/>
      </c>
      <c r="L1269" s="22">
        <f t="shared" si="5"/>
        <v>0</v>
      </c>
    </row>
    <row r="1270">
      <c r="E1270" s="22">
        <f t="shared" si="2"/>
        <v>0</v>
      </c>
      <c r="F1270" s="23" t="str">
        <f t="shared" si="3"/>
        <v/>
      </c>
      <c r="G1270" s="23" t="str">
        <f t="shared" si="4"/>
        <v/>
      </c>
      <c r="L1270" s="22">
        <f t="shared" si="5"/>
        <v>0</v>
      </c>
    </row>
    <row r="1271">
      <c r="E1271" s="22">
        <f t="shared" si="2"/>
        <v>0</v>
      </c>
      <c r="F1271" s="23" t="str">
        <f t="shared" si="3"/>
        <v/>
      </c>
      <c r="G1271" s="23" t="str">
        <f t="shared" si="4"/>
        <v/>
      </c>
      <c r="L1271" s="22">
        <f t="shared" si="5"/>
        <v>0</v>
      </c>
    </row>
    <row r="1272">
      <c r="E1272" s="22">
        <f t="shared" si="2"/>
        <v>0</v>
      </c>
      <c r="F1272" s="23" t="str">
        <f t="shared" si="3"/>
        <v/>
      </c>
      <c r="G1272" s="23" t="str">
        <f t="shared" si="4"/>
        <v/>
      </c>
      <c r="L1272" s="22">
        <f t="shared" si="5"/>
        <v>0</v>
      </c>
    </row>
    <row r="1273">
      <c r="E1273" s="22">
        <f t="shared" si="2"/>
        <v>0</v>
      </c>
      <c r="F1273" s="23" t="str">
        <f t="shared" si="3"/>
        <v/>
      </c>
      <c r="G1273" s="23" t="str">
        <f t="shared" si="4"/>
        <v/>
      </c>
      <c r="L1273" s="22">
        <f t="shared" si="5"/>
        <v>0</v>
      </c>
    </row>
    <row r="1274">
      <c r="E1274" s="22">
        <f t="shared" si="2"/>
        <v>0</v>
      </c>
      <c r="F1274" s="23" t="str">
        <f t="shared" si="3"/>
        <v/>
      </c>
      <c r="G1274" s="23" t="str">
        <f t="shared" si="4"/>
        <v/>
      </c>
      <c r="L1274" s="22">
        <f t="shared" si="5"/>
        <v>0</v>
      </c>
    </row>
    <row r="1275">
      <c r="E1275" s="22">
        <f t="shared" si="2"/>
        <v>0</v>
      </c>
      <c r="F1275" s="23" t="str">
        <f t="shared" si="3"/>
        <v/>
      </c>
      <c r="G1275" s="23" t="str">
        <f t="shared" si="4"/>
        <v/>
      </c>
      <c r="L1275" s="22">
        <f t="shared" si="5"/>
        <v>0</v>
      </c>
    </row>
    <row r="1276">
      <c r="E1276" s="22">
        <f t="shared" si="2"/>
        <v>0</v>
      </c>
      <c r="F1276" s="23" t="str">
        <f t="shared" si="3"/>
        <v/>
      </c>
      <c r="G1276" s="23" t="str">
        <f t="shared" si="4"/>
        <v/>
      </c>
      <c r="L1276" s="22">
        <f t="shared" si="5"/>
        <v>0</v>
      </c>
    </row>
    <row r="1277">
      <c r="E1277" s="22">
        <f t="shared" si="2"/>
        <v>0</v>
      </c>
      <c r="F1277" s="23" t="str">
        <f t="shared" si="3"/>
        <v/>
      </c>
      <c r="G1277" s="23" t="str">
        <f t="shared" si="4"/>
        <v/>
      </c>
      <c r="L1277" s="22">
        <f t="shared" si="5"/>
        <v>0</v>
      </c>
    </row>
    <row r="1278">
      <c r="E1278" s="22">
        <f t="shared" si="2"/>
        <v>0</v>
      </c>
      <c r="F1278" s="23" t="str">
        <f t="shared" si="3"/>
        <v/>
      </c>
      <c r="G1278" s="23" t="str">
        <f t="shared" si="4"/>
        <v/>
      </c>
      <c r="L1278" s="22">
        <f t="shared" si="5"/>
        <v>0</v>
      </c>
    </row>
    <row r="1279">
      <c r="E1279" s="22">
        <f t="shared" si="2"/>
        <v>0</v>
      </c>
      <c r="F1279" s="23" t="str">
        <f t="shared" si="3"/>
        <v/>
      </c>
      <c r="G1279" s="23" t="str">
        <f t="shared" si="4"/>
        <v/>
      </c>
      <c r="L1279" s="22">
        <f t="shared" si="5"/>
        <v>0</v>
      </c>
    </row>
    <row r="1280">
      <c r="E1280" s="22">
        <f t="shared" si="2"/>
        <v>0</v>
      </c>
      <c r="F1280" s="23" t="str">
        <f t="shared" si="3"/>
        <v/>
      </c>
      <c r="G1280" s="23" t="str">
        <f t="shared" si="4"/>
        <v/>
      </c>
      <c r="L1280" s="22">
        <f t="shared" si="5"/>
        <v>0</v>
      </c>
    </row>
    <row r="1281">
      <c r="E1281" s="22">
        <f t="shared" si="2"/>
        <v>0</v>
      </c>
      <c r="F1281" s="23" t="str">
        <f t="shared" si="3"/>
        <v/>
      </c>
      <c r="G1281" s="23" t="str">
        <f t="shared" si="4"/>
        <v/>
      </c>
      <c r="L1281" s="22">
        <f t="shared" si="5"/>
        <v>0</v>
      </c>
    </row>
    <row r="1282">
      <c r="E1282" s="22">
        <f t="shared" si="2"/>
        <v>0</v>
      </c>
      <c r="F1282" s="23" t="str">
        <f t="shared" si="3"/>
        <v/>
      </c>
      <c r="G1282" s="23" t="str">
        <f t="shared" si="4"/>
        <v/>
      </c>
      <c r="L1282" s="22">
        <f t="shared" si="5"/>
        <v>0</v>
      </c>
    </row>
    <row r="1283">
      <c r="E1283" s="22">
        <f t="shared" si="2"/>
        <v>0</v>
      </c>
      <c r="F1283" s="23" t="str">
        <f t="shared" si="3"/>
        <v/>
      </c>
      <c r="G1283" s="23" t="str">
        <f t="shared" si="4"/>
        <v/>
      </c>
      <c r="L1283" s="22">
        <f t="shared" si="5"/>
        <v>0</v>
      </c>
    </row>
    <row r="1284">
      <c r="E1284" s="22">
        <f t="shared" si="2"/>
        <v>0</v>
      </c>
      <c r="F1284" s="23" t="str">
        <f t="shared" si="3"/>
        <v/>
      </c>
      <c r="G1284" s="23" t="str">
        <f t="shared" si="4"/>
        <v/>
      </c>
      <c r="L1284" s="22">
        <f t="shared" si="5"/>
        <v>0</v>
      </c>
    </row>
    <row r="1285">
      <c r="E1285" s="22">
        <f t="shared" si="2"/>
        <v>0</v>
      </c>
      <c r="F1285" s="23" t="str">
        <f t="shared" si="3"/>
        <v/>
      </c>
      <c r="G1285" s="23" t="str">
        <f t="shared" si="4"/>
        <v/>
      </c>
      <c r="L1285" s="22">
        <f t="shared" si="5"/>
        <v>0</v>
      </c>
    </row>
    <row r="1286">
      <c r="E1286" s="22">
        <f t="shared" si="2"/>
        <v>0</v>
      </c>
      <c r="F1286" s="23" t="str">
        <f t="shared" si="3"/>
        <v/>
      </c>
      <c r="G1286" s="23" t="str">
        <f t="shared" si="4"/>
        <v/>
      </c>
      <c r="L1286" s="22">
        <f t="shared" si="5"/>
        <v>0</v>
      </c>
    </row>
    <row r="1287">
      <c r="E1287" s="22">
        <f t="shared" si="2"/>
        <v>0</v>
      </c>
      <c r="F1287" s="23" t="str">
        <f t="shared" si="3"/>
        <v/>
      </c>
      <c r="G1287" s="23" t="str">
        <f t="shared" si="4"/>
        <v/>
      </c>
      <c r="L1287" s="22">
        <f t="shared" si="5"/>
        <v>0</v>
      </c>
    </row>
    <row r="1288">
      <c r="E1288" s="22">
        <f t="shared" si="2"/>
        <v>0</v>
      </c>
      <c r="F1288" s="23" t="str">
        <f t="shared" si="3"/>
        <v/>
      </c>
      <c r="G1288" s="23" t="str">
        <f t="shared" si="4"/>
        <v/>
      </c>
      <c r="L1288" s="22">
        <f t="shared" si="5"/>
        <v>0</v>
      </c>
    </row>
    <row r="1289">
      <c r="E1289" s="22">
        <f t="shared" si="2"/>
        <v>0</v>
      </c>
      <c r="F1289" s="23" t="str">
        <f t="shared" si="3"/>
        <v/>
      </c>
      <c r="G1289" s="23" t="str">
        <f t="shared" si="4"/>
        <v/>
      </c>
      <c r="L1289" s="22">
        <f t="shared" si="5"/>
        <v>0</v>
      </c>
    </row>
    <row r="1290">
      <c r="E1290" s="22">
        <f t="shared" si="2"/>
        <v>0</v>
      </c>
      <c r="F1290" s="23" t="str">
        <f t="shared" si="3"/>
        <v/>
      </c>
      <c r="G1290" s="23" t="str">
        <f t="shared" si="4"/>
        <v/>
      </c>
      <c r="L1290" s="22">
        <f t="shared" si="5"/>
        <v>0</v>
      </c>
    </row>
    <row r="1291">
      <c r="E1291" s="22">
        <f t="shared" si="2"/>
        <v>0</v>
      </c>
      <c r="F1291" s="23" t="str">
        <f t="shared" si="3"/>
        <v/>
      </c>
      <c r="G1291" s="23" t="str">
        <f t="shared" si="4"/>
        <v/>
      </c>
      <c r="L1291" s="22">
        <f t="shared" si="5"/>
        <v>0</v>
      </c>
    </row>
    <row r="1292">
      <c r="E1292" s="22">
        <f t="shared" si="2"/>
        <v>0</v>
      </c>
      <c r="F1292" s="23" t="str">
        <f t="shared" si="3"/>
        <v/>
      </c>
      <c r="G1292" s="23" t="str">
        <f t="shared" si="4"/>
        <v/>
      </c>
      <c r="L1292" s="22">
        <f t="shared" si="5"/>
        <v>0</v>
      </c>
    </row>
    <row r="1293">
      <c r="E1293" s="22">
        <f t="shared" si="2"/>
        <v>0</v>
      </c>
      <c r="F1293" s="23" t="str">
        <f t="shared" si="3"/>
        <v/>
      </c>
      <c r="G1293" s="23" t="str">
        <f t="shared" si="4"/>
        <v/>
      </c>
      <c r="L1293" s="22">
        <f t="shared" si="5"/>
        <v>0</v>
      </c>
    </row>
    <row r="1294">
      <c r="E1294" s="22">
        <f t="shared" si="2"/>
        <v>0</v>
      </c>
      <c r="F1294" s="23" t="str">
        <f t="shared" si="3"/>
        <v/>
      </c>
      <c r="G1294" s="23" t="str">
        <f t="shared" si="4"/>
        <v/>
      </c>
      <c r="L1294" s="22">
        <f t="shared" si="5"/>
        <v>0</v>
      </c>
    </row>
    <row r="1295">
      <c r="E1295" s="22">
        <f t="shared" si="2"/>
        <v>0</v>
      </c>
      <c r="F1295" s="23" t="str">
        <f t="shared" si="3"/>
        <v/>
      </c>
      <c r="G1295" s="23" t="str">
        <f t="shared" si="4"/>
        <v/>
      </c>
      <c r="L1295" s="22">
        <f t="shared" si="5"/>
        <v>0</v>
      </c>
    </row>
    <row r="1296">
      <c r="E1296" s="22">
        <f t="shared" si="2"/>
        <v>0</v>
      </c>
      <c r="F1296" s="23" t="str">
        <f t="shared" si="3"/>
        <v/>
      </c>
      <c r="G1296" s="23" t="str">
        <f t="shared" si="4"/>
        <v/>
      </c>
      <c r="L1296" s="22">
        <f t="shared" si="5"/>
        <v>0</v>
      </c>
    </row>
    <row r="1297">
      <c r="E1297" s="22">
        <f t="shared" si="2"/>
        <v>0</v>
      </c>
      <c r="F1297" s="23" t="str">
        <f t="shared" si="3"/>
        <v/>
      </c>
      <c r="G1297" s="23" t="str">
        <f t="shared" si="4"/>
        <v/>
      </c>
      <c r="L1297" s="22">
        <f t="shared" si="5"/>
        <v>0</v>
      </c>
    </row>
    <row r="1298">
      <c r="E1298" s="22">
        <f t="shared" si="2"/>
        <v>0</v>
      </c>
      <c r="F1298" s="23" t="str">
        <f t="shared" si="3"/>
        <v/>
      </c>
      <c r="G1298" s="23" t="str">
        <f t="shared" si="4"/>
        <v/>
      </c>
      <c r="L1298" s="22">
        <f t="shared" si="5"/>
        <v>0</v>
      </c>
    </row>
    <row r="1299">
      <c r="E1299" s="22">
        <f t="shared" si="2"/>
        <v>0</v>
      </c>
      <c r="F1299" s="23" t="str">
        <f t="shared" si="3"/>
        <v/>
      </c>
      <c r="G1299" s="23" t="str">
        <f t="shared" si="4"/>
        <v/>
      </c>
      <c r="L1299" s="22">
        <f t="shared" si="5"/>
        <v>0</v>
      </c>
    </row>
    <row r="1300">
      <c r="E1300" s="22">
        <f t="shared" si="2"/>
        <v>0</v>
      </c>
      <c r="F1300" s="23" t="str">
        <f t="shared" si="3"/>
        <v/>
      </c>
      <c r="G1300" s="23" t="str">
        <f t="shared" si="4"/>
        <v/>
      </c>
      <c r="L1300" s="22">
        <f t="shared" si="5"/>
        <v>0</v>
      </c>
    </row>
    <row r="1301">
      <c r="E1301" s="22">
        <f t="shared" si="2"/>
        <v>0</v>
      </c>
      <c r="F1301" s="23" t="str">
        <f t="shared" si="3"/>
        <v/>
      </c>
      <c r="G1301" s="23" t="str">
        <f t="shared" si="4"/>
        <v/>
      </c>
      <c r="L1301" s="22">
        <f t="shared" si="5"/>
        <v>0</v>
      </c>
    </row>
    <row r="1302">
      <c r="E1302" s="22">
        <f t="shared" si="2"/>
        <v>0</v>
      </c>
      <c r="F1302" s="23" t="str">
        <f t="shared" si="3"/>
        <v/>
      </c>
      <c r="G1302" s="23" t="str">
        <f t="shared" si="4"/>
        <v/>
      </c>
      <c r="L1302" s="22">
        <f t="shared" si="5"/>
        <v>0</v>
      </c>
    </row>
    <row r="1303">
      <c r="E1303" s="22">
        <f t="shared" si="2"/>
        <v>0</v>
      </c>
      <c r="F1303" s="23" t="str">
        <f t="shared" si="3"/>
        <v/>
      </c>
      <c r="G1303" s="23" t="str">
        <f t="shared" si="4"/>
        <v/>
      </c>
      <c r="L1303" s="22">
        <f t="shared" si="5"/>
        <v>0</v>
      </c>
    </row>
    <row r="1304">
      <c r="E1304" s="22">
        <f t="shared" si="2"/>
        <v>0</v>
      </c>
      <c r="F1304" s="23" t="str">
        <f t="shared" si="3"/>
        <v/>
      </c>
      <c r="G1304" s="23" t="str">
        <f t="shared" si="4"/>
        <v/>
      </c>
      <c r="L1304" s="22">
        <f t="shared" si="5"/>
        <v>0</v>
      </c>
    </row>
    <row r="1305">
      <c r="E1305" s="22">
        <f t="shared" si="2"/>
        <v>0</v>
      </c>
      <c r="F1305" s="23" t="str">
        <f t="shared" si="3"/>
        <v/>
      </c>
      <c r="G1305" s="23" t="str">
        <f t="shared" si="4"/>
        <v/>
      </c>
      <c r="L1305" s="22">
        <f t="shared" si="5"/>
        <v>0</v>
      </c>
    </row>
    <row r="1306">
      <c r="E1306" s="22">
        <f t="shared" si="2"/>
        <v>0</v>
      </c>
      <c r="F1306" s="23" t="str">
        <f t="shared" si="3"/>
        <v/>
      </c>
      <c r="G1306" s="23" t="str">
        <f t="shared" si="4"/>
        <v/>
      </c>
      <c r="L1306" s="22">
        <f t="shared" si="5"/>
        <v>0</v>
      </c>
    </row>
    <row r="1307">
      <c r="E1307" s="22">
        <f t="shared" si="2"/>
        <v>0</v>
      </c>
      <c r="F1307" s="23" t="str">
        <f t="shared" si="3"/>
        <v/>
      </c>
      <c r="G1307" s="23" t="str">
        <f t="shared" si="4"/>
        <v/>
      </c>
      <c r="L1307" s="22">
        <f t="shared" si="5"/>
        <v>0</v>
      </c>
    </row>
    <row r="1308">
      <c r="E1308" s="22">
        <f t="shared" si="2"/>
        <v>0</v>
      </c>
      <c r="F1308" s="23" t="str">
        <f t="shared" si="3"/>
        <v/>
      </c>
      <c r="G1308" s="23" t="str">
        <f t="shared" si="4"/>
        <v/>
      </c>
      <c r="L1308" s="22">
        <f t="shared" si="5"/>
        <v>0</v>
      </c>
    </row>
    <row r="1309">
      <c r="E1309" s="22">
        <f t="shared" si="2"/>
        <v>0</v>
      </c>
      <c r="F1309" s="23" t="str">
        <f t="shared" si="3"/>
        <v/>
      </c>
      <c r="G1309" s="23" t="str">
        <f t="shared" si="4"/>
        <v/>
      </c>
      <c r="L1309" s="22">
        <f t="shared" si="5"/>
        <v>0</v>
      </c>
    </row>
    <row r="1310">
      <c r="E1310" s="22">
        <f t="shared" si="2"/>
        <v>0</v>
      </c>
      <c r="F1310" s="23" t="str">
        <f t="shared" si="3"/>
        <v/>
      </c>
      <c r="G1310" s="23" t="str">
        <f t="shared" si="4"/>
        <v/>
      </c>
      <c r="L1310" s="22">
        <f t="shared" si="5"/>
        <v>0</v>
      </c>
    </row>
    <row r="1311">
      <c r="E1311" s="22">
        <f t="shared" si="2"/>
        <v>0</v>
      </c>
      <c r="F1311" s="23" t="str">
        <f t="shared" si="3"/>
        <v/>
      </c>
      <c r="G1311" s="23" t="str">
        <f t="shared" si="4"/>
        <v/>
      </c>
      <c r="L1311" s="22">
        <f t="shared" si="5"/>
        <v>0</v>
      </c>
    </row>
    <row r="1312">
      <c r="E1312" s="22">
        <f t="shared" si="2"/>
        <v>0</v>
      </c>
      <c r="F1312" s="23" t="str">
        <f t="shared" si="3"/>
        <v/>
      </c>
      <c r="G1312" s="23" t="str">
        <f t="shared" si="4"/>
        <v/>
      </c>
      <c r="L1312" s="22">
        <f t="shared" si="5"/>
        <v>0</v>
      </c>
    </row>
    <row r="1313">
      <c r="E1313" s="22">
        <f t="shared" si="2"/>
        <v>0</v>
      </c>
      <c r="F1313" s="23" t="str">
        <f t="shared" si="3"/>
        <v/>
      </c>
      <c r="G1313" s="23" t="str">
        <f t="shared" si="4"/>
        <v/>
      </c>
      <c r="L1313" s="22">
        <f t="shared" si="5"/>
        <v>0</v>
      </c>
    </row>
    <row r="1314">
      <c r="E1314" s="22">
        <f t="shared" si="2"/>
        <v>0</v>
      </c>
      <c r="F1314" s="23" t="str">
        <f t="shared" si="3"/>
        <v/>
      </c>
      <c r="G1314" s="23" t="str">
        <f t="shared" si="4"/>
        <v/>
      </c>
      <c r="L1314" s="22">
        <f t="shared" si="5"/>
        <v>0</v>
      </c>
    </row>
    <row r="1315">
      <c r="E1315" s="22">
        <f t="shared" si="2"/>
        <v>0</v>
      </c>
      <c r="F1315" s="23" t="str">
        <f t="shared" si="3"/>
        <v/>
      </c>
      <c r="G1315" s="23" t="str">
        <f t="shared" si="4"/>
        <v/>
      </c>
      <c r="L1315" s="22">
        <f t="shared" si="5"/>
        <v>0</v>
      </c>
    </row>
    <row r="1316">
      <c r="E1316" s="22">
        <f t="shared" si="2"/>
        <v>0</v>
      </c>
      <c r="F1316" s="23" t="str">
        <f t="shared" si="3"/>
        <v/>
      </c>
      <c r="G1316" s="23" t="str">
        <f t="shared" si="4"/>
        <v/>
      </c>
      <c r="L1316" s="22">
        <f t="shared" si="5"/>
        <v>0</v>
      </c>
    </row>
    <row r="1317">
      <c r="E1317" s="22">
        <f t="shared" si="2"/>
        <v>0</v>
      </c>
      <c r="F1317" s="23" t="str">
        <f t="shared" si="3"/>
        <v/>
      </c>
      <c r="G1317" s="23" t="str">
        <f t="shared" si="4"/>
        <v/>
      </c>
      <c r="L1317" s="22">
        <f t="shared" si="5"/>
        <v>0</v>
      </c>
    </row>
    <row r="1318">
      <c r="E1318" s="22">
        <f t="shared" si="2"/>
        <v>0</v>
      </c>
      <c r="F1318" s="23" t="str">
        <f t="shared" si="3"/>
        <v/>
      </c>
      <c r="G1318" s="23" t="str">
        <f t="shared" si="4"/>
        <v/>
      </c>
      <c r="L1318" s="22">
        <f t="shared" si="5"/>
        <v>0</v>
      </c>
    </row>
    <row r="1319">
      <c r="E1319" s="22">
        <f t="shared" si="2"/>
        <v>0</v>
      </c>
      <c r="F1319" s="23" t="str">
        <f t="shared" si="3"/>
        <v/>
      </c>
      <c r="G1319" s="23" t="str">
        <f t="shared" si="4"/>
        <v/>
      </c>
      <c r="L1319" s="22">
        <f t="shared" si="5"/>
        <v>0</v>
      </c>
    </row>
    <row r="1320">
      <c r="E1320" s="22">
        <f t="shared" si="2"/>
        <v>0</v>
      </c>
      <c r="F1320" s="23" t="str">
        <f t="shared" si="3"/>
        <v/>
      </c>
      <c r="G1320" s="23" t="str">
        <f t="shared" si="4"/>
        <v/>
      </c>
      <c r="L1320" s="22">
        <f t="shared" si="5"/>
        <v>0</v>
      </c>
    </row>
    <row r="1321">
      <c r="E1321" s="22">
        <f t="shared" si="2"/>
        <v>0</v>
      </c>
      <c r="F1321" s="23" t="str">
        <f t="shared" si="3"/>
        <v/>
      </c>
      <c r="G1321" s="23" t="str">
        <f t="shared" si="4"/>
        <v/>
      </c>
      <c r="L1321" s="22">
        <f t="shared" si="5"/>
        <v>0</v>
      </c>
    </row>
    <row r="1322">
      <c r="E1322" s="22">
        <f t="shared" si="2"/>
        <v>0</v>
      </c>
      <c r="F1322" s="23" t="str">
        <f t="shared" si="3"/>
        <v/>
      </c>
      <c r="G1322" s="23" t="str">
        <f t="shared" si="4"/>
        <v/>
      </c>
      <c r="L1322" s="22">
        <f t="shared" si="5"/>
        <v>0</v>
      </c>
    </row>
    <row r="1323">
      <c r="E1323" s="22">
        <f t="shared" si="2"/>
        <v>0</v>
      </c>
      <c r="F1323" s="23" t="str">
        <f t="shared" si="3"/>
        <v/>
      </c>
      <c r="G1323" s="23" t="str">
        <f t="shared" si="4"/>
        <v/>
      </c>
      <c r="L1323" s="22">
        <f t="shared" si="5"/>
        <v>0</v>
      </c>
    </row>
    <row r="1324">
      <c r="E1324" s="22">
        <f t="shared" si="2"/>
        <v>0</v>
      </c>
      <c r="F1324" s="23" t="str">
        <f t="shared" si="3"/>
        <v/>
      </c>
      <c r="G1324" s="23" t="str">
        <f t="shared" si="4"/>
        <v/>
      </c>
      <c r="L1324" s="22">
        <f t="shared" si="5"/>
        <v>0</v>
      </c>
    </row>
    <row r="1325">
      <c r="E1325" s="22">
        <f t="shared" si="2"/>
        <v>0</v>
      </c>
      <c r="F1325" s="23" t="str">
        <f t="shared" si="3"/>
        <v/>
      </c>
      <c r="G1325" s="23" t="str">
        <f t="shared" si="4"/>
        <v/>
      </c>
      <c r="L1325" s="22">
        <f t="shared" si="5"/>
        <v>0</v>
      </c>
    </row>
    <row r="1326">
      <c r="E1326" s="22">
        <f t="shared" si="2"/>
        <v>0</v>
      </c>
      <c r="F1326" s="23" t="str">
        <f t="shared" si="3"/>
        <v/>
      </c>
      <c r="G1326" s="23" t="str">
        <f t="shared" si="4"/>
        <v/>
      </c>
      <c r="L1326" s="22">
        <f t="shared" si="5"/>
        <v>0</v>
      </c>
    </row>
    <row r="1327">
      <c r="E1327" s="22">
        <f t="shared" si="2"/>
        <v>0</v>
      </c>
      <c r="F1327" s="23" t="str">
        <f t="shared" si="3"/>
        <v/>
      </c>
      <c r="G1327" s="23" t="str">
        <f t="shared" si="4"/>
        <v/>
      </c>
      <c r="L1327" s="22">
        <f t="shared" si="5"/>
        <v>0</v>
      </c>
    </row>
    <row r="1328">
      <c r="E1328" s="22">
        <f t="shared" si="2"/>
        <v>0</v>
      </c>
      <c r="F1328" s="23" t="str">
        <f t="shared" si="3"/>
        <v/>
      </c>
      <c r="G1328" s="23" t="str">
        <f t="shared" si="4"/>
        <v/>
      </c>
      <c r="L1328" s="22">
        <f t="shared" si="5"/>
        <v>0</v>
      </c>
    </row>
    <row r="1329">
      <c r="E1329" s="22">
        <f t="shared" si="2"/>
        <v>0</v>
      </c>
      <c r="F1329" s="23" t="str">
        <f t="shared" si="3"/>
        <v/>
      </c>
      <c r="G1329" s="23" t="str">
        <f t="shared" si="4"/>
        <v/>
      </c>
      <c r="L1329" s="22">
        <f t="shared" si="5"/>
        <v>0</v>
      </c>
    </row>
    <row r="1330">
      <c r="E1330" s="22">
        <f t="shared" si="2"/>
        <v>0</v>
      </c>
      <c r="F1330" s="23" t="str">
        <f t="shared" si="3"/>
        <v/>
      </c>
      <c r="G1330" s="23" t="str">
        <f t="shared" si="4"/>
        <v/>
      </c>
      <c r="L1330" s="22">
        <f t="shared" si="5"/>
        <v>0</v>
      </c>
    </row>
    <row r="1331">
      <c r="E1331" s="22">
        <f t="shared" si="2"/>
        <v>0</v>
      </c>
      <c r="F1331" s="23" t="str">
        <f t="shared" si="3"/>
        <v/>
      </c>
      <c r="G1331" s="23" t="str">
        <f t="shared" si="4"/>
        <v/>
      </c>
      <c r="L1331" s="22">
        <f t="shared" si="5"/>
        <v>0</v>
      </c>
    </row>
    <row r="1332">
      <c r="E1332" s="22">
        <f t="shared" si="2"/>
        <v>0</v>
      </c>
      <c r="F1332" s="23" t="str">
        <f t="shared" si="3"/>
        <v/>
      </c>
      <c r="G1332" s="23" t="str">
        <f t="shared" si="4"/>
        <v/>
      </c>
      <c r="L1332" s="22">
        <f t="shared" si="5"/>
        <v>0</v>
      </c>
    </row>
    <row r="1333">
      <c r="E1333" s="22">
        <f t="shared" si="2"/>
        <v>0</v>
      </c>
      <c r="F1333" s="23" t="str">
        <f t="shared" si="3"/>
        <v/>
      </c>
      <c r="G1333" s="23" t="str">
        <f t="shared" si="4"/>
        <v/>
      </c>
      <c r="L1333" s="22">
        <f t="shared" si="5"/>
        <v>0</v>
      </c>
    </row>
    <row r="1334">
      <c r="E1334" s="22">
        <f t="shared" si="2"/>
        <v>0</v>
      </c>
      <c r="F1334" s="23" t="str">
        <f t="shared" si="3"/>
        <v/>
      </c>
      <c r="G1334" s="23" t="str">
        <f t="shared" si="4"/>
        <v/>
      </c>
      <c r="L1334" s="22">
        <f t="shared" si="5"/>
        <v>0</v>
      </c>
    </row>
    <row r="1335">
      <c r="E1335" s="22">
        <f t="shared" si="2"/>
        <v>0</v>
      </c>
      <c r="F1335" s="23" t="str">
        <f t="shared" si="3"/>
        <v/>
      </c>
      <c r="G1335" s="23" t="str">
        <f t="shared" si="4"/>
        <v/>
      </c>
      <c r="L1335" s="22">
        <f t="shared" si="5"/>
        <v>0</v>
      </c>
    </row>
    <row r="1336">
      <c r="E1336" s="22">
        <f t="shared" si="2"/>
        <v>0</v>
      </c>
      <c r="F1336" s="23" t="str">
        <f t="shared" si="3"/>
        <v/>
      </c>
      <c r="G1336" s="23" t="str">
        <f t="shared" si="4"/>
        <v/>
      </c>
      <c r="L1336" s="22">
        <f t="shared" si="5"/>
        <v>0</v>
      </c>
    </row>
    <row r="1337">
      <c r="E1337" s="22">
        <f t="shared" si="2"/>
        <v>0</v>
      </c>
      <c r="F1337" s="23" t="str">
        <f t="shared" si="3"/>
        <v/>
      </c>
      <c r="G1337" s="23" t="str">
        <f t="shared" si="4"/>
        <v/>
      </c>
      <c r="L1337" s="22">
        <f t="shared" si="5"/>
        <v>0</v>
      </c>
    </row>
    <row r="1338">
      <c r="E1338" s="22">
        <f t="shared" si="2"/>
        <v>0</v>
      </c>
      <c r="F1338" s="23" t="str">
        <f t="shared" si="3"/>
        <v/>
      </c>
      <c r="G1338" s="23" t="str">
        <f t="shared" si="4"/>
        <v/>
      </c>
      <c r="L1338" s="22">
        <f t="shared" si="5"/>
        <v>0</v>
      </c>
    </row>
    <row r="1339">
      <c r="E1339" s="22">
        <f t="shared" si="2"/>
        <v>0</v>
      </c>
      <c r="F1339" s="23" t="str">
        <f t="shared" si="3"/>
        <v/>
      </c>
      <c r="G1339" s="23" t="str">
        <f t="shared" si="4"/>
        <v/>
      </c>
      <c r="L1339" s="22">
        <f t="shared" si="5"/>
        <v>0</v>
      </c>
    </row>
    <row r="1340">
      <c r="E1340" s="22">
        <f t="shared" si="2"/>
        <v>0</v>
      </c>
      <c r="F1340" s="23" t="str">
        <f t="shared" si="3"/>
        <v/>
      </c>
      <c r="G1340" s="23" t="str">
        <f t="shared" si="4"/>
        <v/>
      </c>
      <c r="L1340" s="22">
        <f t="shared" si="5"/>
        <v>0</v>
      </c>
    </row>
    <row r="1341">
      <c r="E1341" s="22">
        <f t="shared" si="2"/>
        <v>0</v>
      </c>
      <c r="F1341" s="23" t="str">
        <f t="shared" si="3"/>
        <v/>
      </c>
      <c r="G1341" s="23" t="str">
        <f t="shared" si="4"/>
        <v/>
      </c>
      <c r="L1341" s="22">
        <f t="shared" si="5"/>
        <v>0</v>
      </c>
    </row>
    <row r="1342">
      <c r="E1342" s="22">
        <f t="shared" si="2"/>
        <v>0</v>
      </c>
      <c r="F1342" s="23" t="str">
        <f t="shared" si="3"/>
        <v/>
      </c>
      <c r="G1342" s="23" t="str">
        <f t="shared" si="4"/>
        <v/>
      </c>
      <c r="L1342" s="22">
        <f t="shared" si="5"/>
        <v>0</v>
      </c>
    </row>
    <row r="1343">
      <c r="E1343" s="22">
        <f t="shared" si="2"/>
        <v>0</v>
      </c>
      <c r="F1343" s="23" t="str">
        <f t="shared" si="3"/>
        <v/>
      </c>
      <c r="G1343" s="23" t="str">
        <f t="shared" si="4"/>
        <v/>
      </c>
      <c r="L1343" s="22">
        <f t="shared" si="5"/>
        <v>0</v>
      </c>
    </row>
    <row r="1344">
      <c r="E1344" s="22">
        <f t="shared" si="2"/>
        <v>0</v>
      </c>
      <c r="F1344" s="23" t="str">
        <f t="shared" si="3"/>
        <v/>
      </c>
      <c r="G1344" s="23" t="str">
        <f t="shared" si="4"/>
        <v/>
      </c>
      <c r="L1344" s="22">
        <f t="shared" si="5"/>
        <v>0</v>
      </c>
    </row>
    <row r="1345">
      <c r="E1345" s="22">
        <f t="shared" si="2"/>
        <v>0</v>
      </c>
      <c r="F1345" s="23" t="str">
        <f t="shared" si="3"/>
        <v/>
      </c>
      <c r="G1345" s="23" t="str">
        <f t="shared" si="4"/>
        <v/>
      </c>
      <c r="L1345" s="22">
        <f t="shared" si="5"/>
        <v>0</v>
      </c>
    </row>
    <row r="1346">
      <c r="E1346" s="22">
        <f t="shared" si="2"/>
        <v>0</v>
      </c>
      <c r="F1346" s="23" t="str">
        <f t="shared" si="3"/>
        <v/>
      </c>
      <c r="G1346" s="23" t="str">
        <f t="shared" si="4"/>
        <v/>
      </c>
      <c r="L1346" s="22">
        <f t="shared" si="5"/>
        <v>0</v>
      </c>
    </row>
    <row r="1347">
      <c r="E1347" s="22">
        <f t="shared" si="2"/>
        <v>0</v>
      </c>
      <c r="F1347" s="23" t="str">
        <f t="shared" si="3"/>
        <v/>
      </c>
      <c r="G1347" s="23" t="str">
        <f t="shared" si="4"/>
        <v/>
      </c>
      <c r="L1347" s="22">
        <f t="shared" si="5"/>
        <v>0</v>
      </c>
    </row>
    <row r="1348">
      <c r="E1348" s="22">
        <f t="shared" si="2"/>
        <v>0</v>
      </c>
      <c r="F1348" s="23" t="str">
        <f t="shared" si="3"/>
        <v/>
      </c>
      <c r="G1348" s="23" t="str">
        <f t="shared" si="4"/>
        <v/>
      </c>
      <c r="L1348" s="22">
        <f t="shared" si="5"/>
        <v>0</v>
      </c>
    </row>
    <row r="1349">
      <c r="E1349" s="22">
        <f t="shared" si="2"/>
        <v>0</v>
      </c>
      <c r="F1349" s="23" t="str">
        <f t="shared" si="3"/>
        <v/>
      </c>
      <c r="G1349" s="23" t="str">
        <f t="shared" si="4"/>
        <v/>
      </c>
      <c r="L1349" s="22">
        <f t="shared" si="5"/>
        <v>0</v>
      </c>
    </row>
    <row r="1350">
      <c r="E1350" s="22">
        <f t="shared" si="2"/>
        <v>0</v>
      </c>
      <c r="F1350" s="23" t="str">
        <f t="shared" si="3"/>
        <v/>
      </c>
      <c r="G1350" s="23" t="str">
        <f t="shared" si="4"/>
        <v/>
      </c>
      <c r="L1350" s="22">
        <f t="shared" si="5"/>
        <v>0</v>
      </c>
    </row>
    <row r="1351">
      <c r="E1351" s="22">
        <f t="shared" si="2"/>
        <v>0</v>
      </c>
      <c r="F1351" s="23" t="str">
        <f t="shared" si="3"/>
        <v/>
      </c>
      <c r="G1351" s="23" t="str">
        <f t="shared" si="4"/>
        <v/>
      </c>
      <c r="L1351" s="22">
        <f t="shared" si="5"/>
        <v>0</v>
      </c>
    </row>
    <row r="1352">
      <c r="E1352" s="22">
        <f t="shared" si="2"/>
        <v>0</v>
      </c>
      <c r="F1352" s="23" t="str">
        <f t="shared" si="3"/>
        <v/>
      </c>
      <c r="G1352" s="23" t="str">
        <f t="shared" si="4"/>
        <v/>
      </c>
      <c r="L1352" s="22">
        <f t="shared" si="5"/>
        <v>0</v>
      </c>
    </row>
    <row r="1353">
      <c r="E1353" s="22">
        <f t="shared" si="2"/>
        <v>0</v>
      </c>
      <c r="F1353" s="23" t="str">
        <f t="shared" si="3"/>
        <v/>
      </c>
      <c r="G1353" s="23" t="str">
        <f t="shared" si="4"/>
        <v/>
      </c>
      <c r="L1353" s="22">
        <f t="shared" si="5"/>
        <v>0</v>
      </c>
    </row>
    <row r="1354">
      <c r="E1354" s="22">
        <f t="shared" si="2"/>
        <v>0</v>
      </c>
      <c r="F1354" s="23" t="str">
        <f t="shared" si="3"/>
        <v/>
      </c>
      <c r="G1354" s="23" t="str">
        <f t="shared" si="4"/>
        <v/>
      </c>
      <c r="L1354" s="22">
        <f t="shared" si="5"/>
        <v>0</v>
      </c>
    </row>
    <row r="1355">
      <c r="E1355" s="22">
        <f t="shared" si="2"/>
        <v>0</v>
      </c>
      <c r="F1355" s="23" t="str">
        <f t="shared" si="3"/>
        <v/>
      </c>
      <c r="G1355" s="23" t="str">
        <f t="shared" si="4"/>
        <v/>
      </c>
      <c r="L1355" s="22">
        <f t="shared" si="5"/>
        <v>0</v>
      </c>
    </row>
    <row r="1356">
      <c r="E1356" s="22">
        <f t="shared" si="2"/>
        <v>0</v>
      </c>
      <c r="F1356" s="23" t="str">
        <f t="shared" si="3"/>
        <v/>
      </c>
      <c r="G1356" s="23" t="str">
        <f t="shared" si="4"/>
        <v/>
      </c>
      <c r="L1356" s="22">
        <f t="shared" si="5"/>
        <v>0</v>
      </c>
    </row>
    <row r="1357">
      <c r="E1357" s="22">
        <f t="shared" si="2"/>
        <v>0</v>
      </c>
      <c r="F1357" s="23" t="str">
        <f t="shared" si="3"/>
        <v/>
      </c>
      <c r="G1357" s="23" t="str">
        <f t="shared" si="4"/>
        <v/>
      </c>
      <c r="L1357" s="22">
        <f t="shared" si="5"/>
        <v>0</v>
      </c>
    </row>
    <row r="1358">
      <c r="E1358" s="22">
        <f t="shared" si="2"/>
        <v>0</v>
      </c>
      <c r="F1358" s="23" t="str">
        <f t="shared" si="3"/>
        <v/>
      </c>
      <c r="G1358" s="23" t="str">
        <f t="shared" si="4"/>
        <v/>
      </c>
      <c r="L1358" s="22">
        <f t="shared" si="5"/>
        <v>0</v>
      </c>
    </row>
    <row r="1359">
      <c r="E1359" s="22">
        <f t="shared" si="2"/>
        <v>0</v>
      </c>
      <c r="F1359" s="23" t="str">
        <f t="shared" si="3"/>
        <v/>
      </c>
      <c r="G1359" s="23" t="str">
        <f t="shared" si="4"/>
        <v/>
      </c>
      <c r="L1359" s="22">
        <f t="shared" si="5"/>
        <v>0</v>
      </c>
    </row>
    <row r="1360">
      <c r="E1360" s="22">
        <f t="shared" si="2"/>
        <v>0</v>
      </c>
      <c r="F1360" s="23" t="str">
        <f t="shared" si="3"/>
        <v/>
      </c>
      <c r="G1360" s="23" t="str">
        <f t="shared" si="4"/>
        <v/>
      </c>
      <c r="L1360" s="22">
        <f t="shared" si="5"/>
        <v>0</v>
      </c>
    </row>
    <row r="1361">
      <c r="E1361" s="22">
        <f t="shared" si="2"/>
        <v>0</v>
      </c>
      <c r="F1361" s="23" t="str">
        <f t="shared" si="3"/>
        <v/>
      </c>
      <c r="G1361" s="23" t="str">
        <f t="shared" si="4"/>
        <v/>
      </c>
      <c r="L1361" s="22">
        <f t="shared" si="5"/>
        <v>0</v>
      </c>
    </row>
    <row r="1362">
      <c r="E1362" s="22">
        <f t="shared" si="2"/>
        <v>0</v>
      </c>
      <c r="F1362" s="23" t="str">
        <f t="shared" si="3"/>
        <v/>
      </c>
      <c r="G1362" s="23" t="str">
        <f t="shared" si="4"/>
        <v/>
      </c>
      <c r="L1362" s="22">
        <f t="shared" si="5"/>
        <v>0</v>
      </c>
    </row>
    <row r="1363">
      <c r="E1363" s="22">
        <f t="shared" si="2"/>
        <v>0</v>
      </c>
      <c r="F1363" s="23" t="str">
        <f t="shared" si="3"/>
        <v/>
      </c>
      <c r="G1363" s="23" t="str">
        <f t="shared" si="4"/>
        <v/>
      </c>
      <c r="L1363" s="22">
        <f t="shared" si="5"/>
        <v>0</v>
      </c>
    </row>
    <row r="1364">
      <c r="E1364" s="22">
        <f t="shared" si="2"/>
        <v>0</v>
      </c>
      <c r="F1364" s="23" t="str">
        <f t="shared" si="3"/>
        <v/>
      </c>
      <c r="G1364" s="23" t="str">
        <f t="shared" si="4"/>
        <v/>
      </c>
      <c r="L1364" s="22">
        <f t="shared" si="5"/>
        <v>0</v>
      </c>
    </row>
    <row r="1365">
      <c r="E1365" s="22">
        <f t="shared" si="2"/>
        <v>0</v>
      </c>
      <c r="F1365" s="23" t="str">
        <f t="shared" si="3"/>
        <v/>
      </c>
      <c r="G1365" s="23" t="str">
        <f t="shared" si="4"/>
        <v/>
      </c>
      <c r="L1365" s="22">
        <f t="shared" si="5"/>
        <v>0</v>
      </c>
    </row>
    <row r="1366">
      <c r="E1366" s="22">
        <f t="shared" si="2"/>
        <v>0</v>
      </c>
      <c r="F1366" s="23" t="str">
        <f t="shared" si="3"/>
        <v/>
      </c>
      <c r="G1366" s="23" t="str">
        <f t="shared" si="4"/>
        <v/>
      </c>
      <c r="L1366" s="22">
        <f t="shared" si="5"/>
        <v>0</v>
      </c>
    </row>
    <row r="1367">
      <c r="E1367" s="22">
        <f t="shared" si="2"/>
        <v>0</v>
      </c>
      <c r="F1367" s="23" t="str">
        <f t="shared" si="3"/>
        <v/>
      </c>
      <c r="G1367" s="23" t="str">
        <f t="shared" si="4"/>
        <v/>
      </c>
      <c r="L1367" s="22">
        <f t="shared" si="5"/>
        <v>0</v>
      </c>
    </row>
    <row r="1368">
      <c r="E1368" s="22">
        <f t="shared" si="2"/>
        <v>0</v>
      </c>
      <c r="F1368" s="23" t="str">
        <f t="shared" si="3"/>
        <v/>
      </c>
      <c r="G1368" s="23" t="str">
        <f t="shared" si="4"/>
        <v/>
      </c>
      <c r="L1368" s="22">
        <f t="shared" si="5"/>
        <v>0</v>
      </c>
    </row>
    <row r="1369">
      <c r="E1369" s="22">
        <f t="shared" si="2"/>
        <v>0</v>
      </c>
      <c r="F1369" s="23" t="str">
        <f t="shared" si="3"/>
        <v/>
      </c>
      <c r="G1369" s="23" t="str">
        <f t="shared" si="4"/>
        <v/>
      </c>
      <c r="L1369" s="22">
        <f t="shared" si="5"/>
        <v>0</v>
      </c>
    </row>
    <row r="1370">
      <c r="E1370" s="22">
        <f t="shared" si="2"/>
        <v>0</v>
      </c>
      <c r="F1370" s="23" t="str">
        <f t="shared" si="3"/>
        <v/>
      </c>
      <c r="G1370" s="23" t="str">
        <f t="shared" si="4"/>
        <v/>
      </c>
      <c r="L1370" s="22">
        <f t="shared" si="5"/>
        <v>0</v>
      </c>
    </row>
    <row r="1371">
      <c r="E1371" s="22">
        <f t="shared" si="2"/>
        <v>0</v>
      </c>
      <c r="F1371" s="23" t="str">
        <f t="shared" si="3"/>
        <v/>
      </c>
      <c r="G1371" s="23" t="str">
        <f t="shared" si="4"/>
        <v/>
      </c>
      <c r="L1371" s="22">
        <f t="shared" si="5"/>
        <v>0</v>
      </c>
    </row>
    <row r="1372">
      <c r="E1372" s="22">
        <f t="shared" si="2"/>
        <v>0</v>
      </c>
      <c r="F1372" s="23" t="str">
        <f t="shared" si="3"/>
        <v/>
      </c>
      <c r="G1372" s="23" t="str">
        <f t="shared" si="4"/>
        <v/>
      </c>
      <c r="L1372" s="22">
        <f t="shared" si="5"/>
        <v>0</v>
      </c>
    </row>
    <row r="1373">
      <c r="E1373" s="22">
        <f t="shared" si="2"/>
        <v>0</v>
      </c>
      <c r="F1373" s="23" t="str">
        <f t="shared" si="3"/>
        <v/>
      </c>
      <c r="G1373" s="23" t="str">
        <f t="shared" si="4"/>
        <v/>
      </c>
      <c r="L1373" s="22">
        <f t="shared" si="5"/>
        <v>0</v>
      </c>
    </row>
    <row r="1374">
      <c r="E1374" s="22">
        <f t="shared" si="2"/>
        <v>0</v>
      </c>
      <c r="F1374" s="23" t="str">
        <f t="shared" si="3"/>
        <v/>
      </c>
      <c r="G1374" s="23" t="str">
        <f t="shared" si="4"/>
        <v/>
      </c>
      <c r="L1374" s="22">
        <f t="shared" si="5"/>
        <v>0</v>
      </c>
    </row>
    <row r="1375">
      <c r="E1375" s="22">
        <f t="shared" si="2"/>
        <v>0</v>
      </c>
      <c r="F1375" s="23" t="str">
        <f t="shared" si="3"/>
        <v/>
      </c>
      <c r="G1375" s="23" t="str">
        <f t="shared" si="4"/>
        <v/>
      </c>
      <c r="L1375" s="22">
        <f t="shared" si="5"/>
        <v>0</v>
      </c>
    </row>
    <row r="1376">
      <c r="E1376" s="22">
        <f t="shared" si="2"/>
        <v>0</v>
      </c>
      <c r="F1376" s="23" t="str">
        <f t="shared" si="3"/>
        <v/>
      </c>
      <c r="G1376" s="23" t="str">
        <f t="shared" si="4"/>
        <v/>
      </c>
      <c r="L1376" s="22">
        <f t="shared" si="5"/>
        <v>0</v>
      </c>
    </row>
    <row r="1377">
      <c r="E1377" s="22">
        <f t="shared" si="2"/>
        <v>0</v>
      </c>
      <c r="F1377" s="23" t="str">
        <f t="shared" si="3"/>
        <v/>
      </c>
      <c r="G1377" s="23" t="str">
        <f t="shared" si="4"/>
        <v/>
      </c>
      <c r="L1377" s="22">
        <f t="shared" si="5"/>
        <v>0</v>
      </c>
    </row>
    <row r="1378">
      <c r="E1378" s="22">
        <f t="shared" si="2"/>
        <v>0</v>
      </c>
      <c r="F1378" s="23" t="str">
        <f t="shared" si="3"/>
        <v/>
      </c>
      <c r="G1378" s="23" t="str">
        <f t="shared" si="4"/>
        <v/>
      </c>
      <c r="L1378" s="22">
        <f t="shared" si="5"/>
        <v>0</v>
      </c>
    </row>
    <row r="1379">
      <c r="E1379" s="22">
        <f t="shared" si="2"/>
        <v>0</v>
      </c>
      <c r="F1379" s="23" t="str">
        <f t="shared" si="3"/>
        <v/>
      </c>
      <c r="G1379" s="23" t="str">
        <f t="shared" si="4"/>
        <v/>
      </c>
      <c r="L1379" s="22">
        <f t="shared" si="5"/>
        <v>0</v>
      </c>
    </row>
    <row r="1380">
      <c r="E1380" s="22">
        <f t="shared" si="2"/>
        <v>0</v>
      </c>
      <c r="F1380" s="23" t="str">
        <f t="shared" si="3"/>
        <v/>
      </c>
      <c r="G1380" s="23" t="str">
        <f t="shared" si="4"/>
        <v/>
      </c>
      <c r="L1380" s="22">
        <f t="shared" si="5"/>
        <v>0</v>
      </c>
    </row>
    <row r="1381">
      <c r="E1381" s="22">
        <f t="shared" si="2"/>
        <v>0</v>
      </c>
      <c r="F1381" s="23" t="str">
        <f t="shared" si="3"/>
        <v/>
      </c>
      <c r="G1381" s="23" t="str">
        <f t="shared" si="4"/>
        <v/>
      </c>
      <c r="L1381" s="22">
        <f t="shared" si="5"/>
        <v>0</v>
      </c>
    </row>
    <row r="1382">
      <c r="E1382" s="22">
        <f t="shared" si="2"/>
        <v>0</v>
      </c>
      <c r="F1382" s="23" t="str">
        <f t="shared" si="3"/>
        <v/>
      </c>
      <c r="G1382" s="23" t="str">
        <f t="shared" si="4"/>
        <v/>
      </c>
      <c r="L1382" s="22">
        <f t="shared" si="5"/>
        <v>0</v>
      </c>
    </row>
    <row r="1383">
      <c r="E1383" s="22">
        <f t="shared" si="2"/>
        <v>0</v>
      </c>
      <c r="F1383" s="23" t="str">
        <f t="shared" si="3"/>
        <v/>
      </c>
      <c r="G1383" s="23" t="str">
        <f t="shared" si="4"/>
        <v/>
      </c>
      <c r="L1383" s="22">
        <f t="shared" si="5"/>
        <v>0</v>
      </c>
    </row>
    <row r="1384">
      <c r="E1384" s="22">
        <f t="shared" si="2"/>
        <v>0</v>
      </c>
      <c r="F1384" s="23" t="str">
        <f t="shared" si="3"/>
        <v/>
      </c>
      <c r="G1384" s="23" t="str">
        <f t="shared" si="4"/>
        <v/>
      </c>
      <c r="L1384" s="22">
        <f t="shared" si="5"/>
        <v>0</v>
      </c>
    </row>
    <row r="1385">
      <c r="E1385" s="22">
        <f t="shared" si="2"/>
        <v>0</v>
      </c>
      <c r="F1385" s="23" t="str">
        <f t="shared" si="3"/>
        <v/>
      </c>
      <c r="G1385" s="23" t="str">
        <f t="shared" si="4"/>
        <v/>
      </c>
      <c r="L1385" s="22">
        <f t="shared" si="5"/>
        <v>0</v>
      </c>
    </row>
    <row r="1386">
      <c r="E1386" s="22">
        <f t="shared" si="2"/>
        <v>0</v>
      </c>
      <c r="F1386" s="23" t="str">
        <f t="shared" si="3"/>
        <v/>
      </c>
      <c r="G1386" s="23" t="str">
        <f t="shared" si="4"/>
        <v/>
      </c>
      <c r="L1386" s="22">
        <f t="shared" si="5"/>
        <v>0</v>
      </c>
    </row>
    <row r="1387">
      <c r="E1387" s="22">
        <f t="shared" si="2"/>
        <v>0</v>
      </c>
      <c r="F1387" s="23" t="str">
        <f t="shared" si="3"/>
        <v/>
      </c>
      <c r="G1387" s="23" t="str">
        <f t="shared" si="4"/>
        <v/>
      </c>
      <c r="L1387" s="22">
        <f t="shared" si="5"/>
        <v>0</v>
      </c>
    </row>
    <row r="1388">
      <c r="E1388" s="22">
        <f t="shared" si="2"/>
        <v>0</v>
      </c>
      <c r="F1388" s="23" t="str">
        <f t="shared" si="3"/>
        <v/>
      </c>
      <c r="G1388" s="23" t="str">
        <f t="shared" si="4"/>
        <v/>
      </c>
      <c r="L1388" s="22">
        <f t="shared" si="5"/>
        <v>0</v>
      </c>
    </row>
    <row r="1389">
      <c r="E1389" s="22">
        <f t="shared" si="2"/>
        <v>0</v>
      </c>
      <c r="F1389" s="23" t="str">
        <f t="shared" si="3"/>
        <v/>
      </c>
      <c r="G1389" s="23" t="str">
        <f t="shared" si="4"/>
        <v/>
      </c>
      <c r="L1389" s="22">
        <f t="shared" si="5"/>
        <v>0</v>
      </c>
    </row>
    <row r="1390">
      <c r="E1390" s="22">
        <f t="shared" si="2"/>
        <v>0</v>
      </c>
      <c r="F1390" s="23" t="str">
        <f t="shared" si="3"/>
        <v/>
      </c>
      <c r="G1390" s="23" t="str">
        <f t="shared" si="4"/>
        <v/>
      </c>
      <c r="L1390" s="22">
        <f t="shared" si="5"/>
        <v>0</v>
      </c>
    </row>
    <row r="1391">
      <c r="E1391" s="22">
        <f t="shared" si="2"/>
        <v>0</v>
      </c>
      <c r="F1391" s="23" t="str">
        <f t="shared" si="3"/>
        <v/>
      </c>
      <c r="G1391" s="23" t="str">
        <f t="shared" si="4"/>
        <v/>
      </c>
      <c r="L1391" s="22">
        <f t="shared" si="5"/>
        <v>0</v>
      </c>
    </row>
    <row r="1392">
      <c r="E1392" s="22">
        <f t="shared" si="2"/>
        <v>0</v>
      </c>
      <c r="F1392" s="23" t="str">
        <f t="shared" si="3"/>
        <v/>
      </c>
      <c r="G1392" s="23" t="str">
        <f t="shared" si="4"/>
        <v/>
      </c>
      <c r="L1392" s="22">
        <f t="shared" si="5"/>
        <v>0</v>
      </c>
    </row>
    <row r="1393">
      <c r="E1393" s="22">
        <f t="shared" si="2"/>
        <v>0</v>
      </c>
      <c r="F1393" s="23" t="str">
        <f t="shared" si="3"/>
        <v/>
      </c>
      <c r="G1393" s="23" t="str">
        <f t="shared" si="4"/>
        <v/>
      </c>
      <c r="L1393" s="22">
        <f t="shared" si="5"/>
        <v>0</v>
      </c>
    </row>
    <row r="1394">
      <c r="E1394" s="22">
        <f t="shared" si="2"/>
        <v>0</v>
      </c>
      <c r="F1394" s="23" t="str">
        <f t="shared" si="3"/>
        <v/>
      </c>
      <c r="G1394" s="23" t="str">
        <f t="shared" si="4"/>
        <v/>
      </c>
      <c r="L1394" s="22">
        <f t="shared" si="5"/>
        <v>0</v>
      </c>
    </row>
    <row r="1395">
      <c r="E1395" s="22">
        <f t="shared" si="2"/>
        <v>0</v>
      </c>
      <c r="F1395" s="23" t="str">
        <f t="shared" si="3"/>
        <v/>
      </c>
      <c r="G1395" s="23" t="str">
        <f t="shared" si="4"/>
        <v/>
      </c>
      <c r="L1395" s="22">
        <f t="shared" si="5"/>
        <v>0</v>
      </c>
    </row>
    <row r="1396">
      <c r="E1396" s="22">
        <f t="shared" si="2"/>
        <v>0</v>
      </c>
      <c r="F1396" s="23" t="str">
        <f t="shared" si="3"/>
        <v/>
      </c>
      <c r="G1396" s="23" t="str">
        <f t="shared" si="4"/>
        <v/>
      </c>
      <c r="L1396" s="22">
        <f t="shared" si="5"/>
        <v>0</v>
      </c>
    </row>
    <row r="1397">
      <c r="E1397" s="22">
        <f t="shared" si="2"/>
        <v>0</v>
      </c>
      <c r="F1397" s="23" t="str">
        <f t="shared" si="3"/>
        <v/>
      </c>
      <c r="G1397" s="23" t="str">
        <f t="shared" si="4"/>
        <v/>
      </c>
      <c r="L1397" s="22">
        <f t="shared" si="5"/>
        <v>0</v>
      </c>
    </row>
    <row r="1398">
      <c r="E1398" s="22">
        <f t="shared" si="2"/>
        <v>0</v>
      </c>
      <c r="F1398" s="23" t="str">
        <f t="shared" si="3"/>
        <v/>
      </c>
      <c r="G1398" s="23" t="str">
        <f t="shared" si="4"/>
        <v/>
      </c>
      <c r="L1398" s="22">
        <f t="shared" si="5"/>
        <v>0</v>
      </c>
    </row>
    <row r="1399">
      <c r="E1399" s="22">
        <f t="shared" si="2"/>
        <v>0</v>
      </c>
      <c r="F1399" s="23" t="str">
        <f t="shared" si="3"/>
        <v/>
      </c>
      <c r="G1399" s="23" t="str">
        <f t="shared" si="4"/>
        <v/>
      </c>
      <c r="L1399" s="22">
        <f t="shared" si="5"/>
        <v>0</v>
      </c>
    </row>
    <row r="1400">
      <c r="E1400" s="22">
        <f t="shared" si="2"/>
        <v>0</v>
      </c>
      <c r="F1400" s="23" t="str">
        <f t="shared" si="3"/>
        <v/>
      </c>
      <c r="G1400" s="23" t="str">
        <f t="shared" si="4"/>
        <v/>
      </c>
      <c r="L1400" s="22">
        <f t="shared" si="5"/>
        <v>0</v>
      </c>
    </row>
    <row r="1401">
      <c r="E1401" s="22">
        <f t="shared" si="2"/>
        <v>0</v>
      </c>
      <c r="F1401" s="23" t="str">
        <f t="shared" si="3"/>
        <v/>
      </c>
      <c r="G1401" s="23" t="str">
        <f t="shared" si="4"/>
        <v/>
      </c>
      <c r="L1401" s="22">
        <f t="shared" si="5"/>
        <v>0</v>
      </c>
    </row>
    <row r="1402">
      <c r="E1402" s="22">
        <f t="shared" si="2"/>
        <v>0</v>
      </c>
      <c r="F1402" s="23" t="str">
        <f t="shared" si="3"/>
        <v/>
      </c>
      <c r="G1402" s="23" t="str">
        <f t="shared" si="4"/>
        <v/>
      </c>
      <c r="L1402" s="22">
        <f t="shared" si="5"/>
        <v>0</v>
      </c>
    </row>
    <row r="1403">
      <c r="E1403" s="22">
        <f t="shared" si="2"/>
        <v>0</v>
      </c>
      <c r="F1403" s="23" t="str">
        <f t="shared" si="3"/>
        <v/>
      </c>
      <c r="G1403" s="23" t="str">
        <f t="shared" si="4"/>
        <v/>
      </c>
      <c r="L1403" s="22">
        <f t="shared" si="5"/>
        <v>0</v>
      </c>
    </row>
    <row r="1404">
      <c r="E1404" s="22">
        <f t="shared" si="2"/>
        <v>0</v>
      </c>
      <c r="F1404" s="23" t="str">
        <f t="shared" si="3"/>
        <v/>
      </c>
      <c r="G1404" s="23" t="str">
        <f t="shared" si="4"/>
        <v/>
      </c>
      <c r="L1404" s="22">
        <f t="shared" si="5"/>
        <v>0</v>
      </c>
    </row>
    <row r="1405">
      <c r="E1405" s="22">
        <f t="shared" si="2"/>
        <v>0</v>
      </c>
      <c r="F1405" s="23" t="str">
        <f t="shared" si="3"/>
        <v/>
      </c>
      <c r="G1405" s="23" t="str">
        <f t="shared" si="4"/>
        <v/>
      </c>
      <c r="L1405" s="22">
        <f t="shared" si="5"/>
        <v>0</v>
      </c>
    </row>
    <row r="1406">
      <c r="E1406" s="22">
        <f t="shared" si="2"/>
        <v>0</v>
      </c>
      <c r="F1406" s="23" t="str">
        <f t="shared" si="3"/>
        <v/>
      </c>
      <c r="G1406" s="23" t="str">
        <f t="shared" si="4"/>
        <v/>
      </c>
      <c r="L1406" s="22">
        <f t="shared" si="5"/>
        <v>0</v>
      </c>
    </row>
    <row r="1407">
      <c r="E1407" s="22">
        <f t="shared" si="2"/>
        <v>0</v>
      </c>
      <c r="F1407" s="23" t="str">
        <f t="shared" si="3"/>
        <v/>
      </c>
      <c r="G1407" s="23" t="str">
        <f t="shared" si="4"/>
        <v/>
      </c>
      <c r="L1407" s="22">
        <f t="shared" si="5"/>
        <v>0</v>
      </c>
    </row>
    <row r="1408">
      <c r="E1408" s="22">
        <f t="shared" si="2"/>
        <v>0</v>
      </c>
      <c r="F1408" s="23" t="str">
        <f t="shared" si="3"/>
        <v/>
      </c>
      <c r="G1408" s="23" t="str">
        <f t="shared" si="4"/>
        <v/>
      </c>
      <c r="L1408" s="22">
        <f t="shared" si="5"/>
        <v>0</v>
      </c>
    </row>
    <row r="1409">
      <c r="E1409" s="22">
        <f t="shared" si="2"/>
        <v>0</v>
      </c>
      <c r="F1409" s="23" t="str">
        <f t="shared" si="3"/>
        <v/>
      </c>
      <c r="G1409" s="23" t="str">
        <f t="shared" si="4"/>
        <v/>
      </c>
      <c r="L1409" s="22">
        <f t="shared" si="5"/>
        <v>0</v>
      </c>
    </row>
    <row r="1410">
      <c r="E1410" s="22">
        <f t="shared" si="2"/>
        <v>0</v>
      </c>
      <c r="F1410" s="23" t="str">
        <f t="shared" si="3"/>
        <v/>
      </c>
      <c r="G1410" s="23" t="str">
        <f t="shared" si="4"/>
        <v/>
      </c>
      <c r="L1410" s="22">
        <f t="shared" si="5"/>
        <v>0</v>
      </c>
    </row>
    <row r="1411">
      <c r="E1411" s="22">
        <f t="shared" si="2"/>
        <v>0</v>
      </c>
      <c r="F1411" s="23" t="str">
        <f t="shared" si="3"/>
        <v/>
      </c>
      <c r="G1411" s="23" t="str">
        <f t="shared" si="4"/>
        <v/>
      </c>
      <c r="L1411" s="22">
        <f t="shared" si="5"/>
        <v>0</v>
      </c>
    </row>
    <row r="1412">
      <c r="E1412" s="22">
        <f t="shared" si="2"/>
        <v>0</v>
      </c>
      <c r="F1412" s="23" t="str">
        <f t="shared" si="3"/>
        <v/>
      </c>
      <c r="G1412" s="23" t="str">
        <f t="shared" si="4"/>
        <v/>
      </c>
      <c r="L1412" s="22">
        <f t="shared" si="5"/>
        <v>0</v>
      </c>
    </row>
    <row r="1413">
      <c r="E1413" s="22">
        <f t="shared" si="2"/>
        <v>0</v>
      </c>
      <c r="F1413" s="23" t="str">
        <f t="shared" si="3"/>
        <v/>
      </c>
      <c r="G1413" s="23" t="str">
        <f t="shared" si="4"/>
        <v/>
      </c>
      <c r="L1413" s="22">
        <f t="shared" si="5"/>
        <v>0</v>
      </c>
    </row>
    <row r="1414">
      <c r="E1414" s="22">
        <f t="shared" si="2"/>
        <v>0</v>
      </c>
      <c r="F1414" s="23" t="str">
        <f t="shared" si="3"/>
        <v/>
      </c>
      <c r="G1414" s="23" t="str">
        <f t="shared" si="4"/>
        <v/>
      </c>
      <c r="L1414" s="22">
        <f t="shared" si="5"/>
        <v>0</v>
      </c>
    </row>
    <row r="1415">
      <c r="E1415" s="22">
        <f t="shared" si="2"/>
        <v>0</v>
      </c>
      <c r="F1415" s="23" t="str">
        <f t="shared" si="3"/>
        <v/>
      </c>
      <c r="G1415" s="23" t="str">
        <f t="shared" si="4"/>
        <v/>
      </c>
      <c r="L1415" s="22">
        <f t="shared" si="5"/>
        <v>0</v>
      </c>
    </row>
    <row r="1416">
      <c r="E1416" s="22">
        <f t="shared" si="2"/>
        <v>0</v>
      </c>
      <c r="F1416" s="23" t="str">
        <f t="shared" si="3"/>
        <v/>
      </c>
      <c r="G1416" s="23" t="str">
        <f t="shared" si="4"/>
        <v/>
      </c>
      <c r="L1416" s="22">
        <f t="shared" si="5"/>
        <v>0</v>
      </c>
    </row>
    <row r="1417">
      <c r="E1417" s="22">
        <f t="shared" si="2"/>
        <v>0</v>
      </c>
      <c r="F1417" s="23" t="str">
        <f t="shared" si="3"/>
        <v/>
      </c>
      <c r="G1417" s="23" t="str">
        <f t="shared" si="4"/>
        <v/>
      </c>
      <c r="L1417" s="22">
        <f t="shared" si="5"/>
        <v>0</v>
      </c>
    </row>
    <row r="1418">
      <c r="E1418" s="22">
        <f t="shared" si="2"/>
        <v>0</v>
      </c>
      <c r="F1418" s="23" t="str">
        <f t="shared" si="3"/>
        <v/>
      </c>
      <c r="G1418" s="23" t="str">
        <f t="shared" si="4"/>
        <v/>
      </c>
      <c r="L1418" s="22">
        <f t="shared" si="5"/>
        <v>0</v>
      </c>
    </row>
    <row r="1419">
      <c r="E1419" s="22">
        <f t="shared" si="2"/>
        <v>0</v>
      </c>
      <c r="F1419" s="23" t="str">
        <f t="shared" si="3"/>
        <v/>
      </c>
      <c r="G1419" s="23" t="str">
        <f t="shared" si="4"/>
        <v/>
      </c>
      <c r="L1419" s="22">
        <f t="shared" si="5"/>
        <v>0</v>
      </c>
    </row>
    <row r="1420">
      <c r="E1420" s="22">
        <f t="shared" si="2"/>
        <v>0</v>
      </c>
      <c r="F1420" s="23" t="str">
        <f t="shared" si="3"/>
        <v/>
      </c>
      <c r="G1420" s="23" t="str">
        <f t="shared" si="4"/>
        <v/>
      </c>
      <c r="L1420" s="22">
        <f t="shared" si="5"/>
        <v>0</v>
      </c>
    </row>
    <row r="1421">
      <c r="E1421" s="22">
        <f t="shared" si="2"/>
        <v>0</v>
      </c>
      <c r="F1421" s="23" t="str">
        <f t="shared" si="3"/>
        <v/>
      </c>
      <c r="G1421" s="23" t="str">
        <f t="shared" si="4"/>
        <v/>
      </c>
      <c r="L1421" s="22">
        <f t="shared" si="5"/>
        <v>0</v>
      </c>
    </row>
    <row r="1422">
      <c r="E1422" s="22">
        <f t="shared" si="2"/>
        <v>0</v>
      </c>
      <c r="F1422" s="23" t="str">
        <f t="shared" si="3"/>
        <v/>
      </c>
      <c r="G1422" s="23" t="str">
        <f t="shared" si="4"/>
        <v/>
      </c>
      <c r="L1422" s="22">
        <f t="shared" si="5"/>
        <v>0</v>
      </c>
    </row>
    <row r="1423">
      <c r="E1423" s="22">
        <f t="shared" si="2"/>
        <v>0</v>
      </c>
      <c r="F1423" s="23" t="str">
        <f t="shared" si="3"/>
        <v/>
      </c>
      <c r="G1423" s="23" t="str">
        <f t="shared" si="4"/>
        <v/>
      </c>
      <c r="L1423" s="22">
        <f t="shared" si="5"/>
        <v>0</v>
      </c>
    </row>
    <row r="1424">
      <c r="E1424" s="22">
        <f t="shared" si="2"/>
        <v>0</v>
      </c>
      <c r="F1424" s="23" t="str">
        <f t="shared" si="3"/>
        <v/>
      </c>
      <c r="G1424" s="23" t="str">
        <f t="shared" si="4"/>
        <v/>
      </c>
      <c r="L1424" s="22">
        <f t="shared" si="5"/>
        <v>0</v>
      </c>
    </row>
    <row r="1425">
      <c r="E1425" s="22">
        <f t="shared" si="2"/>
        <v>0</v>
      </c>
      <c r="F1425" s="23" t="str">
        <f t="shared" si="3"/>
        <v/>
      </c>
      <c r="G1425" s="23" t="str">
        <f t="shared" si="4"/>
        <v/>
      </c>
      <c r="L1425" s="22">
        <f t="shared" si="5"/>
        <v>0</v>
      </c>
    </row>
    <row r="1426">
      <c r="E1426" s="22">
        <f t="shared" si="2"/>
        <v>0</v>
      </c>
      <c r="F1426" s="23" t="str">
        <f t="shared" si="3"/>
        <v/>
      </c>
      <c r="G1426" s="23" t="str">
        <f t="shared" si="4"/>
        <v/>
      </c>
      <c r="L1426" s="22">
        <f t="shared" si="5"/>
        <v>0</v>
      </c>
    </row>
    <row r="1427">
      <c r="E1427" s="22">
        <f t="shared" si="2"/>
        <v>0</v>
      </c>
      <c r="F1427" s="23" t="str">
        <f t="shared" si="3"/>
        <v/>
      </c>
      <c r="G1427" s="23" t="str">
        <f t="shared" si="4"/>
        <v/>
      </c>
      <c r="L1427" s="22">
        <f t="shared" si="5"/>
        <v>0</v>
      </c>
    </row>
    <row r="1428">
      <c r="E1428" s="22">
        <f t="shared" si="2"/>
        <v>0</v>
      </c>
      <c r="F1428" s="23" t="str">
        <f t="shared" si="3"/>
        <v/>
      </c>
      <c r="G1428" s="23" t="str">
        <f t="shared" si="4"/>
        <v/>
      </c>
      <c r="L1428" s="22">
        <f t="shared" si="5"/>
        <v>0</v>
      </c>
    </row>
    <row r="1429">
      <c r="E1429" s="22">
        <f t="shared" si="2"/>
        <v>0</v>
      </c>
      <c r="F1429" s="23" t="str">
        <f t="shared" si="3"/>
        <v/>
      </c>
      <c r="G1429" s="23" t="str">
        <f t="shared" si="4"/>
        <v/>
      </c>
      <c r="L1429" s="22">
        <f t="shared" si="5"/>
        <v>0</v>
      </c>
    </row>
    <row r="1430">
      <c r="E1430" s="22">
        <f t="shared" si="2"/>
        <v>0</v>
      </c>
      <c r="F1430" s="23" t="str">
        <f t="shared" si="3"/>
        <v/>
      </c>
      <c r="G1430" s="23" t="str">
        <f t="shared" si="4"/>
        <v/>
      </c>
      <c r="L1430" s="22">
        <f t="shared" si="5"/>
        <v>0</v>
      </c>
    </row>
    <row r="1431">
      <c r="E1431" s="22">
        <f t="shared" si="2"/>
        <v>0</v>
      </c>
      <c r="F1431" s="23" t="str">
        <f t="shared" si="3"/>
        <v/>
      </c>
      <c r="G1431" s="23" t="str">
        <f t="shared" si="4"/>
        <v/>
      </c>
      <c r="L1431" s="22">
        <f t="shared" si="5"/>
        <v>0</v>
      </c>
    </row>
    <row r="1432">
      <c r="E1432" s="22">
        <f t="shared" si="2"/>
        <v>0</v>
      </c>
      <c r="F1432" s="23" t="str">
        <f t="shared" si="3"/>
        <v/>
      </c>
      <c r="G1432" s="23" t="str">
        <f t="shared" si="4"/>
        <v/>
      </c>
      <c r="L1432" s="22">
        <f t="shared" si="5"/>
        <v>0</v>
      </c>
    </row>
    <row r="1433">
      <c r="E1433" s="22">
        <f t="shared" si="2"/>
        <v>0</v>
      </c>
      <c r="F1433" s="23" t="str">
        <f t="shared" si="3"/>
        <v/>
      </c>
      <c r="G1433" s="23" t="str">
        <f t="shared" si="4"/>
        <v/>
      </c>
      <c r="L1433" s="22">
        <f t="shared" si="5"/>
        <v>0</v>
      </c>
    </row>
    <row r="1434">
      <c r="E1434" s="22">
        <f t="shared" si="2"/>
        <v>0</v>
      </c>
      <c r="F1434" s="23" t="str">
        <f t="shared" si="3"/>
        <v/>
      </c>
      <c r="G1434" s="23" t="str">
        <f t="shared" si="4"/>
        <v/>
      </c>
      <c r="L1434" s="22">
        <f t="shared" si="5"/>
        <v>0</v>
      </c>
    </row>
    <row r="1435">
      <c r="E1435" s="22">
        <f t="shared" si="2"/>
        <v>0</v>
      </c>
      <c r="F1435" s="23" t="str">
        <f t="shared" si="3"/>
        <v/>
      </c>
      <c r="G1435" s="23" t="str">
        <f t="shared" si="4"/>
        <v/>
      </c>
      <c r="L1435" s="22">
        <f t="shared" si="5"/>
        <v>0</v>
      </c>
    </row>
    <row r="1436">
      <c r="E1436" s="22">
        <f t="shared" si="2"/>
        <v>0</v>
      </c>
      <c r="F1436" s="23" t="str">
        <f t="shared" si="3"/>
        <v/>
      </c>
      <c r="G1436" s="23" t="str">
        <f t="shared" si="4"/>
        <v/>
      </c>
      <c r="L1436" s="22">
        <f t="shared" si="5"/>
        <v>0</v>
      </c>
    </row>
    <row r="1437">
      <c r="E1437" s="22">
        <f t="shared" si="2"/>
        <v>0</v>
      </c>
      <c r="F1437" s="23" t="str">
        <f t="shared" si="3"/>
        <v/>
      </c>
      <c r="G1437" s="23" t="str">
        <f t="shared" si="4"/>
        <v/>
      </c>
      <c r="L1437" s="22">
        <f t="shared" si="5"/>
        <v>0</v>
      </c>
    </row>
    <row r="1438">
      <c r="E1438" s="22">
        <f t="shared" si="2"/>
        <v>0</v>
      </c>
      <c r="F1438" s="23" t="str">
        <f t="shared" si="3"/>
        <v/>
      </c>
      <c r="G1438" s="23" t="str">
        <f t="shared" si="4"/>
        <v/>
      </c>
      <c r="L1438" s="22">
        <f t="shared" si="5"/>
        <v>0</v>
      </c>
    </row>
    <row r="1439">
      <c r="E1439" s="22">
        <f t="shared" si="2"/>
        <v>0</v>
      </c>
      <c r="F1439" s="23" t="str">
        <f t="shared" si="3"/>
        <v/>
      </c>
      <c r="G1439" s="23" t="str">
        <f t="shared" si="4"/>
        <v/>
      </c>
      <c r="L1439" s="22">
        <f t="shared" si="5"/>
        <v>0</v>
      </c>
    </row>
    <row r="1440">
      <c r="E1440" s="22">
        <f t="shared" si="2"/>
        <v>0</v>
      </c>
      <c r="F1440" s="23" t="str">
        <f t="shared" si="3"/>
        <v/>
      </c>
      <c r="G1440" s="23" t="str">
        <f t="shared" si="4"/>
        <v/>
      </c>
      <c r="L1440" s="22">
        <f t="shared" si="5"/>
        <v>0</v>
      </c>
    </row>
    <row r="1441">
      <c r="E1441" s="22">
        <f t="shared" si="2"/>
        <v>0</v>
      </c>
      <c r="F1441" s="23" t="str">
        <f t="shared" si="3"/>
        <v/>
      </c>
      <c r="G1441" s="23" t="str">
        <f t="shared" si="4"/>
        <v/>
      </c>
      <c r="L1441" s="22">
        <f t="shared" si="5"/>
        <v>0</v>
      </c>
    </row>
    <row r="1442">
      <c r="E1442" s="22">
        <f t="shared" si="2"/>
        <v>0</v>
      </c>
      <c r="F1442" s="23" t="str">
        <f t="shared" si="3"/>
        <v/>
      </c>
      <c r="G1442" s="23" t="str">
        <f t="shared" si="4"/>
        <v/>
      </c>
      <c r="L1442" s="22">
        <f t="shared" si="5"/>
        <v>0</v>
      </c>
    </row>
    <row r="1443">
      <c r="E1443" s="22">
        <f t="shared" si="2"/>
        <v>0</v>
      </c>
      <c r="F1443" s="23" t="str">
        <f t="shared" si="3"/>
        <v/>
      </c>
      <c r="G1443" s="23" t="str">
        <f t="shared" si="4"/>
        <v/>
      </c>
      <c r="L1443" s="22">
        <f t="shared" si="5"/>
        <v>0</v>
      </c>
    </row>
    <row r="1444">
      <c r="E1444" s="22">
        <f t="shared" si="2"/>
        <v>0</v>
      </c>
      <c r="F1444" s="23" t="str">
        <f t="shared" si="3"/>
        <v/>
      </c>
      <c r="G1444" s="23" t="str">
        <f t="shared" si="4"/>
        <v/>
      </c>
      <c r="L1444" s="22">
        <f t="shared" si="5"/>
        <v>0</v>
      </c>
    </row>
    <row r="1445">
      <c r="E1445" s="22">
        <f t="shared" si="2"/>
        <v>0</v>
      </c>
      <c r="F1445" s="23" t="str">
        <f t="shared" si="3"/>
        <v/>
      </c>
      <c r="G1445" s="23" t="str">
        <f t="shared" si="4"/>
        <v/>
      </c>
      <c r="L1445" s="22">
        <f t="shared" si="5"/>
        <v>0</v>
      </c>
    </row>
    <row r="1446">
      <c r="E1446" s="22">
        <f t="shared" si="2"/>
        <v>0</v>
      </c>
      <c r="F1446" s="23" t="str">
        <f t="shared" si="3"/>
        <v/>
      </c>
      <c r="G1446" s="23" t="str">
        <f t="shared" si="4"/>
        <v/>
      </c>
      <c r="L1446" s="22">
        <f t="shared" si="5"/>
        <v>0</v>
      </c>
    </row>
    <row r="1447">
      <c r="E1447" s="22">
        <f t="shared" si="2"/>
        <v>0</v>
      </c>
      <c r="F1447" s="23" t="str">
        <f t="shared" si="3"/>
        <v/>
      </c>
      <c r="G1447" s="23" t="str">
        <f t="shared" si="4"/>
        <v/>
      </c>
      <c r="L1447" s="22">
        <f t="shared" si="5"/>
        <v>0</v>
      </c>
    </row>
    <row r="1448">
      <c r="E1448" s="22">
        <f t="shared" si="2"/>
        <v>0</v>
      </c>
      <c r="F1448" s="23" t="str">
        <f t="shared" si="3"/>
        <v/>
      </c>
      <c r="G1448" s="23" t="str">
        <f t="shared" si="4"/>
        <v/>
      </c>
      <c r="L1448" s="22">
        <f t="shared" si="5"/>
        <v>0</v>
      </c>
    </row>
    <row r="1449">
      <c r="E1449" s="22">
        <f t="shared" si="2"/>
        <v>0</v>
      </c>
      <c r="F1449" s="23" t="str">
        <f t="shared" si="3"/>
        <v/>
      </c>
      <c r="G1449" s="23" t="str">
        <f t="shared" si="4"/>
        <v/>
      </c>
      <c r="L1449" s="22">
        <f t="shared" si="5"/>
        <v>0</v>
      </c>
    </row>
    <row r="1450">
      <c r="E1450" s="22">
        <f t="shared" si="2"/>
        <v>0</v>
      </c>
      <c r="F1450" s="23" t="str">
        <f t="shared" si="3"/>
        <v/>
      </c>
      <c r="G1450" s="23" t="str">
        <f t="shared" si="4"/>
        <v/>
      </c>
      <c r="L1450" s="22">
        <f t="shared" si="5"/>
        <v>0</v>
      </c>
    </row>
    <row r="1451">
      <c r="E1451" s="22">
        <f t="shared" si="2"/>
        <v>0</v>
      </c>
      <c r="F1451" s="23" t="str">
        <f t="shared" si="3"/>
        <v/>
      </c>
      <c r="G1451" s="23" t="str">
        <f t="shared" si="4"/>
        <v/>
      </c>
      <c r="L1451" s="22">
        <f t="shared" si="5"/>
        <v>0</v>
      </c>
    </row>
    <row r="1452">
      <c r="E1452" s="22">
        <f t="shared" si="2"/>
        <v>0</v>
      </c>
      <c r="F1452" s="23" t="str">
        <f t="shared" si="3"/>
        <v/>
      </c>
      <c r="G1452" s="23" t="str">
        <f t="shared" si="4"/>
        <v/>
      </c>
      <c r="L1452" s="22">
        <f t="shared" si="5"/>
        <v>0</v>
      </c>
    </row>
    <row r="1453">
      <c r="E1453" s="22">
        <f t="shared" si="2"/>
        <v>0</v>
      </c>
      <c r="F1453" s="23" t="str">
        <f t="shared" si="3"/>
        <v/>
      </c>
      <c r="G1453" s="23" t="str">
        <f t="shared" si="4"/>
        <v/>
      </c>
      <c r="L1453" s="22">
        <f t="shared" si="5"/>
        <v>0</v>
      </c>
    </row>
    <row r="1454">
      <c r="E1454" s="22">
        <f t="shared" si="2"/>
        <v>0</v>
      </c>
      <c r="F1454" s="23" t="str">
        <f t="shared" si="3"/>
        <v/>
      </c>
      <c r="G1454" s="23" t="str">
        <f t="shared" si="4"/>
        <v/>
      </c>
      <c r="L1454" s="22">
        <f t="shared" si="5"/>
        <v>0</v>
      </c>
    </row>
    <row r="1455">
      <c r="E1455" s="22">
        <f t="shared" si="2"/>
        <v>0</v>
      </c>
      <c r="F1455" s="23" t="str">
        <f t="shared" si="3"/>
        <v/>
      </c>
      <c r="G1455" s="23" t="str">
        <f t="shared" si="4"/>
        <v/>
      </c>
      <c r="L1455" s="22">
        <f t="shared" si="5"/>
        <v>0</v>
      </c>
    </row>
    <row r="1456">
      <c r="E1456" s="22">
        <f t="shared" si="2"/>
        <v>0</v>
      </c>
      <c r="F1456" s="23" t="str">
        <f t="shared" si="3"/>
        <v/>
      </c>
      <c r="G1456" s="23" t="str">
        <f t="shared" si="4"/>
        <v/>
      </c>
      <c r="L1456" s="22">
        <f t="shared" si="5"/>
        <v>0</v>
      </c>
    </row>
    <row r="1457">
      <c r="E1457" s="22">
        <f t="shared" si="2"/>
        <v>0</v>
      </c>
      <c r="F1457" s="23" t="str">
        <f t="shared" si="3"/>
        <v/>
      </c>
      <c r="G1457" s="23" t="str">
        <f t="shared" si="4"/>
        <v/>
      </c>
      <c r="L1457" s="22">
        <f t="shared" si="5"/>
        <v>0</v>
      </c>
    </row>
    <row r="1458">
      <c r="E1458" s="22">
        <f t="shared" si="2"/>
        <v>0</v>
      </c>
      <c r="F1458" s="23" t="str">
        <f t="shared" si="3"/>
        <v/>
      </c>
      <c r="G1458" s="23" t="str">
        <f t="shared" si="4"/>
        <v/>
      </c>
      <c r="L1458" s="22">
        <f t="shared" si="5"/>
        <v>0</v>
      </c>
    </row>
    <row r="1459">
      <c r="E1459" s="22">
        <f t="shared" si="2"/>
        <v>0</v>
      </c>
      <c r="F1459" s="23" t="str">
        <f t="shared" si="3"/>
        <v/>
      </c>
      <c r="G1459" s="23" t="str">
        <f t="shared" si="4"/>
        <v/>
      </c>
      <c r="L1459" s="22">
        <f t="shared" si="5"/>
        <v>0</v>
      </c>
    </row>
    <row r="1460">
      <c r="E1460" s="22">
        <f t="shared" si="2"/>
        <v>0</v>
      </c>
      <c r="F1460" s="23" t="str">
        <f t="shared" si="3"/>
        <v/>
      </c>
      <c r="G1460" s="23" t="str">
        <f t="shared" si="4"/>
        <v/>
      </c>
      <c r="L1460" s="22">
        <f t="shared" si="5"/>
        <v>0</v>
      </c>
    </row>
    <row r="1461">
      <c r="E1461" s="22">
        <f t="shared" si="2"/>
        <v>0</v>
      </c>
      <c r="F1461" s="23" t="str">
        <f t="shared" si="3"/>
        <v/>
      </c>
      <c r="G1461" s="23" t="str">
        <f t="shared" si="4"/>
        <v/>
      </c>
      <c r="L1461" s="22">
        <f t="shared" si="5"/>
        <v>0</v>
      </c>
    </row>
    <row r="1462">
      <c r="E1462" s="22">
        <f t="shared" si="2"/>
        <v>0</v>
      </c>
      <c r="F1462" s="23" t="str">
        <f t="shared" si="3"/>
        <v/>
      </c>
      <c r="G1462" s="23" t="str">
        <f t="shared" si="4"/>
        <v/>
      </c>
      <c r="L1462" s="22">
        <f t="shared" si="5"/>
        <v>0</v>
      </c>
    </row>
    <row r="1463">
      <c r="E1463" s="22">
        <f t="shared" si="2"/>
        <v>0</v>
      </c>
      <c r="F1463" s="23" t="str">
        <f t="shared" si="3"/>
        <v/>
      </c>
      <c r="G1463" s="23" t="str">
        <f t="shared" si="4"/>
        <v/>
      </c>
      <c r="L1463" s="22">
        <f t="shared" si="5"/>
        <v>0</v>
      </c>
    </row>
    <row r="1464">
      <c r="E1464" s="22">
        <f t="shared" si="2"/>
        <v>0</v>
      </c>
      <c r="F1464" s="23" t="str">
        <f t="shared" si="3"/>
        <v/>
      </c>
      <c r="G1464" s="23" t="str">
        <f t="shared" si="4"/>
        <v/>
      </c>
      <c r="L1464" s="22">
        <f t="shared" si="5"/>
        <v>0</v>
      </c>
    </row>
    <row r="1465">
      <c r="E1465" s="22">
        <f t="shared" si="2"/>
        <v>0</v>
      </c>
      <c r="F1465" s="23" t="str">
        <f t="shared" si="3"/>
        <v/>
      </c>
      <c r="G1465" s="23" t="str">
        <f t="shared" si="4"/>
        <v/>
      </c>
      <c r="L1465" s="22">
        <f t="shared" si="5"/>
        <v>0</v>
      </c>
    </row>
    <row r="1466">
      <c r="E1466" s="22">
        <f t="shared" si="2"/>
        <v>0</v>
      </c>
      <c r="F1466" s="23" t="str">
        <f t="shared" si="3"/>
        <v/>
      </c>
      <c r="G1466" s="23" t="str">
        <f t="shared" si="4"/>
        <v/>
      </c>
      <c r="L1466" s="22">
        <f t="shared" si="5"/>
        <v>0</v>
      </c>
    </row>
    <row r="1467">
      <c r="E1467" s="22">
        <f t="shared" si="2"/>
        <v>0</v>
      </c>
      <c r="F1467" s="23" t="str">
        <f t="shared" si="3"/>
        <v/>
      </c>
      <c r="G1467" s="23" t="str">
        <f t="shared" si="4"/>
        <v/>
      </c>
      <c r="L1467" s="22">
        <f t="shared" si="5"/>
        <v>0</v>
      </c>
    </row>
    <row r="1468">
      <c r="E1468" s="22">
        <f t="shared" si="2"/>
        <v>0</v>
      </c>
      <c r="F1468" s="23" t="str">
        <f t="shared" si="3"/>
        <v/>
      </c>
      <c r="G1468" s="23" t="str">
        <f t="shared" si="4"/>
        <v/>
      </c>
      <c r="L1468" s="22">
        <f t="shared" si="5"/>
        <v>0</v>
      </c>
    </row>
    <row r="1469">
      <c r="E1469" s="22">
        <f t="shared" si="2"/>
        <v>0</v>
      </c>
      <c r="F1469" s="23" t="str">
        <f t="shared" si="3"/>
        <v/>
      </c>
      <c r="G1469" s="23" t="str">
        <f t="shared" si="4"/>
        <v/>
      </c>
      <c r="L1469" s="22">
        <f t="shared" si="5"/>
        <v>0</v>
      </c>
    </row>
    <row r="1470">
      <c r="E1470" s="22">
        <f t="shared" si="2"/>
        <v>0</v>
      </c>
      <c r="F1470" s="23" t="str">
        <f t="shared" si="3"/>
        <v/>
      </c>
      <c r="G1470" s="23" t="str">
        <f t="shared" si="4"/>
        <v/>
      </c>
      <c r="L1470" s="22">
        <f t="shared" si="5"/>
        <v>0</v>
      </c>
    </row>
    <row r="1471">
      <c r="E1471" s="22">
        <f t="shared" si="2"/>
        <v>0</v>
      </c>
      <c r="F1471" s="23" t="str">
        <f t="shared" si="3"/>
        <v/>
      </c>
      <c r="G1471" s="23" t="str">
        <f t="shared" si="4"/>
        <v/>
      </c>
      <c r="L1471" s="22">
        <f t="shared" si="5"/>
        <v>0</v>
      </c>
    </row>
    <row r="1472">
      <c r="E1472" s="22">
        <f t="shared" si="2"/>
        <v>0</v>
      </c>
      <c r="F1472" s="23" t="str">
        <f t="shared" si="3"/>
        <v/>
      </c>
      <c r="G1472" s="23" t="str">
        <f t="shared" si="4"/>
        <v/>
      </c>
      <c r="L1472" s="22">
        <f t="shared" si="5"/>
        <v>0</v>
      </c>
    </row>
    <row r="1473">
      <c r="E1473" s="22">
        <f t="shared" si="2"/>
        <v>0</v>
      </c>
      <c r="F1473" s="23" t="str">
        <f t="shared" si="3"/>
        <v/>
      </c>
      <c r="G1473" s="23" t="str">
        <f t="shared" si="4"/>
        <v/>
      </c>
      <c r="L1473" s="22">
        <f t="shared" si="5"/>
        <v>0</v>
      </c>
    </row>
    <row r="1474">
      <c r="E1474" s="22"/>
      <c r="F1474" s="23"/>
      <c r="G1474" s="23"/>
      <c r="L1474" s="23"/>
    </row>
    <row r="1475">
      <c r="E1475" s="22"/>
      <c r="F1475" s="23"/>
      <c r="G1475" s="23"/>
      <c r="L1475" s="23"/>
    </row>
    <row r="1476">
      <c r="E1476" s="22"/>
      <c r="F1476" s="23"/>
      <c r="G1476" s="23"/>
      <c r="L1476" s="23"/>
    </row>
    <row r="1477">
      <c r="E1477" s="22"/>
      <c r="F1477" s="23"/>
      <c r="G1477" s="23"/>
      <c r="L1477" s="23"/>
    </row>
    <row r="1478">
      <c r="E1478" s="22"/>
      <c r="F1478" s="23"/>
      <c r="G1478" s="23"/>
      <c r="L1478" s="23"/>
    </row>
    <row r="1479">
      <c r="E1479" s="22"/>
      <c r="F1479" s="23"/>
      <c r="G1479" s="23"/>
      <c r="L1479" s="23"/>
    </row>
    <row r="1480">
      <c r="E1480" s="22"/>
      <c r="F1480" s="23"/>
      <c r="G1480" s="23"/>
      <c r="L1480" s="23"/>
    </row>
    <row r="1481">
      <c r="E1481" s="22"/>
      <c r="F1481" s="23"/>
      <c r="G1481" s="23"/>
      <c r="L1481" s="23"/>
    </row>
    <row r="1482">
      <c r="E1482" s="22"/>
      <c r="F1482" s="23"/>
      <c r="G1482" s="23"/>
      <c r="L1482" s="23"/>
    </row>
    <row r="1483">
      <c r="E1483" s="22"/>
      <c r="F1483" s="23"/>
      <c r="G1483" s="23"/>
      <c r="L1483" s="23"/>
    </row>
    <row r="1484">
      <c r="E1484" s="22"/>
      <c r="F1484" s="23"/>
      <c r="G1484" s="23"/>
      <c r="L1484" s="23"/>
    </row>
    <row r="1485">
      <c r="E1485" s="22"/>
      <c r="F1485" s="23"/>
      <c r="G1485" s="23"/>
      <c r="L1485" s="23"/>
    </row>
    <row r="1486">
      <c r="E1486" s="22"/>
      <c r="F1486" s="23"/>
      <c r="G1486" s="23"/>
      <c r="L1486" s="23"/>
    </row>
    <row r="1487">
      <c r="E1487" s="22"/>
      <c r="F1487" s="23"/>
      <c r="G1487" s="23"/>
      <c r="L1487" s="23"/>
    </row>
    <row r="1488">
      <c r="E1488" s="22"/>
      <c r="F1488" s="23"/>
      <c r="G1488" s="23"/>
      <c r="L1488" s="23"/>
    </row>
    <row r="1489">
      <c r="E1489" s="22"/>
      <c r="F1489" s="23"/>
      <c r="G1489" s="23"/>
      <c r="L1489" s="23"/>
    </row>
    <row r="1490">
      <c r="E1490" s="22"/>
      <c r="F1490" s="23"/>
      <c r="G1490" s="23"/>
      <c r="L1490" s="23"/>
    </row>
    <row r="1491">
      <c r="E1491" s="22"/>
      <c r="F1491" s="23"/>
      <c r="G1491" s="23"/>
      <c r="L1491" s="23"/>
    </row>
    <row r="1492">
      <c r="E1492" s="22"/>
      <c r="F1492" s="23"/>
      <c r="G1492" s="23"/>
      <c r="L1492" s="23"/>
    </row>
    <row r="1493">
      <c r="E1493" s="22"/>
      <c r="F1493" s="23"/>
      <c r="G1493" s="23"/>
      <c r="L1493" s="23"/>
    </row>
    <row r="1494">
      <c r="E1494" s="22"/>
      <c r="F1494" s="23"/>
      <c r="G1494" s="23"/>
      <c r="L1494" s="23"/>
    </row>
    <row r="1495">
      <c r="E1495" s="22"/>
      <c r="F1495" s="23"/>
      <c r="G1495" s="23"/>
      <c r="L1495" s="23"/>
    </row>
    <row r="1496">
      <c r="E1496" s="22"/>
      <c r="F1496" s="23"/>
      <c r="G1496" s="23"/>
      <c r="L1496" s="23"/>
    </row>
    <row r="1497">
      <c r="E1497" s="22"/>
      <c r="F1497" s="23"/>
      <c r="G1497" s="23"/>
      <c r="L1497" s="23"/>
    </row>
    <row r="1498">
      <c r="E1498" s="22"/>
      <c r="F1498" s="23"/>
      <c r="G1498" s="23"/>
      <c r="L1498" s="23"/>
    </row>
    <row r="1499">
      <c r="E1499" s="22"/>
      <c r="F1499" s="23"/>
      <c r="G1499" s="23"/>
      <c r="L1499" s="23"/>
    </row>
    <row r="1500">
      <c r="E1500" s="22"/>
      <c r="F1500" s="23"/>
      <c r="G1500" s="23"/>
      <c r="L1500" s="23"/>
    </row>
    <row r="1501">
      <c r="E1501" s="22"/>
      <c r="F1501" s="23"/>
      <c r="G1501" s="23"/>
      <c r="L1501" s="23"/>
    </row>
    <row r="1502">
      <c r="E1502" s="22"/>
      <c r="F1502" s="23"/>
      <c r="G1502" s="23"/>
      <c r="L1502" s="23"/>
    </row>
    <row r="1503">
      <c r="E1503" s="22"/>
      <c r="F1503" s="23"/>
      <c r="G1503" s="23"/>
      <c r="L1503" s="23"/>
    </row>
    <row r="1504">
      <c r="E1504" s="22"/>
      <c r="F1504" s="23"/>
      <c r="G1504" s="23"/>
      <c r="L1504" s="23"/>
    </row>
    <row r="1505">
      <c r="E1505" s="22"/>
      <c r="F1505" s="23"/>
      <c r="G1505" s="23"/>
      <c r="L1505" s="23"/>
    </row>
    <row r="1506">
      <c r="E1506" s="22"/>
      <c r="F1506" s="23"/>
      <c r="G1506" s="23"/>
      <c r="L1506" s="23"/>
    </row>
    <row r="1507">
      <c r="E1507" s="22"/>
      <c r="F1507" s="23"/>
      <c r="G1507" s="23"/>
      <c r="L1507" s="23"/>
    </row>
    <row r="1508">
      <c r="E1508" s="22"/>
      <c r="F1508" s="23"/>
      <c r="G1508" s="23"/>
      <c r="L1508" s="23"/>
    </row>
    <row r="1509">
      <c r="E1509" s="22"/>
      <c r="F1509" s="23"/>
      <c r="G1509" s="23"/>
      <c r="L1509" s="23"/>
    </row>
    <row r="1510">
      <c r="E1510" s="22"/>
      <c r="F1510" s="23"/>
      <c r="G1510" s="23"/>
      <c r="L1510" s="23"/>
    </row>
    <row r="1511">
      <c r="E1511" s="22"/>
      <c r="F1511" s="23"/>
      <c r="G1511" s="23"/>
      <c r="L1511" s="23"/>
    </row>
    <row r="1512">
      <c r="E1512" s="22"/>
      <c r="F1512" s="23"/>
      <c r="G1512" s="23"/>
      <c r="L1512" s="23"/>
    </row>
    <row r="1513">
      <c r="E1513" s="22"/>
      <c r="F1513" s="23"/>
      <c r="G1513" s="23"/>
      <c r="L1513" s="23"/>
    </row>
    <row r="1514">
      <c r="E1514" s="22"/>
      <c r="F1514" s="23"/>
      <c r="G1514" s="23"/>
      <c r="L1514" s="23"/>
    </row>
    <row r="1515">
      <c r="E1515" s="22"/>
      <c r="F1515" s="23"/>
      <c r="G1515" s="23"/>
      <c r="L1515" s="23"/>
    </row>
    <row r="1516">
      <c r="E1516" s="22"/>
      <c r="F1516" s="23"/>
      <c r="G1516" s="23"/>
      <c r="L1516" s="23"/>
    </row>
    <row r="1517">
      <c r="E1517" s="22"/>
      <c r="F1517" s="23"/>
      <c r="G1517" s="23"/>
      <c r="L1517" s="23"/>
    </row>
    <row r="1518">
      <c r="E1518" s="22"/>
      <c r="F1518" s="23"/>
      <c r="G1518" s="23"/>
      <c r="L1518" s="23"/>
    </row>
    <row r="1519">
      <c r="E1519" s="22"/>
      <c r="F1519" s="23"/>
      <c r="G1519" s="23"/>
      <c r="L1519" s="23"/>
    </row>
    <row r="1520">
      <c r="E1520" s="22"/>
      <c r="F1520" s="23"/>
      <c r="G1520" s="23"/>
      <c r="L1520" s="23"/>
    </row>
    <row r="1521">
      <c r="E1521" s="22"/>
      <c r="F1521" s="23"/>
      <c r="G1521" s="23"/>
      <c r="L1521" s="23"/>
    </row>
    <row r="1522">
      <c r="E1522" s="22"/>
      <c r="F1522" s="23"/>
      <c r="G1522" s="23"/>
      <c r="L1522" s="23"/>
    </row>
    <row r="1523">
      <c r="E1523" s="22"/>
      <c r="F1523" s="23"/>
      <c r="G1523" s="23"/>
      <c r="L1523" s="23"/>
    </row>
    <row r="1524">
      <c r="E1524" s="22"/>
      <c r="F1524" s="23"/>
      <c r="G1524" s="23"/>
      <c r="L1524" s="23"/>
    </row>
    <row r="1525">
      <c r="E1525" s="22"/>
      <c r="F1525" s="23"/>
      <c r="G1525" s="23"/>
      <c r="L1525" s="23"/>
    </row>
    <row r="1526">
      <c r="E1526" s="22"/>
      <c r="F1526" s="23"/>
      <c r="G1526" s="23"/>
      <c r="L1526" s="23"/>
    </row>
    <row r="1527">
      <c r="E1527" s="22"/>
      <c r="F1527" s="23"/>
      <c r="G1527" s="23"/>
      <c r="L1527" s="23"/>
    </row>
    <row r="1528">
      <c r="E1528" s="22"/>
      <c r="F1528" s="23"/>
      <c r="G1528" s="23"/>
      <c r="L1528" s="23"/>
    </row>
    <row r="1529">
      <c r="E1529" s="22"/>
      <c r="F1529" s="23"/>
      <c r="G1529" s="23"/>
      <c r="L1529" s="23"/>
    </row>
    <row r="1530">
      <c r="E1530" s="22"/>
      <c r="F1530" s="23"/>
      <c r="G1530" s="23"/>
      <c r="L1530" s="23"/>
    </row>
    <row r="1531">
      <c r="E1531" s="22"/>
      <c r="F1531" s="23"/>
      <c r="G1531" s="23"/>
      <c r="L1531" s="23"/>
    </row>
    <row r="1532">
      <c r="E1532" s="22"/>
      <c r="F1532" s="23"/>
      <c r="G1532" s="23"/>
      <c r="L1532" s="23"/>
    </row>
    <row r="1533">
      <c r="E1533" s="22"/>
      <c r="F1533" s="23"/>
      <c r="G1533" s="23"/>
      <c r="L1533" s="23"/>
    </row>
    <row r="1534">
      <c r="E1534" s="22"/>
      <c r="F1534" s="23"/>
      <c r="G1534" s="23"/>
      <c r="L1534" s="23"/>
    </row>
    <row r="1535">
      <c r="E1535" s="22"/>
      <c r="F1535" s="23"/>
      <c r="G1535" s="23"/>
      <c r="L1535" s="23"/>
    </row>
    <row r="1536">
      <c r="E1536" s="22"/>
      <c r="F1536" s="23"/>
      <c r="G1536" s="23"/>
      <c r="L1536" s="23"/>
    </row>
    <row r="1537">
      <c r="E1537" s="22"/>
      <c r="F1537" s="23"/>
      <c r="G1537" s="23"/>
      <c r="L1537" s="23"/>
    </row>
    <row r="1538">
      <c r="E1538" s="22"/>
      <c r="F1538" s="23"/>
      <c r="G1538" s="23"/>
      <c r="L1538" s="23"/>
    </row>
    <row r="1539">
      <c r="E1539" s="22"/>
      <c r="F1539" s="23"/>
      <c r="G1539" s="23"/>
      <c r="L1539" s="23"/>
    </row>
    <row r="1540">
      <c r="E1540" s="22"/>
      <c r="F1540" s="23"/>
      <c r="G1540" s="23"/>
      <c r="L1540" s="23"/>
    </row>
    <row r="1541">
      <c r="E1541" s="22"/>
      <c r="F1541" s="23"/>
      <c r="G1541" s="23"/>
      <c r="L1541" s="23"/>
    </row>
    <row r="1542">
      <c r="E1542" s="22"/>
      <c r="F1542" s="23"/>
      <c r="G1542" s="23"/>
      <c r="L1542" s="23"/>
    </row>
    <row r="1543">
      <c r="E1543" s="22"/>
      <c r="F1543" s="23"/>
      <c r="G1543" s="23"/>
      <c r="L1543" s="23"/>
    </row>
    <row r="1544">
      <c r="E1544" s="22"/>
      <c r="F1544" s="23"/>
      <c r="G1544" s="23"/>
      <c r="L1544" s="23"/>
    </row>
    <row r="1545">
      <c r="E1545" s="22"/>
      <c r="F1545" s="23"/>
      <c r="G1545" s="23"/>
      <c r="L1545" s="23"/>
    </row>
    <row r="1546">
      <c r="E1546" s="22"/>
      <c r="F1546" s="23"/>
      <c r="G1546" s="23"/>
      <c r="L1546" s="23"/>
    </row>
    <row r="1547">
      <c r="E1547" s="22"/>
      <c r="F1547" s="23"/>
      <c r="G1547" s="23"/>
      <c r="L1547" s="23"/>
    </row>
    <row r="1548">
      <c r="E1548" s="22"/>
      <c r="F1548" s="23"/>
      <c r="G1548" s="23"/>
      <c r="L1548" s="23"/>
    </row>
    <row r="1549">
      <c r="E1549" s="22"/>
      <c r="F1549" s="23"/>
      <c r="G1549" s="23"/>
      <c r="L1549" s="23"/>
    </row>
    <row r="1550">
      <c r="E1550" s="22"/>
      <c r="F1550" s="23"/>
      <c r="G1550" s="23"/>
      <c r="L1550" s="23"/>
    </row>
    <row r="1551">
      <c r="E1551" s="22"/>
      <c r="F1551" s="23"/>
      <c r="G1551" s="23"/>
      <c r="L1551" s="23"/>
    </row>
    <row r="1552">
      <c r="E1552" s="22"/>
      <c r="F1552" s="23"/>
      <c r="G1552" s="23"/>
      <c r="L1552" s="23"/>
    </row>
    <row r="1553">
      <c r="E1553" s="22"/>
      <c r="F1553" s="23"/>
      <c r="G1553" s="23"/>
      <c r="L1553" s="23"/>
    </row>
    <row r="1554">
      <c r="E1554" s="22"/>
      <c r="F1554" s="23"/>
      <c r="G1554" s="23"/>
      <c r="L1554" s="23"/>
    </row>
    <row r="1555">
      <c r="E1555" s="22"/>
      <c r="F1555" s="23"/>
      <c r="G1555" s="23"/>
      <c r="L1555" s="23"/>
    </row>
    <row r="1556">
      <c r="E1556" s="22"/>
      <c r="F1556" s="23"/>
      <c r="G1556" s="23"/>
      <c r="L1556" s="23"/>
    </row>
    <row r="1557">
      <c r="E1557" s="22"/>
      <c r="F1557" s="23"/>
      <c r="G1557" s="23"/>
      <c r="L1557" s="23"/>
    </row>
    <row r="1558">
      <c r="E1558" s="22"/>
      <c r="F1558" s="23"/>
      <c r="G1558" s="23"/>
      <c r="L1558" s="23"/>
    </row>
    <row r="1559">
      <c r="E1559" s="22"/>
      <c r="F1559" s="23"/>
      <c r="G1559" s="23"/>
      <c r="L1559" s="23"/>
    </row>
    <row r="1560">
      <c r="E1560" s="22"/>
      <c r="F1560" s="23"/>
      <c r="G1560" s="23"/>
      <c r="L1560" s="23"/>
    </row>
    <row r="1561">
      <c r="E1561" s="22"/>
      <c r="F1561" s="23"/>
      <c r="G1561" s="23"/>
      <c r="L1561" s="23"/>
    </row>
    <row r="1562">
      <c r="E1562" s="22"/>
      <c r="F1562" s="23"/>
      <c r="G1562" s="23"/>
      <c r="L1562" s="23"/>
    </row>
    <row r="1563">
      <c r="E1563" s="22"/>
      <c r="F1563" s="23"/>
      <c r="G1563" s="23"/>
      <c r="L1563" s="23"/>
    </row>
    <row r="1564">
      <c r="E1564" s="22"/>
      <c r="F1564" s="23"/>
      <c r="G1564" s="23"/>
      <c r="L1564" s="23"/>
    </row>
    <row r="1565">
      <c r="E1565" s="22"/>
      <c r="F1565" s="23"/>
      <c r="G1565" s="23"/>
      <c r="L1565" s="23"/>
    </row>
    <row r="1566">
      <c r="E1566" s="22"/>
      <c r="F1566" s="23"/>
      <c r="G1566" s="23"/>
      <c r="L1566" s="23"/>
    </row>
    <row r="1567">
      <c r="E1567" s="22"/>
      <c r="F1567" s="23"/>
      <c r="G1567" s="23"/>
      <c r="L1567" s="23"/>
    </row>
    <row r="1568">
      <c r="E1568" s="22"/>
      <c r="F1568" s="23"/>
      <c r="G1568" s="23"/>
      <c r="L1568" s="23"/>
    </row>
    <row r="1569">
      <c r="E1569" s="22"/>
      <c r="F1569" s="23"/>
      <c r="G1569" s="23"/>
      <c r="L1569" s="23"/>
    </row>
    <row r="1570">
      <c r="E1570" s="22"/>
      <c r="F1570" s="23"/>
      <c r="G1570" s="23"/>
      <c r="L1570" s="23"/>
    </row>
    <row r="1571">
      <c r="E1571" s="22"/>
      <c r="F1571" s="23"/>
      <c r="G1571" s="23"/>
      <c r="L1571" s="23"/>
    </row>
    <row r="1572">
      <c r="E1572" s="22"/>
      <c r="F1572" s="23"/>
      <c r="G1572" s="23"/>
      <c r="L1572" s="23"/>
    </row>
    <row r="1573">
      <c r="E1573" s="22"/>
      <c r="F1573" s="23"/>
      <c r="G1573" s="23"/>
      <c r="L1573" s="23"/>
    </row>
    <row r="1574">
      <c r="E1574" s="22"/>
      <c r="F1574" s="23"/>
      <c r="G1574" s="23"/>
      <c r="L1574" s="23"/>
    </row>
    <row r="1575">
      <c r="E1575" s="22"/>
      <c r="F1575" s="23"/>
      <c r="G1575" s="23"/>
      <c r="L1575" s="23"/>
    </row>
    <row r="1576">
      <c r="E1576" s="22"/>
      <c r="F1576" s="23"/>
      <c r="G1576" s="23"/>
      <c r="L1576" s="23"/>
    </row>
    <row r="1577">
      <c r="E1577" s="22"/>
      <c r="F1577" s="23"/>
      <c r="G1577" s="23"/>
      <c r="L1577" s="23"/>
    </row>
    <row r="1578">
      <c r="E1578" s="22"/>
      <c r="F1578" s="23"/>
      <c r="G1578" s="23"/>
      <c r="L1578" s="23"/>
    </row>
    <row r="1579">
      <c r="E1579" s="22"/>
      <c r="F1579" s="23"/>
      <c r="G1579" s="23"/>
      <c r="L1579" s="23"/>
    </row>
    <row r="1580">
      <c r="E1580" s="22"/>
      <c r="F1580" s="23"/>
      <c r="G1580" s="23"/>
      <c r="L1580" s="23"/>
    </row>
    <row r="1581">
      <c r="E1581" s="22"/>
      <c r="F1581" s="23"/>
      <c r="G1581" s="23"/>
      <c r="L1581" s="23"/>
    </row>
    <row r="1582">
      <c r="E1582" s="22"/>
      <c r="F1582" s="23"/>
      <c r="G1582" s="23"/>
      <c r="L1582" s="23"/>
    </row>
    <row r="1583">
      <c r="E1583" s="22"/>
      <c r="F1583" s="23"/>
      <c r="G1583" s="23"/>
      <c r="L1583" s="23"/>
    </row>
    <row r="1584">
      <c r="E1584" s="22"/>
      <c r="F1584" s="23"/>
      <c r="G1584" s="23"/>
      <c r="L1584" s="23"/>
    </row>
    <row r="1585">
      <c r="E1585" s="22"/>
      <c r="F1585" s="23"/>
      <c r="G1585" s="23"/>
      <c r="L1585" s="23"/>
    </row>
    <row r="1586">
      <c r="E1586" s="22"/>
      <c r="F1586" s="23"/>
      <c r="G1586" s="23"/>
      <c r="L1586" s="23"/>
    </row>
    <row r="1587">
      <c r="E1587" s="22"/>
      <c r="F1587" s="23"/>
      <c r="G1587" s="23"/>
      <c r="L1587" s="23"/>
    </row>
    <row r="1588">
      <c r="E1588" s="22"/>
      <c r="F1588" s="23"/>
      <c r="G1588" s="23"/>
      <c r="L1588" s="23"/>
    </row>
    <row r="1589">
      <c r="E1589" s="22"/>
      <c r="F1589" s="23"/>
      <c r="G1589" s="23"/>
      <c r="L1589" s="23"/>
    </row>
    <row r="1590">
      <c r="E1590" s="22"/>
      <c r="F1590" s="23"/>
      <c r="G1590" s="23"/>
      <c r="L1590" s="23"/>
    </row>
    <row r="1591">
      <c r="E1591" s="22"/>
      <c r="F1591" s="23"/>
      <c r="G1591" s="23"/>
      <c r="L1591" s="23"/>
    </row>
    <row r="1592">
      <c r="E1592" s="22"/>
      <c r="F1592" s="23"/>
      <c r="G1592" s="23"/>
      <c r="L1592" s="23"/>
    </row>
    <row r="1593">
      <c r="E1593" s="22"/>
      <c r="F1593" s="23"/>
      <c r="G1593" s="23"/>
      <c r="L1593" s="23"/>
    </row>
    <row r="1594">
      <c r="E1594" s="22"/>
      <c r="F1594" s="23"/>
      <c r="G1594" s="23"/>
      <c r="L1594" s="23"/>
    </row>
    <row r="1595">
      <c r="E1595" s="22"/>
      <c r="F1595" s="23"/>
      <c r="G1595" s="23"/>
      <c r="L1595" s="23"/>
    </row>
    <row r="1596">
      <c r="E1596" s="22"/>
      <c r="F1596" s="23"/>
      <c r="G1596" s="23"/>
      <c r="L1596" s="23"/>
    </row>
    <row r="1597">
      <c r="E1597" s="22"/>
      <c r="F1597" s="23"/>
      <c r="G1597" s="23"/>
      <c r="L1597" s="23"/>
    </row>
    <row r="1598">
      <c r="E1598" s="22"/>
      <c r="F1598" s="23"/>
      <c r="G1598" s="23"/>
      <c r="L1598" s="23"/>
    </row>
    <row r="1599">
      <c r="E1599" s="22"/>
      <c r="F1599" s="23"/>
      <c r="G1599" s="23"/>
      <c r="L1599" s="23"/>
    </row>
    <row r="1600">
      <c r="E1600" s="22"/>
      <c r="F1600" s="23"/>
      <c r="G1600" s="23"/>
      <c r="L1600" s="23"/>
    </row>
    <row r="1601">
      <c r="E1601" s="22"/>
      <c r="F1601" s="23"/>
      <c r="G1601" s="23"/>
      <c r="L1601" s="23"/>
    </row>
    <row r="1602">
      <c r="E1602" s="22"/>
      <c r="F1602" s="23"/>
      <c r="G1602" s="23"/>
      <c r="L1602" s="23"/>
    </row>
    <row r="1603">
      <c r="E1603" s="22"/>
      <c r="F1603" s="23"/>
      <c r="G1603" s="23"/>
      <c r="L1603" s="23"/>
    </row>
    <row r="1604">
      <c r="E1604" s="22"/>
      <c r="F1604" s="23"/>
      <c r="G1604" s="23"/>
      <c r="L1604" s="23"/>
    </row>
    <row r="1605">
      <c r="E1605" s="22"/>
      <c r="F1605" s="23"/>
      <c r="G1605" s="23"/>
      <c r="L1605" s="23"/>
    </row>
    <row r="1606">
      <c r="E1606" s="22"/>
      <c r="F1606" s="23"/>
      <c r="G1606" s="23"/>
      <c r="L1606" s="23"/>
    </row>
    <row r="1607">
      <c r="E1607" s="22"/>
      <c r="F1607" s="23"/>
      <c r="G1607" s="23"/>
      <c r="L1607" s="23"/>
    </row>
    <row r="1608">
      <c r="E1608" s="22"/>
      <c r="F1608" s="23"/>
      <c r="G1608" s="23"/>
      <c r="L1608" s="23"/>
    </row>
    <row r="1609">
      <c r="E1609" s="22"/>
      <c r="F1609" s="23"/>
      <c r="G1609" s="23"/>
      <c r="L1609" s="23"/>
    </row>
    <row r="1610">
      <c r="E1610" s="22"/>
      <c r="F1610" s="23"/>
      <c r="G1610" s="23"/>
      <c r="L1610" s="23"/>
    </row>
    <row r="1611">
      <c r="E1611" s="22"/>
      <c r="F1611" s="23"/>
      <c r="G1611" s="23"/>
      <c r="L1611" s="23"/>
    </row>
    <row r="1612">
      <c r="E1612" s="22"/>
      <c r="F1612" s="23"/>
      <c r="G1612" s="23"/>
      <c r="L1612" s="23"/>
    </row>
    <row r="1613">
      <c r="E1613" s="22"/>
      <c r="F1613" s="23"/>
      <c r="G1613" s="23"/>
      <c r="L1613" s="23"/>
    </row>
    <row r="1614">
      <c r="E1614" s="22"/>
      <c r="F1614" s="23"/>
      <c r="G1614" s="23"/>
      <c r="L1614" s="23"/>
    </row>
    <row r="1615">
      <c r="E1615" s="22"/>
      <c r="F1615" s="23"/>
      <c r="G1615" s="23"/>
      <c r="L1615" s="23"/>
    </row>
    <row r="1616">
      <c r="E1616" s="22"/>
      <c r="F1616" s="23"/>
      <c r="G1616" s="23"/>
      <c r="L1616" s="23"/>
    </row>
    <row r="1617">
      <c r="E1617" s="22"/>
      <c r="F1617" s="23"/>
      <c r="G1617" s="23"/>
      <c r="L1617" s="23"/>
    </row>
    <row r="1618">
      <c r="E1618" s="22"/>
      <c r="F1618" s="23"/>
      <c r="G1618" s="23"/>
      <c r="L1618" s="23"/>
    </row>
    <row r="1619">
      <c r="E1619" s="22"/>
      <c r="F1619" s="23"/>
      <c r="G1619" s="23"/>
      <c r="L1619" s="23"/>
    </row>
    <row r="1620">
      <c r="E1620" s="22"/>
      <c r="F1620" s="23"/>
      <c r="G1620" s="23"/>
      <c r="L1620" s="23"/>
    </row>
    <row r="1621">
      <c r="E1621" s="22"/>
      <c r="F1621" s="23"/>
      <c r="G1621" s="23"/>
      <c r="L1621" s="23"/>
    </row>
    <row r="1622">
      <c r="E1622" s="22"/>
      <c r="F1622" s="23"/>
      <c r="G1622" s="23"/>
      <c r="L1622" s="23"/>
    </row>
    <row r="1623">
      <c r="E1623" s="22"/>
      <c r="F1623" s="23"/>
      <c r="G1623" s="23"/>
      <c r="L1623" s="23"/>
    </row>
    <row r="1624">
      <c r="E1624" s="22"/>
      <c r="F1624" s="23"/>
      <c r="G1624" s="23"/>
      <c r="L1624" s="23"/>
    </row>
    <row r="1625">
      <c r="E1625" s="22"/>
      <c r="F1625" s="23"/>
      <c r="G1625" s="23"/>
      <c r="L1625" s="23"/>
    </row>
    <row r="1626">
      <c r="E1626" s="22"/>
      <c r="F1626" s="23"/>
      <c r="G1626" s="23"/>
      <c r="L1626" s="23"/>
    </row>
    <row r="1627">
      <c r="E1627" s="22"/>
      <c r="F1627" s="23"/>
      <c r="G1627" s="23"/>
      <c r="L1627" s="23"/>
    </row>
    <row r="1628">
      <c r="E1628" s="22"/>
      <c r="F1628" s="23"/>
      <c r="G1628" s="23"/>
      <c r="L1628" s="23"/>
    </row>
    <row r="1629">
      <c r="E1629" s="22"/>
      <c r="F1629" s="23"/>
      <c r="G1629" s="23"/>
      <c r="L1629" s="23"/>
    </row>
    <row r="1630">
      <c r="E1630" s="22"/>
      <c r="F1630" s="23"/>
      <c r="G1630" s="23"/>
      <c r="L1630" s="23"/>
    </row>
    <row r="1631">
      <c r="E1631" s="22"/>
      <c r="F1631" s="23"/>
      <c r="G1631" s="23"/>
      <c r="L1631" s="23"/>
    </row>
    <row r="1632">
      <c r="E1632" s="22"/>
      <c r="F1632" s="23"/>
      <c r="G1632" s="23"/>
      <c r="L1632" s="23"/>
    </row>
    <row r="1633">
      <c r="E1633" s="22"/>
      <c r="F1633" s="23"/>
      <c r="G1633" s="23"/>
      <c r="L1633" s="23"/>
    </row>
    <row r="1634">
      <c r="E1634" s="22"/>
      <c r="F1634" s="23"/>
      <c r="G1634" s="23"/>
      <c r="L1634" s="23"/>
    </row>
    <row r="1635">
      <c r="E1635" s="22"/>
      <c r="F1635" s="23"/>
      <c r="G1635" s="23"/>
      <c r="L1635" s="23"/>
    </row>
    <row r="1636">
      <c r="E1636" s="22"/>
      <c r="F1636" s="23"/>
      <c r="G1636" s="23"/>
      <c r="L1636" s="23"/>
    </row>
    <row r="1637">
      <c r="E1637" s="22"/>
      <c r="F1637" s="23"/>
      <c r="G1637" s="23"/>
      <c r="L1637" s="23"/>
    </row>
    <row r="1638">
      <c r="E1638" s="22"/>
      <c r="F1638" s="23"/>
      <c r="G1638" s="23"/>
      <c r="L1638" s="23"/>
    </row>
    <row r="1639">
      <c r="E1639" s="22"/>
      <c r="F1639" s="23"/>
      <c r="G1639" s="23"/>
      <c r="L1639" s="23"/>
    </row>
    <row r="1640">
      <c r="E1640" s="22"/>
      <c r="F1640" s="23"/>
      <c r="G1640" s="23"/>
      <c r="L1640" s="23"/>
    </row>
    <row r="1641">
      <c r="E1641" s="22"/>
      <c r="F1641" s="23"/>
      <c r="G1641" s="23"/>
      <c r="L1641" s="23"/>
    </row>
    <row r="1642">
      <c r="E1642" s="22"/>
      <c r="F1642" s="23"/>
      <c r="G1642" s="23"/>
      <c r="L1642" s="23"/>
    </row>
    <row r="1643">
      <c r="E1643" s="22"/>
      <c r="F1643" s="23"/>
      <c r="G1643" s="23"/>
      <c r="L1643" s="23"/>
    </row>
    <row r="1644">
      <c r="E1644" s="22"/>
      <c r="F1644" s="23"/>
      <c r="G1644" s="23"/>
      <c r="L1644" s="23"/>
    </row>
    <row r="1645">
      <c r="E1645" s="22"/>
      <c r="F1645" s="23"/>
      <c r="G1645" s="23"/>
      <c r="L1645" s="23"/>
    </row>
    <row r="1646">
      <c r="E1646" s="22"/>
      <c r="F1646" s="23"/>
      <c r="G1646" s="23"/>
      <c r="L1646" s="23"/>
    </row>
    <row r="1647">
      <c r="E1647" s="22"/>
      <c r="F1647" s="23"/>
      <c r="G1647" s="23"/>
      <c r="L1647" s="23"/>
    </row>
    <row r="1648">
      <c r="E1648" s="22"/>
      <c r="F1648" s="23"/>
      <c r="G1648" s="23"/>
      <c r="L1648" s="23"/>
    </row>
    <row r="1649">
      <c r="E1649" s="22"/>
      <c r="F1649" s="23"/>
      <c r="G1649" s="23"/>
      <c r="L1649" s="23"/>
    </row>
    <row r="1650">
      <c r="E1650" s="22"/>
      <c r="F1650" s="23"/>
      <c r="G1650" s="23"/>
      <c r="L1650" s="23"/>
    </row>
    <row r="1651">
      <c r="E1651" s="22"/>
      <c r="F1651" s="23"/>
      <c r="G1651" s="23"/>
      <c r="L1651" s="23"/>
    </row>
    <row r="1652">
      <c r="E1652" s="22"/>
      <c r="F1652" s="23"/>
      <c r="G1652" s="23"/>
      <c r="L1652" s="23"/>
    </row>
    <row r="1653">
      <c r="E1653" s="22"/>
      <c r="F1653" s="23"/>
      <c r="G1653" s="23"/>
      <c r="L1653" s="23"/>
    </row>
    <row r="1654">
      <c r="E1654" s="22"/>
      <c r="F1654" s="23"/>
      <c r="G1654" s="23"/>
      <c r="L1654" s="23"/>
    </row>
    <row r="1655">
      <c r="E1655" s="22"/>
      <c r="F1655" s="23"/>
      <c r="G1655" s="23"/>
      <c r="L1655" s="23"/>
    </row>
    <row r="1656">
      <c r="E1656" s="22"/>
      <c r="F1656" s="23"/>
      <c r="G1656" s="23"/>
      <c r="L1656" s="23"/>
    </row>
    <row r="1657">
      <c r="E1657" s="22"/>
      <c r="F1657" s="23"/>
      <c r="G1657" s="23"/>
      <c r="L1657" s="23"/>
    </row>
    <row r="1658">
      <c r="E1658" s="22"/>
      <c r="F1658" s="23"/>
      <c r="G1658" s="23"/>
      <c r="L1658" s="23"/>
    </row>
    <row r="1659">
      <c r="E1659" s="22"/>
      <c r="F1659" s="23"/>
      <c r="G1659" s="23"/>
      <c r="L1659" s="23"/>
    </row>
    <row r="1660">
      <c r="E1660" s="22"/>
      <c r="F1660" s="23"/>
      <c r="G1660" s="23"/>
      <c r="L1660" s="23"/>
    </row>
    <row r="1661">
      <c r="E1661" s="22"/>
      <c r="F1661" s="23"/>
      <c r="G1661" s="23"/>
      <c r="L1661" s="23"/>
    </row>
    <row r="1662">
      <c r="E1662" s="22"/>
      <c r="F1662" s="23"/>
      <c r="G1662" s="23"/>
      <c r="L1662" s="23"/>
    </row>
    <row r="1663">
      <c r="E1663" s="22"/>
      <c r="F1663" s="23"/>
      <c r="G1663" s="23"/>
      <c r="L1663" s="23"/>
    </row>
    <row r="1664">
      <c r="E1664" s="22"/>
      <c r="F1664" s="23"/>
      <c r="G1664" s="23"/>
      <c r="L1664" s="23"/>
    </row>
    <row r="1665">
      <c r="E1665" s="22"/>
      <c r="F1665" s="23"/>
      <c r="G1665" s="23"/>
      <c r="L1665" s="23"/>
    </row>
    <row r="1666">
      <c r="E1666" s="22"/>
      <c r="F1666" s="23"/>
      <c r="G1666" s="23"/>
      <c r="L1666" s="23"/>
    </row>
    <row r="1667">
      <c r="E1667" s="22"/>
      <c r="F1667" s="23"/>
      <c r="G1667" s="23"/>
      <c r="L1667" s="23"/>
    </row>
    <row r="1668">
      <c r="E1668" s="22"/>
      <c r="F1668" s="23"/>
      <c r="G1668" s="23"/>
      <c r="L1668" s="23"/>
    </row>
    <row r="1669">
      <c r="E1669" s="22"/>
      <c r="F1669" s="23"/>
      <c r="G1669" s="23"/>
      <c r="L1669" s="23"/>
    </row>
    <row r="1670">
      <c r="E1670" s="22"/>
      <c r="F1670" s="23"/>
      <c r="G1670" s="23"/>
      <c r="L1670" s="23"/>
    </row>
    <row r="1671">
      <c r="E1671" s="22"/>
      <c r="F1671" s="23"/>
      <c r="G1671" s="23"/>
      <c r="L1671" s="23"/>
    </row>
    <row r="1672">
      <c r="E1672" s="22"/>
      <c r="F1672" s="23"/>
      <c r="G1672" s="23"/>
      <c r="L1672" s="23"/>
    </row>
    <row r="1673">
      <c r="E1673" s="22"/>
      <c r="F1673" s="23"/>
      <c r="G1673" s="23"/>
      <c r="L1673" s="23"/>
    </row>
    <row r="1674">
      <c r="E1674" s="22"/>
      <c r="F1674" s="23"/>
      <c r="G1674" s="23"/>
      <c r="L1674" s="23"/>
    </row>
    <row r="1675">
      <c r="E1675" s="22"/>
      <c r="F1675" s="23"/>
      <c r="G1675" s="23"/>
      <c r="L1675" s="23"/>
    </row>
    <row r="1676">
      <c r="E1676" s="22"/>
      <c r="F1676" s="23"/>
      <c r="G1676" s="23"/>
      <c r="L1676" s="23"/>
    </row>
    <row r="1677">
      <c r="E1677" s="22"/>
      <c r="F1677" s="23"/>
      <c r="G1677" s="23"/>
      <c r="L1677" s="23"/>
    </row>
    <row r="1678">
      <c r="E1678" s="22"/>
      <c r="F1678" s="23"/>
      <c r="G1678" s="23"/>
      <c r="L1678" s="23"/>
    </row>
    <row r="1679">
      <c r="E1679" s="22"/>
      <c r="F1679" s="23"/>
      <c r="G1679" s="23"/>
      <c r="L1679" s="23"/>
    </row>
    <row r="1680">
      <c r="E1680" s="22"/>
      <c r="F1680" s="23"/>
      <c r="G1680" s="23"/>
      <c r="L1680" s="23"/>
    </row>
    <row r="1681">
      <c r="E1681" s="22"/>
      <c r="F1681" s="23"/>
      <c r="G1681" s="23"/>
      <c r="L1681" s="23"/>
    </row>
    <row r="1682">
      <c r="E1682" s="22"/>
      <c r="F1682" s="23"/>
      <c r="G1682" s="23"/>
      <c r="L1682" s="23"/>
    </row>
    <row r="1683">
      <c r="E1683" s="22"/>
      <c r="F1683" s="23"/>
      <c r="G1683" s="23"/>
      <c r="L1683" s="23"/>
    </row>
    <row r="1684">
      <c r="E1684" s="22"/>
      <c r="F1684" s="23"/>
      <c r="G1684" s="23"/>
      <c r="L1684" s="23"/>
    </row>
    <row r="1685">
      <c r="E1685" s="22"/>
      <c r="F1685" s="23"/>
      <c r="G1685" s="23"/>
      <c r="L1685" s="23"/>
    </row>
    <row r="1686">
      <c r="E1686" s="22"/>
      <c r="F1686" s="23"/>
      <c r="G1686" s="23"/>
      <c r="L1686" s="23"/>
    </row>
    <row r="1687">
      <c r="E1687" s="22"/>
      <c r="F1687" s="23"/>
      <c r="G1687" s="23"/>
      <c r="L1687" s="23"/>
    </row>
    <row r="1688">
      <c r="E1688" s="22"/>
      <c r="F1688" s="23"/>
      <c r="G1688" s="23"/>
      <c r="L1688" s="23"/>
    </row>
    <row r="1689">
      <c r="E1689" s="22"/>
      <c r="F1689" s="23"/>
      <c r="G1689" s="23"/>
      <c r="L1689" s="23"/>
    </row>
    <row r="1690">
      <c r="E1690" s="22"/>
      <c r="F1690" s="23"/>
      <c r="G1690" s="23"/>
      <c r="L1690" s="23"/>
    </row>
    <row r="1691">
      <c r="E1691" s="22"/>
      <c r="F1691" s="23"/>
      <c r="G1691" s="23"/>
      <c r="L1691" s="23"/>
    </row>
    <row r="1692">
      <c r="E1692" s="22"/>
      <c r="F1692" s="23"/>
      <c r="G1692" s="23"/>
      <c r="L1692" s="23"/>
    </row>
    <row r="1693">
      <c r="E1693" s="22"/>
      <c r="F1693" s="23"/>
      <c r="G1693" s="23"/>
      <c r="L1693" s="23"/>
    </row>
    <row r="1694">
      <c r="E1694" s="22"/>
      <c r="F1694" s="23"/>
      <c r="G1694" s="23"/>
      <c r="L1694" s="23"/>
    </row>
    <row r="1695">
      <c r="E1695" s="22"/>
      <c r="F1695" s="23"/>
      <c r="G1695" s="23"/>
      <c r="L1695" s="23"/>
    </row>
    <row r="1696">
      <c r="E1696" s="22"/>
      <c r="F1696" s="23"/>
      <c r="G1696" s="23"/>
      <c r="L1696" s="23"/>
    </row>
    <row r="1697">
      <c r="E1697" s="22"/>
      <c r="F1697" s="23"/>
      <c r="G1697" s="23"/>
      <c r="L1697" s="23"/>
    </row>
    <row r="1698">
      <c r="E1698" s="22"/>
      <c r="F1698" s="23"/>
      <c r="G1698" s="23"/>
      <c r="L1698" s="23"/>
    </row>
    <row r="1699">
      <c r="E1699" s="22"/>
      <c r="F1699" s="23"/>
      <c r="G1699" s="23"/>
      <c r="L1699" s="23"/>
    </row>
    <row r="1700">
      <c r="E1700" s="22"/>
      <c r="F1700" s="23"/>
      <c r="G1700" s="23"/>
      <c r="L1700" s="23"/>
    </row>
    <row r="1701">
      <c r="E1701" s="22"/>
      <c r="F1701" s="23"/>
      <c r="G1701" s="23"/>
      <c r="L1701" s="23"/>
    </row>
    <row r="1702">
      <c r="E1702" s="22"/>
      <c r="F1702" s="23"/>
      <c r="G1702" s="23"/>
      <c r="L1702" s="23"/>
    </row>
    <row r="1703">
      <c r="E1703" s="22"/>
      <c r="F1703" s="23"/>
      <c r="G1703" s="23"/>
      <c r="L1703" s="23"/>
    </row>
    <row r="1704">
      <c r="E1704" s="22"/>
      <c r="F1704" s="23"/>
      <c r="G1704" s="23"/>
      <c r="L1704" s="23"/>
    </row>
    <row r="1705">
      <c r="E1705" s="22"/>
      <c r="F1705" s="23"/>
      <c r="G1705" s="23"/>
      <c r="L1705" s="23"/>
    </row>
    <row r="1706">
      <c r="E1706" s="22"/>
      <c r="F1706" s="23"/>
      <c r="G1706" s="23"/>
      <c r="L1706" s="23"/>
    </row>
    <row r="1707">
      <c r="E1707" s="22"/>
      <c r="F1707" s="23"/>
      <c r="G1707" s="23"/>
      <c r="L1707" s="23"/>
    </row>
    <row r="1708">
      <c r="E1708" s="22"/>
      <c r="F1708" s="23"/>
      <c r="G1708" s="23"/>
      <c r="L1708" s="23"/>
    </row>
    <row r="1709">
      <c r="E1709" s="22"/>
      <c r="F1709" s="23"/>
      <c r="G1709" s="23"/>
      <c r="L1709" s="23"/>
    </row>
    <row r="1710">
      <c r="E1710" s="22"/>
      <c r="F1710" s="23"/>
      <c r="G1710" s="23"/>
      <c r="L1710" s="23"/>
    </row>
    <row r="1711">
      <c r="E1711" s="22"/>
      <c r="F1711" s="23"/>
      <c r="G1711" s="23"/>
      <c r="L1711" s="23"/>
    </row>
    <row r="1712">
      <c r="E1712" s="22"/>
      <c r="F1712" s="23"/>
      <c r="G1712" s="23"/>
      <c r="L1712" s="23"/>
    </row>
    <row r="1713">
      <c r="E1713" s="22"/>
      <c r="F1713" s="23"/>
      <c r="G1713" s="23"/>
      <c r="L1713" s="23"/>
    </row>
    <row r="1714">
      <c r="E1714" s="22"/>
      <c r="F1714" s="23"/>
      <c r="G1714" s="23"/>
      <c r="L1714" s="23"/>
    </row>
    <row r="1715">
      <c r="E1715" s="22"/>
      <c r="F1715" s="23"/>
      <c r="G1715" s="23"/>
      <c r="L1715" s="23"/>
    </row>
    <row r="1716">
      <c r="E1716" s="22"/>
      <c r="F1716" s="23"/>
      <c r="G1716" s="23"/>
      <c r="L1716" s="23"/>
    </row>
    <row r="1717">
      <c r="E1717" s="22"/>
      <c r="F1717" s="23"/>
      <c r="G1717" s="23"/>
      <c r="L1717" s="23"/>
    </row>
    <row r="1718">
      <c r="E1718" s="22"/>
      <c r="F1718" s="23"/>
      <c r="G1718" s="23"/>
      <c r="L1718" s="23"/>
    </row>
    <row r="1719">
      <c r="E1719" s="22"/>
      <c r="F1719" s="23"/>
      <c r="G1719" s="23"/>
      <c r="L1719" s="23"/>
    </row>
    <row r="1720">
      <c r="E1720" s="22"/>
      <c r="F1720" s="23"/>
      <c r="G1720" s="23"/>
      <c r="L1720" s="23"/>
    </row>
    <row r="1721">
      <c r="E1721" s="22"/>
      <c r="F1721" s="23"/>
      <c r="G1721" s="23"/>
      <c r="L1721" s="23"/>
    </row>
    <row r="1722">
      <c r="E1722" s="22"/>
      <c r="F1722" s="23"/>
      <c r="G1722" s="23"/>
      <c r="L1722" s="23"/>
    </row>
    <row r="1723">
      <c r="E1723" s="22"/>
      <c r="F1723" s="23"/>
      <c r="G1723" s="23"/>
      <c r="L1723" s="23"/>
    </row>
    <row r="1724">
      <c r="E1724" s="22"/>
      <c r="F1724" s="23"/>
      <c r="G1724" s="23"/>
      <c r="L1724" s="23"/>
    </row>
    <row r="1725">
      <c r="E1725" s="22"/>
      <c r="F1725" s="23"/>
      <c r="G1725" s="23"/>
      <c r="L1725" s="23"/>
    </row>
    <row r="1726">
      <c r="E1726" s="22"/>
      <c r="F1726" s="23"/>
      <c r="G1726" s="23"/>
      <c r="L1726" s="23"/>
    </row>
    <row r="1727">
      <c r="E1727" s="22"/>
      <c r="F1727" s="23"/>
      <c r="G1727" s="23"/>
      <c r="L1727" s="23"/>
    </row>
    <row r="1728">
      <c r="E1728" s="22"/>
      <c r="F1728" s="23"/>
      <c r="G1728" s="23"/>
      <c r="L1728" s="23"/>
    </row>
    <row r="1729">
      <c r="E1729" s="22"/>
      <c r="F1729" s="23"/>
      <c r="G1729" s="23"/>
      <c r="L1729" s="23"/>
    </row>
    <row r="1730">
      <c r="E1730" s="22"/>
      <c r="F1730" s="23"/>
      <c r="G1730" s="23"/>
      <c r="L1730" s="23"/>
    </row>
    <row r="1731">
      <c r="E1731" s="22"/>
      <c r="F1731" s="23"/>
      <c r="G1731" s="23"/>
      <c r="L1731" s="23"/>
    </row>
    <row r="1732">
      <c r="E1732" s="22"/>
      <c r="F1732" s="23"/>
      <c r="G1732" s="23"/>
      <c r="L1732" s="23"/>
    </row>
    <row r="1733">
      <c r="E1733" s="22"/>
      <c r="F1733" s="23"/>
      <c r="G1733" s="23"/>
      <c r="L1733" s="23"/>
    </row>
    <row r="1734">
      <c r="E1734" s="22"/>
      <c r="F1734" s="23"/>
      <c r="G1734" s="23"/>
      <c r="L1734" s="23"/>
    </row>
    <row r="1735">
      <c r="E1735" s="22"/>
      <c r="F1735" s="23"/>
      <c r="G1735" s="23"/>
      <c r="L1735" s="23"/>
    </row>
    <row r="1736">
      <c r="E1736" s="22"/>
      <c r="F1736" s="23"/>
      <c r="G1736" s="23"/>
      <c r="L1736" s="23"/>
    </row>
    <row r="1737">
      <c r="E1737" s="22"/>
      <c r="F1737" s="23"/>
      <c r="G1737" s="23"/>
      <c r="L1737" s="23"/>
    </row>
    <row r="1738">
      <c r="E1738" s="22"/>
      <c r="F1738" s="23"/>
      <c r="G1738" s="23"/>
      <c r="L1738" s="23"/>
    </row>
    <row r="1739">
      <c r="E1739" s="22"/>
      <c r="F1739" s="23"/>
      <c r="G1739" s="23"/>
      <c r="L1739" s="23"/>
    </row>
    <row r="1740">
      <c r="E1740" s="22"/>
      <c r="F1740" s="23"/>
      <c r="G1740" s="23"/>
      <c r="L1740" s="23"/>
    </row>
    <row r="1741">
      <c r="E1741" s="22"/>
      <c r="F1741" s="23"/>
      <c r="G1741" s="23"/>
      <c r="L1741" s="23"/>
    </row>
    <row r="1742">
      <c r="E1742" s="22"/>
      <c r="F1742" s="23"/>
      <c r="G1742" s="23"/>
      <c r="L1742" s="23"/>
    </row>
    <row r="1743">
      <c r="E1743" s="22"/>
      <c r="F1743" s="23"/>
      <c r="G1743" s="23"/>
      <c r="L1743" s="23"/>
    </row>
    <row r="1744">
      <c r="E1744" s="22"/>
      <c r="F1744" s="23"/>
      <c r="G1744" s="23"/>
      <c r="L1744" s="23"/>
    </row>
    <row r="1745">
      <c r="E1745" s="22"/>
      <c r="F1745" s="23"/>
      <c r="G1745" s="23"/>
      <c r="L1745" s="23"/>
    </row>
    <row r="1746">
      <c r="E1746" s="22"/>
      <c r="F1746" s="23"/>
      <c r="G1746" s="23"/>
      <c r="L1746" s="23"/>
    </row>
    <row r="1747">
      <c r="E1747" s="22"/>
      <c r="F1747" s="23"/>
      <c r="G1747" s="23"/>
      <c r="L1747" s="23"/>
    </row>
    <row r="1748">
      <c r="E1748" s="22"/>
      <c r="F1748" s="23"/>
      <c r="G1748" s="23"/>
      <c r="L1748" s="23"/>
    </row>
    <row r="1749">
      <c r="E1749" s="22"/>
      <c r="F1749" s="23"/>
      <c r="G1749" s="23"/>
      <c r="L1749" s="23"/>
    </row>
    <row r="1750">
      <c r="E1750" s="22"/>
      <c r="F1750" s="23"/>
      <c r="G1750" s="23"/>
      <c r="L1750" s="23"/>
    </row>
    <row r="1751">
      <c r="E1751" s="22"/>
      <c r="F1751" s="23"/>
      <c r="G1751" s="23"/>
      <c r="L1751" s="23"/>
    </row>
    <row r="1752">
      <c r="E1752" s="22"/>
      <c r="F1752" s="23"/>
      <c r="G1752" s="23"/>
      <c r="L1752" s="23"/>
    </row>
    <row r="1753">
      <c r="E1753" s="22"/>
      <c r="F1753" s="23"/>
      <c r="G1753" s="23"/>
      <c r="L1753" s="23"/>
    </row>
    <row r="1754">
      <c r="E1754" s="22"/>
      <c r="F1754" s="23"/>
      <c r="G1754" s="23"/>
      <c r="L1754" s="23"/>
    </row>
    <row r="1755">
      <c r="E1755" s="22"/>
      <c r="F1755" s="23"/>
      <c r="G1755" s="23"/>
      <c r="L1755" s="23"/>
    </row>
    <row r="1756">
      <c r="E1756" s="22"/>
      <c r="F1756" s="23"/>
      <c r="G1756" s="23"/>
      <c r="L1756" s="23"/>
    </row>
    <row r="1757">
      <c r="E1757" s="22"/>
      <c r="F1757" s="23"/>
      <c r="G1757" s="23"/>
      <c r="L1757" s="23"/>
    </row>
    <row r="1758">
      <c r="E1758" s="22"/>
      <c r="F1758" s="23"/>
      <c r="G1758" s="23"/>
      <c r="L1758" s="23"/>
    </row>
    <row r="1759">
      <c r="E1759" s="22"/>
      <c r="F1759" s="23"/>
      <c r="G1759" s="23"/>
      <c r="L1759" s="23"/>
    </row>
    <row r="1760">
      <c r="E1760" s="22"/>
      <c r="F1760" s="23"/>
      <c r="G1760" s="23"/>
      <c r="L1760" s="23"/>
    </row>
    <row r="1761">
      <c r="E1761" s="22"/>
      <c r="F1761" s="23"/>
      <c r="G1761" s="23"/>
      <c r="L1761" s="23"/>
    </row>
    <row r="1762">
      <c r="E1762" s="22"/>
      <c r="F1762" s="23"/>
      <c r="G1762" s="23"/>
      <c r="L1762" s="23"/>
    </row>
    <row r="1763">
      <c r="E1763" s="22"/>
      <c r="F1763" s="23"/>
      <c r="G1763" s="23"/>
      <c r="L1763" s="23"/>
    </row>
    <row r="1764">
      <c r="E1764" s="22"/>
      <c r="F1764" s="23"/>
      <c r="G1764" s="23"/>
      <c r="L1764" s="23"/>
    </row>
    <row r="1765">
      <c r="E1765" s="22"/>
      <c r="F1765" s="23"/>
      <c r="G1765" s="23"/>
      <c r="L1765" s="23"/>
    </row>
    <row r="1766">
      <c r="E1766" s="22"/>
      <c r="F1766" s="23"/>
      <c r="G1766" s="23"/>
      <c r="L1766" s="23"/>
    </row>
    <row r="1767">
      <c r="E1767" s="22"/>
      <c r="F1767" s="23"/>
      <c r="G1767" s="23"/>
      <c r="L1767" s="23"/>
    </row>
    <row r="1768">
      <c r="E1768" s="22"/>
      <c r="F1768" s="23"/>
      <c r="G1768" s="23"/>
      <c r="L1768" s="23"/>
    </row>
    <row r="1769">
      <c r="E1769" s="22"/>
      <c r="F1769" s="23"/>
      <c r="G1769" s="23"/>
      <c r="L1769" s="23"/>
    </row>
    <row r="1770">
      <c r="E1770" s="22"/>
      <c r="F1770" s="23"/>
      <c r="G1770" s="23"/>
      <c r="L1770" s="23"/>
    </row>
    <row r="1771">
      <c r="E1771" s="22"/>
      <c r="F1771" s="23"/>
      <c r="G1771" s="23"/>
      <c r="L1771" s="23"/>
    </row>
    <row r="1772">
      <c r="E1772" s="22"/>
      <c r="F1772" s="23"/>
      <c r="G1772" s="23"/>
      <c r="L1772" s="23"/>
    </row>
    <row r="1773">
      <c r="E1773" s="22"/>
      <c r="F1773" s="23"/>
      <c r="G1773" s="23"/>
      <c r="L1773" s="23"/>
    </row>
    <row r="1774">
      <c r="E1774" s="22"/>
      <c r="F1774" s="23"/>
      <c r="G1774" s="23"/>
      <c r="L1774" s="23"/>
    </row>
    <row r="1775">
      <c r="E1775" s="22"/>
      <c r="F1775" s="23"/>
      <c r="G1775" s="23"/>
      <c r="L1775" s="23"/>
    </row>
    <row r="1776">
      <c r="E1776" s="22"/>
      <c r="F1776" s="23"/>
      <c r="G1776" s="23"/>
      <c r="L1776" s="23"/>
    </row>
    <row r="1777">
      <c r="E1777" s="22"/>
      <c r="F1777" s="23"/>
      <c r="G1777" s="23"/>
      <c r="L1777" s="23"/>
    </row>
    <row r="1778">
      <c r="E1778" s="22"/>
      <c r="F1778" s="23"/>
      <c r="G1778" s="23"/>
      <c r="L1778" s="23"/>
    </row>
    <row r="1779">
      <c r="E1779" s="22"/>
      <c r="F1779" s="23"/>
      <c r="G1779" s="23"/>
      <c r="L1779" s="23"/>
    </row>
    <row r="1780">
      <c r="E1780" s="22"/>
      <c r="F1780" s="23"/>
      <c r="G1780" s="23"/>
      <c r="L1780" s="23"/>
    </row>
    <row r="1781">
      <c r="E1781" s="22"/>
      <c r="F1781" s="23"/>
      <c r="G1781" s="23"/>
      <c r="L1781" s="23"/>
    </row>
    <row r="1782">
      <c r="E1782" s="22"/>
      <c r="F1782" s="23"/>
      <c r="G1782" s="23"/>
      <c r="L1782" s="23"/>
    </row>
    <row r="1783">
      <c r="E1783" s="22"/>
      <c r="F1783" s="23"/>
      <c r="G1783" s="23"/>
      <c r="L1783" s="23"/>
    </row>
    <row r="1784">
      <c r="E1784" s="22"/>
      <c r="F1784" s="23"/>
      <c r="G1784" s="23"/>
      <c r="L1784" s="23"/>
    </row>
    <row r="1785">
      <c r="E1785" s="22"/>
      <c r="F1785" s="23"/>
      <c r="G1785" s="23"/>
      <c r="L1785" s="23"/>
    </row>
    <row r="1786">
      <c r="E1786" s="22"/>
      <c r="F1786" s="23"/>
      <c r="G1786" s="23"/>
      <c r="L1786" s="23"/>
    </row>
    <row r="1787">
      <c r="E1787" s="22"/>
      <c r="F1787" s="23"/>
      <c r="G1787" s="23"/>
      <c r="L1787" s="23"/>
    </row>
    <row r="1788">
      <c r="E1788" s="22"/>
      <c r="F1788" s="23"/>
      <c r="G1788" s="23"/>
      <c r="L1788" s="23"/>
    </row>
    <row r="1789">
      <c r="E1789" s="22"/>
      <c r="F1789" s="23"/>
      <c r="G1789" s="23"/>
      <c r="L1789" s="23"/>
    </row>
    <row r="1790">
      <c r="E1790" s="22"/>
      <c r="F1790" s="23"/>
      <c r="G1790" s="23"/>
      <c r="L1790" s="23"/>
    </row>
    <row r="1791">
      <c r="E1791" s="22"/>
      <c r="F1791" s="23"/>
      <c r="G1791" s="23"/>
      <c r="L1791" s="23"/>
    </row>
    <row r="1792">
      <c r="E1792" s="22"/>
      <c r="F1792" s="23"/>
      <c r="G1792" s="23"/>
      <c r="L1792" s="23"/>
    </row>
    <row r="1793">
      <c r="E1793" s="22"/>
      <c r="F1793" s="23"/>
      <c r="G1793" s="23"/>
      <c r="L1793" s="23"/>
    </row>
    <row r="1794">
      <c r="E1794" s="22"/>
      <c r="F1794" s="23"/>
      <c r="G1794" s="23"/>
      <c r="L1794" s="23"/>
    </row>
    <row r="1795">
      <c r="E1795" s="22"/>
      <c r="F1795" s="23"/>
      <c r="G1795" s="23"/>
      <c r="L1795" s="23"/>
    </row>
    <row r="1796">
      <c r="E1796" s="22"/>
      <c r="F1796" s="23"/>
      <c r="G1796" s="23"/>
      <c r="L1796" s="23"/>
    </row>
    <row r="1797">
      <c r="E1797" s="22"/>
      <c r="F1797" s="23"/>
      <c r="G1797" s="23"/>
      <c r="L1797" s="23"/>
    </row>
    <row r="1798">
      <c r="E1798" s="22"/>
      <c r="F1798" s="23"/>
      <c r="G1798" s="23"/>
      <c r="L1798" s="23"/>
    </row>
    <row r="1799">
      <c r="E1799" s="22"/>
      <c r="F1799" s="23"/>
      <c r="G1799" s="23"/>
      <c r="L1799" s="23"/>
    </row>
    <row r="1800">
      <c r="E1800" s="22"/>
      <c r="F1800" s="23"/>
      <c r="G1800" s="23"/>
      <c r="L1800" s="23"/>
    </row>
    <row r="1801">
      <c r="E1801" s="22"/>
      <c r="F1801" s="23"/>
      <c r="G1801" s="23"/>
      <c r="L1801" s="23"/>
    </row>
    <row r="1802">
      <c r="E1802" s="22"/>
      <c r="F1802" s="23"/>
      <c r="G1802" s="23"/>
      <c r="L1802" s="23"/>
    </row>
    <row r="1803">
      <c r="E1803" s="22"/>
      <c r="F1803" s="23"/>
      <c r="G1803" s="23"/>
      <c r="L1803" s="23"/>
    </row>
    <row r="1804">
      <c r="E1804" s="22"/>
      <c r="F1804" s="23"/>
      <c r="G1804" s="23"/>
      <c r="L1804" s="23"/>
    </row>
    <row r="1805">
      <c r="E1805" s="22"/>
      <c r="F1805" s="23"/>
      <c r="G1805" s="23"/>
      <c r="L1805" s="23"/>
    </row>
    <row r="1806">
      <c r="E1806" s="22"/>
      <c r="F1806" s="23"/>
      <c r="G1806" s="23"/>
      <c r="L1806" s="23"/>
    </row>
    <row r="1807">
      <c r="E1807" s="22"/>
      <c r="F1807" s="23"/>
      <c r="G1807" s="23"/>
      <c r="L1807" s="23"/>
    </row>
    <row r="1808">
      <c r="E1808" s="22"/>
      <c r="F1808" s="23"/>
      <c r="G1808" s="23"/>
      <c r="L1808" s="23"/>
    </row>
    <row r="1809">
      <c r="E1809" s="22"/>
      <c r="F1809" s="23"/>
      <c r="G1809" s="23"/>
      <c r="L1809" s="23"/>
    </row>
    <row r="1810">
      <c r="E1810" s="22"/>
      <c r="F1810" s="23"/>
      <c r="G1810" s="23"/>
      <c r="L1810" s="23"/>
    </row>
    <row r="1811">
      <c r="E1811" s="22"/>
      <c r="F1811" s="23"/>
      <c r="G1811" s="23"/>
      <c r="L1811" s="23"/>
    </row>
    <row r="1812">
      <c r="E1812" s="22"/>
      <c r="F1812" s="23"/>
      <c r="G1812" s="23"/>
      <c r="L1812" s="23"/>
    </row>
    <row r="1813">
      <c r="E1813" s="22"/>
      <c r="F1813" s="23"/>
      <c r="G1813" s="23"/>
      <c r="L1813" s="23"/>
    </row>
    <row r="1814">
      <c r="E1814" s="22"/>
      <c r="F1814" s="23"/>
      <c r="G1814" s="23"/>
      <c r="L1814" s="23"/>
    </row>
    <row r="1815">
      <c r="E1815" s="22"/>
      <c r="F1815" s="23"/>
      <c r="G1815" s="23"/>
      <c r="L1815" s="23"/>
    </row>
    <row r="1816">
      <c r="E1816" s="22"/>
      <c r="F1816" s="23"/>
      <c r="G1816" s="23"/>
      <c r="L1816" s="23"/>
    </row>
    <row r="1817">
      <c r="E1817" s="22"/>
      <c r="F1817" s="23"/>
      <c r="G1817" s="23"/>
      <c r="L1817" s="23"/>
    </row>
    <row r="1818">
      <c r="E1818" s="22"/>
      <c r="F1818" s="23"/>
      <c r="G1818" s="23"/>
      <c r="L1818" s="23"/>
    </row>
    <row r="1819">
      <c r="E1819" s="22"/>
      <c r="F1819" s="23"/>
      <c r="G1819" s="23"/>
      <c r="L1819" s="23"/>
    </row>
    <row r="1820">
      <c r="E1820" s="22"/>
      <c r="F1820" s="23"/>
      <c r="G1820" s="23"/>
      <c r="L1820" s="23"/>
    </row>
    <row r="1821">
      <c r="E1821" s="22"/>
      <c r="F1821" s="23"/>
      <c r="G1821" s="23"/>
      <c r="L1821" s="23"/>
    </row>
    <row r="1822">
      <c r="E1822" s="22"/>
      <c r="F1822" s="23"/>
      <c r="G1822" s="23"/>
      <c r="L1822" s="23"/>
    </row>
    <row r="1823">
      <c r="E1823" s="22"/>
      <c r="F1823" s="23"/>
      <c r="G1823" s="23"/>
      <c r="L1823" s="23"/>
    </row>
    <row r="1824">
      <c r="E1824" s="22"/>
      <c r="F1824" s="23"/>
      <c r="G1824" s="23"/>
      <c r="L1824" s="23"/>
    </row>
    <row r="1825">
      <c r="E1825" s="22"/>
      <c r="F1825" s="23"/>
      <c r="G1825" s="23"/>
      <c r="L1825" s="23"/>
    </row>
    <row r="1826">
      <c r="E1826" s="22"/>
      <c r="F1826" s="23"/>
      <c r="G1826" s="23"/>
      <c r="L1826" s="23"/>
    </row>
    <row r="1827">
      <c r="E1827" s="22"/>
      <c r="F1827" s="23"/>
      <c r="G1827" s="23"/>
      <c r="L1827" s="23"/>
    </row>
    <row r="1828">
      <c r="E1828" s="22"/>
      <c r="F1828" s="23"/>
      <c r="G1828" s="23"/>
      <c r="L1828" s="23"/>
    </row>
    <row r="1829">
      <c r="E1829" s="22"/>
      <c r="F1829" s="23"/>
      <c r="G1829" s="23"/>
      <c r="L1829" s="23"/>
    </row>
    <row r="1830">
      <c r="E1830" s="22"/>
      <c r="F1830" s="23"/>
      <c r="G1830" s="23"/>
      <c r="L1830" s="23"/>
    </row>
    <row r="1831">
      <c r="E1831" s="22"/>
      <c r="F1831" s="23"/>
      <c r="G1831" s="23"/>
      <c r="L1831" s="23"/>
    </row>
    <row r="1832">
      <c r="E1832" s="22"/>
      <c r="F1832" s="23"/>
      <c r="G1832" s="23"/>
      <c r="L1832" s="23"/>
    </row>
    <row r="1833">
      <c r="E1833" s="22"/>
      <c r="F1833" s="23"/>
      <c r="G1833" s="23"/>
      <c r="L1833" s="23"/>
    </row>
    <row r="1834">
      <c r="E1834" s="22"/>
      <c r="F1834" s="23"/>
      <c r="G1834" s="23"/>
      <c r="L1834" s="23"/>
    </row>
    <row r="1835">
      <c r="E1835" s="22"/>
      <c r="F1835" s="23"/>
      <c r="G1835" s="23"/>
      <c r="L1835" s="23"/>
    </row>
    <row r="1836">
      <c r="E1836" s="22"/>
      <c r="F1836" s="23"/>
      <c r="G1836" s="23"/>
      <c r="L1836" s="23"/>
    </row>
    <row r="1837">
      <c r="E1837" s="22"/>
      <c r="F1837" s="23"/>
      <c r="G1837" s="23"/>
      <c r="L1837" s="23"/>
    </row>
    <row r="1838">
      <c r="E1838" s="22"/>
      <c r="F1838" s="23"/>
      <c r="G1838" s="23"/>
      <c r="L1838" s="23"/>
    </row>
    <row r="1839">
      <c r="E1839" s="22"/>
      <c r="F1839" s="23"/>
      <c r="G1839" s="23"/>
      <c r="L1839" s="23"/>
    </row>
    <row r="1840">
      <c r="E1840" s="22"/>
      <c r="F1840" s="23"/>
      <c r="G1840" s="23"/>
      <c r="L1840" s="23"/>
    </row>
    <row r="1841">
      <c r="E1841" s="22"/>
      <c r="F1841" s="23"/>
      <c r="G1841" s="23"/>
      <c r="L1841" s="23"/>
    </row>
    <row r="1842">
      <c r="E1842" s="22"/>
      <c r="F1842" s="23"/>
      <c r="G1842" s="23"/>
      <c r="L1842" s="23"/>
    </row>
    <row r="1843">
      <c r="E1843" s="22"/>
      <c r="F1843" s="23"/>
      <c r="G1843" s="23"/>
      <c r="L1843" s="23"/>
    </row>
    <row r="1844">
      <c r="E1844" s="22"/>
      <c r="F1844" s="23"/>
      <c r="G1844" s="23"/>
      <c r="L1844" s="23"/>
    </row>
    <row r="1845">
      <c r="E1845" s="22"/>
      <c r="F1845" s="23"/>
      <c r="G1845" s="23"/>
      <c r="L1845" s="23"/>
    </row>
    <row r="1846">
      <c r="E1846" s="22"/>
      <c r="F1846" s="23"/>
      <c r="G1846" s="23"/>
      <c r="L1846" s="23"/>
    </row>
    <row r="1847">
      <c r="E1847" s="22"/>
      <c r="F1847" s="23"/>
      <c r="G1847" s="23"/>
      <c r="L1847" s="23"/>
    </row>
    <row r="1848">
      <c r="E1848" s="22"/>
      <c r="F1848" s="23"/>
      <c r="G1848" s="23"/>
      <c r="L1848" s="23"/>
    </row>
    <row r="1849">
      <c r="E1849" s="22"/>
      <c r="F1849" s="23"/>
      <c r="G1849" s="23"/>
      <c r="L1849" s="23"/>
    </row>
    <row r="1850">
      <c r="E1850" s="22"/>
      <c r="F1850" s="23"/>
      <c r="G1850" s="23"/>
      <c r="L1850" s="23"/>
    </row>
    <row r="1851">
      <c r="E1851" s="22"/>
      <c r="F1851" s="23"/>
      <c r="G1851" s="23"/>
      <c r="L1851" s="23"/>
    </row>
    <row r="1852">
      <c r="E1852" s="22"/>
      <c r="F1852" s="23"/>
      <c r="G1852" s="23"/>
      <c r="L1852" s="23"/>
    </row>
    <row r="1853">
      <c r="E1853" s="22"/>
      <c r="F1853" s="23"/>
      <c r="G1853" s="23"/>
      <c r="L1853" s="23"/>
    </row>
    <row r="1854">
      <c r="E1854" s="22"/>
      <c r="F1854" s="23"/>
      <c r="G1854" s="23"/>
      <c r="L1854" s="23"/>
    </row>
    <row r="1855">
      <c r="E1855" s="22"/>
      <c r="F1855" s="23"/>
      <c r="G1855" s="23"/>
      <c r="L1855" s="23"/>
    </row>
    <row r="1856">
      <c r="E1856" s="22"/>
      <c r="F1856" s="23"/>
      <c r="G1856" s="23"/>
      <c r="L1856" s="23"/>
    </row>
    <row r="1857">
      <c r="E1857" s="22"/>
      <c r="F1857" s="23"/>
      <c r="G1857" s="23"/>
      <c r="L1857" s="23"/>
    </row>
    <row r="1858">
      <c r="E1858" s="22"/>
      <c r="F1858" s="23"/>
      <c r="G1858" s="23"/>
      <c r="L1858" s="23"/>
    </row>
    <row r="1859">
      <c r="E1859" s="22"/>
      <c r="F1859" s="23"/>
      <c r="G1859" s="23"/>
      <c r="L1859" s="23"/>
    </row>
    <row r="1860">
      <c r="E1860" s="22"/>
      <c r="F1860" s="23"/>
      <c r="G1860" s="23"/>
      <c r="L1860" s="23"/>
    </row>
    <row r="1861">
      <c r="E1861" s="22"/>
      <c r="F1861" s="23"/>
      <c r="G1861" s="23"/>
      <c r="L1861" s="23"/>
    </row>
    <row r="1862">
      <c r="E1862" s="22"/>
      <c r="F1862" s="23"/>
      <c r="G1862" s="23"/>
      <c r="L1862" s="23"/>
    </row>
    <row r="1863">
      <c r="E1863" s="22"/>
      <c r="F1863" s="23"/>
      <c r="G1863" s="23"/>
      <c r="L1863" s="23"/>
    </row>
    <row r="1864">
      <c r="E1864" s="22"/>
      <c r="F1864" s="23"/>
      <c r="G1864" s="23"/>
      <c r="L1864" s="23"/>
    </row>
    <row r="1865">
      <c r="E1865" s="22"/>
      <c r="F1865" s="23"/>
      <c r="G1865" s="23"/>
      <c r="L1865" s="23"/>
    </row>
    <row r="1866">
      <c r="E1866" s="22"/>
      <c r="F1866" s="23"/>
      <c r="G1866" s="23"/>
      <c r="L1866" s="23"/>
    </row>
    <row r="1867">
      <c r="E1867" s="22"/>
      <c r="F1867" s="23"/>
      <c r="G1867" s="23"/>
      <c r="L1867" s="23"/>
    </row>
    <row r="1868">
      <c r="E1868" s="22"/>
      <c r="F1868" s="23"/>
      <c r="G1868" s="23"/>
      <c r="L1868" s="23"/>
    </row>
    <row r="1869">
      <c r="E1869" s="22"/>
      <c r="F1869" s="23"/>
      <c r="G1869" s="23"/>
      <c r="L1869" s="23"/>
    </row>
    <row r="1870">
      <c r="E1870" s="22"/>
      <c r="F1870" s="23"/>
      <c r="G1870" s="23"/>
      <c r="L1870" s="23"/>
    </row>
    <row r="1871">
      <c r="E1871" s="22"/>
      <c r="F1871" s="23"/>
      <c r="G1871" s="23"/>
      <c r="L1871" s="23"/>
    </row>
    <row r="1872">
      <c r="E1872" s="22"/>
      <c r="F1872" s="23"/>
      <c r="G1872" s="23"/>
      <c r="L1872" s="23"/>
    </row>
    <row r="1873">
      <c r="E1873" s="22"/>
      <c r="F1873" s="23"/>
      <c r="G1873" s="23"/>
      <c r="L1873" s="23"/>
    </row>
    <row r="1874">
      <c r="E1874" s="22"/>
      <c r="F1874" s="23"/>
      <c r="G1874" s="23"/>
      <c r="L1874" s="23"/>
    </row>
    <row r="1875">
      <c r="E1875" s="22"/>
      <c r="F1875" s="23"/>
      <c r="G1875" s="23"/>
      <c r="L1875" s="23"/>
    </row>
    <row r="1876">
      <c r="E1876" s="22"/>
      <c r="F1876" s="23"/>
      <c r="G1876" s="23"/>
      <c r="L1876" s="23"/>
    </row>
    <row r="1877">
      <c r="E1877" s="22"/>
      <c r="F1877" s="23"/>
      <c r="G1877" s="23"/>
      <c r="L1877" s="23"/>
    </row>
    <row r="1878">
      <c r="E1878" s="22"/>
      <c r="F1878" s="23"/>
      <c r="G1878" s="23"/>
      <c r="L1878" s="23"/>
    </row>
    <row r="1879">
      <c r="E1879" s="22"/>
      <c r="F1879" s="23"/>
      <c r="G1879" s="23"/>
      <c r="L1879" s="23"/>
    </row>
    <row r="1880">
      <c r="E1880" s="22"/>
      <c r="F1880" s="23"/>
      <c r="G1880" s="23"/>
      <c r="L1880" s="23"/>
    </row>
    <row r="1881">
      <c r="E1881" s="22"/>
      <c r="F1881" s="23"/>
      <c r="G1881" s="23"/>
      <c r="L1881" s="23"/>
    </row>
    <row r="1882">
      <c r="E1882" s="22"/>
      <c r="F1882" s="23"/>
      <c r="G1882" s="23"/>
      <c r="L1882" s="23"/>
    </row>
    <row r="1883">
      <c r="E1883" s="22"/>
      <c r="F1883" s="23"/>
      <c r="G1883" s="23"/>
      <c r="L1883" s="23"/>
    </row>
    <row r="1884">
      <c r="E1884" s="22"/>
      <c r="F1884" s="23"/>
      <c r="G1884" s="23"/>
      <c r="L1884" s="23"/>
    </row>
    <row r="1885">
      <c r="E1885" s="22"/>
      <c r="F1885" s="23"/>
      <c r="G1885" s="23"/>
      <c r="L1885" s="23"/>
    </row>
    <row r="1886">
      <c r="E1886" s="22"/>
      <c r="F1886" s="23"/>
      <c r="G1886" s="23"/>
      <c r="L1886" s="23"/>
    </row>
    <row r="1887">
      <c r="E1887" s="22"/>
      <c r="F1887" s="23"/>
      <c r="G1887" s="23"/>
      <c r="L1887" s="23"/>
    </row>
    <row r="1888">
      <c r="E1888" s="22"/>
      <c r="F1888" s="23"/>
      <c r="G1888" s="23"/>
      <c r="L1888" s="23"/>
    </row>
    <row r="1889">
      <c r="E1889" s="22"/>
      <c r="F1889" s="23"/>
      <c r="G1889" s="23"/>
      <c r="L1889" s="23"/>
    </row>
    <row r="1890">
      <c r="E1890" s="22"/>
      <c r="F1890" s="23"/>
      <c r="G1890" s="23"/>
      <c r="L1890" s="23"/>
    </row>
    <row r="1891">
      <c r="E1891" s="22"/>
      <c r="F1891" s="23"/>
      <c r="G1891" s="23"/>
      <c r="L1891" s="23"/>
    </row>
    <row r="1892">
      <c r="E1892" s="22"/>
      <c r="F1892" s="23"/>
      <c r="G1892" s="23"/>
      <c r="L1892" s="23"/>
    </row>
    <row r="1893">
      <c r="E1893" s="22"/>
      <c r="F1893" s="23"/>
      <c r="G1893" s="23"/>
      <c r="L1893" s="23"/>
    </row>
    <row r="1894">
      <c r="E1894" s="22"/>
      <c r="F1894" s="23"/>
      <c r="G1894" s="23"/>
      <c r="L1894" s="23"/>
    </row>
    <row r="1895">
      <c r="E1895" s="22"/>
      <c r="F1895" s="23"/>
      <c r="G1895" s="23"/>
      <c r="L1895" s="23"/>
    </row>
    <row r="1896">
      <c r="E1896" s="22"/>
      <c r="F1896" s="23"/>
      <c r="G1896" s="23"/>
      <c r="L1896" s="23"/>
    </row>
    <row r="1897">
      <c r="E1897" s="22"/>
      <c r="F1897" s="23"/>
      <c r="G1897" s="23"/>
      <c r="L1897" s="23"/>
    </row>
    <row r="1898">
      <c r="E1898" s="22"/>
      <c r="F1898" s="23"/>
      <c r="G1898" s="23"/>
      <c r="L1898" s="23"/>
    </row>
    <row r="1899">
      <c r="E1899" s="22"/>
      <c r="F1899" s="23"/>
      <c r="G1899" s="23"/>
      <c r="L1899" s="23"/>
    </row>
    <row r="1900">
      <c r="E1900" s="22"/>
      <c r="F1900" s="23"/>
      <c r="G1900" s="23"/>
      <c r="L1900" s="23"/>
    </row>
    <row r="1901">
      <c r="E1901" s="22"/>
      <c r="F1901" s="23"/>
      <c r="G1901" s="23"/>
      <c r="L1901" s="23"/>
    </row>
    <row r="1902">
      <c r="E1902" s="22"/>
      <c r="F1902" s="23"/>
      <c r="G1902" s="23"/>
      <c r="L1902" s="23"/>
    </row>
    <row r="1903">
      <c r="E1903" s="22"/>
      <c r="F1903" s="23"/>
      <c r="G1903" s="23"/>
      <c r="L1903" s="23"/>
    </row>
    <row r="1904">
      <c r="E1904" s="22"/>
      <c r="F1904" s="23"/>
      <c r="G1904" s="23"/>
      <c r="L1904" s="23"/>
    </row>
    <row r="1905">
      <c r="E1905" s="22"/>
      <c r="F1905" s="23"/>
      <c r="G1905" s="23"/>
      <c r="L1905" s="23"/>
    </row>
    <row r="1906">
      <c r="E1906" s="22"/>
      <c r="F1906" s="23"/>
      <c r="G1906" s="23"/>
      <c r="L1906" s="23"/>
    </row>
    <row r="1907">
      <c r="E1907" s="22"/>
      <c r="F1907" s="23"/>
      <c r="G1907" s="23"/>
      <c r="L1907" s="23"/>
    </row>
    <row r="1908">
      <c r="E1908" s="22"/>
      <c r="F1908" s="23"/>
      <c r="G1908" s="23"/>
      <c r="L1908" s="23"/>
    </row>
    <row r="1909">
      <c r="E1909" s="22"/>
      <c r="F1909" s="23"/>
      <c r="G1909" s="23"/>
      <c r="L1909" s="23"/>
    </row>
    <row r="1910">
      <c r="E1910" s="22"/>
      <c r="F1910" s="23"/>
      <c r="G1910" s="23"/>
      <c r="L1910" s="23"/>
    </row>
    <row r="1911">
      <c r="E1911" s="22"/>
      <c r="F1911" s="23"/>
      <c r="G1911" s="23"/>
      <c r="L1911" s="23"/>
    </row>
    <row r="1912">
      <c r="E1912" s="22"/>
      <c r="F1912" s="23"/>
      <c r="G1912" s="23"/>
      <c r="L1912" s="23"/>
    </row>
    <row r="1913">
      <c r="E1913" s="22"/>
      <c r="F1913" s="23"/>
      <c r="G1913" s="23"/>
      <c r="L1913" s="23"/>
    </row>
    <row r="1914">
      <c r="E1914" s="22"/>
      <c r="F1914" s="23"/>
      <c r="G1914" s="23"/>
      <c r="L1914" s="23"/>
    </row>
    <row r="1915">
      <c r="E1915" s="22"/>
      <c r="F1915" s="23"/>
      <c r="G1915" s="23"/>
      <c r="L1915" s="23"/>
    </row>
    <row r="1916">
      <c r="E1916" s="22"/>
      <c r="F1916" s="23"/>
      <c r="G1916" s="23"/>
      <c r="L1916" s="23"/>
    </row>
    <row r="1917">
      <c r="E1917" s="22"/>
      <c r="F1917" s="23"/>
      <c r="G1917" s="23"/>
      <c r="L1917" s="23"/>
    </row>
    <row r="1918">
      <c r="E1918" s="22"/>
      <c r="F1918" s="23"/>
      <c r="G1918" s="23"/>
      <c r="L1918" s="23"/>
    </row>
    <row r="1919">
      <c r="E1919" s="22"/>
      <c r="F1919" s="23"/>
      <c r="G1919" s="23"/>
      <c r="L1919" s="23"/>
    </row>
    <row r="1920">
      <c r="E1920" s="22"/>
      <c r="F1920" s="23"/>
      <c r="G1920" s="23"/>
      <c r="L1920" s="23"/>
    </row>
    <row r="1921">
      <c r="E1921" s="22"/>
      <c r="F1921" s="23"/>
      <c r="G1921" s="23"/>
      <c r="L1921" s="23"/>
    </row>
    <row r="1922">
      <c r="E1922" s="22"/>
      <c r="F1922" s="23"/>
      <c r="G1922" s="23"/>
      <c r="L1922" s="23"/>
    </row>
    <row r="1923">
      <c r="E1923" s="22"/>
      <c r="F1923" s="23"/>
      <c r="G1923" s="23"/>
      <c r="L1923" s="23"/>
    </row>
    <row r="1924">
      <c r="E1924" s="22"/>
      <c r="F1924" s="23"/>
      <c r="G1924" s="23"/>
      <c r="L1924" s="23"/>
    </row>
    <row r="1925">
      <c r="E1925" s="22"/>
      <c r="F1925" s="23"/>
      <c r="G1925" s="23"/>
      <c r="L1925" s="23"/>
    </row>
    <row r="1926">
      <c r="E1926" s="22"/>
      <c r="F1926" s="23"/>
      <c r="G1926" s="23"/>
      <c r="L1926" s="23"/>
    </row>
    <row r="1927">
      <c r="E1927" s="22"/>
      <c r="F1927" s="23"/>
      <c r="G1927" s="23"/>
      <c r="L1927" s="23"/>
    </row>
    <row r="1928">
      <c r="E1928" s="22"/>
      <c r="F1928" s="23"/>
      <c r="G1928" s="23"/>
      <c r="L1928" s="23"/>
    </row>
    <row r="1929">
      <c r="E1929" s="22"/>
      <c r="F1929" s="23"/>
      <c r="G1929" s="23"/>
      <c r="L1929" s="23"/>
    </row>
    <row r="1930">
      <c r="E1930" s="22"/>
      <c r="F1930" s="23"/>
      <c r="G1930" s="23"/>
      <c r="L1930" s="23"/>
    </row>
    <row r="1931">
      <c r="E1931" s="22"/>
      <c r="F1931" s="23"/>
      <c r="G1931" s="23"/>
      <c r="L1931" s="23"/>
    </row>
    <row r="1932">
      <c r="E1932" s="22"/>
      <c r="F1932" s="23"/>
      <c r="G1932" s="23"/>
      <c r="L1932" s="23"/>
    </row>
    <row r="1933">
      <c r="E1933" s="22"/>
      <c r="F1933" s="23"/>
      <c r="G1933" s="23"/>
      <c r="L1933" s="23"/>
    </row>
    <row r="1934">
      <c r="E1934" s="22"/>
      <c r="F1934" s="23"/>
      <c r="G1934" s="23"/>
      <c r="L1934" s="23"/>
    </row>
    <row r="1935">
      <c r="E1935" s="22"/>
      <c r="F1935" s="23"/>
      <c r="G1935" s="23"/>
      <c r="L1935" s="23"/>
    </row>
    <row r="1936">
      <c r="E1936" s="22"/>
      <c r="F1936" s="23"/>
      <c r="G1936" s="23"/>
      <c r="L1936" s="23"/>
    </row>
    <row r="1937">
      <c r="E1937" s="22"/>
      <c r="F1937" s="23"/>
      <c r="G1937" s="23"/>
      <c r="L1937" s="23"/>
    </row>
    <row r="1938">
      <c r="E1938" s="22"/>
      <c r="F1938" s="23"/>
      <c r="G1938" s="23"/>
      <c r="L1938" s="23"/>
    </row>
    <row r="1939">
      <c r="E1939" s="22"/>
      <c r="F1939" s="23"/>
      <c r="G1939" s="23"/>
      <c r="L1939" s="23"/>
    </row>
    <row r="1940">
      <c r="E1940" s="22"/>
      <c r="F1940" s="23"/>
      <c r="G1940" s="23"/>
      <c r="L1940" s="23"/>
    </row>
    <row r="1941">
      <c r="E1941" s="22"/>
      <c r="F1941" s="23"/>
      <c r="G1941" s="23"/>
      <c r="L1941" s="23"/>
    </row>
    <row r="1942">
      <c r="E1942" s="22"/>
      <c r="F1942" s="23"/>
      <c r="G1942" s="23"/>
      <c r="L1942" s="23"/>
    </row>
    <row r="1943">
      <c r="E1943" s="22"/>
      <c r="F1943" s="23"/>
      <c r="G1943" s="23"/>
      <c r="L1943" s="23"/>
    </row>
    <row r="1944">
      <c r="E1944" s="22"/>
      <c r="F1944" s="23"/>
      <c r="G1944" s="23"/>
      <c r="L1944" s="23"/>
    </row>
    <row r="1945">
      <c r="E1945" s="22"/>
      <c r="F1945" s="23"/>
      <c r="G1945" s="23"/>
      <c r="L1945" s="23"/>
    </row>
    <row r="1946">
      <c r="E1946" s="22"/>
      <c r="F1946" s="23"/>
      <c r="G1946" s="23"/>
      <c r="L1946" s="23"/>
    </row>
    <row r="1947">
      <c r="E1947" s="22"/>
      <c r="F1947" s="23"/>
      <c r="G1947" s="23"/>
      <c r="L1947" s="23"/>
    </row>
    <row r="1948">
      <c r="E1948" s="22"/>
      <c r="F1948" s="23"/>
      <c r="G1948" s="23"/>
      <c r="L1948" s="23"/>
    </row>
    <row r="1949">
      <c r="E1949" s="22"/>
      <c r="F1949" s="23"/>
      <c r="G1949" s="23"/>
      <c r="L1949" s="23"/>
    </row>
    <row r="1950">
      <c r="E1950" s="22"/>
      <c r="F1950" s="23"/>
      <c r="G1950" s="23"/>
      <c r="L1950" s="23"/>
    </row>
    <row r="1951">
      <c r="E1951" s="22"/>
      <c r="F1951" s="23"/>
      <c r="G1951" s="23"/>
      <c r="L1951" s="23"/>
    </row>
    <row r="1952">
      <c r="E1952" s="22"/>
      <c r="F1952" s="23"/>
      <c r="G1952" s="23"/>
      <c r="L1952" s="23"/>
    </row>
    <row r="1953">
      <c r="E1953" s="22"/>
      <c r="F1953" s="23"/>
      <c r="G1953" s="23"/>
      <c r="L1953" s="23"/>
    </row>
    <row r="1954">
      <c r="E1954" s="22"/>
      <c r="F1954" s="23"/>
      <c r="G1954" s="23"/>
      <c r="L1954" s="23"/>
    </row>
    <row r="1955">
      <c r="E1955" s="22"/>
      <c r="F1955" s="23"/>
      <c r="G1955" s="23"/>
      <c r="L1955" s="23"/>
    </row>
    <row r="1956">
      <c r="E1956" s="22"/>
      <c r="F1956" s="23"/>
      <c r="G1956" s="23"/>
      <c r="L1956" s="23"/>
    </row>
    <row r="1957">
      <c r="E1957" s="22"/>
      <c r="F1957" s="23"/>
      <c r="G1957" s="23"/>
      <c r="L1957" s="23"/>
    </row>
    <row r="1958">
      <c r="E1958" s="22"/>
      <c r="F1958" s="23"/>
      <c r="G1958" s="23"/>
      <c r="L1958" s="23"/>
    </row>
    <row r="1959">
      <c r="E1959" s="22"/>
      <c r="F1959" s="23"/>
      <c r="G1959" s="23"/>
      <c r="L1959" s="23"/>
    </row>
    <row r="1960">
      <c r="E1960" s="22"/>
      <c r="F1960" s="23"/>
      <c r="G1960" s="23"/>
      <c r="L1960" s="23"/>
    </row>
    <row r="1961">
      <c r="E1961" s="22"/>
      <c r="F1961" s="23"/>
      <c r="G1961" s="23"/>
      <c r="L1961" s="23"/>
    </row>
    <row r="1962">
      <c r="E1962" s="22"/>
      <c r="F1962" s="23"/>
      <c r="G1962" s="23"/>
      <c r="L1962" s="23"/>
    </row>
    <row r="1963">
      <c r="E1963" s="22"/>
      <c r="F1963" s="23"/>
      <c r="G1963" s="23"/>
      <c r="L1963" s="23"/>
    </row>
    <row r="1964">
      <c r="E1964" s="22"/>
      <c r="F1964" s="23"/>
      <c r="G1964" s="23"/>
      <c r="L1964" s="23"/>
    </row>
    <row r="1965">
      <c r="E1965" s="22"/>
      <c r="F1965" s="23"/>
      <c r="G1965" s="23"/>
      <c r="L1965" s="23"/>
    </row>
    <row r="1966">
      <c r="E1966" s="22"/>
      <c r="F1966" s="23"/>
      <c r="G1966" s="23"/>
      <c r="L1966" s="23"/>
    </row>
    <row r="1967">
      <c r="E1967" s="22"/>
      <c r="F1967" s="23"/>
      <c r="G1967" s="23"/>
      <c r="L1967" s="23"/>
    </row>
    <row r="1968">
      <c r="E1968" s="22"/>
      <c r="F1968" s="23"/>
      <c r="G1968" s="23"/>
      <c r="L1968" s="23"/>
    </row>
    <row r="1969">
      <c r="E1969" s="22"/>
      <c r="F1969" s="23"/>
      <c r="G1969" s="23"/>
      <c r="L1969" s="23"/>
    </row>
    <row r="1970">
      <c r="E1970" s="22"/>
      <c r="F1970" s="23"/>
      <c r="G1970" s="23"/>
      <c r="L1970" s="23"/>
    </row>
    <row r="1971">
      <c r="E1971" s="22"/>
      <c r="F1971" s="23"/>
      <c r="G1971" s="23"/>
      <c r="L1971" s="23"/>
    </row>
    <row r="1972">
      <c r="E1972" s="22"/>
      <c r="F1972" s="23"/>
      <c r="G1972" s="23"/>
      <c r="L1972" s="23"/>
    </row>
    <row r="1973">
      <c r="E1973" s="22"/>
      <c r="F1973" s="23"/>
      <c r="G1973" s="23"/>
      <c r="L1973" s="23"/>
    </row>
    <row r="1974">
      <c r="E1974" s="22"/>
      <c r="F1974" s="23"/>
      <c r="G1974" s="23"/>
      <c r="L1974" s="23"/>
    </row>
    <row r="1975">
      <c r="E1975" s="22"/>
      <c r="F1975" s="23"/>
      <c r="G1975" s="23"/>
      <c r="L1975" s="23"/>
    </row>
    <row r="1976">
      <c r="E1976" s="22"/>
      <c r="F1976" s="23"/>
      <c r="G1976" s="23"/>
      <c r="L1976" s="23"/>
    </row>
    <row r="1977">
      <c r="E1977" s="22"/>
      <c r="F1977" s="23"/>
      <c r="G1977" s="23"/>
      <c r="L1977" s="23"/>
    </row>
    <row r="1978">
      <c r="E1978" s="22"/>
      <c r="F1978" s="23"/>
      <c r="G1978" s="23"/>
      <c r="L1978" s="23"/>
    </row>
    <row r="1979">
      <c r="E1979" s="22"/>
      <c r="F1979" s="23"/>
      <c r="G1979" s="23"/>
      <c r="L1979" s="23"/>
    </row>
    <row r="1980">
      <c r="E1980" s="22"/>
      <c r="F1980" s="23"/>
      <c r="G1980" s="23"/>
      <c r="L1980" s="23"/>
    </row>
    <row r="1981">
      <c r="E1981" s="22"/>
      <c r="F1981" s="23"/>
      <c r="G1981" s="23"/>
      <c r="L1981" s="23"/>
    </row>
    <row r="1982">
      <c r="E1982" s="22"/>
      <c r="F1982" s="23"/>
      <c r="G1982" s="23"/>
      <c r="L1982" s="23"/>
    </row>
    <row r="1983">
      <c r="E1983" s="22"/>
      <c r="F1983" s="23"/>
      <c r="G1983" s="23"/>
      <c r="L1983" s="23"/>
    </row>
    <row r="1984">
      <c r="E1984" s="22"/>
      <c r="F1984" s="23"/>
      <c r="G1984" s="23"/>
      <c r="L1984" s="23"/>
    </row>
    <row r="1985">
      <c r="E1985" s="22"/>
      <c r="F1985" s="23"/>
      <c r="G1985" s="23"/>
      <c r="L1985" s="23"/>
    </row>
    <row r="1986">
      <c r="E1986" s="22"/>
      <c r="F1986" s="23"/>
      <c r="G1986" s="23"/>
      <c r="L1986" s="23"/>
    </row>
    <row r="1987">
      <c r="E1987" s="22"/>
      <c r="F1987" s="23"/>
      <c r="G1987" s="23"/>
      <c r="L1987" s="23"/>
    </row>
    <row r="1988">
      <c r="E1988" s="22"/>
      <c r="F1988" s="23"/>
      <c r="G1988" s="23"/>
      <c r="L1988" s="23"/>
    </row>
    <row r="1989">
      <c r="E1989" s="22"/>
      <c r="F1989" s="23"/>
      <c r="G1989" s="23"/>
      <c r="L1989" s="23"/>
    </row>
    <row r="1990">
      <c r="E1990" s="22"/>
      <c r="F1990" s="23"/>
      <c r="G1990" s="23"/>
      <c r="L1990" s="23"/>
    </row>
    <row r="1991">
      <c r="E1991" s="22"/>
      <c r="F1991" s="23"/>
      <c r="G1991" s="23"/>
      <c r="L1991" s="23"/>
    </row>
    <row r="1992">
      <c r="E1992" s="22"/>
      <c r="F1992" s="23"/>
      <c r="G1992" s="23"/>
      <c r="L1992" s="23"/>
    </row>
    <row r="1993">
      <c r="E1993" s="22"/>
      <c r="F1993" s="23"/>
      <c r="G1993" s="23"/>
      <c r="L1993" s="23"/>
    </row>
    <row r="1994">
      <c r="E1994" s="22"/>
      <c r="F1994" s="23"/>
      <c r="G1994" s="23"/>
      <c r="L1994" s="23"/>
    </row>
    <row r="1995">
      <c r="E1995" s="22"/>
      <c r="F1995" s="23"/>
      <c r="G1995" s="23"/>
      <c r="L1995" s="23"/>
    </row>
    <row r="1996">
      <c r="E1996" s="22"/>
      <c r="F1996" s="23"/>
      <c r="G1996" s="23"/>
      <c r="L1996" s="23"/>
    </row>
    <row r="1997">
      <c r="E1997" s="22"/>
      <c r="F1997" s="23"/>
      <c r="G1997" s="23"/>
      <c r="L1997" s="23"/>
    </row>
    <row r="1998">
      <c r="E1998" s="22"/>
      <c r="F1998" s="23"/>
      <c r="G1998" s="23"/>
      <c r="L1998" s="23"/>
    </row>
    <row r="1999">
      <c r="E1999" s="22"/>
      <c r="F1999" s="23"/>
      <c r="G1999" s="23"/>
      <c r="L1999" s="23"/>
    </row>
    <row r="2000">
      <c r="E2000" s="22"/>
      <c r="F2000" s="23"/>
      <c r="G2000" s="23"/>
      <c r="L2000" s="23"/>
    </row>
    <row r="2001">
      <c r="E2001" s="22"/>
      <c r="F2001" s="23"/>
      <c r="G2001" s="23"/>
      <c r="L2001" s="23"/>
    </row>
    <row r="2002">
      <c r="E2002" s="22"/>
      <c r="F2002" s="23"/>
      <c r="G2002" s="23"/>
      <c r="L2002" s="23"/>
    </row>
    <row r="2003">
      <c r="E2003" s="22"/>
      <c r="F2003" s="23"/>
      <c r="G2003" s="23"/>
      <c r="L2003" s="23"/>
    </row>
    <row r="2004">
      <c r="E2004" s="22"/>
      <c r="F2004" s="23"/>
      <c r="G2004" s="23"/>
      <c r="L2004" s="23"/>
    </row>
    <row r="2005">
      <c r="E2005" s="22"/>
      <c r="F2005" s="23"/>
      <c r="G2005" s="23"/>
      <c r="L2005" s="23"/>
    </row>
    <row r="2006">
      <c r="E2006" s="22"/>
      <c r="F2006" s="23"/>
      <c r="G2006" s="23"/>
      <c r="L2006" s="23"/>
    </row>
    <row r="2007">
      <c r="E2007" s="22"/>
      <c r="F2007" s="23"/>
      <c r="G2007" s="23"/>
      <c r="L2007" s="23"/>
    </row>
    <row r="2008">
      <c r="E2008" s="22"/>
      <c r="F2008" s="23"/>
      <c r="G2008" s="23"/>
      <c r="L2008" s="23"/>
    </row>
    <row r="2009">
      <c r="E2009" s="22"/>
      <c r="F2009" s="23"/>
      <c r="G2009" s="23"/>
      <c r="L2009" s="23"/>
    </row>
    <row r="2010">
      <c r="E2010" s="22"/>
      <c r="F2010" s="23"/>
      <c r="G2010" s="23"/>
      <c r="L2010" s="23"/>
    </row>
    <row r="2011">
      <c r="E2011" s="22"/>
      <c r="F2011" s="23"/>
      <c r="G2011" s="23"/>
      <c r="L2011" s="23"/>
    </row>
    <row r="2012">
      <c r="E2012" s="22"/>
      <c r="F2012" s="23"/>
      <c r="G2012" s="23"/>
      <c r="L2012" s="23"/>
    </row>
    <row r="2013">
      <c r="E2013" s="22"/>
      <c r="F2013" s="23"/>
      <c r="G2013" s="23"/>
      <c r="L2013" s="23"/>
    </row>
    <row r="2014">
      <c r="E2014" s="22"/>
      <c r="F2014" s="23"/>
      <c r="G2014" s="23"/>
      <c r="L2014" s="23"/>
    </row>
    <row r="2015">
      <c r="E2015" s="22"/>
      <c r="F2015" s="23"/>
      <c r="G2015" s="23"/>
      <c r="L2015" s="23"/>
    </row>
    <row r="2016">
      <c r="E2016" s="22"/>
      <c r="F2016" s="23"/>
      <c r="G2016" s="23"/>
      <c r="L2016" s="23"/>
    </row>
    <row r="2017">
      <c r="E2017" s="22"/>
      <c r="F2017" s="23"/>
      <c r="G2017" s="23"/>
      <c r="L2017" s="23"/>
    </row>
    <row r="2018">
      <c r="E2018" s="22"/>
      <c r="F2018" s="23"/>
      <c r="G2018" s="23"/>
      <c r="L2018" s="23"/>
    </row>
    <row r="2019">
      <c r="E2019" s="22"/>
      <c r="F2019" s="23"/>
      <c r="G2019" s="23"/>
      <c r="L2019" s="23"/>
    </row>
    <row r="2020">
      <c r="E2020" s="22"/>
      <c r="F2020" s="23"/>
      <c r="G2020" s="23"/>
      <c r="L2020" s="23"/>
    </row>
    <row r="2021">
      <c r="E2021" s="22"/>
      <c r="F2021" s="23"/>
      <c r="G2021" s="23"/>
      <c r="L2021" s="23"/>
    </row>
    <row r="2022">
      <c r="E2022" s="22"/>
      <c r="F2022" s="23"/>
      <c r="G2022" s="23"/>
      <c r="L2022" s="23"/>
    </row>
    <row r="2023">
      <c r="E2023" s="22"/>
      <c r="F2023" s="23"/>
      <c r="G2023" s="23"/>
      <c r="L2023" s="23"/>
    </row>
    <row r="2024">
      <c r="E2024" s="22"/>
      <c r="F2024" s="23"/>
      <c r="G2024" s="23"/>
      <c r="L2024" s="23"/>
    </row>
    <row r="2025">
      <c r="E2025" s="22"/>
      <c r="F2025" s="23"/>
      <c r="G2025" s="23"/>
      <c r="L2025" s="23"/>
    </row>
    <row r="2026">
      <c r="E2026" s="22"/>
      <c r="F2026" s="23"/>
      <c r="G2026" s="23"/>
      <c r="L2026" s="23"/>
    </row>
    <row r="2027">
      <c r="E2027" s="22"/>
      <c r="F2027" s="23"/>
      <c r="G2027" s="23"/>
      <c r="L2027" s="23"/>
    </row>
    <row r="2028">
      <c r="E2028" s="22"/>
      <c r="F2028" s="23"/>
      <c r="G2028" s="23"/>
      <c r="L2028" s="23"/>
    </row>
    <row r="2029">
      <c r="E2029" s="22"/>
      <c r="F2029" s="23"/>
      <c r="G2029" s="23"/>
      <c r="L2029" s="23"/>
    </row>
    <row r="2030">
      <c r="E2030" s="22"/>
      <c r="F2030" s="23"/>
      <c r="G2030" s="23"/>
      <c r="L2030" s="23"/>
    </row>
    <row r="2031">
      <c r="E2031" s="22"/>
      <c r="F2031" s="23"/>
      <c r="G2031" s="23"/>
      <c r="L2031" s="23"/>
    </row>
    <row r="2032">
      <c r="E2032" s="22"/>
      <c r="F2032" s="23"/>
      <c r="G2032" s="23"/>
      <c r="L2032" s="23"/>
    </row>
    <row r="2033">
      <c r="E2033" s="22"/>
      <c r="F2033" s="23"/>
      <c r="G2033" s="23"/>
      <c r="L2033" s="23"/>
    </row>
    <row r="2034">
      <c r="E2034" s="22"/>
      <c r="F2034" s="23"/>
      <c r="G2034" s="23"/>
      <c r="L2034" s="23"/>
    </row>
    <row r="2035">
      <c r="E2035" s="22"/>
      <c r="F2035" s="23"/>
      <c r="G2035" s="23"/>
      <c r="L2035" s="23"/>
    </row>
    <row r="2036">
      <c r="E2036" s="22"/>
      <c r="F2036" s="23"/>
      <c r="G2036" s="23"/>
      <c r="L2036" s="23"/>
    </row>
    <row r="2037">
      <c r="E2037" s="22"/>
      <c r="F2037" s="23"/>
      <c r="G2037" s="23"/>
      <c r="L2037" s="23"/>
    </row>
    <row r="2038">
      <c r="E2038" s="22"/>
      <c r="F2038" s="23"/>
      <c r="G2038" s="23"/>
      <c r="L2038" s="23"/>
    </row>
    <row r="2039">
      <c r="E2039" s="22"/>
      <c r="F2039" s="23"/>
      <c r="G2039" s="23"/>
      <c r="L2039" s="23"/>
    </row>
    <row r="2040">
      <c r="E2040" s="22"/>
      <c r="F2040" s="23"/>
      <c r="G2040" s="23"/>
      <c r="L2040" s="23"/>
    </row>
    <row r="2041">
      <c r="E2041" s="22"/>
      <c r="F2041" s="23"/>
      <c r="G2041" s="23"/>
      <c r="L2041" s="23"/>
    </row>
    <row r="2042">
      <c r="E2042" s="22"/>
      <c r="F2042" s="23"/>
      <c r="G2042" s="23"/>
      <c r="L2042" s="23"/>
    </row>
    <row r="2043">
      <c r="E2043" s="22"/>
      <c r="F2043" s="23"/>
      <c r="G2043" s="23"/>
      <c r="L2043" s="23"/>
    </row>
    <row r="2044">
      <c r="E2044" s="22"/>
      <c r="F2044" s="23"/>
      <c r="G2044" s="23"/>
      <c r="L2044" s="23"/>
    </row>
    <row r="2045">
      <c r="E2045" s="22"/>
      <c r="F2045" s="23"/>
      <c r="G2045" s="23"/>
      <c r="L2045" s="23"/>
    </row>
    <row r="2046">
      <c r="E2046" s="22"/>
      <c r="F2046" s="23"/>
      <c r="G2046" s="23"/>
      <c r="L2046" s="23"/>
    </row>
    <row r="2047">
      <c r="E2047" s="22"/>
      <c r="F2047" s="23"/>
      <c r="G2047" s="23"/>
      <c r="L2047" s="23"/>
    </row>
    <row r="2048">
      <c r="E2048" s="22"/>
      <c r="F2048" s="23"/>
      <c r="G2048" s="23"/>
      <c r="L2048" s="23"/>
    </row>
    <row r="2049">
      <c r="E2049" s="22"/>
      <c r="F2049" s="23"/>
      <c r="G2049" s="23"/>
      <c r="L2049" s="23"/>
    </row>
    <row r="2050">
      <c r="E2050" s="22"/>
      <c r="F2050" s="23"/>
      <c r="G2050" s="23"/>
      <c r="L2050" s="23"/>
    </row>
    <row r="2051">
      <c r="E2051" s="22"/>
      <c r="F2051" s="23"/>
      <c r="G2051" s="23"/>
      <c r="L2051" s="23"/>
    </row>
    <row r="2052">
      <c r="E2052" s="22"/>
      <c r="F2052" s="23"/>
      <c r="G2052" s="23"/>
      <c r="L2052" s="23"/>
    </row>
    <row r="2053">
      <c r="E2053" s="22"/>
      <c r="F2053" s="23"/>
      <c r="G2053" s="23"/>
      <c r="L2053" s="23"/>
    </row>
    <row r="2054">
      <c r="E2054" s="22"/>
      <c r="F2054" s="23"/>
      <c r="G2054" s="23"/>
      <c r="L2054" s="23"/>
    </row>
    <row r="2055">
      <c r="E2055" s="22"/>
      <c r="F2055" s="23"/>
      <c r="G2055" s="23"/>
      <c r="L2055" s="23"/>
    </row>
    <row r="2056">
      <c r="E2056" s="22"/>
      <c r="F2056" s="23"/>
      <c r="G2056" s="23"/>
      <c r="L2056" s="23"/>
    </row>
    <row r="2057">
      <c r="E2057" s="22"/>
      <c r="F2057" s="23"/>
      <c r="G2057" s="23"/>
      <c r="L2057" s="23"/>
    </row>
    <row r="2058">
      <c r="E2058" s="22"/>
      <c r="F2058" s="23"/>
      <c r="G2058" s="23"/>
      <c r="L2058" s="23"/>
    </row>
    <row r="2059">
      <c r="E2059" s="22"/>
      <c r="F2059" s="23"/>
      <c r="G2059" s="23"/>
      <c r="L2059" s="23"/>
    </row>
    <row r="2060">
      <c r="E2060" s="22"/>
      <c r="F2060" s="23"/>
      <c r="G2060" s="23"/>
      <c r="L2060" s="23"/>
    </row>
    <row r="2061">
      <c r="E2061" s="22"/>
      <c r="F2061" s="23"/>
      <c r="G2061" s="23"/>
      <c r="L2061" s="23"/>
    </row>
    <row r="2062">
      <c r="E2062" s="22"/>
      <c r="F2062" s="23"/>
      <c r="G2062" s="23"/>
      <c r="L2062" s="23"/>
    </row>
    <row r="2063">
      <c r="E2063" s="22"/>
      <c r="F2063" s="23"/>
      <c r="G2063" s="23"/>
      <c r="L2063" s="23"/>
    </row>
    <row r="2064">
      <c r="E2064" s="22"/>
      <c r="F2064" s="23"/>
      <c r="G2064" s="23"/>
      <c r="L2064" s="23"/>
    </row>
    <row r="2065">
      <c r="E2065" s="22"/>
      <c r="F2065" s="23"/>
      <c r="G2065" s="23"/>
      <c r="L2065" s="23"/>
    </row>
    <row r="2066">
      <c r="E2066" s="22"/>
      <c r="F2066" s="23"/>
      <c r="G2066" s="23"/>
      <c r="L2066" s="23"/>
    </row>
    <row r="2067">
      <c r="E2067" s="22"/>
      <c r="F2067" s="23"/>
      <c r="G2067" s="23"/>
      <c r="L2067" s="23"/>
    </row>
    <row r="2068">
      <c r="E2068" s="22"/>
      <c r="F2068" s="23"/>
      <c r="G2068" s="23"/>
      <c r="L2068" s="23"/>
    </row>
    <row r="2069">
      <c r="E2069" s="22"/>
      <c r="F2069" s="23"/>
      <c r="G2069" s="23"/>
      <c r="L2069" s="23"/>
    </row>
    <row r="2070">
      <c r="E2070" s="22"/>
      <c r="F2070" s="23"/>
      <c r="G2070" s="23"/>
      <c r="L2070" s="23"/>
    </row>
    <row r="2071">
      <c r="E2071" s="22"/>
      <c r="F2071" s="23"/>
      <c r="G2071" s="23"/>
      <c r="L2071" s="23"/>
    </row>
    <row r="2072">
      <c r="E2072" s="22"/>
      <c r="F2072" s="23"/>
      <c r="G2072" s="23"/>
      <c r="L2072" s="23"/>
    </row>
    <row r="2073">
      <c r="E2073" s="22"/>
      <c r="F2073" s="23"/>
      <c r="G2073" s="23"/>
      <c r="L2073" s="23"/>
    </row>
    <row r="2074">
      <c r="E2074" s="22"/>
      <c r="F2074" s="23"/>
      <c r="G2074" s="23"/>
      <c r="L2074" s="23"/>
    </row>
    <row r="2075">
      <c r="E2075" s="22"/>
      <c r="F2075" s="23"/>
      <c r="G2075" s="23"/>
      <c r="L2075" s="23"/>
    </row>
    <row r="2076">
      <c r="E2076" s="22"/>
      <c r="F2076" s="23"/>
      <c r="G2076" s="23"/>
      <c r="L2076" s="23"/>
    </row>
    <row r="2077">
      <c r="E2077" s="22"/>
      <c r="F2077" s="23"/>
      <c r="G2077" s="23"/>
      <c r="L2077" s="23"/>
    </row>
    <row r="2078">
      <c r="E2078" s="22"/>
      <c r="F2078" s="23"/>
      <c r="G2078" s="23"/>
      <c r="L2078" s="23"/>
    </row>
    <row r="2079">
      <c r="E2079" s="22"/>
      <c r="F2079" s="23"/>
      <c r="G2079" s="23"/>
      <c r="L2079" s="23"/>
    </row>
    <row r="2080">
      <c r="E2080" s="22"/>
      <c r="F2080" s="23"/>
      <c r="G2080" s="23"/>
      <c r="L2080" s="23"/>
    </row>
    <row r="2081">
      <c r="E2081" s="22"/>
      <c r="F2081" s="23"/>
      <c r="G2081" s="23"/>
      <c r="L2081" s="23"/>
    </row>
    <row r="2082">
      <c r="E2082" s="22"/>
      <c r="F2082" s="23"/>
      <c r="G2082" s="23"/>
      <c r="L2082" s="23"/>
    </row>
    <row r="2083">
      <c r="E2083" s="22"/>
      <c r="F2083" s="23"/>
      <c r="G2083" s="23"/>
      <c r="L2083" s="23"/>
    </row>
    <row r="2084">
      <c r="E2084" s="22"/>
      <c r="F2084" s="23"/>
      <c r="G2084" s="23"/>
      <c r="L2084" s="23"/>
    </row>
    <row r="2085">
      <c r="E2085" s="22"/>
      <c r="F2085" s="23"/>
      <c r="G2085" s="23"/>
      <c r="L2085" s="23"/>
    </row>
    <row r="2086">
      <c r="E2086" s="22"/>
      <c r="F2086" s="23"/>
      <c r="G2086" s="23"/>
      <c r="L2086" s="23"/>
    </row>
    <row r="2087">
      <c r="E2087" s="22"/>
      <c r="F2087" s="23"/>
      <c r="G2087" s="23"/>
      <c r="L2087" s="23"/>
    </row>
    <row r="2088">
      <c r="E2088" s="22"/>
      <c r="F2088" s="23"/>
      <c r="G2088" s="23"/>
      <c r="L2088" s="23"/>
    </row>
    <row r="2089">
      <c r="E2089" s="22"/>
      <c r="F2089" s="23"/>
      <c r="G2089" s="23"/>
      <c r="L2089" s="23"/>
    </row>
    <row r="2090">
      <c r="E2090" s="22"/>
      <c r="F2090" s="23"/>
      <c r="G2090" s="23"/>
      <c r="L2090" s="23"/>
    </row>
    <row r="2091">
      <c r="E2091" s="22"/>
      <c r="F2091" s="23"/>
      <c r="G2091" s="23"/>
      <c r="L2091" s="23"/>
    </row>
    <row r="2092">
      <c r="E2092" s="22"/>
      <c r="F2092" s="23"/>
      <c r="G2092" s="23"/>
      <c r="L2092" s="23"/>
    </row>
    <row r="2093">
      <c r="E2093" s="22"/>
      <c r="F2093" s="23"/>
      <c r="G2093" s="23"/>
      <c r="L2093" s="23"/>
    </row>
    <row r="2094">
      <c r="E2094" s="22"/>
      <c r="F2094" s="23"/>
      <c r="G2094" s="23"/>
      <c r="L2094" s="23"/>
    </row>
    <row r="2095">
      <c r="E2095" s="22"/>
      <c r="F2095" s="23"/>
      <c r="G2095" s="23"/>
      <c r="L2095" s="23"/>
    </row>
    <row r="2096">
      <c r="E2096" s="22"/>
      <c r="F2096" s="23"/>
      <c r="G2096" s="23"/>
      <c r="L2096" s="23"/>
    </row>
    <row r="2097">
      <c r="E2097" s="22"/>
      <c r="F2097" s="23"/>
      <c r="G2097" s="23"/>
      <c r="L2097" s="23"/>
    </row>
    <row r="2098">
      <c r="E2098" s="22"/>
      <c r="F2098" s="23"/>
      <c r="G2098" s="23"/>
      <c r="L2098" s="23"/>
    </row>
    <row r="2099">
      <c r="E2099" s="22"/>
      <c r="F2099" s="23"/>
      <c r="G2099" s="23"/>
      <c r="L2099" s="23"/>
    </row>
    <row r="2100">
      <c r="E2100" s="22"/>
      <c r="F2100" s="23"/>
      <c r="G2100" s="23"/>
      <c r="L2100" s="23"/>
    </row>
    <row r="2101">
      <c r="E2101" s="22"/>
      <c r="F2101" s="23"/>
      <c r="G2101" s="23"/>
      <c r="L2101" s="23"/>
    </row>
    <row r="2102">
      <c r="E2102" s="22"/>
      <c r="F2102" s="23"/>
      <c r="G2102" s="23"/>
      <c r="L2102" s="23"/>
    </row>
    <row r="2103">
      <c r="E2103" s="22"/>
      <c r="F2103" s="23"/>
      <c r="G2103" s="23"/>
      <c r="L2103" s="23"/>
    </row>
    <row r="2104">
      <c r="E2104" s="22"/>
      <c r="F2104" s="23"/>
      <c r="G2104" s="23"/>
      <c r="L2104" s="23"/>
    </row>
    <row r="2105">
      <c r="E2105" s="22"/>
      <c r="F2105" s="23"/>
      <c r="G2105" s="23"/>
      <c r="L2105" s="23"/>
    </row>
    <row r="2106">
      <c r="E2106" s="22"/>
      <c r="F2106" s="23"/>
      <c r="G2106" s="23"/>
      <c r="L2106" s="23"/>
    </row>
    <row r="2107">
      <c r="E2107" s="22"/>
      <c r="F2107" s="23"/>
      <c r="G2107" s="23"/>
      <c r="L2107" s="23"/>
    </row>
    <row r="2108">
      <c r="E2108" s="22"/>
      <c r="F2108" s="23"/>
      <c r="G2108" s="23"/>
      <c r="L2108" s="23"/>
    </row>
    <row r="2109">
      <c r="E2109" s="22"/>
      <c r="F2109" s="23"/>
      <c r="G2109" s="23"/>
      <c r="L2109" s="23"/>
    </row>
    <row r="2110">
      <c r="E2110" s="22"/>
      <c r="F2110" s="23"/>
      <c r="G2110" s="23"/>
      <c r="L2110" s="23"/>
    </row>
    <row r="2111">
      <c r="E2111" s="22"/>
      <c r="F2111" s="23"/>
      <c r="G2111" s="23"/>
      <c r="L2111" s="23"/>
    </row>
    <row r="2112">
      <c r="E2112" s="22"/>
      <c r="F2112" s="23"/>
      <c r="G2112" s="23"/>
      <c r="L2112" s="23"/>
    </row>
    <row r="2113">
      <c r="E2113" s="22"/>
      <c r="F2113" s="23"/>
      <c r="G2113" s="23"/>
      <c r="L2113" s="23"/>
    </row>
    <row r="2114">
      <c r="E2114" s="22"/>
      <c r="F2114" s="23"/>
      <c r="G2114" s="23"/>
      <c r="L2114" s="23"/>
    </row>
    <row r="2115">
      <c r="E2115" s="22"/>
      <c r="F2115" s="23"/>
      <c r="G2115" s="23"/>
      <c r="L2115" s="23"/>
    </row>
    <row r="2116">
      <c r="E2116" s="22"/>
      <c r="F2116" s="23"/>
      <c r="G2116" s="23"/>
      <c r="L2116" s="23"/>
    </row>
    <row r="2117">
      <c r="E2117" s="22"/>
      <c r="F2117" s="23"/>
      <c r="G2117" s="23"/>
      <c r="L2117" s="23"/>
    </row>
    <row r="2118">
      <c r="E2118" s="22"/>
      <c r="F2118" s="23"/>
      <c r="G2118" s="23"/>
      <c r="L2118" s="23"/>
    </row>
    <row r="2119">
      <c r="E2119" s="22"/>
      <c r="F2119" s="23"/>
      <c r="G2119" s="23"/>
      <c r="L2119" s="23"/>
    </row>
    <row r="2120">
      <c r="E2120" s="22"/>
      <c r="F2120" s="23"/>
      <c r="G2120" s="23"/>
      <c r="L2120" s="23"/>
    </row>
    <row r="2121">
      <c r="E2121" s="22"/>
      <c r="F2121" s="23"/>
      <c r="G2121" s="23"/>
      <c r="L2121" s="23"/>
    </row>
    <row r="2122">
      <c r="E2122" s="22"/>
      <c r="F2122" s="23"/>
      <c r="G2122" s="23"/>
      <c r="L2122" s="23"/>
    </row>
    <row r="2123">
      <c r="E2123" s="22"/>
      <c r="F2123" s="23"/>
      <c r="G2123" s="23"/>
      <c r="L2123" s="23"/>
    </row>
    <row r="2124">
      <c r="E2124" s="22"/>
      <c r="F2124" s="23"/>
      <c r="G2124" s="23"/>
      <c r="L2124" s="23"/>
    </row>
    <row r="2125">
      <c r="E2125" s="22"/>
      <c r="F2125" s="23"/>
      <c r="G2125" s="23"/>
      <c r="L2125" s="23"/>
    </row>
    <row r="2126">
      <c r="E2126" s="22"/>
      <c r="F2126" s="23"/>
      <c r="G2126" s="23"/>
      <c r="L2126" s="23"/>
    </row>
    <row r="2127">
      <c r="E2127" s="22"/>
      <c r="F2127" s="23"/>
      <c r="G2127" s="23"/>
      <c r="L2127" s="23"/>
    </row>
    <row r="2128">
      <c r="E2128" s="22"/>
      <c r="F2128" s="23"/>
      <c r="G2128" s="23"/>
      <c r="L2128" s="23"/>
    </row>
    <row r="2129">
      <c r="E2129" s="22"/>
      <c r="F2129" s="23"/>
      <c r="G2129" s="23"/>
      <c r="L2129" s="23"/>
    </row>
    <row r="2130">
      <c r="E2130" s="22"/>
      <c r="F2130" s="23"/>
      <c r="G2130" s="23"/>
      <c r="L2130" s="23"/>
    </row>
    <row r="2131">
      <c r="E2131" s="22"/>
      <c r="F2131" s="23"/>
      <c r="G2131" s="23"/>
      <c r="L2131" s="23"/>
    </row>
    <row r="2132">
      <c r="E2132" s="22"/>
      <c r="F2132" s="23"/>
      <c r="G2132" s="23"/>
      <c r="L2132" s="23"/>
    </row>
    <row r="2133">
      <c r="E2133" s="22"/>
      <c r="F2133" s="23"/>
      <c r="G2133" s="23"/>
      <c r="L2133" s="23"/>
    </row>
    <row r="2134">
      <c r="E2134" s="22"/>
      <c r="F2134" s="23"/>
      <c r="G2134" s="23"/>
      <c r="L2134" s="23"/>
    </row>
    <row r="2135">
      <c r="E2135" s="22"/>
      <c r="F2135" s="23"/>
      <c r="G2135" s="23"/>
      <c r="L2135" s="23"/>
    </row>
    <row r="2136">
      <c r="E2136" s="22"/>
      <c r="F2136" s="23"/>
      <c r="G2136" s="23"/>
      <c r="L2136" s="23"/>
    </row>
    <row r="2137">
      <c r="E2137" s="22"/>
      <c r="F2137" s="23"/>
      <c r="G2137" s="23"/>
      <c r="L2137" s="23"/>
    </row>
    <row r="2138">
      <c r="E2138" s="22"/>
      <c r="F2138" s="23"/>
      <c r="G2138" s="23"/>
      <c r="L2138" s="23"/>
    </row>
    <row r="2139">
      <c r="E2139" s="22"/>
      <c r="F2139" s="23"/>
      <c r="G2139" s="23"/>
      <c r="L2139" s="23"/>
    </row>
    <row r="2140">
      <c r="E2140" s="22"/>
      <c r="F2140" s="23"/>
      <c r="G2140" s="23"/>
      <c r="L2140" s="23"/>
    </row>
    <row r="2141">
      <c r="E2141" s="22"/>
      <c r="F2141" s="23"/>
      <c r="G2141" s="23"/>
      <c r="L2141" s="23"/>
    </row>
    <row r="2142">
      <c r="E2142" s="22"/>
      <c r="F2142" s="23"/>
      <c r="G2142" s="23"/>
      <c r="L2142" s="23"/>
    </row>
    <row r="2143">
      <c r="E2143" s="22"/>
      <c r="F2143" s="23"/>
      <c r="G2143" s="23"/>
      <c r="L2143" s="23"/>
    </row>
    <row r="2144">
      <c r="E2144" s="22"/>
      <c r="F2144" s="23"/>
      <c r="G2144" s="23"/>
      <c r="L2144" s="23"/>
    </row>
    <row r="2145">
      <c r="E2145" s="22"/>
      <c r="F2145" s="23"/>
      <c r="G2145" s="23"/>
      <c r="L2145" s="23"/>
    </row>
    <row r="2146">
      <c r="E2146" s="22"/>
      <c r="F2146" s="23"/>
      <c r="G2146" s="23"/>
      <c r="L2146" s="23"/>
    </row>
    <row r="2147">
      <c r="E2147" s="22"/>
      <c r="F2147" s="23"/>
      <c r="G2147" s="23"/>
      <c r="L2147" s="23"/>
    </row>
    <row r="2148">
      <c r="E2148" s="22"/>
      <c r="F2148" s="23"/>
      <c r="G2148" s="23"/>
      <c r="L2148" s="23"/>
    </row>
    <row r="2149">
      <c r="E2149" s="22"/>
      <c r="F2149" s="23"/>
      <c r="G2149" s="23"/>
      <c r="L2149" s="23"/>
    </row>
    <row r="2150">
      <c r="E2150" s="22"/>
      <c r="F2150" s="23"/>
      <c r="G2150" s="23"/>
      <c r="L2150" s="23"/>
    </row>
    <row r="2151">
      <c r="E2151" s="22"/>
      <c r="F2151" s="23"/>
      <c r="G2151" s="23"/>
      <c r="L2151" s="23"/>
    </row>
    <row r="2152">
      <c r="E2152" s="22"/>
      <c r="F2152" s="23"/>
      <c r="G2152" s="23"/>
      <c r="L2152" s="23"/>
    </row>
    <row r="2153">
      <c r="E2153" s="22"/>
      <c r="F2153" s="23"/>
      <c r="G2153" s="23"/>
      <c r="L2153" s="23"/>
    </row>
    <row r="2154">
      <c r="E2154" s="22"/>
      <c r="F2154" s="23"/>
      <c r="G2154" s="23"/>
      <c r="L2154" s="23"/>
    </row>
    <row r="2155">
      <c r="E2155" s="22"/>
      <c r="F2155" s="23"/>
      <c r="G2155" s="23"/>
      <c r="L2155" s="23"/>
    </row>
    <row r="2156">
      <c r="E2156" s="22"/>
      <c r="F2156" s="23"/>
      <c r="G2156" s="23"/>
      <c r="L2156" s="23"/>
    </row>
    <row r="2157">
      <c r="E2157" s="22"/>
      <c r="F2157" s="23"/>
      <c r="G2157" s="23"/>
      <c r="L2157" s="23"/>
    </row>
    <row r="2158">
      <c r="E2158" s="22"/>
      <c r="F2158" s="23"/>
      <c r="G2158" s="23"/>
      <c r="L2158" s="23"/>
    </row>
    <row r="2159">
      <c r="E2159" s="22"/>
      <c r="F2159" s="23"/>
      <c r="G2159" s="23"/>
      <c r="L2159" s="23"/>
    </row>
    <row r="2160">
      <c r="E2160" s="22"/>
      <c r="F2160" s="23"/>
      <c r="G2160" s="23"/>
      <c r="L2160" s="23"/>
    </row>
    <row r="2161">
      <c r="E2161" s="22"/>
      <c r="F2161" s="23"/>
      <c r="G2161" s="23"/>
      <c r="L2161" s="23"/>
    </row>
    <row r="2162">
      <c r="E2162" s="22"/>
      <c r="F2162" s="23"/>
      <c r="G2162" s="23"/>
      <c r="L2162" s="23"/>
    </row>
    <row r="2163">
      <c r="E2163" s="22"/>
      <c r="F2163" s="23"/>
      <c r="G2163" s="23"/>
      <c r="L2163" s="23"/>
    </row>
    <row r="2164">
      <c r="E2164" s="22"/>
      <c r="F2164" s="23"/>
      <c r="G2164" s="23"/>
      <c r="L2164" s="23"/>
    </row>
    <row r="2165">
      <c r="E2165" s="22"/>
      <c r="F2165" s="23"/>
      <c r="G2165" s="23"/>
      <c r="L2165" s="23"/>
    </row>
    <row r="2166">
      <c r="E2166" s="22"/>
      <c r="F2166" s="23"/>
      <c r="G2166" s="23"/>
      <c r="L2166" s="23"/>
    </row>
    <row r="2167">
      <c r="E2167" s="22"/>
      <c r="F2167" s="23"/>
      <c r="G2167" s="23"/>
      <c r="L2167" s="23"/>
    </row>
    <row r="2168">
      <c r="E2168" s="22"/>
      <c r="F2168" s="23"/>
      <c r="G2168" s="23"/>
      <c r="L2168" s="23"/>
    </row>
    <row r="2169">
      <c r="E2169" s="22"/>
      <c r="F2169" s="23"/>
      <c r="G2169" s="23"/>
      <c r="L2169" s="23"/>
    </row>
    <row r="2170">
      <c r="E2170" s="22"/>
      <c r="F2170" s="23"/>
      <c r="G2170" s="23"/>
      <c r="L2170" s="23"/>
    </row>
    <row r="2171">
      <c r="E2171" s="22"/>
      <c r="F2171" s="23"/>
      <c r="G2171" s="23"/>
      <c r="L2171" s="23"/>
    </row>
    <row r="2172">
      <c r="E2172" s="22"/>
      <c r="F2172" s="23"/>
      <c r="G2172" s="23"/>
      <c r="L2172" s="23"/>
    </row>
    <row r="2173">
      <c r="E2173" s="22"/>
      <c r="F2173" s="23"/>
      <c r="G2173" s="23"/>
      <c r="L2173" s="23"/>
    </row>
    <row r="2174">
      <c r="E2174" s="22"/>
      <c r="F2174" s="23"/>
      <c r="G2174" s="23"/>
      <c r="L2174" s="23"/>
    </row>
    <row r="2175">
      <c r="E2175" s="22"/>
      <c r="F2175" s="23"/>
      <c r="G2175" s="23"/>
      <c r="L2175" s="23"/>
    </row>
    <row r="2176">
      <c r="E2176" s="22"/>
      <c r="F2176" s="23"/>
      <c r="G2176" s="23"/>
      <c r="L2176" s="23"/>
    </row>
    <row r="2177">
      <c r="E2177" s="22"/>
      <c r="F2177" s="23"/>
      <c r="G2177" s="23"/>
      <c r="L2177" s="23"/>
    </row>
    <row r="2178">
      <c r="E2178" s="22"/>
      <c r="F2178" s="23"/>
      <c r="G2178" s="23"/>
      <c r="L2178" s="23"/>
    </row>
    <row r="2179">
      <c r="E2179" s="22"/>
      <c r="F2179" s="23"/>
      <c r="G2179" s="23"/>
      <c r="L2179" s="23"/>
    </row>
    <row r="2180">
      <c r="E2180" s="22"/>
      <c r="F2180" s="23"/>
      <c r="G2180" s="23"/>
      <c r="L2180" s="23"/>
    </row>
    <row r="2181">
      <c r="E2181" s="22"/>
      <c r="F2181" s="23"/>
      <c r="G2181" s="23"/>
      <c r="L2181" s="23"/>
    </row>
    <row r="2182">
      <c r="E2182" s="22"/>
      <c r="F2182" s="23"/>
      <c r="G2182" s="23"/>
      <c r="L2182" s="23"/>
    </row>
    <row r="2183">
      <c r="E2183" s="22"/>
      <c r="F2183" s="23"/>
      <c r="G2183" s="23"/>
      <c r="L2183" s="23"/>
    </row>
    <row r="2184">
      <c r="E2184" s="22"/>
      <c r="F2184" s="23"/>
      <c r="G2184" s="23"/>
      <c r="L2184" s="23"/>
    </row>
    <row r="2185">
      <c r="E2185" s="22"/>
      <c r="F2185" s="23"/>
      <c r="G2185" s="23"/>
      <c r="L2185" s="23"/>
    </row>
    <row r="2186">
      <c r="E2186" s="22"/>
      <c r="F2186" s="23"/>
      <c r="G2186" s="23"/>
      <c r="L2186" s="23"/>
    </row>
    <row r="2187">
      <c r="E2187" s="22"/>
      <c r="F2187" s="23"/>
      <c r="G2187" s="23"/>
      <c r="L2187" s="23"/>
    </row>
    <row r="2188">
      <c r="E2188" s="22"/>
      <c r="F2188" s="23"/>
      <c r="G2188" s="23"/>
      <c r="L2188" s="23"/>
    </row>
    <row r="2189">
      <c r="E2189" s="22"/>
      <c r="F2189" s="23"/>
      <c r="G2189" s="23"/>
      <c r="L2189" s="23"/>
    </row>
    <row r="2190">
      <c r="E2190" s="22"/>
      <c r="F2190" s="23"/>
      <c r="G2190" s="23"/>
      <c r="L2190" s="23"/>
    </row>
    <row r="2191">
      <c r="E2191" s="22"/>
      <c r="F2191" s="23"/>
      <c r="G2191" s="23"/>
      <c r="L2191" s="23"/>
    </row>
    <row r="2192">
      <c r="E2192" s="22"/>
      <c r="F2192" s="23"/>
      <c r="G2192" s="23"/>
      <c r="L2192" s="23"/>
    </row>
    <row r="2193">
      <c r="E2193" s="22"/>
      <c r="F2193" s="23"/>
      <c r="G2193" s="23"/>
      <c r="L2193" s="23"/>
    </row>
    <row r="2194">
      <c r="E2194" s="22"/>
      <c r="F2194" s="23"/>
      <c r="G2194" s="23"/>
      <c r="L2194" s="23"/>
    </row>
    <row r="2195">
      <c r="E2195" s="22"/>
      <c r="F2195" s="23"/>
      <c r="G2195" s="23"/>
      <c r="L2195" s="23"/>
    </row>
    <row r="2196">
      <c r="E2196" s="22"/>
      <c r="F2196" s="23"/>
      <c r="G2196" s="23"/>
      <c r="L2196" s="23"/>
    </row>
    <row r="2197">
      <c r="E2197" s="22"/>
      <c r="F2197" s="23"/>
      <c r="G2197" s="23"/>
      <c r="L2197" s="23"/>
    </row>
    <row r="2198">
      <c r="E2198" s="22"/>
      <c r="F2198" s="23"/>
      <c r="G2198" s="23"/>
      <c r="L2198" s="23"/>
    </row>
    <row r="2199">
      <c r="E2199" s="22"/>
      <c r="F2199" s="23"/>
      <c r="G2199" s="23"/>
      <c r="L2199" s="23"/>
    </row>
    <row r="2200">
      <c r="E2200" s="22"/>
      <c r="F2200" s="23"/>
      <c r="G2200" s="23"/>
      <c r="L2200" s="23"/>
    </row>
    <row r="2201">
      <c r="E2201" s="22"/>
      <c r="F2201" s="23"/>
      <c r="G2201" s="23"/>
      <c r="L2201" s="23"/>
    </row>
    <row r="2202">
      <c r="E2202" s="22"/>
      <c r="F2202" s="23"/>
      <c r="G2202" s="23"/>
      <c r="L2202" s="23"/>
    </row>
    <row r="2203">
      <c r="E2203" s="22"/>
      <c r="F2203" s="23"/>
      <c r="G2203" s="23"/>
      <c r="L2203" s="23"/>
    </row>
    <row r="2204">
      <c r="E2204" s="22"/>
      <c r="F2204" s="23"/>
      <c r="G2204" s="23"/>
      <c r="L2204" s="23"/>
    </row>
    <row r="2205">
      <c r="E2205" s="22"/>
      <c r="F2205" s="23"/>
      <c r="G2205" s="23"/>
      <c r="L2205" s="23"/>
    </row>
    <row r="2206">
      <c r="E2206" s="22"/>
      <c r="F2206" s="23"/>
      <c r="G2206" s="23"/>
      <c r="L2206" s="23"/>
    </row>
    <row r="2207">
      <c r="E2207" s="22"/>
      <c r="F2207" s="23"/>
      <c r="G2207" s="23"/>
      <c r="L2207" s="23"/>
    </row>
    <row r="2208">
      <c r="E2208" s="22"/>
      <c r="F2208" s="23"/>
      <c r="G2208" s="23"/>
      <c r="L2208" s="23"/>
    </row>
    <row r="2209">
      <c r="E2209" s="22"/>
      <c r="F2209" s="23"/>
      <c r="G2209" s="23"/>
      <c r="L2209" s="23"/>
    </row>
    <row r="2210">
      <c r="E2210" s="22"/>
      <c r="F2210" s="23"/>
      <c r="G2210" s="23"/>
      <c r="L2210" s="23"/>
    </row>
    <row r="2211">
      <c r="E2211" s="22"/>
      <c r="F2211" s="23"/>
      <c r="G2211" s="23"/>
      <c r="L2211" s="23"/>
    </row>
    <row r="2212">
      <c r="E2212" s="22"/>
      <c r="F2212" s="23"/>
      <c r="G2212" s="23"/>
      <c r="L2212" s="23"/>
    </row>
    <row r="2213">
      <c r="E2213" s="22"/>
      <c r="F2213" s="23"/>
      <c r="G2213" s="23"/>
      <c r="L2213" s="23"/>
    </row>
    <row r="2214">
      <c r="E2214" s="22"/>
      <c r="F2214" s="23"/>
      <c r="G2214" s="23"/>
      <c r="L2214" s="23"/>
    </row>
    <row r="2215">
      <c r="E2215" s="22"/>
      <c r="F2215" s="23"/>
      <c r="G2215" s="23"/>
      <c r="L2215" s="23"/>
    </row>
    <row r="2216">
      <c r="E2216" s="22"/>
      <c r="F2216" s="23"/>
      <c r="G2216" s="23"/>
      <c r="L2216" s="23"/>
    </row>
    <row r="2217">
      <c r="E2217" s="22"/>
      <c r="F2217" s="23"/>
      <c r="G2217" s="23"/>
      <c r="L2217" s="23"/>
    </row>
    <row r="2218">
      <c r="E2218" s="22"/>
      <c r="F2218" s="23"/>
      <c r="G2218" s="23"/>
      <c r="L2218" s="23"/>
    </row>
    <row r="2219">
      <c r="E2219" s="22"/>
      <c r="F2219" s="23"/>
      <c r="G2219" s="23"/>
      <c r="L2219" s="23"/>
    </row>
    <row r="2220">
      <c r="E2220" s="22"/>
      <c r="F2220" s="23"/>
      <c r="G2220" s="23"/>
      <c r="L2220" s="23"/>
    </row>
    <row r="2221">
      <c r="E2221" s="22"/>
      <c r="F2221" s="23"/>
      <c r="G2221" s="23"/>
      <c r="L2221" s="23"/>
    </row>
    <row r="2222">
      <c r="E2222" s="22"/>
      <c r="F2222" s="23"/>
      <c r="G2222" s="23"/>
      <c r="L2222" s="23"/>
    </row>
    <row r="2223">
      <c r="E2223" s="22"/>
      <c r="F2223" s="23"/>
      <c r="G2223" s="23"/>
      <c r="L2223" s="23"/>
    </row>
    <row r="2224">
      <c r="E2224" s="22"/>
      <c r="F2224" s="23"/>
      <c r="G2224" s="23"/>
      <c r="L2224" s="23"/>
    </row>
    <row r="2225">
      <c r="E2225" s="22"/>
      <c r="F2225" s="23"/>
      <c r="G2225" s="23"/>
      <c r="L2225" s="23"/>
    </row>
    <row r="2226">
      <c r="E2226" s="22"/>
      <c r="F2226" s="23"/>
      <c r="G2226" s="23"/>
      <c r="L2226" s="23"/>
    </row>
    <row r="2227">
      <c r="E2227" s="22"/>
      <c r="F2227" s="23"/>
      <c r="G2227" s="23"/>
      <c r="L2227" s="23"/>
    </row>
    <row r="2228">
      <c r="E2228" s="22"/>
      <c r="F2228" s="23"/>
      <c r="G2228" s="23"/>
      <c r="L2228" s="23"/>
    </row>
    <row r="2229">
      <c r="E2229" s="22"/>
      <c r="F2229" s="23"/>
      <c r="G2229" s="23"/>
      <c r="L2229" s="23"/>
    </row>
    <row r="2230">
      <c r="E2230" s="22"/>
      <c r="F2230" s="23"/>
      <c r="G2230" s="23"/>
      <c r="L2230" s="23"/>
    </row>
    <row r="2231">
      <c r="E2231" s="22"/>
      <c r="F2231" s="23"/>
      <c r="G2231" s="23"/>
      <c r="L2231" s="23"/>
    </row>
    <row r="2232">
      <c r="E2232" s="22"/>
      <c r="F2232" s="23"/>
      <c r="G2232" s="23"/>
      <c r="L2232" s="23"/>
    </row>
    <row r="2233">
      <c r="E2233" s="22"/>
      <c r="F2233" s="23"/>
      <c r="G2233" s="23"/>
      <c r="L2233" s="23"/>
    </row>
    <row r="2234">
      <c r="E2234" s="22"/>
      <c r="F2234" s="23"/>
      <c r="G2234" s="23"/>
      <c r="L2234" s="23"/>
    </row>
    <row r="2235">
      <c r="E2235" s="22"/>
      <c r="F2235" s="23"/>
      <c r="G2235" s="23"/>
      <c r="L2235" s="23"/>
    </row>
    <row r="2236">
      <c r="E2236" s="22"/>
      <c r="F2236" s="23"/>
      <c r="G2236" s="23"/>
      <c r="L2236" s="23"/>
    </row>
    <row r="2237">
      <c r="E2237" s="22"/>
      <c r="F2237" s="23"/>
      <c r="G2237" s="23"/>
      <c r="L2237" s="23"/>
    </row>
    <row r="2238">
      <c r="E2238" s="22"/>
      <c r="F2238" s="23"/>
      <c r="G2238" s="23"/>
      <c r="L2238" s="23"/>
    </row>
    <row r="2239">
      <c r="E2239" s="22"/>
      <c r="F2239" s="23"/>
      <c r="G2239" s="23"/>
      <c r="L2239" s="23"/>
    </row>
    <row r="2240">
      <c r="E2240" s="22"/>
      <c r="F2240" s="23"/>
      <c r="G2240" s="23"/>
      <c r="L2240" s="23"/>
    </row>
    <row r="2241">
      <c r="E2241" s="22"/>
      <c r="F2241" s="23"/>
      <c r="G2241" s="23"/>
      <c r="L2241" s="23"/>
    </row>
    <row r="2242">
      <c r="E2242" s="22"/>
      <c r="F2242" s="23"/>
      <c r="G2242" s="23"/>
      <c r="L2242" s="23"/>
    </row>
    <row r="2243">
      <c r="E2243" s="22"/>
      <c r="F2243" s="23"/>
      <c r="G2243" s="23"/>
      <c r="L2243" s="23"/>
    </row>
    <row r="2244">
      <c r="E2244" s="22"/>
      <c r="F2244" s="23"/>
      <c r="G2244" s="23"/>
      <c r="L2244" s="23"/>
    </row>
    <row r="2245">
      <c r="E2245" s="22"/>
      <c r="F2245" s="23"/>
      <c r="G2245" s="23"/>
      <c r="L2245" s="23"/>
    </row>
    <row r="2246">
      <c r="E2246" s="22"/>
      <c r="F2246" s="23"/>
      <c r="G2246" s="23"/>
      <c r="L2246" s="23"/>
    </row>
    <row r="2247">
      <c r="E2247" s="22"/>
      <c r="F2247" s="23"/>
      <c r="G2247" s="23"/>
      <c r="L2247" s="23"/>
    </row>
    <row r="2248">
      <c r="E2248" s="22"/>
      <c r="F2248" s="23"/>
      <c r="G2248" s="23"/>
      <c r="L2248" s="23"/>
    </row>
    <row r="2249">
      <c r="E2249" s="22"/>
      <c r="F2249" s="23"/>
      <c r="G2249" s="23"/>
      <c r="L2249" s="23"/>
    </row>
    <row r="2250">
      <c r="E2250" s="22"/>
      <c r="F2250" s="23"/>
      <c r="G2250" s="23"/>
      <c r="L2250" s="23"/>
    </row>
    <row r="2251">
      <c r="E2251" s="22"/>
      <c r="F2251" s="23"/>
      <c r="G2251" s="23"/>
      <c r="L2251" s="23"/>
    </row>
    <row r="2252">
      <c r="E2252" s="22"/>
      <c r="F2252" s="23"/>
      <c r="G2252" s="23"/>
      <c r="L2252" s="23"/>
    </row>
    <row r="2253">
      <c r="E2253" s="22"/>
      <c r="F2253" s="23"/>
      <c r="G2253" s="23"/>
      <c r="L2253" s="23"/>
    </row>
    <row r="2254">
      <c r="E2254" s="22"/>
      <c r="F2254" s="23"/>
      <c r="G2254" s="23"/>
      <c r="L2254" s="23"/>
    </row>
    <row r="2255">
      <c r="E2255" s="22"/>
      <c r="F2255" s="23"/>
      <c r="G2255" s="23"/>
      <c r="L2255" s="23"/>
    </row>
    <row r="2256">
      <c r="E2256" s="22"/>
      <c r="F2256" s="23"/>
      <c r="G2256" s="23"/>
      <c r="L2256" s="23"/>
    </row>
    <row r="2257">
      <c r="E2257" s="22"/>
      <c r="F2257" s="23"/>
      <c r="G2257" s="23"/>
      <c r="L2257" s="23"/>
    </row>
    <row r="2258">
      <c r="E2258" s="22"/>
      <c r="F2258" s="23"/>
      <c r="G2258" s="23"/>
      <c r="L2258" s="23"/>
    </row>
    <row r="2259">
      <c r="E2259" s="22"/>
      <c r="F2259" s="23"/>
      <c r="G2259" s="23"/>
      <c r="L2259" s="23"/>
    </row>
    <row r="2260">
      <c r="E2260" s="22"/>
      <c r="F2260" s="23"/>
      <c r="G2260" s="23"/>
      <c r="L2260" s="23"/>
    </row>
    <row r="2261">
      <c r="E2261" s="22"/>
      <c r="F2261" s="23"/>
      <c r="G2261" s="23"/>
      <c r="L2261" s="23"/>
    </row>
    <row r="2262">
      <c r="E2262" s="22"/>
      <c r="F2262" s="23"/>
      <c r="G2262" s="23"/>
      <c r="L2262" s="23"/>
    </row>
    <row r="2263">
      <c r="E2263" s="22"/>
      <c r="F2263" s="23"/>
      <c r="G2263" s="23"/>
      <c r="L2263" s="23"/>
    </row>
    <row r="2264">
      <c r="E2264" s="22"/>
      <c r="F2264" s="23"/>
      <c r="G2264" s="23"/>
      <c r="L2264" s="23"/>
    </row>
    <row r="2265">
      <c r="E2265" s="22"/>
      <c r="F2265" s="23"/>
      <c r="G2265" s="23"/>
      <c r="L2265" s="23"/>
    </row>
    <row r="2266">
      <c r="E2266" s="22"/>
      <c r="F2266" s="23"/>
      <c r="G2266" s="23"/>
      <c r="L2266" s="23"/>
    </row>
    <row r="2267">
      <c r="E2267" s="22"/>
      <c r="F2267" s="23"/>
      <c r="G2267" s="23"/>
      <c r="L2267" s="23"/>
    </row>
    <row r="2268">
      <c r="E2268" s="22"/>
      <c r="F2268" s="23"/>
      <c r="G2268" s="23"/>
      <c r="L2268" s="23"/>
    </row>
    <row r="2269">
      <c r="E2269" s="22"/>
      <c r="F2269" s="23"/>
      <c r="G2269" s="23"/>
      <c r="L2269" s="23"/>
    </row>
    <row r="2270">
      <c r="E2270" s="22"/>
      <c r="F2270" s="23"/>
      <c r="G2270" s="23"/>
      <c r="L2270" s="23"/>
    </row>
    <row r="2271">
      <c r="E2271" s="22"/>
      <c r="F2271" s="23"/>
      <c r="G2271" s="23"/>
      <c r="L2271" s="23"/>
    </row>
    <row r="2272">
      <c r="E2272" s="22"/>
      <c r="F2272" s="23"/>
      <c r="G2272" s="23"/>
      <c r="L2272" s="23"/>
    </row>
    <row r="2273">
      <c r="E2273" s="22"/>
      <c r="F2273" s="23"/>
      <c r="G2273" s="23"/>
      <c r="L2273" s="23"/>
    </row>
    <row r="2274">
      <c r="E2274" s="22"/>
      <c r="F2274" s="23"/>
      <c r="G2274" s="23"/>
      <c r="L2274" s="23"/>
    </row>
    <row r="2275">
      <c r="E2275" s="22"/>
      <c r="F2275" s="23"/>
      <c r="G2275" s="23"/>
      <c r="L2275" s="23"/>
    </row>
    <row r="2276">
      <c r="E2276" s="22"/>
      <c r="F2276" s="23"/>
      <c r="G2276" s="23"/>
      <c r="L2276" s="23"/>
    </row>
    <row r="2277">
      <c r="E2277" s="22"/>
      <c r="F2277" s="23"/>
      <c r="G2277" s="23"/>
      <c r="L2277" s="23"/>
    </row>
    <row r="2278">
      <c r="E2278" s="22"/>
      <c r="F2278" s="23"/>
      <c r="G2278" s="23"/>
      <c r="L2278" s="23"/>
    </row>
    <row r="2279">
      <c r="E2279" s="22"/>
      <c r="F2279" s="23"/>
      <c r="G2279" s="23"/>
      <c r="L2279" s="23"/>
    </row>
    <row r="2280">
      <c r="E2280" s="22"/>
      <c r="F2280" s="23"/>
      <c r="G2280" s="23"/>
      <c r="L2280" s="23"/>
    </row>
    <row r="2281">
      <c r="E2281" s="22"/>
      <c r="F2281" s="23"/>
      <c r="G2281" s="23"/>
      <c r="L2281" s="23"/>
    </row>
    <row r="2282">
      <c r="E2282" s="22"/>
      <c r="F2282" s="23"/>
      <c r="G2282" s="23"/>
      <c r="L2282" s="23"/>
    </row>
    <row r="2283">
      <c r="E2283" s="22"/>
      <c r="F2283" s="23"/>
      <c r="G2283" s="23"/>
      <c r="L2283" s="23"/>
    </row>
    <row r="2284">
      <c r="E2284" s="22"/>
      <c r="F2284" s="23"/>
      <c r="G2284" s="23"/>
      <c r="L2284" s="23"/>
    </row>
    <row r="2285">
      <c r="E2285" s="22"/>
      <c r="F2285" s="23"/>
      <c r="G2285" s="23"/>
      <c r="L2285" s="23"/>
    </row>
    <row r="2286">
      <c r="E2286" s="22"/>
      <c r="F2286" s="23"/>
      <c r="G2286" s="23"/>
      <c r="L2286" s="23"/>
    </row>
    <row r="2287">
      <c r="E2287" s="22"/>
      <c r="F2287" s="23"/>
      <c r="G2287" s="23"/>
      <c r="L2287" s="23"/>
    </row>
    <row r="2288">
      <c r="E2288" s="22"/>
      <c r="F2288" s="23"/>
      <c r="G2288" s="23"/>
      <c r="L2288" s="23"/>
    </row>
    <row r="2289">
      <c r="E2289" s="22"/>
      <c r="F2289" s="23"/>
      <c r="G2289" s="23"/>
      <c r="L2289" s="23"/>
    </row>
    <row r="2290">
      <c r="E2290" s="22"/>
      <c r="F2290" s="23"/>
      <c r="G2290" s="23"/>
      <c r="L2290" s="23"/>
    </row>
    <row r="2291">
      <c r="E2291" s="22"/>
      <c r="F2291" s="23"/>
      <c r="G2291" s="23"/>
      <c r="L2291" s="23"/>
    </row>
    <row r="2292">
      <c r="E2292" s="22"/>
      <c r="F2292" s="23"/>
      <c r="G2292" s="23"/>
      <c r="L2292" s="23"/>
    </row>
    <row r="2293">
      <c r="E2293" s="22"/>
      <c r="F2293" s="23"/>
      <c r="G2293" s="23"/>
      <c r="L2293" s="23"/>
    </row>
    <row r="2294">
      <c r="E2294" s="22"/>
      <c r="F2294" s="23"/>
      <c r="G2294" s="23"/>
      <c r="L2294" s="23"/>
    </row>
    <row r="2295">
      <c r="E2295" s="22"/>
      <c r="F2295" s="23"/>
      <c r="G2295" s="23"/>
      <c r="L2295" s="23"/>
    </row>
    <row r="2296">
      <c r="E2296" s="22"/>
      <c r="F2296" s="23"/>
      <c r="G2296" s="23"/>
      <c r="L2296" s="23"/>
    </row>
    <row r="2297">
      <c r="E2297" s="22"/>
      <c r="F2297" s="23"/>
      <c r="G2297" s="23"/>
      <c r="L2297" s="23"/>
    </row>
    <row r="2298">
      <c r="E2298" s="22"/>
      <c r="F2298" s="23"/>
      <c r="G2298" s="23"/>
      <c r="L2298" s="23"/>
    </row>
    <row r="2299">
      <c r="E2299" s="22"/>
      <c r="F2299" s="23"/>
      <c r="G2299" s="23"/>
      <c r="L2299" s="23"/>
    </row>
    <row r="2300">
      <c r="E2300" s="22"/>
      <c r="F2300" s="23"/>
      <c r="G2300" s="23"/>
      <c r="L2300" s="23"/>
    </row>
    <row r="2301">
      <c r="E2301" s="22"/>
      <c r="F2301" s="23"/>
      <c r="G2301" s="23"/>
      <c r="L2301" s="23"/>
    </row>
    <row r="2302">
      <c r="E2302" s="22"/>
      <c r="F2302" s="23"/>
      <c r="G2302" s="23"/>
      <c r="L2302" s="23"/>
    </row>
    <row r="2303">
      <c r="E2303" s="22"/>
      <c r="F2303" s="23"/>
      <c r="G2303" s="23"/>
      <c r="L2303" s="23"/>
    </row>
    <row r="2304">
      <c r="E2304" s="22"/>
      <c r="F2304" s="23"/>
      <c r="G2304" s="23"/>
      <c r="L2304" s="23"/>
    </row>
    <row r="2305">
      <c r="E2305" s="22"/>
      <c r="F2305" s="23"/>
      <c r="G2305" s="23"/>
      <c r="L2305" s="23"/>
    </row>
    <row r="2306">
      <c r="E2306" s="22"/>
      <c r="F2306" s="23"/>
      <c r="G2306" s="23"/>
      <c r="L2306" s="23"/>
    </row>
    <row r="2307">
      <c r="E2307" s="22"/>
      <c r="F2307" s="23"/>
      <c r="G2307" s="23"/>
      <c r="L2307" s="23"/>
    </row>
    <row r="2308">
      <c r="E2308" s="22"/>
      <c r="F2308" s="23"/>
      <c r="G2308" s="23"/>
      <c r="L2308" s="23"/>
    </row>
    <row r="2309">
      <c r="E2309" s="22"/>
      <c r="F2309" s="23"/>
      <c r="G2309" s="23"/>
      <c r="L2309" s="23"/>
    </row>
    <row r="2310">
      <c r="E2310" s="22"/>
      <c r="F2310" s="23"/>
      <c r="G2310" s="23"/>
      <c r="L2310" s="23"/>
    </row>
    <row r="2311">
      <c r="E2311" s="22"/>
      <c r="F2311" s="23"/>
      <c r="G2311" s="23"/>
      <c r="L2311" s="23"/>
    </row>
    <row r="2312">
      <c r="E2312" s="22"/>
      <c r="F2312" s="23"/>
      <c r="G2312" s="23"/>
      <c r="L2312" s="23"/>
    </row>
    <row r="2313">
      <c r="E2313" s="22"/>
      <c r="F2313" s="23"/>
      <c r="G2313" s="23"/>
      <c r="L2313" s="23"/>
    </row>
    <row r="2314">
      <c r="E2314" s="22"/>
      <c r="F2314" s="23"/>
      <c r="G2314" s="23"/>
      <c r="L2314" s="23"/>
    </row>
    <row r="2315">
      <c r="E2315" s="22"/>
      <c r="F2315" s="23"/>
      <c r="G2315" s="23"/>
      <c r="L2315" s="23"/>
    </row>
    <row r="2316">
      <c r="E2316" s="22"/>
      <c r="F2316" s="23"/>
      <c r="G2316" s="23"/>
      <c r="L2316" s="23"/>
    </row>
    <row r="2317">
      <c r="E2317" s="22"/>
      <c r="F2317" s="23"/>
      <c r="G2317" s="23"/>
      <c r="L2317" s="23"/>
    </row>
    <row r="2318">
      <c r="E2318" s="22"/>
      <c r="F2318" s="23"/>
      <c r="G2318" s="23"/>
      <c r="L2318" s="23"/>
    </row>
    <row r="2319">
      <c r="E2319" s="22"/>
      <c r="F2319" s="23"/>
      <c r="G2319" s="23"/>
      <c r="L2319" s="23"/>
    </row>
    <row r="2320">
      <c r="E2320" s="22"/>
      <c r="F2320" s="23"/>
      <c r="G2320" s="23"/>
      <c r="L2320" s="23"/>
    </row>
    <row r="2321">
      <c r="E2321" s="22"/>
      <c r="F2321" s="23"/>
      <c r="G2321" s="23"/>
      <c r="L2321" s="23"/>
    </row>
    <row r="2322">
      <c r="E2322" s="22"/>
      <c r="F2322" s="23"/>
      <c r="G2322" s="23"/>
      <c r="L2322" s="23"/>
    </row>
    <row r="2323">
      <c r="E2323" s="22"/>
      <c r="F2323" s="23"/>
      <c r="G2323" s="23"/>
      <c r="L2323" s="23"/>
    </row>
    <row r="2324">
      <c r="E2324" s="22"/>
      <c r="F2324" s="23"/>
      <c r="G2324" s="23"/>
      <c r="L2324" s="23"/>
    </row>
    <row r="2325">
      <c r="E2325" s="22"/>
      <c r="F2325" s="23"/>
      <c r="G2325" s="23"/>
      <c r="L2325" s="23"/>
    </row>
    <row r="2326">
      <c r="E2326" s="22"/>
      <c r="F2326" s="23"/>
      <c r="G2326" s="23"/>
      <c r="L2326" s="23"/>
    </row>
    <row r="2327">
      <c r="E2327" s="22"/>
      <c r="F2327" s="23"/>
      <c r="G2327" s="23"/>
      <c r="L2327" s="23"/>
    </row>
    <row r="2328">
      <c r="E2328" s="22"/>
      <c r="F2328" s="23"/>
      <c r="G2328" s="23"/>
      <c r="L2328" s="23"/>
    </row>
    <row r="2329">
      <c r="E2329" s="22"/>
      <c r="F2329" s="23"/>
      <c r="G2329" s="23"/>
      <c r="L2329" s="23"/>
    </row>
    <row r="2330">
      <c r="E2330" s="22"/>
      <c r="F2330" s="23"/>
      <c r="G2330" s="23"/>
      <c r="L2330" s="23"/>
    </row>
    <row r="2331">
      <c r="E2331" s="22"/>
      <c r="F2331" s="23"/>
      <c r="G2331" s="23"/>
      <c r="L2331" s="23"/>
    </row>
    <row r="2332">
      <c r="E2332" s="22"/>
      <c r="F2332" s="23"/>
      <c r="G2332" s="23"/>
      <c r="L2332" s="23"/>
    </row>
    <row r="2333">
      <c r="E2333" s="22"/>
      <c r="F2333" s="23"/>
      <c r="G2333" s="23"/>
      <c r="L2333" s="23"/>
    </row>
    <row r="2334">
      <c r="E2334" s="22"/>
      <c r="F2334" s="23"/>
      <c r="G2334" s="23"/>
      <c r="L2334" s="23"/>
    </row>
    <row r="2335">
      <c r="E2335" s="22"/>
      <c r="F2335" s="23"/>
      <c r="G2335" s="23"/>
      <c r="L2335" s="23"/>
    </row>
    <row r="2336">
      <c r="E2336" s="22"/>
      <c r="F2336" s="23"/>
      <c r="G2336" s="23"/>
      <c r="L2336" s="23"/>
    </row>
    <row r="2337">
      <c r="E2337" s="22"/>
      <c r="F2337" s="23"/>
      <c r="G2337" s="23"/>
      <c r="L2337" s="23"/>
    </row>
    <row r="2338">
      <c r="E2338" s="22"/>
      <c r="F2338" s="23"/>
      <c r="G2338" s="23"/>
      <c r="L2338" s="23"/>
    </row>
    <row r="2339">
      <c r="E2339" s="22"/>
      <c r="F2339" s="23"/>
      <c r="G2339" s="23"/>
      <c r="L2339" s="23"/>
    </row>
    <row r="2340">
      <c r="E2340" s="22"/>
      <c r="F2340" s="23"/>
      <c r="G2340" s="23"/>
      <c r="L2340" s="23"/>
    </row>
    <row r="2341">
      <c r="E2341" s="22"/>
      <c r="F2341" s="23"/>
      <c r="G2341" s="23"/>
      <c r="L2341" s="23"/>
    </row>
    <row r="2342">
      <c r="E2342" s="22"/>
      <c r="F2342" s="23"/>
      <c r="G2342" s="23"/>
      <c r="L2342" s="23"/>
    </row>
    <row r="2343">
      <c r="E2343" s="22"/>
      <c r="F2343" s="23"/>
      <c r="G2343" s="23"/>
      <c r="L2343" s="23"/>
    </row>
    <row r="2344">
      <c r="E2344" s="22"/>
      <c r="F2344" s="23"/>
      <c r="G2344" s="23"/>
      <c r="L2344" s="23"/>
    </row>
    <row r="2345">
      <c r="E2345" s="22"/>
      <c r="F2345" s="23"/>
      <c r="G2345" s="23"/>
      <c r="L2345" s="23"/>
    </row>
    <row r="2346">
      <c r="E2346" s="22"/>
      <c r="F2346" s="23"/>
      <c r="G2346" s="23"/>
      <c r="L2346" s="23"/>
    </row>
    <row r="2347">
      <c r="E2347" s="22"/>
      <c r="F2347" s="23"/>
      <c r="G2347" s="23"/>
      <c r="L2347" s="23"/>
    </row>
    <row r="2348">
      <c r="E2348" s="22"/>
      <c r="F2348" s="23"/>
      <c r="G2348" s="23"/>
      <c r="L2348" s="23"/>
    </row>
    <row r="2349">
      <c r="E2349" s="22"/>
      <c r="F2349" s="23"/>
      <c r="G2349" s="23"/>
      <c r="L2349" s="23"/>
    </row>
    <row r="2350">
      <c r="E2350" s="22"/>
      <c r="F2350" s="23"/>
      <c r="G2350" s="23"/>
      <c r="L2350" s="23"/>
    </row>
    <row r="2351">
      <c r="E2351" s="22"/>
      <c r="F2351" s="23"/>
      <c r="G2351" s="23"/>
      <c r="L2351" s="23"/>
    </row>
    <row r="2352">
      <c r="E2352" s="22"/>
      <c r="F2352" s="23"/>
      <c r="G2352" s="23"/>
      <c r="L2352" s="23"/>
    </row>
    <row r="2353">
      <c r="E2353" s="22"/>
      <c r="F2353" s="23"/>
      <c r="G2353" s="23"/>
      <c r="L2353" s="23"/>
    </row>
    <row r="2354">
      <c r="E2354" s="22"/>
      <c r="F2354" s="23"/>
      <c r="G2354" s="23"/>
      <c r="L2354" s="23"/>
    </row>
    <row r="2355">
      <c r="E2355" s="22"/>
      <c r="F2355" s="23"/>
      <c r="G2355" s="23"/>
      <c r="L2355" s="23"/>
    </row>
    <row r="2356">
      <c r="E2356" s="22"/>
      <c r="F2356" s="23"/>
      <c r="G2356" s="23"/>
      <c r="L2356" s="23"/>
    </row>
    <row r="2357">
      <c r="E2357" s="22"/>
      <c r="F2357" s="23"/>
      <c r="G2357" s="23"/>
      <c r="L2357" s="23"/>
    </row>
    <row r="2358">
      <c r="E2358" s="22"/>
      <c r="F2358" s="23"/>
      <c r="G2358" s="23"/>
      <c r="L2358" s="23"/>
    </row>
    <row r="2359">
      <c r="E2359" s="22"/>
      <c r="F2359" s="23"/>
      <c r="G2359" s="23"/>
      <c r="L2359" s="23"/>
    </row>
    <row r="2360">
      <c r="E2360" s="22"/>
      <c r="F2360" s="23"/>
      <c r="G2360" s="23"/>
      <c r="L2360" s="23"/>
    </row>
    <row r="2361">
      <c r="E2361" s="22"/>
      <c r="F2361" s="23"/>
      <c r="G2361" s="23"/>
      <c r="L2361" s="23"/>
    </row>
    <row r="2362">
      <c r="E2362" s="22"/>
      <c r="F2362" s="23"/>
      <c r="G2362" s="23"/>
      <c r="L2362" s="23"/>
    </row>
    <row r="2363">
      <c r="E2363" s="22"/>
      <c r="F2363" s="23"/>
      <c r="G2363" s="23"/>
      <c r="L2363" s="23"/>
    </row>
    <row r="2364">
      <c r="E2364" s="22"/>
      <c r="F2364" s="23"/>
      <c r="G2364" s="23"/>
      <c r="L2364" s="23"/>
    </row>
    <row r="2365">
      <c r="E2365" s="22"/>
      <c r="F2365" s="23"/>
      <c r="G2365" s="23"/>
      <c r="L2365" s="23"/>
    </row>
    <row r="2366">
      <c r="E2366" s="22"/>
      <c r="F2366" s="23"/>
      <c r="G2366" s="23"/>
      <c r="L2366" s="23"/>
    </row>
    <row r="2367">
      <c r="E2367" s="22"/>
      <c r="F2367" s="23"/>
      <c r="G2367" s="23"/>
      <c r="L2367" s="23"/>
    </row>
    <row r="2368">
      <c r="E2368" s="22"/>
      <c r="F2368" s="23"/>
      <c r="G2368" s="23"/>
      <c r="L2368" s="23"/>
    </row>
    <row r="2369">
      <c r="E2369" s="22"/>
      <c r="F2369" s="23"/>
      <c r="G2369" s="23"/>
      <c r="L2369" s="23"/>
    </row>
    <row r="2370">
      <c r="E2370" s="22"/>
      <c r="F2370" s="23"/>
      <c r="G2370" s="23"/>
      <c r="L2370" s="23"/>
    </row>
    <row r="2371">
      <c r="E2371" s="22"/>
      <c r="F2371" s="23"/>
      <c r="G2371" s="23"/>
      <c r="L2371" s="23"/>
    </row>
    <row r="2372">
      <c r="E2372" s="22"/>
      <c r="F2372" s="23"/>
      <c r="G2372" s="23"/>
      <c r="L2372" s="23"/>
    </row>
    <row r="2373">
      <c r="E2373" s="22"/>
      <c r="F2373" s="23"/>
      <c r="G2373" s="23"/>
      <c r="L2373" s="23"/>
    </row>
    <row r="2374">
      <c r="E2374" s="22"/>
      <c r="F2374" s="23"/>
      <c r="G2374" s="23"/>
      <c r="L2374" s="23"/>
    </row>
    <row r="2375">
      <c r="E2375" s="22"/>
      <c r="F2375" s="23"/>
      <c r="G2375" s="23"/>
      <c r="L2375" s="23"/>
    </row>
    <row r="2376">
      <c r="E2376" s="22"/>
      <c r="F2376" s="23"/>
      <c r="G2376" s="23"/>
      <c r="L2376" s="23"/>
    </row>
    <row r="2377">
      <c r="E2377" s="22"/>
      <c r="F2377" s="23"/>
      <c r="G2377" s="23"/>
      <c r="L2377" s="23"/>
    </row>
    <row r="2378">
      <c r="E2378" s="22"/>
      <c r="F2378" s="23"/>
      <c r="G2378" s="23"/>
      <c r="L2378" s="23"/>
    </row>
    <row r="2379">
      <c r="E2379" s="22"/>
      <c r="F2379" s="23"/>
      <c r="G2379" s="23"/>
      <c r="L2379" s="23"/>
    </row>
    <row r="2380">
      <c r="E2380" s="22"/>
      <c r="F2380" s="23"/>
      <c r="G2380" s="23"/>
      <c r="L2380" s="23"/>
    </row>
    <row r="2381">
      <c r="E2381" s="22"/>
      <c r="F2381" s="23"/>
      <c r="G2381" s="23"/>
      <c r="L2381" s="23"/>
    </row>
    <row r="2382">
      <c r="E2382" s="22"/>
      <c r="F2382" s="23"/>
      <c r="G2382" s="23"/>
      <c r="L2382" s="23"/>
    </row>
    <row r="2383">
      <c r="E2383" s="22"/>
      <c r="F2383" s="23"/>
      <c r="G2383" s="23"/>
      <c r="L2383" s="23"/>
    </row>
    <row r="2384">
      <c r="E2384" s="22"/>
      <c r="F2384" s="23"/>
      <c r="G2384" s="23"/>
      <c r="L2384" s="23"/>
    </row>
    <row r="2385">
      <c r="E2385" s="22"/>
      <c r="F2385" s="23"/>
      <c r="G2385" s="23"/>
      <c r="L2385" s="23"/>
    </row>
    <row r="2386">
      <c r="E2386" s="22"/>
      <c r="F2386" s="23"/>
      <c r="G2386" s="23"/>
      <c r="L2386" s="23"/>
    </row>
    <row r="2387">
      <c r="E2387" s="22"/>
      <c r="F2387" s="23"/>
      <c r="G2387" s="23"/>
      <c r="L2387" s="23"/>
    </row>
    <row r="2388">
      <c r="E2388" s="22"/>
      <c r="F2388" s="23"/>
      <c r="G2388" s="23"/>
      <c r="L2388" s="23"/>
    </row>
    <row r="2389">
      <c r="E2389" s="22"/>
      <c r="F2389" s="23"/>
      <c r="G2389" s="23"/>
      <c r="L2389" s="23"/>
    </row>
    <row r="2390">
      <c r="E2390" s="22"/>
      <c r="F2390" s="23"/>
      <c r="G2390" s="23"/>
      <c r="L2390" s="23"/>
    </row>
    <row r="2391">
      <c r="E2391" s="22"/>
      <c r="F2391" s="23"/>
      <c r="G2391" s="23"/>
      <c r="L2391" s="23"/>
    </row>
    <row r="2392">
      <c r="E2392" s="22"/>
      <c r="F2392" s="23"/>
      <c r="G2392" s="23"/>
      <c r="L2392" s="23"/>
    </row>
    <row r="2393">
      <c r="E2393" s="22"/>
      <c r="F2393" s="23"/>
      <c r="G2393" s="23"/>
      <c r="L2393" s="23"/>
    </row>
    <row r="2394">
      <c r="E2394" s="22"/>
      <c r="F2394" s="23"/>
      <c r="G2394" s="23"/>
      <c r="L2394" s="23"/>
    </row>
    <row r="2395">
      <c r="E2395" s="22"/>
      <c r="F2395" s="23"/>
      <c r="G2395" s="23"/>
      <c r="L2395" s="23"/>
    </row>
    <row r="2396">
      <c r="E2396" s="22"/>
      <c r="F2396" s="23"/>
      <c r="G2396" s="23"/>
      <c r="L2396" s="23"/>
    </row>
    <row r="2397">
      <c r="E2397" s="22"/>
      <c r="F2397" s="23"/>
      <c r="G2397" s="23"/>
      <c r="L2397" s="23"/>
    </row>
    <row r="2398">
      <c r="E2398" s="22"/>
      <c r="F2398" s="23"/>
      <c r="G2398" s="23"/>
      <c r="L2398" s="23"/>
    </row>
    <row r="2399">
      <c r="E2399" s="22"/>
      <c r="F2399" s="23"/>
      <c r="G2399" s="23"/>
      <c r="L2399" s="23"/>
    </row>
    <row r="2400">
      <c r="E2400" s="22"/>
      <c r="F2400" s="23"/>
      <c r="G2400" s="23"/>
      <c r="L2400" s="23"/>
    </row>
    <row r="2401">
      <c r="E2401" s="22"/>
      <c r="F2401" s="23"/>
      <c r="G2401" s="23"/>
      <c r="L2401" s="23"/>
    </row>
    <row r="2402">
      <c r="E2402" s="22"/>
      <c r="F2402" s="23"/>
      <c r="G2402" s="23"/>
      <c r="L2402" s="23"/>
    </row>
    <row r="2403">
      <c r="E2403" s="22"/>
      <c r="F2403" s="23"/>
      <c r="G2403" s="23"/>
      <c r="L2403" s="23"/>
    </row>
    <row r="2404">
      <c r="E2404" s="22"/>
      <c r="F2404" s="23"/>
      <c r="G2404" s="23"/>
      <c r="L2404" s="23"/>
    </row>
    <row r="2405">
      <c r="E2405" s="22"/>
      <c r="F2405" s="23"/>
      <c r="G2405" s="23"/>
      <c r="L2405" s="23"/>
    </row>
    <row r="2406">
      <c r="E2406" s="22"/>
      <c r="F2406" s="23"/>
      <c r="G2406" s="23"/>
      <c r="L2406" s="23"/>
    </row>
    <row r="2407">
      <c r="E2407" s="22"/>
      <c r="F2407" s="23"/>
      <c r="G2407" s="23"/>
      <c r="L2407" s="23"/>
    </row>
    <row r="2408">
      <c r="E2408" s="22"/>
      <c r="F2408" s="23"/>
      <c r="G2408" s="23"/>
      <c r="L2408" s="23"/>
    </row>
    <row r="2409">
      <c r="E2409" s="22"/>
      <c r="F2409" s="23"/>
      <c r="G2409" s="23"/>
      <c r="L2409" s="23"/>
    </row>
    <row r="2410">
      <c r="E2410" s="22"/>
      <c r="F2410" s="23"/>
      <c r="G2410" s="23"/>
      <c r="L2410" s="23"/>
    </row>
    <row r="2411">
      <c r="E2411" s="22"/>
      <c r="F2411" s="23"/>
      <c r="G2411" s="23"/>
      <c r="L2411" s="23"/>
    </row>
    <row r="2412">
      <c r="E2412" s="22"/>
      <c r="F2412" s="23"/>
      <c r="G2412" s="23"/>
      <c r="L2412" s="23"/>
    </row>
    <row r="2413">
      <c r="E2413" s="22"/>
      <c r="F2413" s="23"/>
      <c r="G2413" s="23"/>
      <c r="L2413" s="23"/>
    </row>
    <row r="2414">
      <c r="E2414" s="22"/>
      <c r="F2414" s="23"/>
      <c r="G2414" s="23"/>
      <c r="L2414" s="23"/>
    </row>
    <row r="2415">
      <c r="E2415" s="22"/>
      <c r="F2415" s="23"/>
      <c r="G2415" s="23"/>
      <c r="L2415" s="23"/>
    </row>
    <row r="2416">
      <c r="E2416" s="22"/>
      <c r="F2416" s="23"/>
      <c r="G2416" s="23"/>
      <c r="L2416" s="23"/>
    </row>
    <row r="2417">
      <c r="E2417" s="22"/>
      <c r="F2417" s="23"/>
      <c r="G2417" s="23"/>
      <c r="L2417" s="23"/>
    </row>
    <row r="2418">
      <c r="E2418" s="22"/>
      <c r="F2418" s="23"/>
      <c r="G2418" s="23"/>
      <c r="L2418" s="23"/>
    </row>
    <row r="2419">
      <c r="E2419" s="22"/>
      <c r="F2419" s="23"/>
      <c r="G2419" s="23"/>
      <c r="L2419" s="23"/>
    </row>
    <row r="2420">
      <c r="E2420" s="22"/>
      <c r="F2420" s="23"/>
      <c r="G2420" s="23"/>
      <c r="L2420" s="23"/>
    </row>
    <row r="2421">
      <c r="E2421" s="22"/>
      <c r="F2421" s="23"/>
      <c r="G2421" s="23"/>
      <c r="L2421" s="23"/>
    </row>
    <row r="2422">
      <c r="E2422" s="22"/>
      <c r="F2422" s="23"/>
      <c r="G2422" s="23"/>
      <c r="L2422" s="23"/>
    </row>
    <row r="2423">
      <c r="E2423" s="22"/>
      <c r="F2423" s="23"/>
      <c r="G2423" s="23"/>
      <c r="L2423" s="23"/>
    </row>
    <row r="2424">
      <c r="E2424" s="22"/>
      <c r="F2424" s="23"/>
      <c r="G2424" s="23"/>
      <c r="L2424" s="23"/>
    </row>
    <row r="2425">
      <c r="E2425" s="22"/>
      <c r="F2425" s="23"/>
      <c r="G2425" s="23"/>
      <c r="L2425" s="23"/>
    </row>
    <row r="2426">
      <c r="E2426" s="22"/>
      <c r="F2426" s="23"/>
      <c r="G2426" s="23"/>
      <c r="L2426" s="23"/>
    </row>
    <row r="2427">
      <c r="E2427" s="22"/>
      <c r="F2427" s="23"/>
      <c r="G2427" s="23"/>
      <c r="L2427" s="23"/>
    </row>
    <row r="2428">
      <c r="E2428" s="22"/>
      <c r="F2428" s="23"/>
      <c r="G2428" s="23"/>
      <c r="L2428" s="23"/>
    </row>
    <row r="2429">
      <c r="E2429" s="22"/>
      <c r="F2429" s="23"/>
      <c r="G2429" s="23"/>
      <c r="L2429" s="23"/>
    </row>
    <row r="2430">
      <c r="E2430" s="22"/>
      <c r="F2430" s="23"/>
      <c r="G2430" s="23"/>
      <c r="L2430" s="23"/>
    </row>
    <row r="2431">
      <c r="E2431" s="22"/>
      <c r="F2431" s="23"/>
      <c r="G2431" s="23"/>
      <c r="L2431" s="23"/>
    </row>
    <row r="2432">
      <c r="E2432" s="22"/>
      <c r="F2432" s="23"/>
      <c r="G2432" s="23"/>
      <c r="L2432" s="23"/>
    </row>
    <row r="2433">
      <c r="E2433" s="22"/>
      <c r="F2433" s="23"/>
      <c r="G2433" s="23"/>
      <c r="L2433" s="23"/>
    </row>
    <row r="2434">
      <c r="E2434" s="22"/>
      <c r="F2434" s="23"/>
      <c r="G2434" s="23"/>
      <c r="L2434" s="23"/>
    </row>
    <row r="2435">
      <c r="E2435" s="22"/>
      <c r="F2435" s="23"/>
      <c r="G2435" s="23"/>
      <c r="L2435" s="23"/>
    </row>
    <row r="2436">
      <c r="E2436" s="22"/>
      <c r="F2436" s="23"/>
      <c r="G2436" s="23"/>
      <c r="L2436" s="23"/>
    </row>
    <row r="2437">
      <c r="E2437" s="22"/>
      <c r="F2437" s="23"/>
      <c r="G2437" s="23"/>
      <c r="L2437" s="23"/>
    </row>
    <row r="2438">
      <c r="E2438" s="22"/>
      <c r="F2438" s="23"/>
      <c r="G2438" s="23"/>
      <c r="L2438" s="23"/>
    </row>
    <row r="2439">
      <c r="E2439" s="22"/>
      <c r="F2439" s="23"/>
      <c r="G2439" s="23"/>
      <c r="L2439" s="23"/>
    </row>
    <row r="2440">
      <c r="E2440" s="22"/>
      <c r="F2440" s="23"/>
      <c r="G2440" s="23"/>
      <c r="L2440" s="23"/>
    </row>
    <row r="2441">
      <c r="E2441" s="22"/>
      <c r="F2441" s="23"/>
      <c r="G2441" s="23"/>
      <c r="L2441" s="23"/>
    </row>
    <row r="2442">
      <c r="E2442" s="22"/>
      <c r="F2442" s="23"/>
      <c r="G2442" s="23"/>
      <c r="L2442" s="23"/>
    </row>
    <row r="2443">
      <c r="E2443" s="22"/>
      <c r="F2443" s="23"/>
      <c r="G2443" s="23"/>
      <c r="L2443" s="23"/>
    </row>
    <row r="2444">
      <c r="E2444" s="22"/>
      <c r="F2444" s="23"/>
      <c r="G2444" s="23"/>
      <c r="L2444" s="23"/>
    </row>
    <row r="2445">
      <c r="E2445" s="22"/>
      <c r="F2445" s="23"/>
      <c r="G2445" s="23"/>
      <c r="L2445" s="23"/>
    </row>
    <row r="2446">
      <c r="E2446" s="22"/>
      <c r="F2446" s="23"/>
      <c r="G2446" s="23"/>
      <c r="L2446" s="23"/>
    </row>
    <row r="2447">
      <c r="E2447" s="22"/>
      <c r="F2447" s="23"/>
      <c r="G2447" s="23"/>
      <c r="L2447" s="23"/>
    </row>
    <row r="2448">
      <c r="E2448" s="22"/>
      <c r="F2448" s="23"/>
      <c r="G2448" s="23"/>
      <c r="L2448" s="23"/>
    </row>
    <row r="2449">
      <c r="E2449" s="22"/>
      <c r="F2449" s="23"/>
      <c r="G2449" s="23"/>
      <c r="L2449" s="23"/>
    </row>
    <row r="2450">
      <c r="E2450" s="22"/>
      <c r="F2450" s="23"/>
      <c r="G2450" s="23"/>
      <c r="L2450" s="23"/>
    </row>
    <row r="2451">
      <c r="E2451" s="22"/>
      <c r="F2451" s="23"/>
      <c r="G2451" s="23"/>
      <c r="L2451" s="23"/>
    </row>
    <row r="2452">
      <c r="E2452" s="22"/>
      <c r="F2452" s="23"/>
      <c r="G2452" s="23"/>
      <c r="L2452" s="23"/>
    </row>
    <row r="2453">
      <c r="E2453" s="22"/>
      <c r="F2453" s="23"/>
      <c r="G2453" s="23"/>
      <c r="L2453" s="23"/>
    </row>
    <row r="2454">
      <c r="E2454" s="22"/>
      <c r="F2454" s="23"/>
      <c r="G2454" s="23"/>
      <c r="L2454" s="23"/>
    </row>
    <row r="2455">
      <c r="E2455" s="22"/>
      <c r="F2455" s="23"/>
      <c r="G2455" s="23"/>
      <c r="L2455" s="23"/>
    </row>
    <row r="2456">
      <c r="E2456" s="22"/>
      <c r="F2456" s="23"/>
      <c r="G2456" s="23"/>
      <c r="L2456" s="23"/>
    </row>
    <row r="2457">
      <c r="E2457" s="22"/>
      <c r="F2457" s="23"/>
      <c r="G2457" s="23"/>
      <c r="L2457" s="23"/>
    </row>
    <row r="2458">
      <c r="E2458" s="22"/>
      <c r="F2458" s="23"/>
      <c r="G2458" s="23"/>
      <c r="L2458" s="23"/>
    </row>
    <row r="2459">
      <c r="E2459" s="22"/>
      <c r="F2459" s="23"/>
      <c r="G2459" s="23"/>
      <c r="L2459" s="23"/>
    </row>
    <row r="2460">
      <c r="E2460" s="22"/>
      <c r="F2460" s="23"/>
      <c r="G2460" s="23"/>
      <c r="L2460" s="23"/>
    </row>
    <row r="2461">
      <c r="E2461" s="22"/>
      <c r="F2461" s="23"/>
      <c r="G2461" s="23"/>
      <c r="L2461" s="23"/>
    </row>
    <row r="2462">
      <c r="E2462" s="22"/>
      <c r="F2462" s="23"/>
      <c r="G2462" s="23"/>
      <c r="L2462" s="23"/>
    </row>
    <row r="2463">
      <c r="E2463" s="22"/>
      <c r="F2463" s="23"/>
      <c r="G2463" s="23"/>
      <c r="L2463" s="23"/>
    </row>
    <row r="2464">
      <c r="E2464" s="22"/>
      <c r="F2464" s="23"/>
      <c r="G2464" s="23"/>
      <c r="L2464" s="23"/>
    </row>
    <row r="2465">
      <c r="E2465" s="22"/>
      <c r="F2465" s="23"/>
      <c r="G2465" s="23"/>
      <c r="L2465" s="23"/>
    </row>
    <row r="2466">
      <c r="E2466" s="22"/>
      <c r="F2466" s="23"/>
      <c r="G2466" s="23"/>
      <c r="L2466" s="23"/>
    </row>
    <row r="2467">
      <c r="E2467" s="22"/>
      <c r="F2467" s="23"/>
      <c r="G2467" s="23"/>
      <c r="L2467" s="23"/>
    </row>
    <row r="2468">
      <c r="E2468" s="22"/>
      <c r="F2468" s="23"/>
      <c r="G2468" s="23"/>
      <c r="L2468" s="23"/>
    </row>
    <row r="2469">
      <c r="E2469" s="22"/>
      <c r="F2469" s="23"/>
      <c r="G2469" s="23"/>
      <c r="L2469" s="23"/>
    </row>
    <row r="2470">
      <c r="E2470" s="22"/>
      <c r="F2470" s="23"/>
      <c r="G2470" s="23"/>
      <c r="L2470" s="23"/>
    </row>
    <row r="2471">
      <c r="E2471" s="22"/>
      <c r="F2471" s="23"/>
      <c r="G2471" s="23"/>
      <c r="L2471" s="23"/>
    </row>
    <row r="2472">
      <c r="E2472" s="22"/>
      <c r="F2472" s="23"/>
      <c r="G2472" s="23"/>
      <c r="L2472" s="23"/>
    </row>
    <row r="2473">
      <c r="E2473" s="22"/>
      <c r="F2473" s="23"/>
      <c r="G2473" s="23"/>
      <c r="L2473" s="23"/>
    </row>
    <row r="2474">
      <c r="E2474" s="22"/>
      <c r="F2474" s="23"/>
      <c r="G2474" s="23"/>
      <c r="L2474" s="23"/>
    </row>
    <row r="2475">
      <c r="E2475" s="22"/>
      <c r="F2475" s="23"/>
      <c r="G2475" s="23"/>
      <c r="L2475" s="23"/>
    </row>
    <row r="2476">
      <c r="E2476" s="22"/>
      <c r="F2476" s="23"/>
      <c r="G2476" s="23"/>
      <c r="L2476" s="23"/>
    </row>
    <row r="2477">
      <c r="E2477" s="22"/>
      <c r="F2477" s="23"/>
      <c r="G2477" s="23"/>
      <c r="L2477" s="23"/>
    </row>
    <row r="2478">
      <c r="E2478" s="22"/>
      <c r="F2478" s="23"/>
      <c r="G2478" s="23"/>
      <c r="L2478" s="23"/>
    </row>
    <row r="2479">
      <c r="E2479" s="22"/>
      <c r="F2479" s="23"/>
      <c r="G2479" s="23"/>
      <c r="L2479" s="23"/>
    </row>
    <row r="2480">
      <c r="E2480" s="22"/>
      <c r="F2480" s="23"/>
      <c r="G2480" s="23"/>
      <c r="L2480" s="23"/>
    </row>
    <row r="2481">
      <c r="E2481" s="22"/>
      <c r="F2481" s="23"/>
      <c r="G2481" s="23"/>
      <c r="L2481" s="23"/>
    </row>
    <row r="2482">
      <c r="E2482" s="22"/>
      <c r="F2482" s="23"/>
      <c r="G2482" s="23"/>
      <c r="L2482" s="23"/>
    </row>
    <row r="2483">
      <c r="E2483" s="22"/>
      <c r="F2483" s="23"/>
      <c r="G2483" s="23"/>
      <c r="L2483" s="23"/>
    </row>
    <row r="2484">
      <c r="E2484" s="22"/>
      <c r="F2484" s="23"/>
      <c r="G2484" s="23"/>
      <c r="L2484" s="23"/>
    </row>
    <row r="2485">
      <c r="E2485" s="22"/>
      <c r="F2485" s="23"/>
      <c r="G2485" s="23"/>
      <c r="L2485" s="23"/>
    </row>
    <row r="2486">
      <c r="E2486" s="22"/>
      <c r="F2486" s="23"/>
      <c r="G2486" s="23"/>
      <c r="L2486" s="23"/>
    </row>
    <row r="2487">
      <c r="E2487" s="22"/>
      <c r="F2487" s="23"/>
      <c r="G2487" s="23"/>
      <c r="L2487" s="23"/>
    </row>
    <row r="2488">
      <c r="E2488" s="22"/>
      <c r="F2488" s="23"/>
      <c r="G2488" s="23"/>
      <c r="L2488" s="23"/>
    </row>
    <row r="2489">
      <c r="E2489" s="22"/>
      <c r="F2489" s="23"/>
      <c r="G2489" s="23"/>
      <c r="L2489" s="23"/>
    </row>
    <row r="2490">
      <c r="E2490" s="22"/>
      <c r="F2490" s="23"/>
      <c r="G2490" s="23"/>
      <c r="L2490" s="23"/>
    </row>
    <row r="2491">
      <c r="E2491" s="22"/>
      <c r="F2491" s="23"/>
      <c r="G2491" s="23"/>
      <c r="L2491" s="23"/>
    </row>
    <row r="2492">
      <c r="E2492" s="22"/>
      <c r="F2492" s="23"/>
      <c r="G2492" s="23"/>
      <c r="L2492" s="23"/>
    </row>
    <row r="2493">
      <c r="E2493" s="22"/>
      <c r="F2493" s="23"/>
      <c r="G2493" s="23"/>
      <c r="L2493" s="23"/>
    </row>
    <row r="2494">
      <c r="E2494" s="22"/>
      <c r="F2494" s="23"/>
      <c r="G2494" s="23"/>
      <c r="L2494" s="23"/>
    </row>
    <row r="2495">
      <c r="E2495" s="22"/>
      <c r="F2495" s="23"/>
      <c r="G2495" s="23"/>
      <c r="L2495" s="23"/>
    </row>
    <row r="2496">
      <c r="E2496" s="22"/>
      <c r="F2496" s="23"/>
      <c r="G2496" s="23"/>
      <c r="L2496" s="23"/>
    </row>
    <row r="2497">
      <c r="E2497" s="22"/>
      <c r="F2497" s="23"/>
      <c r="G2497" s="23"/>
      <c r="L2497" s="23"/>
    </row>
    <row r="2498">
      <c r="E2498" s="22"/>
      <c r="F2498" s="23"/>
      <c r="G2498" s="23"/>
      <c r="L2498" s="23"/>
    </row>
    <row r="2499">
      <c r="E2499" s="22"/>
      <c r="F2499" s="23"/>
      <c r="G2499" s="23"/>
      <c r="L2499" s="23"/>
    </row>
    <row r="2500">
      <c r="E2500" s="22"/>
      <c r="F2500" s="23"/>
      <c r="G2500" s="23"/>
      <c r="L2500" s="23"/>
    </row>
    <row r="2501">
      <c r="E2501" s="22"/>
      <c r="F2501" s="23"/>
      <c r="G2501" s="23"/>
      <c r="L2501" s="23"/>
    </row>
    <row r="2502">
      <c r="E2502" s="22"/>
      <c r="F2502" s="23"/>
      <c r="G2502" s="23"/>
      <c r="L2502" s="23"/>
    </row>
    <row r="2503">
      <c r="E2503" s="22"/>
      <c r="F2503" s="23"/>
      <c r="G2503" s="23"/>
      <c r="L2503" s="23"/>
    </row>
    <row r="2504">
      <c r="E2504" s="22"/>
      <c r="F2504" s="23"/>
      <c r="G2504" s="23"/>
      <c r="L2504" s="23"/>
    </row>
    <row r="2505">
      <c r="E2505" s="22"/>
      <c r="F2505" s="23"/>
      <c r="G2505" s="23"/>
      <c r="L2505" s="23"/>
    </row>
    <row r="2506">
      <c r="E2506" s="22"/>
      <c r="F2506" s="23"/>
      <c r="G2506" s="23"/>
      <c r="L2506" s="23"/>
    </row>
    <row r="2507">
      <c r="E2507" s="22"/>
      <c r="F2507" s="23"/>
      <c r="G2507" s="23"/>
      <c r="L2507" s="23"/>
    </row>
    <row r="2508">
      <c r="E2508" s="22"/>
      <c r="F2508" s="23"/>
      <c r="G2508" s="23"/>
      <c r="L2508" s="23"/>
    </row>
    <row r="2509">
      <c r="E2509" s="22"/>
      <c r="F2509" s="23"/>
      <c r="G2509" s="23"/>
      <c r="L2509" s="23"/>
    </row>
    <row r="2510">
      <c r="E2510" s="22"/>
      <c r="F2510" s="23"/>
      <c r="G2510" s="23"/>
      <c r="L2510" s="23"/>
    </row>
    <row r="2511">
      <c r="E2511" s="22"/>
      <c r="F2511" s="23"/>
      <c r="G2511" s="23"/>
      <c r="L2511" s="23"/>
    </row>
    <row r="2512">
      <c r="E2512" s="22"/>
      <c r="F2512" s="23"/>
      <c r="G2512" s="23"/>
      <c r="L2512" s="23"/>
    </row>
    <row r="2513">
      <c r="E2513" s="22"/>
      <c r="F2513" s="23"/>
      <c r="G2513" s="23"/>
      <c r="L2513" s="23"/>
    </row>
    <row r="2514">
      <c r="E2514" s="22"/>
      <c r="F2514" s="23"/>
      <c r="G2514" s="23"/>
      <c r="L2514" s="23"/>
    </row>
    <row r="2515">
      <c r="E2515" s="22"/>
      <c r="F2515" s="23"/>
      <c r="G2515" s="23"/>
      <c r="L2515" s="23"/>
    </row>
    <row r="2516">
      <c r="E2516" s="22"/>
      <c r="F2516" s="23"/>
      <c r="G2516" s="23"/>
      <c r="L2516" s="23"/>
    </row>
    <row r="2517">
      <c r="E2517" s="22"/>
      <c r="F2517" s="23"/>
      <c r="G2517" s="23"/>
      <c r="L2517" s="23"/>
    </row>
    <row r="2518">
      <c r="E2518" s="22"/>
      <c r="F2518" s="23"/>
      <c r="G2518" s="23"/>
      <c r="L2518" s="23"/>
    </row>
    <row r="2519">
      <c r="E2519" s="22"/>
      <c r="F2519" s="23"/>
      <c r="G2519" s="23"/>
      <c r="L2519" s="23"/>
    </row>
    <row r="2520">
      <c r="E2520" s="22"/>
      <c r="F2520" s="23"/>
      <c r="G2520" s="23"/>
      <c r="L2520" s="23"/>
    </row>
    <row r="2521">
      <c r="E2521" s="22"/>
      <c r="F2521" s="23"/>
      <c r="G2521" s="23"/>
      <c r="L2521" s="23"/>
    </row>
    <row r="2522">
      <c r="E2522" s="22"/>
      <c r="F2522" s="23"/>
      <c r="G2522" s="23"/>
      <c r="L2522" s="23"/>
    </row>
    <row r="2523">
      <c r="E2523" s="22"/>
      <c r="F2523" s="23"/>
      <c r="G2523" s="23"/>
      <c r="L2523" s="23"/>
    </row>
    <row r="2524">
      <c r="E2524" s="22"/>
      <c r="F2524" s="23"/>
      <c r="G2524" s="23"/>
      <c r="L2524" s="23"/>
    </row>
    <row r="2525">
      <c r="E2525" s="22"/>
      <c r="F2525" s="23"/>
      <c r="G2525" s="23"/>
      <c r="L2525" s="23"/>
    </row>
    <row r="2526">
      <c r="E2526" s="22"/>
      <c r="F2526" s="23"/>
      <c r="G2526" s="23"/>
      <c r="L2526" s="23"/>
    </row>
    <row r="2527">
      <c r="E2527" s="22"/>
      <c r="F2527" s="23"/>
      <c r="G2527" s="23"/>
      <c r="L2527" s="23"/>
    </row>
    <row r="2528">
      <c r="E2528" s="22"/>
      <c r="F2528" s="23"/>
      <c r="G2528" s="23"/>
      <c r="L2528" s="23"/>
    </row>
    <row r="2529">
      <c r="E2529" s="22"/>
      <c r="F2529" s="23"/>
      <c r="G2529" s="23"/>
      <c r="L2529" s="23"/>
    </row>
    <row r="2530">
      <c r="E2530" s="22"/>
      <c r="F2530" s="23"/>
      <c r="G2530" s="23"/>
      <c r="L2530" s="23"/>
    </row>
    <row r="2531">
      <c r="E2531" s="22"/>
      <c r="F2531" s="23"/>
      <c r="G2531" s="23"/>
      <c r="L2531" s="23"/>
    </row>
    <row r="2532">
      <c r="E2532" s="22"/>
      <c r="F2532" s="23"/>
      <c r="G2532" s="23"/>
      <c r="L2532" s="23"/>
    </row>
    <row r="2533">
      <c r="E2533" s="22"/>
      <c r="F2533" s="23"/>
      <c r="G2533" s="23"/>
      <c r="L2533" s="23"/>
    </row>
    <row r="2534">
      <c r="E2534" s="22"/>
      <c r="F2534" s="23"/>
      <c r="G2534" s="23"/>
      <c r="L2534" s="23"/>
    </row>
    <row r="2535">
      <c r="E2535" s="22"/>
      <c r="F2535" s="23"/>
      <c r="G2535" s="23"/>
      <c r="L2535" s="23"/>
    </row>
    <row r="2536">
      <c r="E2536" s="22"/>
      <c r="F2536" s="23"/>
      <c r="G2536" s="23"/>
      <c r="L2536" s="23"/>
    </row>
    <row r="2537">
      <c r="E2537" s="22"/>
      <c r="F2537" s="23"/>
      <c r="G2537" s="23"/>
      <c r="L2537" s="23"/>
    </row>
    <row r="2538">
      <c r="E2538" s="22"/>
      <c r="F2538" s="23"/>
      <c r="G2538" s="23"/>
      <c r="L2538" s="23"/>
    </row>
    <row r="2539">
      <c r="E2539" s="22"/>
      <c r="F2539" s="23"/>
      <c r="G2539" s="23"/>
      <c r="L2539" s="23"/>
    </row>
    <row r="2540">
      <c r="E2540" s="22"/>
      <c r="F2540" s="23"/>
      <c r="G2540" s="23"/>
      <c r="L2540" s="23"/>
    </row>
    <row r="2541">
      <c r="E2541" s="22"/>
      <c r="F2541" s="23"/>
      <c r="G2541" s="23"/>
      <c r="L2541" s="23"/>
    </row>
    <row r="2542">
      <c r="E2542" s="22"/>
      <c r="F2542" s="23"/>
      <c r="G2542" s="23"/>
      <c r="L2542" s="23"/>
    </row>
    <row r="2543">
      <c r="E2543" s="22"/>
      <c r="F2543" s="23"/>
      <c r="G2543" s="23"/>
      <c r="L2543" s="23"/>
    </row>
    <row r="2544">
      <c r="E2544" s="22"/>
      <c r="F2544" s="23"/>
      <c r="G2544" s="23"/>
      <c r="L2544" s="23"/>
    </row>
    <row r="2545">
      <c r="E2545" s="22"/>
      <c r="F2545" s="23"/>
      <c r="G2545" s="23"/>
      <c r="L2545" s="23"/>
    </row>
    <row r="2546">
      <c r="E2546" s="22"/>
      <c r="F2546" s="23"/>
      <c r="G2546" s="23"/>
      <c r="L2546" s="23"/>
    </row>
    <row r="2547">
      <c r="E2547" s="22"/>
      <c r="F2547" s="23"/>
      <c r="G2547" s="23"/>
      <c r="L2547" s="23"/>
    </row>
    <row r="2548">
      <c r="E2548" s="22"/>
      <c r="F2548" s="23"/>
      <c r="G2548" s="23"/>
      <c r="L2548" s="23"/>
    </row>
    <row r="2549">
      <c r="E2549" s="22"/>
      <c r="F2549" s="23"/>
      <c r="G2549" s="23"/>
      <c r="L2549" s="23"/>
    </row>
    <row r="2550">
      <c r="E2550" s="22"/>
      <c r="F2550" s="23"/>
      <c r="G2550" s="23"/>
      <c r="L2550" s="23"/>
    </row>
    <row r="2551">
      <c r="E2551" s="22"/>
      <c r="F2551" s="23"/>
      <c r="G2551" s="23"/>
      <c r="L2551" s="23"/>
    </row>
    <row r="2552">
      <c r="E2552" s="22"/>
      <c r="F2552" s="23"/>
      <c r="G2552" s="23"/>
      <c r="L2552" s="23"/>
    </row>
    <row r="2553">
      <c r="E2553" s="22"/>
      <c r="F2553" s="23"/>
      <c r="G2553" s="23"/>
      <c r="L2553" s="23"/>
    </row>
    <row r="2554">
      <c r="E2554" s="22"/>
      <c r="F2554" s="23"/>
      <c r="G2554" s="23"/>
      <c r="L2554" s="23"/>
    </row>
    <row r="2555">
      <c r="E2555" s="22"/>
      <c r="F2555" s="23"/>
      <c r="G2555" s="23"/>
      <c r="L2555" s="23"/>
    </row>
    <row r="2556">
      <c r="E2556" s="22"/>
      <c r="F2556" s="23"/>
      <c r="G2556" s="23"/>
      <c r="L2556" s="23"/>
    </row>
    <row r="2557">
      <c r="E2557" s="22"/>
      <c r="F2557" s="23"/>
      <c r="G2557" s="23"/>
      <c r="L2557" s="23"/>
    </row>
    <row r="2558">
      <c r="E2558" s="22"/>
      <c r="F2558" s="23"/>
      <c r="G2558" s="23"/>
      <c r="L2558" s="23"/>
    </row>
    <row r="2559">
      <c r="E2559" s="22"/>
      <c r="F2559" s="23"/>
      <c r="G2559" s="23"/>
      <c r="L2559" s="23"/>
    </row>
    <row r="2560">
      <c r="E2560" s="22"/>
      <c r="F2560" s="23"/>
      <c r="G2560" s="23"/>
      <c r="L2560" s="23"/>
    </row>
    <row r="2561">
      <c r="E2561" s="22"/>
      <c r="F2561" s="23"/>
      <c r="G2561" s="23"/>
      <c r="L2561" s="23"/>
    </row>
    <row r="2562">
      <c r="E2562" s="22"/>
      <c r="F2562" s="23"/>
      <c r="G2562" s="23"/>
      <c r="L2562" s="23"/>
    </row>
    <row r="2563">
      <c r="E2563" s="22"/>
      <c r="F2563" s="23"/>
      <c r="G2563" s="23"/>
      <c r="L2563" s="23"/>
    </row>
    <row r="2564">
      <c r="E2564" s="22"/>
      <c r="F2564" s="23"/>
      <c r="G2564" s="23"/>
      <c r="L2564" s="23"/>
    </row>
    <row r="2565">
      <c r="E2565" s="22"/>
      <c r="F2565" s="23"/>
      <c r="G2565" s="23"/>
      <c r="L2565" s="23"/>
    </row>
    <row r="2566">
      <c r="E2566" s="22"/>
      <c r="F2566" s="23"/>
      <c r="G2566" s="23"/>
      <c r="L2566" s="23"/>
    </row>
    <row r="2567">
      <c r="E2567" s="22"/>
      <c r="F2567" s="23"/>
      <c r="G2567" s="23"/>
      <c r="L2567" s="23"/>
    </row>
    <row r="2568">
      <c r="E2568" s="22"/>
      <c r="F2568" s="23"/>
      <c r="G2568" s="23"/>
      <c r="L2568" s="23"/>
    </row>
    <row r="2569">
      <c r="E2569" s="22"/>
      <c r="F2569" s="23"/>
      <c r="G2569" s="23"/>
      <c r="L2569" s="23"/>
    </row>
    <row r="2570">
      <c r="E2570" s="22"/>
      <c r="F2570" s="23"/>
      <c r="G2570" s="23"/>
      <c r="L2570" s="23"/>
    </row>
    <row r="2571">
      <c r="E2571" s="22"/>
      <c r="F2571" s="23"/>
      <c r="G2571" s="23"/>
      <c r="L2571" s="23"/>
    </row>
    <row r="2572">
      <c r="E2572" s="22"/>
      <c r="F2572" s="23"/>
      <c r="G2572" s="23"/>
      <c r="L2572" s="23"/>
    </row>
    <row r="2573">
      <c r="E2573" s="22"/>
      <c r="F2573" s="23"/>
      <c r="G2573" s="23"/>
      <c r="L2573" s="23"/>
    </row>
    <row r="2574">
      <c r="E2574" s="22"/>
      <c r="F2574" s="23"/>
      <c r="G2574" s="23"/>
      <c r="L2574" s="23"/>
    </row>
    <row r="2575">
      <c r="E2575" s="22"/>
      <c r="F2575" s="23"/>
      <c r="G2575" s="23"/>
      <c r="L2575" s="23"/>
    </row>
    <row r="2576">
      <c r="E2576" s="22"/>
      <c r="F2576" s="23"/>
      <c r="G2576" s="23"/>
      <c r="L2576" s="23"/>
    </row>
    <row r="2577">
      <c r="E2577" s="22"/>
      <c r="F2577" s="23"/>
      <c r="G2577" s="23"/>
      <c r="L2577" s="23"/>
    </row>
    <row r="2578">
      <c r="E2578" s="22"/>
      <c r="F2578" s="23"/>
      <c r="G2578" s="23"/>
      <c r="L2578" s="23"/>
    </row>
    <row r="2579">
      <c r="E2579" s="22"/>
      <c r="F2579" s="23"/>
      <c r="G2579" s="23"/>
      <c r="L2579" s="23"/>
    </row>
    <row r="2580">
      <c r="E2580" s="22"/>
      <c r="F2580" s="23"/>
      <c r="G2580" s="23"/>
      <c r="L2580" s="23"/>
    </row>
    <row r="2581">
      <c r="E2581" s="22"/>
      <c r="F2581" s="23"/>
      <c r="G2581" s="23"/>
      <c r="L2581" s="23"/>
    </row>
    <row r="2582">
      <c r="E2582" s="22"/>
      <c r="F2582" s="23"/>
      <c r="G2582" s="23"/>
      <c r="L2582" s="23"/>
    </row>
    <row r="2583">
      <c r="E2583" s="22"/>
      <c r="F2583" s="23"/>
      <c r="G2583" s="23"/>
      <c r="L2583" s="23"/>
    </row>
    <row r="2584">
      <c r="E2584" s="22"/>
      <c r="F2584" s="23"/>
      <c r="G2584" s="23"/>
      <c r="L2584" s="23"/>
    </row>
    <row r="2585">
      <c r="E2585" s="22"/>
      <c r="F2585" s="23"/>
      <c r="G2585" s="23"/>
      <c r="L2585" s="23"/>
    </row>
    <row r="2586">
      <c r="E2586" s="22"/>
      <c r="F2586" s="23"/>
      <c r="G2586" s="23"/>
      <c r="L2586" s="23"/>
    </row>
    <row r="2587">
      <c r="E2587" s="22"/>
      <c r="F2587" s="23"/>
      <c r="G2587" s="23"/>
      <c r="L2587" s="23"/>
    </row>
    <row r="2588">
      <c r="E2588" s="22"/>
      <c r="F2588" s="23"/>
      <c r="G2588" s="23"/>
      <c r="L2588" s="23"/>
    </row>
    <row r="2589">
      <c r="E2589" s="22"/>
      <c r="F2589" s="23"/>
      <c r="G2589" s="23"/>
      <c r="L2589" s="23"/>
    </row>
    <row r="2590">
      <c r="E2590" s="22"/>
      <c r="F2590" s="23"/>
      <c r="G2590" s="23"/>
      <c r="L2590" s="23"/>
    </row>
    <row r="2591">
      <c r="E2591" s="22"/>
      <c r="F2591" s="23"/>
      <c r="G2591" s="23"/>
      <c r="L2591" s="23"/>
    </row>
    <row r="2592">
      <c r="E2592" s="22"/>
      <c r="F2592" s="23"/>
      <c r="G2592" s="23"/>
      <c r="L2592" s="23"/>
    </row>
    <row r="2593">
      <c r="E2593" s="22"/>
      <c r="F2593" s="23"/>
      <c r="G2593" s="23"/>
      <c r="L2593" s="23"/>
    </row>
    <row r="2594">
      <c r="E2594" s="22"/>
      <c r="F2594" s="23"/>
      <c r="G2594" s="23"/>
      <c r="L2594" s="23"/>
    </row>
    <row r="2595">
      <c r="E2595" s="22"/>
      <c r="F2595" s="23"/>
      <c r="G2595" s="23"/>
      <c r="L2595" s="23"/>
    </row>
    <row r="2596">
      <c r="E2596" s="22"/>
      <c r="F2596" s="23"/>
      <c r="G2596" s="23"/>
      <c r="L2596" s="23"/>
    </row>
    <row r="2597">
      <c r="E2597" s="22"/>
      <c r="F2597" s="23"/>
      <c r="G2597" s="23"/>
      <c r="L2597" s="23"/>
    </row>
    <row r="2598">
      <c r="E2598" s="22"/>
      <c r="F2598" s="23"/>
      <c r="G2598" s="23"/>
      <c r="L2598" s="23"/>
    </row>
    <row r="2599">
      <c r="E2599" s="22"/>
      <c r="F2599" s="23"/>
      <c r="G2599" s="23"/>
      <c r="L2599" s="23"/>
    </row>
    <row r="2600">
      <c r="E2600" s="22"/>
      <c r="F2600" s="23"/>
      <c r="G2600" s="23"/>
      <c r="L2600" s="23"/>
    </row>
    <row r="2601">
      <c r="E2601" s="22"/>
      <c r="F2601" s="23"/>
      <c r="G2601" s="23"/>
      <c r="L2601" s="23"/>
    </row>
    <row r="2602">
      <c r="E2602" s="22"/>
      <c r="F2602" s="23"/>
      <c r="G2602" s="23"/>
      <c r="L2602" s="23"/>
    </row>
    <row r="2603">
      <c r="E2603" s="22"/>
      <c r="F2603" s="23"/>
      <c r="G2603" s="23"/>
      <c r="L2603" s="23"/>
    </row>
    <row r="2604">
      <c r="E2604" s="22"/>
      <c r="F2604" s="23"/>
      <c r="G2604" s="23"/>
      <c r="L2604" s="23"/>
    </row>
    <row r="2605">
      <c r="E2605" s="22"/>
      <c r="F2605" s="23"/>
      <c r="G2605" s="23"/>
      <c r="L2605" s="23"/>
    </row>
    <row r="2606">
      <c r="E2606" s="22"/>
      <c r="F2606" s="23"/>
      <c r="G2606" s="23"/>
      <c r="L2606" s="23"/>
    </row>
    <row r="2607">
      <c r="E2607" s="22"/>
      <c r="F2607" s="23"/>
      <c r="G2607" s="23"/>
      <c r="L2607" s="23"/>
    </row>
    <row r="2608">
      <c r="E2608" s="22"/>
      <c r="F2608" s="23"/>
      <c r="G2608" s="23"/>
      <c r="L2608" s="23"/>
    </row>
    <row r="2609">
      <c r="E2609" s="22"/>
      <c r="F2609" s="23"/>
      <c r="G2609" s="23"/>
      <c r="L2609" s="23"/>
    </row>
    <row r="2610">
      <c r="E2610" s="22"/>
      <c r="F2610" s="23"/>
      <c r="G2610" s="23"/>
      <c r="L2610" s="23"/>
    </row>
    <row r="2611">
      <c r="E2611" s="22"/>
      <c r="F2611" s="23"/>
      <c r="G2611" s="23"/>
      <c r="L2611" s="23"/>
    </row>
    <row r="2612">
      <c r="E2612" s="22"/>
      <c r="F2612" s="23"/>
      <c r="G2612" s="23"/>
      <c r="L2612" s="23"/>
    </row>
    <row r="2613">
      <c r="E2613" s="22"/>
      <c r="F2613" s="23"/>
      <c r="G2613" s="23"/>
      <c r="L2613" s="23"/>
    </row>
    <row r="2614">
      <c r="E2614" s="22"/>
      <c r="F2614" s="23"/>
      <c r="G2614" s="23"/>
      <c r="L2614" s="23"/>
    </row>
    <row r="2615">
      <c r="E2615" s="22"/>
      <c r="F2615" s="23"/>
      <c r="G2615" s="23"/>
      <c r="L2615" s="23"/>
    </row>
    <row r="2616">
      <c r="E2616" s="22"/>
      <c r="F2616" s="23"/>
      <c r="G2616" s="23"/>
      <c r="L2616" s="23"/>
    </row>
    <row r="2617">
      <c r="E2617" s="22"/>
      <c r="F2617" s="23"/>
      <c r="G2617" s="23"/>
      <c r="L2617" s="23"/>
    </row>
    <row r="2618">
      <c r="E2618" s="22"/>
      <c r="F2618" s="23"/>
      <c r="G2618" s="23"/>
      <c r="L2618" s="23"/>
    </row>
    <row r="2619">
      <c r="E2619" s="22"/>
      <c r="F2619" s="23"/>
      <c r="G2619" s="23"/>
      <c r="L2619" s="23"/>
    </row>
    <row r="2620">
      <c r="E2620" s="22"/>
      <c r="F2620" s="23"/>
      <c r="G2620" s="23"/>
      <c r="L2620" s="23"/>
    </row>
    <row r="2621">
      <c r="E2621" s="22"/>
      <c r="F2621" s="23"/>
      <c r="G2621" s="23"/>
      <c r="L2621" s="23"/>
    </row>
    <row r="2622">
      <c r="E2622" s="22"/>
      <c r="F2622" s="23"/>
      <c r="G2622" s="23"/>
      <c r="L2622" s="23"/>
    </row>
    <row r="2623">
      <c r="E2623" s="22"/>
      <c r="F2623" s="23"/>
      <c r="G2623" s="23"/>
      <c r="L2623" s="23"/>
    </row>
    <row r="2624">
      <c r="E2624" s="22"/>
      <c r="F2624" s="23"/>
      <c r="G2624" s="23"/>
      <c r="L2624" s="23"/>
    </row>
    <row r="2625">
      <c r="E2625" s="22"/>
      <c r="F2625" s="23"/>
      <c r="G2625" s="23"/>
      <c r="L2625" s="23"/>
    </row>
    <row r="2626">
      <c r="E2626" s="22"/>
      <c r="F2626" s="23"/>
      <c r="G2626" s="23"/>
      <c r="L2626" s="23"/>
    </row>
    <row r="2627">
      <c r="E2627" s="22"/>
      <c r="F2627" s="23"/>
      <c r="G2627" s="23"/>
      <c r="L2627" s="23"/>
    </row>
    <row r="2628">
      <c r="E2628" s="22"/>
      <c r="F2628" s="23"/>
      <c r="G2628" s="23"/>
      <c r="L2628" s="23"/>
    </row>
    <row r="2629">
      <c r="E2629" s="22"/>
      <c r="F2629" s="23"/>
      <c r="G2629" s="23"/>
      <c r="L2629" s="23"/>
    </row>
    <row r="2630">
      <c r="E2630" s="22"/>
      <c r="F2630" s="23"/>
      <c r="G2630" s="23"/>
      <c r="L2630" s="23"/>
    </row>
    <row r="2631">
      <c r="E2631" s="22"/>
      <c r="F2631" s="23"/>
      <c r="G2631" s="23"/>
      <c r="L2631" s="23"/>
    </row>
    <row r="2632">
      <c r="E2632" s="22"/>
      <c r="F2632" s="23"/>
      <c r="G2632" s="23"/>
      <c r="L2632" s="23"/>
    </row>
    <row r="2633">
      <c r="E2633" s="22"/>
      <c r="F2633" s="23"/>
      <c r="G2633" s="23"/>
      <c r="L2633" s="23"/>
    </row>
    <row r="2634">
      <c r="E2634" s="22"/>
      <c r="F2634" s="23"/>
      <c r="G2634" s="23"/>
      <c r="L2634" s="23"/>
    </row>
    <row r="2635">
      <c r="E2635" s="22"/>
      <c r="F2635" s="23"/>
      <c r="G2635" s="23"/>
      <c r="L2635" s="23"/>
    </row>
    <row r="2636">
      <c r="E2636" s="22"/>
      <c r="F2636" s="23"/>
      <c r="G2636" s="23"/>
      <c r="L2636" s="23"/>
    </row>
    <row r="2637">
      <c r="E2637" s="22"/>
      <c r="F2637" s="23"/>
      <c r="G2637" s="23"/>
      <c r="L2637" s="23"/>
    </row>
    <row r="2638">
      <c r="E2638" s="22"/>
      <c r="F2638" s="23"/>
      <c r="G2638" s="23"/>
      <c r="L2638" s="23"/>
    </row>
    <row r="2639">
      <c r="E2639" s="22"/>
      <c r="F2639" s="23"/>
      <c r="G2639" s="23"/>
      <c r="L2639" s="23"/>
    </row>
    <row r="2640">
      <c r="E2640" s="22"/>
      <c r="F2640" s="23"/>
      <c r="G2640" s="23"/>
      <c r="L2640" s="23"/>
    </row>
    <row r="2641">
      <c r="E2641" s="22"/>
      <c r="F2641" s="23"/>
      <c r="G2641" s="23"/>
      <c r="L2641" s="23"/>
    </row>
    <row r="2642">
      <c r="E2642" s="22"/>
      <c r="F2642" s="23"/>
      <c r="G2642" s="23"/>
      <c r="L2642" s="23"/>
    </row>
    <row r="2643">
      <c r="E2643" s="22"/>
      <c r="F2643" s="23"/>
      <c r="G2643" s="23"/>
      <c r="L2643" s="23"/>
    </row>
    <row r="2644">
      <c r="E2644" s="22"/>
      <c r="F2644" s="23"/>
      <c r="G2644" s="23"/>
      <c r="L2644" s="23"/>
    </row>
    <row r="2645">
      <c r="E2645" s="22"/>
      <c r="F2645" s="23"/>
      <c r="G2645" s="23"/>
      <c r="L2645" s="23"/>
    </row>
    <row r="2646">
      <c r="E2646" s="22"/>
      <c r="F2646" s="23"/>
      <c r="G2646" s="23"/>
      <c r="L2646" s="23"/>
    </row>
    <row r="2647">
      <c r="E2647" s="22"/>
      <c r="F2647" s="23"/>
      <c r="G2647" s="23"/>
      <c r="L2647" s="23"/>
    </row>
    <row r="2648">
      <c r="E2648" s="22"/>
      <c r="F2648" s="23"/>
      <c r="G2648" s="23"/>
      <c r="L2648" s="23"/>
    </row>
    <row r="2649">
      <c r="E2649" s="22"/>
      <c r="F2649" s="23"/>
      <c r="G2649" s="23"/>
      <c r="L2649" s="23"/>
    </row>
    <row r="2650">
      <c r="E2650" s="22"/>
      <c r="F2650" s="23"/>
      <c r="G2650" s="23"/>
      <c r="L2650" s="23"/>
    </row>
    <row r="2651">
      <c r="E2651" s="22"/>
      <c r="F2651" s="23"/>
      <c r="G2651" s="23"/>
      <c r="L2651" s="23"/>
    </row>
    <row r="2652">
      <c r="E2652" s="22"/>
      <c r="F2652" s="23"/>
      <c r="G2652" s="23"/>
      <c r="L2652" s="23"/>
    </row>
    <row r="2653">
      <c r="E2653" s="22"/>
      <c r="F2653" s="23"/>
      <c r="G2653" s="23"/>
      <c r="L2653" s="23"/>
    </row>
    <row r="2654">
      <c r="E2654" s="22"/>
      <c r="F2654" s="23"/>
      <c r="G2654" s="23"/>
      <c r="L2654" s="23"/>
    </row>
    <row r="2655">
      <c r="E2655" s="22"/>
      <c r="F2655" s="23"/>
      <c r="G2655" s="23"/>
      <c r="L2655" s="23"/>
    </row>
    <row r="2656">
      <c r="E2656" s="22"/>
      <c r="F2656" s="23"/>
      <c r="G2656" s="23"/>
      <c r="L2656" s="23"/>
    </row>
    <row r="2657">
      <c r="E2657" s="22"/>
      <c r="F2657" s="23"/>
      <c r="G2657" s="23"/>
      <c r="L2657" s="23"/>
    </row>
    <row r="2658">
      <c r="E2658" s="22"/>
      <c r="F2658" s="23"/>
      <c r="G2658" s="23"/>
      <c r="L2658" s="23"/>
    </row>
    <row r="2659">
      <c r="E2659" s="22"/>
      <c r="F2659" s="23"/>
      <c r="G2659" s="23"/>
      <c r="L2659" s="23"/>
    </row>
    <row r="2660">
      <c r="E2660" s="22"/>
      <c r="F2660" s="23"/>
      <c r="G2660" s="23"/>
      <c r="L2660" s="23"/>
    </row>
    <row r="2661">
      <c r="E2661" s="22"/>
      <c r="F2661" s="23"/>
      <c r="G2661" s="23"/>
      <c r="L2661" s="23"/>
    </row>
    <row r="2662">
      <c r="E2662" s="22"/>
      <c r="F2662" s="23"/>
      <c r="G2662" s="23"/>
      <c r="L2662" s="23"/>
    </row>
    <row r="2663">
      <c r="E2663" s="22"/>
      <c r="F2663" s="23"/>
      <c r="G2663" s="23"/>
      <c r="L2663" s="23"/>
    </row>
    <row r="2664">
      <c r="E2664" s="22"/>
      <c r="F2664" s="23"/>
      <c r="G2664" s="23"/>
      <c r="L2664" s="23"/>
    </row>
    <row r="2665">
      <c r="E2665" s="22"/>
      <c r="F2665" s="23"/>
      <c r="G2665" s="23"/>
      <c r="L2665" s="23"/>
    </row>
    <row r="2666">
      <c r="E2666" s="22"/>
      <c r="F2666" s="23"/>
      <c r="G2666" s="23"/>
      <c r="L2666" s="23"/>
    </row>
    <row r="2667">
      <c r="E2667" s="22"/>
      <c r="F2667" s="23"/>
      <c r="G2667" s="23"/>
      <c r="L2667" s="23"/>
    </row>
    <row r="2668">
      <c r="E2668" s="22"/>
      <c r="F2668" s="23"/>
      <c r="G2668" s="23"/>
      <c r="L2668" s="23"/>
    </row>
    <row r="2669">
      <c r="E2669" s="22"/>
      <c r="F2669" s="23"/>
      <c r="G2669" s="23"/>
      <c r="L2669" s="23"/>
    </row>
    <row r="2670">
      <c r="E2670" s="22"/>
      <c r="F2670" s="23"/>
      <c r="G2670" s="23"/>
      <c r="L2670" s="23"/>
    </row>
    <row r="2671">
      <c r="E2671" s="22"/>
      <c r="F2671" s="23"/>
      <c r="G2671" s="23"/>
      <c r="L2671" s="23"/>
    </row>
    <row r="2672">
      <c r="E2672" s="22"/>
      <c r="F2672" s="23"/>
      <c r="G2672" s="23"/>
      <c r="L2672" s="23"/>
    </row>
    <row r="2673">
      <c r="E2673" s="22"/>
      <c r="F2673" s="23"/>
      <c r="G2673" s="23"/>
      <c r="L2673" s="23"/>
    </row>
    <row r="2674">
      <c r="E2674" s="22"/>
      <c r="F2674" s="23"/>
      <c r="G2674" s="23"/>
      <c r="L2674" s="23"/>
    </row>
    <row r="2675">
      <c r="E2675" s="22"/>
      <c r="F2675" s="23"/>
      <c r="G2675" s="23"/>
      <c r="L2675" s="23"/>
    </row>
    <row r="2676">
      <c r="E2676" s="22"/>
      <c r="F2676" s="23"/>
      <c r="G2676" s="23"/>
      <c r="L2676" s="23"/>
    </row>
    <row r="2677">
      <c r="E2677" s="22"/>
      <c r="F2677" s="23"/>
      <c r="G2677" s="23"/>
      <c r="L2677" s="23"/>
    </row>
    <row r="2678">
      <c r="E2678" s="22"/>
      <c r="F2678" s="23"/>
      <c r="G2678" s="23"/>
      <c r="L2678" s="23"/>
    </row>
    <row r="2679">
      <c r="E2679" s="22"/>
      <c r="F2679" s="23"/>
      <c r="G2679" s="23"/>
      <c r="L2679" s="23"/>
    </row>
    <row r="2680">
      <c r="E2680" s="22"/>
      <c r="F2680" s="23"/>
      <c r="G2680" s="23"/>
      <c r="L2680" s="23"/>
    </row>
    <row r="2681">
      <c r="E2681" s="22"/>
      <c r="F2681" s="23"/>
      <c r="G2681" s="23"/>
      <c r="L2681" s="23"/>
    </row>
    <row r="2682">
      <c r="E2682" s="22"/>
      <c r="F2682" s="23"/>
      <c r="G2682" s="23"/>
      <c r="L2682" s="23"/>
    </row>
    <row r="2683">
      <c r="E2683" s="22"/>
      <c r="F2683" s="23"/>
      <c r="G2683" s="23"/>
      <c r="L2683" s="23"/>
    </row>
    <row r="2684">
      <c r="E2684" s="22"/>
      <c r="F2684" s="23"/>
      <c r="G2684" s="23"/>
      <c r="L2684" s="23"/>
    </row>
    <row r="2685">
      <c r="E2685" s="22"/>
      <c r="F2685" s="23"/>
      <c r="G2685" s="23"/>
      <c r="L2685" s="23"/>
    </row>
    <row r="2686">
      <c r="E2686" s="22"/>
      <c r="F2686" s="23"/>
      <c r="G2686" s="23"/>
      <c r="L2686" s="23"/>
    </row>
    <row r="2687">
      <c r="E2687" s="22"/>
      <c r="F2687" s="23"/>
      <c r="G2687" s="23"/>
      <c r="L2687" s="23"/>
    </row>
    <row r="2688">
      <c r="E2688" s="22"/>
      <c r="F2688" s="23"/>
      <c r="G2688" s="23"/>
      <c r="L2688" s="23"/>
    </row>
    <row r="2689">
      <c r="E2689" s="22"/>
      <c r="F2689" s="23"/>
      <c r="G2689" s="23"/>
      <c r="L2689" s="23"/>
    </row>
    <row r="2690">
      <c r="E2690" s="22"/>
      <c r="F2690" s="23"/>
      <c r="G2690" s="23"/>
      <c r="L2690" s="23"/>
    </row>
    <row r="2691">
      <c r="E2691" s="22"/>
      <c r="F2691" s="23"/>
      <c r="G2691" s="23"/>
      <c r="L2691" s="23"/>
    </row>
    <row r="2692">
      <c r="E2692" s="22"/>
      <c r="F2692" s="23"/>
      <c r="G2692" s="23"/>
      <c r="L2692" s="23"/>
    </row>
    <row r="2693">
      <c r="E2693" s="22"/>
      <c r="F2693" s="23"/>
      <c r="G2693" s="23"/>
      <c r="L2693" s="23"/>
    </row>
    <row r="2694">
      <c r="E2694" s="22"/>
      <c r="F2694" s="23"/>
      <c r="G2694" s="23"/>
      <c r="L2694" s="23"/>
    </row>
    <row r="2695">
      <c r="E2695" s="22"/>
      <c r="F2695" s="23"/>
      <c r="G2695" s="23"/>
      <c r="L2695" s="23"/>
    </row>
    <row r="2696">
      <c r="E2696" s="22"/>
      <c r="F2696" s="23"/>
      <c r="G2696" s="23"/>
      <c r="L2696" s="23"/>
    </row>
    <row r="2697">
      <c r="E2697" s="22"/>
      <c r="F2697" s="23"/>
      <c r="G2697" s="23"/>
      <c r="L2697" s="23"/>
    </row>
    <row r="2698">
      <c r="E2698" s="22"/>
      <c r="F2698" s="23"/>
      <c r="G2698" s="23"/>
      <c r="L2698" s="23"/>
    </row>
    <row r="2699">
      <c r="E2699" s="22"/>
      <c r="F2699" s="23"/>
      <c r="G2699" s="23"/>
      <c r="L2699" s="23"/>
    </row>
    <row r="2700">
      <c r="E2700" s="22"/>
      <c r="F2700" s="23"/>
      <c r="G2700" s="23"/>
      <c r="L2700" s="23"/>
    </row>
    <row r="2701">
      <c r="E2701" s="22"/>
      <c r="F2701" s="23"/>
      <c r="G2701" s="23"/>
      <c r="L2701" s="23"/>
    </row>
    <row r="2702">
      <c r="E2702" s="22"/>
      <c r="F2702" s="23"/>
      <c r="G2702" s="23"/>
      <c r="L2702" s="23"/>
    </row>
    <row r="2703">
      <c r="E2703" s="22"/>
      <c r="F2703" s="23"/>
      <c r="G2703" s="23"/>
      <c r="L2703" s="23"/>
    </row>
    <row r="2704">
      <c r="E2704" s="22"/>
      <c r="F2704" s="23"/>
      <c r="G2704" s="23"/>
      <c r="L2704" s="23"/>
    </row>
    <row r="2705">
      <c r="E2705" s="22"/>
      <c r="F2705" s="23"/>
      <c r="G2705" s="23"/>
      <c r="L2705" s="23"/>
    </row>
    <row r="2706">
      <c r="E2706" s="22"/>
      <c r="F2706" s="23"/>
      <c r="G2706" s="23"/>
      <c r="L2706" s="23"/>
    </row>
    <row r="2707">
      <c r="E2707" s="22"/>
      <c r="F2707" s="23"/>
      <c r="G2707" s="23"/>
      <c r="L2707" s="23"/>
    </row>
    <row r="2708">
      <c r="E2708" s="22"/>
      <c r="F2708" s="23"/>
      <c r="G2708" s="23"/>
      <c r="L2708" s="23"/>
    </row>
    <row r="2709">
      <c r="E2709" s="22"/>
      <c r="F2709" s="23"/>
      <c r="G2709" s="23"/>
      <c r="L2709" s="23"/>
    </row>
    <row r="2710">
      <c r="E2710" s="22"/>
      <c r="F2710" s="23"/>
      <c r="G2710" s="23"/>
      <c r="L2710" s="23"/>
    </row>
    <row r="2711">
      <c r="E2711" s="22"/>
      <c r="F2711" s="23"/>
      <c r="G2711" s="23"/>
      <c r="L2711" s="23"/>
    </row>
    <row r="2712">
      <c r="E2712" s="22"/>
      <c r="F2712" s="23"/>
      <c r="G2712" s="23"/>
      <c r="L2712" s="23"/>
    </row>
    <row r="2713">
      <c r="E2713" s="22"/>
      <c r="F2713" s="23"/>
      <c r="G2713" s="23"/>
      <c r="L2713" s="23"/>
    </row>
    <row r="2714">
      <c r="E2714" s="22"/>
      <c r="F2714" s="23"/>
      <c r="G2714" s="23"/>
      <c r="L2714" s="23"/>
    </row>
    <row r="2715">
      <c r="E2715" s="22"/>
      <c r="F2715" s="23"/>
      <c r="G2715" s="23"/>
      <c r="L2715" s="23"/>
    </row>
    <row r="2716">
      <c r="E2716" s="22"/>
      <c r="F2716" s="23"/>
      <c r="G2716" s="23"/>
      <c r="L2716" s="23"/>
    </row>
    <row r="2717">
      <c r="E2717" s="22"/>
      <c r="F2717" s="23"/>
      <c r="G2717" s="23"/>
      <c r="L2717" s="23"/>
    </row>
    <row r="2718">
      <c r="E2718" s="22"/>
      <c r="F2718" s="23"/>
      <c r="G2718" s="23"/>
      <c r="L2718" s="23"/>
    </row>
    <row r="2719">
      <c r="E2719" s="22"/>
      <c r="F2719" s="23"/>
      <c r="G2719" s="23"/>
      <c r="L2719" s="23"/>
    </row>
    <row r="2720">
      <c r="E2720" s="22"/>
      <c r="F2720" s="23"/>
      <c r="G2720" s="23"/>
      <c r="L2720" s="23"/>
    </row>
    <row r="2721">
      <c r="E2721" s="22"/>
      <c r="F2721" s="23"/>
      <c r="G2721" s="23"/>
      <c r="L2721" s="23"/>
    </row>
    <row r="2722">
      <c r="E2722" s="22"/>
      <c r="F2722" s="23"/>
      <c r="G2722" s="23"/>
      <c r="L2722" s="23"/>
    </row>
    <row r="2723">
      <c r="E2723" s="22"/>
      <c r="F2723" s="23"/>
      <c r="G2723" s="23"/>
      <c r="L2723" s="23"/>
    </row>
    <row r="2724">
      <c r="E2724" s="22"/>
      <c r="F2724" s="23"/>
      <c r="G2724" s="23"/>
      <c r="L2724" s="23"/>
    </row>
    <row r="2725">
      <c r="E2725" s="22"/>
      <c r="F2725" s="23"/>
      <c r="G2725" s="23"/>
      <c r="L2725" s="23"/>
    </row>
    <row r="2726">
      <c r="E2726" s="22"/>
      <c r="F2726" s="23"/>
      <c r="G2726" s="23"/>
      <c r="L2726" s="23"/>
    </row>
    <row r="2727">
      <c r="E2727" s="22"/>
      <c r="F2727" s="23"/>
      <c r="G2727" s="23"/>
      <c r="L2727" s="23"/>
    </row>
    <row r="2728">
      <c r="E2728" s="22"/>
      <c r="F2728" s="23"/>
      <c r="G2728" s="23"/>
      <c r="L2728" s="23"/>
    </row>
    <row r="2729">
      <c r="E2729" s="22"/>
      <c r="F2729" s="23"/>
      <c r="G2729" s="23"/>
      <c r="L2729" s="23"/>
    </row>
    <row r="2730">
      <c r="E2730" s="22"/>
      <c r="F2730" s="23"/>
      <c r="G2730" s="23"/>
      <c r="L2730" s="23"/>
    </row>
    <row r="2731">
      <c r="E2731" s="22"/>
      <c r="F2731" s="23"/>
      <c r="G2731" s="23"/>
      <c r="L2731" s="23"/>
    </row>
    <row r="2732">
      <c r="E2732" s="22"/>
      <c r="F2732" s="23"/>
      <c r="G2732" s="23"/>
      <c r="L2732" s="23"/>
    </row>
    <row r="2733">
      <c r="E2733" s="22"/>
      <c r="F2733" s="23"/>
      <c r="G2733" s="23"/>
      <c r="L2733" s="23"/>
    </row>
    <row r="2734">
      <c r="E2734" s="22"/>
      <c r="F2734" s="23"/>
      <c r="G2734" s="23"/>
      <c r="L2734" s="23"/>
    </row>
    <row r="2735">
      <c r="E2735" s="22"/>
      <c r="F2735" s="23"/>
      <c r="G2735" s="23"/>
      <c r="L2735" s="23"/>
    </row>
    <row r="2736">
      <c r="E2736" s="22"/>
      <c r="F2736" s="23"/>
      <c r="G2736" s="23"/>
      <c r="L2736" s="23"/>
    </row>
    <row r="2737">
      <c r="E2737" s="22"/>
      <c r="F2737" s="23"/>
      <c r="G2737" s="23"/>
      <c r="L2737" s="23"/>
    </row>
    <row r="2738">
      <c r="E2738" s="22"/>
      <c r="F2738" s="23"/>
      <c r="G2738" s="23"/>
      <c r="L2738" s="23"/>
    </row>
    <row r="2739">
      <c r="E2739" s="22"/>
      <c r="F2739" s="23"/>
      <c r="G2739" s="23"/>
      <c r="L2739" s="23"/>
    </row>
    <row r="2740">
      <c r="E2740" s="22"/>
      <c r="F2740" s="23"/>
      <c r="G2740" s="23"/>
      <c r="L2740" s="23"/>
    </row>
    <row r="2741">
      <c r="E2741" s="22"/>
      <c r="F2741" s="23"/>
      <c r="G2741" s="23"/>
      <c r="L2741" s="23"/>
    </row>
    <row r="2742">
      <c r="E2742" s="22"/>
      <c r="F2742" s="23"/>
      <c r="G2742" s="23"/>
      <c r="L2742" s="23"/>
    </row>
    <row r="2743">
      <c r="E2743" s="22"/>
      <c r="F2743" s="23"/>
      <c r="G2743" s="23"/>
      <c r="L2743" s="23"/>
    </row>
    <row r="2744">
      <c r="E2744" s="22"/>
      <c r="F2744" s="23"/>
      <c r="G2744" s="23"/>
      <c r="L2744" s="23"/>
    </row>
    <row r="2745">
      <c r="E2745" s="22"/>
      <c r="F2745" s="23"/>
      <c r="G2745" s="23"/>
      <c r="L2745" s="23"/>
    </row>
    <row r="2746">
      <c r="E2746" s="22"/>
      <c r="F2746" s="23"/>
      <c r="G2746" s="23"/>
      <c r="L2746" s="23"/>
    </row>
    <row r="2747">
      <c r="E2747" s="22"/>
      <c r="F2747" s="23"/>
      <c r="G2747" s="23"/>
      <c r="L2747" s="23"/>
    </row>
    <row r="2748">
      <c r="E2748" s="22"/>
      <c r="F2748" s="23"/>
      <c r="G2748" s="23"/>
      <c r="L2748" s="23"/>
    </row>
    <row r="2749">
      <c r="E2749" s="22"/>
      <c r="F2749" s="23"/>
      <c r="G2749" s="23"/>
      <c r="L2749" s="23"/>
    </row>
    <row r="2750">
      <c r="E2750" s="22"/>
      <c r="F2750" s="23"/>
      <c r="G2750" s="23"/>
      <c r="L2750" s="23"/>
    </row>
    <row r="2751">
      <c r="E2751" s="22"/>
      <c r="F2751" s="23"/>
      <c r="G2751" s="23"/>
      <c r="L2751" s="23"/>
    </row>
    <row r="2752">
      <c r="E2752" s="22"/>
      <c r="F2752" s="23"/>
      <c r="G2752" s="23"/>
      <c r="L2752" s="23"/>
    </row>
    <row r="2753">
      <c r="E2753" s="22"/>
      <c r="F2753" s="23"/>
      <c r="G2753" s="23"/>
      <c r="L2753" s="23"/>
    </row>
    <row r="2754">
      <c r="E2754" s="22"/>
      <c r="F2754" s="23"/>
      <c r="G2754" s="23"/>
      <c r="L2754" s="23"/>
    </row>
    <row r="2755">
      <c r="E2755" s="22"/>
      <c r="F2755" s="23"/>
      <c r="G2755" s="23"/>
      <c r="L2755" s="23"/>
    </row>
    <row r="2756">
      <c r="E2756" s="22"/>
      <c r="F2756" s="23"/>
      <c r="G2756" s="23"/>
      <c r="L2756" s="23"/>
    </row>
    <row r="2757">
      <c r="E2757" s="22"/>
      <c r="F2757" s="23"/>
      <c r="G2757" s="23"/>
      <c r="L2757" s="23"/>
    </row>
    <row r="2758">
      <c r="E2758" s="22"/>
      <c r="F2758" s="23"/>
      <c r="G2758" s="23"/>
      <c r="L2758" s="23"/>
    </row>
    <row r="2759">
      <c r="E2759" s="22"/>
      <c r="F2759" s="23"/>
      <c r="G2759" s="23"/>
      <c r="L2759" s="23"/>
    </row>
    <row r="2760">
      <c r="E2760" s="22"/>
      <c r="F2760" s="23"/>
      <c r="G2760" s="23"/>
      <c r="L2760" s="23"/>
    </row>
    <row r="2761">
      <c r="E2761" s="22"/>
      <c r="F2761" s="23"/>
      <c r="G2761" s="23"/>
      <c r="L2761" s="23"/>
    </row>
    <row r="2762">
      <c r="E2762" s="22"/>
      <c r="F2762" s="23"/>
      <c r="G2762" s="23"/>
      <c r="L2762" s="23"/>
    </row>
    <row r="2763">
      <c r="E2763" s="22"/>
      <c r="F2763" s="23"/>
      <c r="G2763" s="23"/>
      <c r="L2763" s="23"/>
    </row>
    <row r="2764">
      <c r="E2764" s="22"/>
      <c r="F2764" s="23"/>
      <c r="G2764" s="23"/>
      <c r="L2764" s="23"/>
    </row>
    <row r="2765">
      <c r="E2765" s="22"/>
      <c r="F2765" s="23"/>
      <c r="G2765" s="23"/>
      <c r="L2765" s="23"/>
    </row>
    <row r="2766">
      <c r="E2766" s="22"/>
      <c r="F2766" s="23"/>
      <c r="G2766" s="23"/>
      <c r="L2766" s="23"/>
    </row>
    <row r="2767">
      <c r="E2767" s="22"/>
      <c r="F2767" s="23"/>
      <c r="G2767" s="23"/>
      <c r="L2767" s="23"/>
    </row>
    <row r="2768">
      <c r="E2768" s="22"/>
      <c r="F2768" s="23"/>
      <c r="G2768" s="23"/>
      <c r="L2768" s="23"/>
    </row>
    <row r="2769">
      <c r="E2769" s="22"/>
      <c r="F2769" s="23"/>
      <c r="G2769" s="23"/>
      <c r="L2769" s="23"/>
    </row>
    <row r="2770">
      <c r="E2770" s="22"/>
      <c r="F2770" s="23"/>
      <c r="G2770" s="23"/>
      <c r="L2770" s="23"/>
    </row>
    <row r="2771">
      <c r="E2771" s="22"/>
      <c r="F2771" s="23"/>
      <c r="G2771" s="23"/>
      <c r="L2771" s="23"/>
    </row>
    <row r="2772">
      <c r="E2772" s="22"/>
      <c r="F2772" s="23"/>
      <c r="G2772" s="23"/>
      <c r="L2772" s="23"/>
    </row>
    <row r="2773">
      <c r="E2773" s="22"/>
      <c r="F2773" s="23"/>
      <c r="G2773" s="23"/>
      <c r="L2773" s="23"/>
    </row>
    <row r="2774">
      <c r="E2774" s="22"/>
      <c r="F2774" s="23"/>
      <c r="G2774" s="23"/>
      <c r="L2774" s="23"/>
    </row>
    <row r="2775">
      <c r="E2775" s="22"/>
      <c r="F2775" s="23"/>
      <c r="G2775" s="23"/>
      <c r="L2775" s="23"/>
    </row>
    <row r="2776">
      <c r="E2776" s="22"/>
      <c r="F2776" s="23"/>
      <c r="G2776" s="23"/>
      <c r="L2776" s="23"/>
    </row>
    <row r="2777">
      <c r="E2777" s="22"/>
      <c r="F2777" s="23"/>
      <c r="G2777" s="23"/>
      <c r="L2777" s="23"/>
    </row>
    <row r="2778">
      <c r="E2778" s="22"/>
      <c r="F2778" s="23"/>
      <c r="G2778" s="23"/>
      <c r="L2778" s="23"/>
    </row>
    <row r="2779">
      <c r="E2779" s="22"/>
      <c r="F2779" s="23"/>
      <c r="G2779" s="23"/>
      <c r="L2779" s="23"/>
    </row>
    <row r="2780">
      <c r="E2780" s="22"/>
      <c r="F2780" s="23"/>
      <c r="G2780" s="23"/>
      <c r="L2780" s="23"/>
    </row>
    <row r="2781">
      <c r="E2781" s="22"/>
      <c r="F2781" s="23"/>
      <c r="G2781" s="23"/>
      <c r="L2781" s="23"/>
    </row>
    <row r="2782">
      <c r="E2782" s="22"/>
      <c r="F2782" s="23"/>
      <c r="G2782" s="23"/>
      <c r="L2782" s="23"/>
    </row>
    <row r="2783">
      <c r="E2783" s="22"/>
      <c r="F2783" s="23"/>
      <c r="G2783" s="23"/>
      <c r="L2783" s="23"/>
    </row>
    <row r="2784">
      <c r="E2784" s="22"/>
      <c r="F2784" s="23"/>
      <c r="G2784" s="23"/>
      <c r="L2784" s="23"/>
    </row>
    <row r="2785">
      <c r="E2785" s="22"/>
      <c r="F2785" s="23"/>
      <c r="G2785" s="23"/>
      <c r="L2785" s="23"/>
    </row>
    <row r="2786">
      <c r="E2786" s="22"/>
      <c r="F2786" s="23"/>
      <c r="G2786" s="23"/>
      <c r="L2786" s="23"/>
    </row>
    <row r="2787">
      <c r="E2787" s="22"/>
      <c r="F2787" s="23"/>
      <c r="G2787" s="23"/>
      <c r="L2787" s="23"/>
    </row>
    <row r="2788">
      <c r="E2788" s="22"/>
      <c r="F2788" s="23"/>
      <c r="G2788" s="23"/>
      <c r="L2788" s="23"/>
    </row>
    <row r="2789">
      <c r="E2789" s="22"/>
      <c r="F2789" s="23"/>
      <c r="G2789" s="23"/>
      <c r="L2789" s="23"/>
    </row>
    <row r="2790">
      <c r="E2790" s="22"/>
      <c r="F2790" s="23"/>
      <c r="G2790" s="23"/>
      <c r="L2790" s="23"/>
    </row>
    <row r="2791">
      <c r="E2791" s="22"/>
      <c r="F2791" s="23"/>
      <c r="G2791" s="23"/>
      <c r="L2791" s="23"/>
    </row>
    <row r="2792">
      <c r="E2792" s="22"/>
      <c r="F2792" s="23"/>
      <c r="G2792" s="23"/>
      <c r="L2792" s="23"/>
    </row>
    <row r="2793">
      <c r="E2793" s="22"/>
      <c r="F2793" s="23"/>
      <c r="G2793" s="23"/>
      <c r="L2793" s="23"/>
    </row>
    <row r="2794">
      <c r="E2794" s="22"/>
      <c r="F2794" s="23"/>
      <c r="G2794" s="23"/>
      <c r="L2794" s="23"/>
    </row>
    <row r="2795">
      <c r="E2795" s="22"/>
      <c r="F2795" s="23"/>
      <c r="G2795" s="23"/>
      <c r="L2795" s="23"/>
    </row>
    <row r="2796">
      <c r="E2796" s="22"/>
      <c r="F2796" s="23"/>
      <c r="G2796" s="23"/>
      <c r="L2796" s="23"/>
    </row>
    <row r="2797">
      <c r="E2797" s="22"/>
      <c r="F2797" s="23"/>
      <c r="G2797" s="23"/>
      <c r="L2797" s="23"/>
    </row>
    <row r="2798">
      <c r="E2798" s="22"/>
      <c r="F2798" s="23"/>
      <c r="G2798" s="23"/>
      <c r="L2798" s="23"/>
    </row>
    <row r="2799">
      <c r="E2799" s="22"/>
      <c r="F2799" s="23"/>
      <c r="G2799" s="23"/>
      <c r="L2799" s="23"/>
    </row>
    <row r="2800">
      <c r="E2800" s="22"/>
      <c r="F2800" s="23"/>
      <c r="G2800" s="23"/>
      <c r="L2800" s="23"/>
    </row>
    <row r="2801">
      <c r="E2801" s="22"/>
      <c r="F2801" s="23"/>
      <c r="G2801" s="23"/>
      <c r="L2801" s="23"/>
    </row>
    <row r="2802">
      <c r="E2802" s="22"/>
      <c r="F2802" s="23"/>
      <c r="G2802" s="23"/>
      <c r="L2802" s="23"/>
    </row>
    <row r="2803">
      <c r="E2803" s="22"/>
      <c r="F2803" s="23"/>
      <c r="G2803" s="23"/>
      <c r="L2803" s="23"/>
    </row>
    <row r="2804">
      <c r="E2804" s="22"/>
      <c r="F2804" s="23"/>
      <c r="G2804" s="23"/>
      <c r="L2804" s="23"/>
    </row>
    <row r="2805">
      <c r="E2805" s="22"/>
      <c r="F2805" s="23"/>
      <c r="G2805" s="23"/>
      <c r="L2805" s="23"/>
    </row>
    <row r="2806">
      <c r="E2806" s="22"/>
      <c r="F2806" s="23"/>
      <c r="G2806" s="23"/>
      <c r="L2806" s="23"/>
    </row>
    <row r="2807">
      <c r="E2807" s="22"/>
      <c r="F2807" s="23"/>
      <c r="G2807" s="23"/>
      <c r="L2807" s="23"/>
    </row>
    <row r="2808">
      <c r="E2808" s="22"/>
      <c r="F2808" s="23"/>
      <c r="G2808" s="23"/>
      <c r="L2808" s="23"/>
    </row>
    <row r="2809">
      <c r="E2809" s="22"/>
      <c r="F2809" s="23"/>
      <c r="G2809" s="23"/>
      <c r="L2809" s="23"/>
    </row>
    <row r="2810">
      <c r="E2810" s="22"/>
      <c r="F2810" s="23"/>
      <c r="G2810" s="23"/>
      <c r="L2810" s="23"/>
    </row>
    <row r="2811">
      <c r="E2811" s="22"/>
      <c r="F2811" s="23"/>
      <c r="G2811" s="23"/>
      <c r="L2811" s="23"/>
    </row>
    <row r="2812">
      <c r="E2812" s="22"/>
      <c r="F2812" s="23"/>
      <c r="G2812" s="23"/>
      <c r="L2812" s="23"/>
    </row>
    <row r="2813">
      <c r="E2813" s="22"/>
      <c r="F2813" s="23"/>
      <c r="G2813" s="23"/>
      <c r="L2813" s="23"/>
    </row>
    <row r="2814">
      <c r="E2814" s="22"/>
      <c r="F2814" s="23"/>
      <c r="G2814" s="23"/>
      <c r="L2814" s="23"/>
    </row>
    <row r="2815">
      <c r="E2815" s="22"/>
      <c r="F2815" s="23"/>
      <c r="G2815" s="23"/>
      <c r="L2815" s="23"/>
    </row>
    <row r="2816">
      <c r="E2816" s="22"/>
      <c r="F2816" s="23"/>
      <c r="G2816" s="23"/>
      <c r="L2816" s="23"/>
    </row>
    <row r="2817">
      <c r="E2817" s="22"/>
      <c r="F2817" s="23"/>
      <c r="G2817" s="23"/>
      <c r="L2817" s="23"/>
    </row>
    <row r="2818">
      <c r="E2818" s="22"/>
      <c r="F2818" s="23"/>
      <c r="G2818" s="23"/>
      <c r="L2818" s="23"/>
    </row>
    <row r="2819">
      <c r="E2819" s="22"/>
      <c r="F2819" s="23"/>
      <c r="G2819" s="23"/>
      <c r="L2819" s="23"/>
    </row>
    <row r="2820">
      <c r="E2820" s="22"/>
      <c r="F2820" s="23"/>
      <c r="G2820" s="23"/>
      <c r="L2820" s="23"/>
    </row>
    <row r="2821">
      <c r="E2821" s="22"/>
      <c r="F2821" s="23"/>
      <c r="G2821" s="23"/>
      <c r="L2821" s="23"/>
    </row>
    <row r="2822">
      <c r="E2822" s="22"/>
      <c r="F2822" s="23"/>
      <c r="G2822" s="23"/>
      <c r="L2822" s="23"/>
    </row>
    <row r="2823">
      <c r="E2823" s="22"/>
      <c r="F2823" s="23"/>
      <c r="G2823" s="23"/>
      <c r="L2823" s="23"/>
    </row>
    <row r="2824">
      <c r="E2824" s="22"/>
      <c r="F2824" s="23"/>
      <c r="G2824" s="23"/>
      <c r="L2824" s="23"/>
    </row>
    <row r="2825">
      <c r="E2825" s="22"/>
      <c r="F2825" s="23"/>
      <c r="G2825" s="23"/>
      <c r="L2825" s="23"/>
    </row>
    <row r="2826">
      <c r="E2826" s="22"/>
      <c r="F2826" s="23"/>
      <c r="G2826" s="23"/>
      <c r="L2826" s="23"/>
    </row>
    <row r="2827">
      <c r="E2827" s="22"/>
      <c r="F2827" s="23"/>
      <c r="G2827" s="23"/>
      <c r="L2827" s="23"/>
    </row>
    <row r="2828">
      <c r="E2828" s="22"/>
      <c r="F2828" s="23"/>
      <c r="G2828" s="23"/>
      <c r="L2828" s="23"/>
    </row>
    <row r="2829">
      <c r="E2829" s="22"/>
      <c r="F2829" s="23"/>
      <c r="G2829" s="23"/>
      <c r="L2829" s="23"/>
    </row>
    <row r="2830">
      <c r="E2830" s="22"/>
      <c r="F2830" s="23"/>
      <c r="G2830" s="23"/>
      <c r="L2830" s="23"/>
    </row>
    <row r="2831">
      <c r="E2831" s="22"/>
      <c r="F2831" s="23"/>
      <c r="G2831" s="23"/>
      <c r="L2831" s="23"/>
    </row>
    <row r="2832">
      <c r="E2832" s="22"/>
      <c r="F2832" s="23"/>
      <c r="G2832" s="23"/>
      <c r="L2832" s="23"/>
    </row>
    <row r="2833">
      <c r="E2833" s="22"/>
      <c r="F2833" s="23"/>
      <c r="G2833" s="23"/>
      <c r="L2833" s="23"/>
    </row>
    <row r="2834">
      <c r="E2834" s="22"/>
      <c r="F2834" s="23"/>
      <c r="G2834" s="23"/>
      <c r="L2834" s="23"/>
    </row>
    <row r="2835">
      <c r="E2835" s="22"/>
      <c r="F2835" s="23"/>
      <c r="G2835" s="23"/>
      <c r="L2835" s="23"/>
    </row>
    <row r="2836">
      <c r="E2836" s="22"/>
      <c r="F2836" s="23"/>
      <c r="G2836" s="23"/>
      <c r="L2836" s="23"/>
    </row>
    <row r="2837">
      <c r="E2837" s="22"/>
      <c r="F2837" s="23"/>
      <c r="G2837" s="23"/>
      <c r="L2837" s="23"/>
    </row>
    <row r="2838">
      <c r="E2838" s="22"/>
      <c r="F2838" s="23"/>
      <c r="G2838" s="23"/>
      <c r="L2838" s="23"/>
    </row>
    <row r="2839">
      <c r="E2839" s="22"/>
      <c r="F2839" s="23"/>
      <c r="G2839" s="23"/>
      <c r="L2839" s="23"/>
    </row>
    <row r="2840">
      <c r="E2840" s="22"/>
      <c r="F2840" s="23"/>
      <c r="G2840" s="23"/>
      <c r="L2840" s="23"/>
    </row>
    <row r="2841">
      <c r="E2841" s="22"/>
      <c r="F2841" s="23"/>
      <c r="G2841" s="23"/>
      <c r="L2841" s="23"/>
    </row>
    <row r="2842">
      <c r="E2842" s="22"/>
      <c r="F2842" s="23"/>
      <c r="G2842" s="23"/>
      <c r="L2842" s="23"/>
    </row>
    <row r="2843">
      <c r="E2843" s="22"/>
      <c r="F2843" s="23"/>
      <c r="G2843" s="23"/>
      <c r="L2843" s="23"/>
    </row>
    <row r="2844">
      <c r="E2844" s="22"/>
      <c r="F2844" s="23"/>
      <c r="G2844" s="23"/>
      <c r="L2844" s="23"/>
    </row>
    <row r="2845">
      <c r="E2845" s="22"/>
      <c r="F2845" s="23"/>
      <c r="G2845" s="23"/>
      <c r="L2845" s="23"/>
    </row>
    <row r="2846">
      <c r="E2846" s="22"/>
      <c r="F2846" s="23"/>
      <c r="G2846" s="23"/>
      <c r="L2846" s="23"/>
    </row>
    <row r="2847">
      <c r="E2847" s="22"/>
      <c r="F2847" s="23"/>
      <c r="G2847" s="23"/>
      <c r="L2847" s="23"/>
    </row>
    <row r="2848">
      <c r="E2848" s="22"/>
      <c r="F2848" s="23"/>
      <c r="G2848" s="23"/>
      <c r="L2848" s="23"/>
    </row>
    <row r="2849">
      <c r="E2849" s="22"/>
      <c r="F2849" s="23"/>
      <c r="G2849" s="23"/>
      <c r="L2849" s="23"/>
    </row>
    <row r="2850">
      <c r="E2850" s="22"/>
      <c r="F2850" s="23"/>
      <c r="G2850" s="23"/>
      <c r="L2850" s="23"/>
    </row>
    <row r="2851">
      <c r="E2851" s="22"/>
      <c r="F2851" s="23"/>
      <c r="G2851" s="23"/>
      <c r="L2851" s="23"/>
    </row>
    <row r="2852">
      <c r="E2852" s="22"/>
      <c r="F2852" s="23"/>
      <c r="G2852" s="23"/>
      <c r="L2852" s="23"/>
    </row>
    <row r="2853">
      <c r="E2853" s="22"/>
      <c r="F2853" s="23"/>
      <c r="G2853" s="23"/>
      <c r="L2853" s="23"/>
    </row>
    <row r="2854">
      <c r="E2854" s="22"/>
      <c r="F2854" s="23"/>
      <c r="G2854" s="23"/>
      <c r="L2854" s="23"/>
    </row>
    <row r="2855">
      <c r="E2855" s="22"/>
      <c r="F2855" s="23"/>
      <c r="G2855" s="23"/>
      <c r="L2855" s="23"/>
    </row>
    <row r="2856">
      <c r="E2856" s="22"/>
      <c r="F2856" s="23"/>
      <c r="G2856" s="23"/>
      <c r="L2856" s="23"/>
    </row>
    <row r="2857">
      <c r="E2857" s="22"/>
      <c r="F2857" s="23"/>
      <c r="G2857" s="23"/>
      <c r="L2857" s="23"/>
    </row>
    <row r="2858">
      <c r="E2858" s="22"/>
      <c r="F2858" s="23"/>
      <c r="G2858" s="23"/>
      <c r="L2858" s="23"/>
    </row>
    <row r="2859">
      <c r="E2859" s="22"/>
      <c r="F2859" s="23"/>
      <c r="G2859" s="23"/>
      <c r="L2859" s="23"/>
    </row>
    <row r="2860">
      <c r="E2860" s="22"/>
      <c r="F2860" s="23"/>
      <c r="G2860" s="23"/>
      <c r="L2860" s="23"/>
    </row>
    <row r="2861">
      <c r="E2861" s="22"/>
      <c r="F2861" s="23"/>
      <c r="G2861" s="23"/>
      <c r="L2861" s="23"/>
    </row>
    <row r="2862">
      <c r="E2862" s="22"/>
      <c r="F2862" s="23"/>
      <c r="G2862" s="23"/>
      <c r="L2862" s="23"/>
    </row>
    <row r="2863">
      <c r="E2863" s="22"/>
      <c r="F2863" s="23"/>
      <c r="G2863" s="23"/>
      <c r="L2863" s="23"/>
    </row>
    <row r="2864">
      <c r="E2864" s="22"/>
      <c r="F2864" s="23"/>
      <c r="G2864" s="23"/>
      <c r="L2864" s="23"/>
    </row>
    <row r="2865">
      <c r="E2865" s="22"/>
      <c r="F2865" s="23"/>
      <c r="G2865" s="23"/>
      <c r="L2865" s="23"/>
    </row>
    <row r="2866">
      <c r="E2866" s="22"/>
      <c r="F2866" s="23"/>
      <c r="G2866" s="23"/>
      <c r="L2866" s="23"/>
    </row>
    <row r="2867">
      <c r="E2867" s="22"/>
      <c r="F2867" s="23"/>
      <c r="G2867" s="23"/>
      <c r="L2867" s="23"/>
    </row>
    <row r="2868">
      <c r="E2868" s="22"/>
      <c r="F2868" s="23"/>
      <c r="G2868" s="23"/>
      <c r="L2868" s="23"/>
    </row>
    <row r="2869">
      <c r="E2869" s="22"/>
      <c r="F2869" s="23"/>
      <c r="G2869" s="23"/>
      <c r="L2869" s="23"/>
    </row>
    <row r="2870">
      <c r="E2870" s="22"/>
      <c r="F2870" s="23"/>
      <c r="G2870" s="23"/>
      <c r="L2870" s="23"/>
    </row>
    <row r="2871">
      <c r="E2871" s="22"/>
      <c r="F2871" s="23"/>
      <c r="G2871" s="23"/>
      <c r="L2871" s="23"/>
    </row>
    <row r="2872">
      <c r="E2872" s="22"/>
      <c r="F2872" s="23"/>
      <c r="G2872" s="23"/>
      <c r="L2872" s="23"/>
    </row>
    <row r="2873">
      <c r="E2873" s="22"/>
      <c r="F2873" s="23"/>
      <c r="G2873" s="23"/>
      <c r="L2873" s="23"/>
    </row>
    <row r="2874">
      <c r="E2874" s="22"/>
      <c r="F2874" s="23"/>
      <c r="G2874" s="23"/>
      <c r="L2874" s="23"/>
    </row>
    <row r="2875">
      <c r="E2875" s="22"/>
      <c r="F2875" s="23"/>
      <c r="G2875" s="23"/>
      <c r="L2875" s="23"/>
    </row>
    <row r="2876">
      <c r="E2876" s="22"/>
      <c r="F2876" s="23"/>
      <c r="G2876" s="23"/>
      <c r="L2876" s="23"/>
    </row>
    <row r="2877">
      <c r="E2877" s="22"/>
      <c r="F2877" s="23"/>
      <c r="G2877" s="23"/>
      <c r="L2877" s="23"/>
    </row>
    <row r="2878">
      <c r="E2878" s="22"/>
      <c r="F2878" s="23"/>
      <c r="G2878" s="23"/>
      <c r="L2878" s="23"/>
    </row>
    <row r="2879">
      <c r="E2879" s="22"/>
      <c r="F2879" s="23"/>
      <c r="G2879" s="23"/>
      <c r="L2879" s="23"/>
    </row>
    <row r="2880">
      <c r="E2880" s="22"/>
      <c r="F2880" s="23"/>
      <c r="G2880" s="23"/>
      <c r="L2880" s="23"/>
    </row>
    <row r="2881">
      <c r="E2881" s="22"/>
      <c r="F2881" s="23"/>
      <c r="G2881" s="23"/>
      <c r="L2881" s="23"/>
    </row>
    <row r="2882">
      <c r="E2882" s="22"/>
      <c r="F2882" s="23"/>
      <c r="G2882" s="23"/>
      <c r="L2882" s="23"/>
    </row>
    <row r="2883">
      <c r="E2883" s="22"/>
      <c r="F2883" s="23"/>
      <c r="G2883" s="23"/>
      <c r="L2883" s="23"/>
    </row>
    <row r="2884">
      <c r="E2884" s="22"/>
      <c r="F2884" s="23"/>
      <c r="G2884" s="23"/>
      <c r="L2884" s="23"/>
    </row>
    <row r="2885">
      <c r="E2885" s="22"/>
      <c r="F2885" s="23"/>
      <c r="G2885" s="23"/>
      <c r="L2885" s="23"/>
    </row>
    <row r="2886">
      <c r="E2886" s="22"/>
      <c r="F2886" s="23"/>
      <c r="G2886" s="23"/>
      <c r="L2886" s="23"/>
    </row>
    <row r="2887">
      <c r="E2887" s="22"/>
      <c r="F2887" s="23"/>
      <c r="G2887" s="23"/>
      <c r="L2887" s="23"/>
    </row>
    <row r="2888">
      <c r="E2888" s="22"/>
      <c r="F2888" s="23"/>
      <c r="G2888" s="23"/>
      <c r="L2888" s="23"/>
    </row>
    <row r="2889">
      <c r="E2889" s="22"/>
      <c r="F2889" s="23"/>
      <c r="G2889" s="23"/>
      <c r="L2889" s="23"/>
    </row>
    <row r="2890">
      <c r="E2890" s="22"/>
      <c r="F2890" s="23"/>
      <c r="G2890" s="23"/>
      <c r="L2890" s="23"/>
    </row>
    <row r="2891">
      <c r="E2891" s="22"/>
      <c r="F2891" s="23"/>
      <c r="G2891" s="23"/>
      <c r="L2891" s="23"/>
    </row>
    <row r="2892">
      <c r="E2892" s="22"/>
      <c r="F2892" s="23"/>
      <c r="G2892" s="23"/>
      <c r="L2892" s="23"/>
    </row>
    <row r="2893">
      <c r="E2893" s="22"/>
      <c r="F2893" s="23"/>
      <c r="G2893" s="23"/>
      <c r="L2893" s="23"/>
    </row>
    <row r="2894">
      <c r="E2894" s="22"/>
      <c r="F2894" s="23"/>
      <c r="G2894" s="23"/>
      <c r="L2894" s="23"/>
    </row>
    <row r="2895">
      <c r="E2895" s="22"/>
      <c r="F2895" s="23"/>
      <c r="G2895" s="23"/>
      <c r="L2895" s="23"/>
    </row>
    <row r="2896">
      <c r="E2896" s="22"/>
      <c r="F2896" s="23"/>
      <c r="G2896" s="23"/>
      <c r="L2896" s="23"/>
    </row>
    <row r="2897">
      <c r="E2897" s="22"/>
      <c r="F2897" s="23"/>
      <c r="G2897" s="23"/>
      <c r="L2897" s="23"/>
    </row>
    <row r="2898">
      <c r="E2898" s="22"/>
      <c r="F2898" s="23"/>
      <c r="G2898" s="23"/>
      <c r="L2898" s="23"/>
    </row>
    <row r="2899">
      <c r="E2899" s="22"/>
      <c r="F2899" s="23"/>
      <c r="G2899" s="23"/>
      <c r="L2899" s="23"/>
    </row>
    <row r="2900">
      <c r="E2900" s="22"/>
      <c r="F2900" s="23"/>
      <c r="G2900" s="23"/>
      <c r="L2900" s="23"/>
    </row>
    <row r="2901">
      <c r="E2901" s="22"/>
      <c r="F2901" s="23"/>
      <c r="G2901" s="23"/>
      <c r="L2901" s="23"/>
    </row>
    <row r="2902">
      <c r="E2902" s="22"/>
      <c r="F2902" s="23"/>
      <c r="G2902" s="23"/>
      <c r="L2902" s="23"/>
    </row>
    <row r="2903">
      <c r="E2903" s="22"/>
      <c r="F2903" s="23"/>
      <c r="G2903" s="23"/>
      <c r="L2903" s="23"/>
    </row>
    <row r="2904">
      <c r="E2904" s="22"/>
      <c r="F2904" s="23"/>
      <c r="G2904" s="23"/>
      <c r="L2904" s="23"/>
    </row>
    <row r="2905">
      <c r="E2905" s="22"/>
      <c r="F2905" s="23"/>
      <c r="G2905" s="23"/>
      <c r="L2905" s="23"/>
    </row>
    <row r="2906">
      <c r="E2906" s="22"/>
      <c r="F2906" s="23"/>
      <c r="G2906" s="23"/>
      <c r="L2906" s="23"/>
    </row>
    <row r="2907">
      <c r="E2907" s="22"/>
      <c r="F2907" s="23"/>
      <c r="G2907" s="23"/>
      <c r="L2907" s="23"/>
    </row>
    <row r="2908">
      <c r="E2908" s="22"/>
      <c r="F2908" s="23"/>
      <c r="G2908" s="23"/>
      <c r="L2908" s="23"/>
    </row>
    <row r="2909">
      <c r="E2909" s="22"/>
      <c r="F2909" s="23"/>
      <c r="G2909" s="23"/>
      <c r="L2909" s="23"/>
    </row>
    <row r="2910">
      <c r="E2910" s="22"/>
      <c r="F2910" s="23"/>
      <c r="G2910" s="23"/>
      <c r="L2910" s="23"/>
    </row>
    <row r="2911">
      <c r="E2911" s="22"/>
      <c r="F2911" s="23"/>
      <c r="G2911" s="23"/>
      <c r="L2911" s="23"/>
    </row>
    <row r="2912">
      <c r="E2912" s="22"/>
      <c r="F2912" s="23"/>
      <c r="G2912" s="23"/>
      <c r="L2912" s="23"/>
    </row>
    <row r="2913">
      <c r="E2913" s="22"/>
      <c r="F2913" s="23"/>
      <c r="G2913" s="23"/>
      <c r="L2913" s="23"/>
    </row>
    <row r="2914">
      <c r="E2914" s="22"/>
      <c r="F2914" s="23"/>
      <c r="G2914" s="23"/>
      <c r="L2914" s="23"/>
    </row>
    <row r="2915">
      <c r="E2915" s="22"/>
      <c r="F2915" s="23"/>
      <c r="G2915" s="23"/>
      <c r="L2915" s="23"/>
    </row>
    <row r="2916">
      <c r="E2916" s="22"/>
      <c r="F2916" s="23"/>
      <c r="G2916" s="23"/>
      <c r="L2916" s="23"/>
    </row>
    <row r="2917">
      <c r="E2917" s="22"/>
      <c r="F2917" s="23"/>
      <c r="G2917" s="23"/>
      <c r="L2917" s="23"/>
    </row>
    <row r="2918">
      <c r="E2918" s="22"/>
      <c r="F2918" s="23"/>
      <c r="G2918" s="23"/>
      <c r="L2918" s="23"/>
    </row>
    <row r="2919">
      <c r="E2919" s="22"/>
      <c r="F2919" s="23"/>
      <c r="G2919" s="23"/>
      <c r="L2919" s="23"/>
    </row>
    <row r="2920">
      <c r="E2920" s="22"/>
      <c r="F2920" s="23"/>
      <c r="G2920" s="23"/>
      <c r="L2920" s="23"/>
    </row>
    <row r="2921">
      <c r="E2921" s="22"/>
      <c r="F2921" s="23"/>
      <c r="G2921" s="23"/>
      <c r="L2921" s="23"/>
    </row>
    <row r="2922">
      <c r="E2922" s="22"/>
      <c r="F2922" s="23"/>
      <c r="G2922" s="23"/>
      <c r="L2922" s="23"/>
    </row>
    <row r="2923">
      <c r="E2923" s="22"/>
      <c r="F2923" s="23"/>
      <c r="G2923" s="23"/>
      <c r="L2923" s="23"/>
    </row>
    <row r="2924">
      <c r="E2924" s="22"/>
      <c r="F2924" s="23"/>
      <c r="G2924" s="23"/>
      <c r="L2924" s="23"/>
    </row>
    <row r="2925">
      <c r="E2925" s="22"/>
      <c r="F2925" s="23"/>
      <c r="G2925" s="23"/>
      <c r="L2925" s="23"/>
    </row>
    <row r="2926">
      <c r="E2926" s="22"/>
      <c r="F2926" s="23"/>
      <c r="G2926" s="23"/>
      <c r="L2926" s="23"/>
    </row>
    <row r="2927">
      <c r="E2927" s="22"/>
      <c r="F2927" s="23"/>
      <c r="G2927" s="23"/>
      <c r="L2927" s="23"/>
    </row>
    <row r="2928">
      <c r="E2928" s="22"/>
      <c r="F2928" s="23"/>
      <c r="G2928" s="23"/>
      <c r="L2928" s="23"/>
    </row>
    <row r="2929">
      <c r="E2929" s="22"/>
      <c r="F2929" s="23"/>
      <c r="G2929" s="23"/>
      <c r="L2929" s="23"/>
    </row>
    <row r="2930">
      <c r="E2930" s="22"/>
      <c r="F2930" s="23"/>
      <c r="G2930" s="23"/>
      <c r="L2930" s="23"/>
    </row>
    <row r="2931">
      <c r="E2931" s="22"/>
      <c r="F2931" s="23"/>
      <c r="G2931" s="23"/>
      <c r="L2931" s="23"/>
    </row>
    <row r="2932">
      <c r="E2932" s="22"/>
      <c r="F2932" s="23"/>
      <c r="G2932" s="23"/>
      <c r="L2932" s="23"/>
    </row>
    <row r="2933">
      <c r="E2933" s="22"/>
      <c r="F2933" s="23"/>
      <c r="G2933" s="23"/>
      <c r="L2933" s="23"/>
    </row>
    <row r="2934">
      <c r="E2934" s="22"/>
      <c r="F2934" s="23"/>
      <c r="G2934" s="23"/>
      <c r="L2934" s="23"/>
    </row>
    <row r="2935">
      <c r="E2935" s="22"/>
      <c r="F2935" s="23"/>
      <c r="G2935" s="23"/>
      <c r="L2935" s="23"/>
    </row>
    <row r="2936">
      <c r="E2936" s="22"/>
      <c r="F2936" s="23"/>
      <c r="G2936" s="23"/>
      <c r="L2936" s="23"/>
    </row>
    <row r="2937">
      <c r="E2937" s="22"/>
      <c r="F2937" s="23"/>
      <c r="G2937" s="23"/>
      <c r="L2937" s="23"/>
    </row>
    <row r="2938">
      <c r="E2938" s="22"/>
      <c r="F2938" s="23"/>
      <c r="G2938" s="23"/>
      <c r="L2938" s="23"/>
    </row>
    <row r="2939">
      <c r="E2939" s="22"/>
      <c r="F2939" s="23"/>
      <c r="G2939" s="23"/>
      <c r="L2939" s="23"/>
    </row>
    <row r="2940">
      <c r="E2940" s="22"/>
      <c r="F2940" s="23"/>
      <c r="G2940" s="23"/>
      <c r="L2940" s="23"/>
    </row>
    <row r="2941">
      <c r="E2941" s="22"/>
      <c r="F2941" s="23"/>
      <c r="G2941" s="23"/>
      <c r="L2941" s="23"/>
    </row>
    <row r="2942">
      <c r="E2942" s="22"/>
      <c r="F2942" s="23"/>
      <c r="G2942" s="23"/>
      <c r="L2942" s="23"/>
    </row>
    <row r="2943">
      <c r="E2943" s="22"/>
      <c r="F2943" s="23"/>
      <c r="G2943" s="23"/>
      <c r="L2943" s="23"/>
    </row>
    <row r="2944">
      <c r="E2944" s="22"/>
      <c r="F2944" s="23"/>
      <c r="G2944" s="23"/>
      <c r="L2944" s="23"/>
    </row>
    <row r="2945">
      <c r="E2945" s="22"/>
      <c r="F2945" s="23"/>
      <c r="G2945" s="23"/>
      <c r="L2945" s="23"/>
    </row>
    <row r="2946">
      <c r="E2946" s="22"/>
      <c r="F2946" s="23"/>
      <c r="G2946" s="23"/>
      <c r="L2946" s="23"/>
    </row>
    <row r="2947">
      <c r="E2947" s="22"/>
      <c r="F2947" s="23"/>
      <c r="G2947" s="23"/>
      <c r="L2947" s="23"/>
    </row>
    <row r="2948">
      <c r="E2948" s="22"/>
      <c r="F2948" s="23"/>
      <c r="G2948" s="23"/>
      <c r="L2948" s="23"/>
    </row>
    <row r="2949">
      <c r="E2949" s="22"/>
      <c r="F2949" s="23"/>
      <c r="G2949" s="23"/>
      <c r="L2949" s="23"/>
    </row>
    <row r="2950">
      <c r="E2950" s="22"/>
      <c r="F2950" s="23"/>
      <c r="G2950" s="23"/>
      <c r="L2950" s="23"/>
    </row>
    <row r="2951">
      <c r="E2951" s="22"/>
      <c r="F2951" s="23"/>
      <c r="G2951" s="23"/>
      <c r="L2951" s="23"/>
    </row>
    <row r="2952">
      <c r="E2952" s="22"/>
      <c r="F2952" s="23"/>
      <c r="G2952" s="23"/>
      <c r="L2952" s="23"/>
    </row>
    <row r="2953">
      <c r="E2953" s="22"/>
      <c r="F2953" s="23"/>
      <c r="G2953" s="23"/>
      <c r="L2953" s="23"/>
    </row>
    <row r="2954">
      <c r="E2954" s="22"/>
      <c r="F2954" s="23"/>
      <c r="G2954" s="23"/>
      <c r="L2954" s="23"/>
    </row>
    <row r="2955">
      <c r="E2955" s="22"/>
      <c r="F2955" s="23"/>
      <c r="G2955" s="23"/>
      <c r="L2955" s="23"/>
    </row>
    <row r="2956">
      <c r="E2956" s="22"/>
      <c r="F2956" s="23"/>
      <c r="G2956" s="23"/>
      <c r="L2956" s="23"/>
    </row>
    <row r="2957">
      <c r="E2957" s="22"/>
      <c r="F2957" s="23"/>
      <c r="G2957" s="23"/>
      <c r="L2957" s="23"/>
    </row>
    <row r="2958">
      <c r="E2958" s="22"/>
      <c r="F2958" s="23"/>
      <c r="G2958" s="23"/>
      <c r="L2958" s="23"/>
    </row>
    <row r="2959">
      <c r="E2959" s="22"/>
      <c r="F2959" s="23"/>
      <c r="G2959" s="23"/>
      <c r="L2959" s="23"/>
    </row>
    <row r="2960">
      <c r="E2960" s="22"/>
      <c r="F2960" s="23"/>
      <c r="G2960" s="23"/>
      <c r="L2960" s="23"/>
    </row>
    <row r="2961">
      <c r="E2961" s="22"/>
      <c r="F2961" s="23"/>
      <c r="G2961" s="23"/>
      <c r="L2961" s="23"/>
    </row>
    <row r="2962">
      <c r="E2962" s="22"/>
      <c r="F2962" s="23"/>
      <c r="G2962" s="23"/>
      <c r="L2962" s="23"/>
    </row>
    <row r="2963">
      <c r="E2963" s="22"/>
      <c r="F2963" s="23"/>
      <c r="G2963" s="23"/>
      <c r="L2963" s="23"/>
    </row>
    <row r="2964">
      <c r="E2964" s="22"/>
      <c r="F2964" s="23"/>
      <c r="G2964" s="23"/>
      <c r="L2964" s="23"/>
    </row>
    <row r="2965">
      <c r="E2965" s="22"/>
      <c r="F2965" s="23"/>
      <c r="G2965" s="23"/>
      <c r="L2965" s="23"/>
    </row>
    <row r="2966">
      <c r="E2966" s="22"/>
      <c r="F2966" s="23"/>
      <c r="G2966" s="23"/>
      <c r="L2966" s="23"/>
    </row>
    <row r="2967">
      <c r="E2967" s="22"/>
      <c r="F2967" s="23"/>
      <c r="G2967" s="23"/>
      <c r="L2967" s="23"/>
    </row>
    <row r="2968">
      <c r="E2968" s="22"/>
      <c r="F2968" s="23"/>
      <c r="G2968" s="23"/>
      <c r="L2968" s="23"/>
    </row>
    <row r="2969">
      <c r="E2969" s="22"/>
      <c r="F2969" s="23"/>
      <c r="G2969" s="23"/>
      <c r="L2969" s="23"/>
    </row>
    <row r="2970">
      <c r="E2970" s="22"/>
      <c r="F2970" s="23"/>
      <c r="G2970" s="23"/>
      <c r="L2970" s="23"/>
    </row>
    <row r="2971">
      <c r="E2971" s="22"/>
      <c r="F2971" s="23"/>
      <c r="G2971" s="23"/>
      <c r="L2971" s="23"/>
    </row>
    <row r="2972">
      <c r="E2972" s="22"/>
      <c r="F2972" s="23"/>
      <c r="G2972" s="23"/>
      <c r="L2972" s="23"/>
    </row>
    <row r="2973">
      <c r="E2973" s="22"/>
      <c r="F2973" s="23"/>
      <c r="G2973" s="23"/>
      <c r="L2973" s="23"/>
    </row>
    <row r="2974">
      <c r="E2974" s="22"/>
      <c r="F2974" s="23"/>
      <c r="G2974" s="23"/>
      <c r="L2974" s="23"/>
    </row>
    <row r="2975">
      <c r="E2975" s="22"/>
      <c r="F2975" s="23"/>
      <c r="G2975" s="23"/>
      <c r="L2975" s="23"/>
    </row>
    <row r="2976">
      <c r="E2976" s="22"/>
      <c r="F2976" s="23"/>
      <c r="G2976" s="23"/>
      <c r="L2976" s="23"/>
    </row>
    <row r="2977">
      <c r="E2977" s="22"/>
      <c r="F2977" s="23"/>
      <c r="G2977" s="23"/>
      <c r="L2977" s="23"/>
    </row>
    <row r="2978">
      <c r="E2978" s="22"/>
      <c r="F2978" s="23"/>
      <c r="G2978" s="23"/>
      <c r="L2978" s="23"/>
    </row>
    <row r="2979">
      <c r="E2979" s="22"/>
      <c r="F2979" s="23"/>
      <c r="G2979" s="23"/>
      <c r="L2979" s="23"/>
    </row>
    <row r="2980">
      <c r="E2980" s="22"/>
      <c r="F2980" s="23"/>
      <c r="G2980" s="23"/>
      <c r="L2980" s="23"/>
    </row>
    <row r="2981">
      <c r="E2981" s="22"/>
      <c r="F2981" s="23"/>
      <c r="G2981" s="23"/>
      <c r="L2981" s="23"/>
    </row>
    <row r="2982">
      <c r="E2982" s="22"/>
      <c r="F2982" s="23"/>
      <c r="G2982" s="23"/>
      <c r="L2982" s="23"/>
    </row>
    <row r="2983">
      <c r="E2983" s="22"/>
      <c r="F2983" s="23"/>
      <c r="G2983" s="23"/>
      <c r="L2983" s="23"/>
    </row>
    <row r="2984">
      <c r="E2984" s="22"/>
      <c r="F2984" s="23"/>
      <c r="G2984" s="23"/>
      <c r="L2984" s="23"/>
    </row>
    <row r="2985">
      <c r="E2985" s="22"/>
      <c r="F2985" s="23"/>
      <c r="G2985" s="23"/>
      <c r="L2985" s="23"/>
    </row>
    <row r="2986">
      <c r="E2986" s="22"/>
      <c r="F2986" s="23"/>
      <c r="G2986" s="23"/>
      <c r="L2986" s="23"/>
    </row>
    <row r="2987">
      <c r="E2987" s="22"/>
      <c r="F2987" s="23"/>
      <c r="G2987" s="23"/>
      <c r="L2987" s="23"/>
    </row>
    <row r="2988">
      <c r="E2988" s="22"/>
      <c r="F2988" s="23"/>
      <c r="G2988" s="23"/>
      <c r="L2988" s="23"/>
    </row>
    <row r="2989">
      <c r="E2989" s="22"/>
      <c r="F2989" s="23"/>
      <c r="G2989" s="23"/>
      <c r="L2989" s="23"/>
    </row>
    <row r="2990">
      <c r="E2990" s="22"/>
      <c r="F2990" s="23"/>
      <c r="G2990" s="23"/>
      <c r="L2990" s="23"/>
    </row>
    <row r="2991">
      <c r="E2991" s="22"/>
      <c r="F2991" s="23"/>
      <c r="G2991" s="23"/>
      <c r="L2991" s="23"/>
    </row>
    <row r="2992">
      <c r="E2992" s="22"/>
      <c r="F2992" s="23"/>
      <c r="G2992" s="23"/>
      <c r="L2992" s="23"/>
    </row>
    <row r="2993">
      <c r="E2993" s="22"/>
      <c r="F2993" s="23"/>
      <c r="G2993" s="23"/>
      <c r="L2993" s="23"/>
    </row>
    <row r="2994">
      <c r="E2994" s="22"/>
      <c r="F2994" s="23"/>
      <c r="G2994" s="23"/>
      <c r="L2994" s="23"/>
    </row>
    <row r="2995">
      <c r="E2995" s="22"/>
      <c r="F2995" s="23"/>
      <c r="G2995" s="23"/>
      <c r="L2995" s="23"/>
    </row>
    <row r="2996">
      <c r="E2996" s="22"/>
      <c r="F2996" s="23"/>
      <c r="G2996" s="23"/>
      <c r="L2996" s="23"/>
    </row>
    <row r="2997">
      <c r="E2997" s="22"/>
      <c r="F2997" s="23"/>
      <c r="G2997" s="23"/>
      <c r="L2997" s="23"/>
    </row>
    <row r="2998">
      <c r="E2998" s="22"/>
      <c r="F2998" s="23"/>
      <c r="G2998" s="23"/>
      <c r="L2998" s="23"/>
    </row>
    <row r="2999">
      <c r="E2999" s="22"/>
      <c r="F2999" s="23"/>
      <c r="G2999" s="23"/>
      <c r="L2999" s="23"/>
    </row>
    <row r="3000">
      <c r="E3000" s="22"/>
      <c r="F3000" s="23"/>
      <c r="G3000" s="23"/>
      <c r="L3000" s="23"/>
    </row>
    <row r="3001">
      <c r="E3001" s="22"/>
      <c r="F3001" s="23"/>
      <c r="G3001" s="23"/>
      <c r="L3001" s="23"/>
    </row>
    <row r="3002">
      <c r="E3002" s="22"/>
      <c r="F3002" s="23"/>
      <c r="G3002" s="23"/>
      <c r="L3002" s="23"/>
    </row>
    <row r="3003">
      <c r="E3003" s="22"/>
      <c r="F3003" s="23"/>
      <c r="G3003" s="23"/>
      <c r="L3003" s="23"/>
    </row>
    <row r="3004">
      <c r="E3004" s="22"/>
      <c r="F3004" s="23"/>
      <c r="G3004" s="23"/>
      <c r="L3004" s="23"/>
    </row>
    <row r="3005">
      <c r="E3005" s="22"/>
      <c r="F3005" s="23"/>
      <c r="G3005" s="23"/>
      <c r="L3005" s="23"/>
    </row>
    <row r="3006">
      <c r="E3006" s="22"/>
      <c r="F3006" s="23"/>
      <c r="G3006" s="23"/>
      <c r="L3006" s="23"/>
    </row>
    <row r="3007">
      <c r="E3007" s="22"/>
      <c r="F3007" s="23"/>
      <c r="G3007" s="23"/>
      <c r="L3007" s="23"/>
    </row>
    <row r="3008">
      <c r="E3008" s="22"/>
      <c r="F3008" s="23"/>
      <c r="G3008" s="23"/>
      <c r="L3008" s="23"/>
    </row>
    <row r="3009">
      <c r="E3009" s="22"/>
      <c r="F3009" s="23"/>
      <c r="G3009" s="23"/>
      <c r="L3009" s="23"/>
    </row>
    <row r="3010">
      <c r="E3010" s="22"/>
      <c r="F3010" s="23"/>
      <c r="G3010" s="23"/>
      <c r="L3010" s="23"/>
    </row>
    <row r="3011">
      <c r="E3011" s="22"/>
      <c r="F3011" s="23"/>
      <c r="G3011" s="23"/>
      <c r="L3011" s="23"/>
    </row>
    <row r="3012">
      <c r="E3012" s="22"/>
      <c r="F3012" s="23"/>
      <c r="G3012" s="23"/>
      <c r="L3012" s="23"/>
    </row>
    <row r="3013">
      <c r="E3013" s="22"/>
      <c r="F3013" s="23"/>
      <c r="G3013" s="23"/>
      <c r="L3013" s="23"/>
    </row>
    <row r="3014">
      <c r="E3014" s="22"/>
      <c r="F3014" s="23"/>
      <c r="G3014" s="23"/>
      <c r="L3014" s="23"/>
    </row>
    <row r="3015">
      <c r="E3015" s="22"/>
      <c r="F3015" s="23"/>
      <c r="G3015" s="23"/>
      <c r="L3015" s="23"/>
    </row>
    <row r="3016">
      <c r="E3016" s="22"/>
      <c r="F3016" s="23"/>
      <c r="G3016" s="23"/>
      <c r="L3016" s="23"/>
    </row>
    <row r="3017">
      <c r="E3017" s="22"/>
      <c r="F3017" s="23"/>
      <c r="G3017" s="23"/>
      <c r="L3017" s="23"/>
    </row>
    <row r="3018">
      <c r="E3018" s="22"/>
      <c r="F3018" s="23"/>
      <c r="G3018" s="23"/>
      <c r="L3018" s="23"/>
    </row>
    <row r="3019">
      <c r="E3019" s="22"/>
      <c r="F3019" s="23"/>
      <c r="G3019" s="23"/>
      <c r="L3019" s="23"/>
    </row>
    <row r="3020">
      <c r="E3020" s="22"/>
      <c r="F3020" s="23"/>
      <c r="G3020" s="23"/>
      <c r="L3020" s="23"/>
    </row>
    <row r="3021">
      <c r="E3021" s="22"/>
      <c r="F3021" s="23"/>
      <c r="G3021" s="23"/>
      <c r="L3021" s="23"/>
    </row>
    <row r="3022">
      <c r="E3022" s="22"/>
      <c r="F3022" s="23"/>
      <c r="G3022" s="23"/>
      <c r="L3022" s="23"/>
    </row>
    <row r="3023">
      <c r="E3023" s="22"/>
      <c r="F3023" s="23"/>
      <c r="G3023" s="23"/>
      <c r="L3023" s="23"/>
    </row>
    <row r="3024">
      <c r="E3024" s="22"/>
      <c r="F3024" s="23"/>
      <c r="G3024" s="23"/>
      <c r="L3024" s="23"/>
    </row>
    <row r="3025">
      <c r="E3025" s="22"/>
      <c r="F3025" s="23"/>
      <c r="G3025" s="23"/>
      <c r="L3025" s="23"/>
    </row>
    <row r="3026">
      <c r="E3026" s="22"/>
      <c r="F3026" s="23"/>
      <c r="G3026" s="23"/>
      <c r="L3026" s="23"/>
    </row>
    <row r="3027">
      <c r="E3027" s="22"/>
      <c r="F3027" s="23"/>
      <c r="G3027" s="23"/>
      <c r="L3027" s="23"/>
    </row>
    <row r="3028">
      <c r="E3028" s="22"/>
      <c r="F3028" s="23"/>
      <c r="G3028" s="23"/>
      <c r="L3028" s="23"/>
    </row>
    <row r="3029">
      <c r="E3029" s="22"/>
      <c r="F3029" s="23"/>
      <c r="G3029" s="23"/>
      <c r="L3029" s="23"/>
    </row>
    <row r="3030">
      <c r="E3030" s="22"/>
      <c r="F3030" s="23"/>
      <c r="G3030" s="23"/>
      <c r="L3030" s="23"/>
    </row>
    <row r="3031">
      <c r="E3031" s="22"/>
      <c r="F3031" s="23"/>
      <c r="G3031" s="23"/>
      <c r="L3031" s="23"/>
    </row>
    <row r="3032">
      <c r="E3032" s="22"/>
      <c r="F3032" s="23"/>
      <c r="G3032" s="23"/>
      <c r="L3032" s="23"/>
    </row>
    <row r="3033">
      <c r="E3033" s="22"/>
      <c r="F3033" s="23"/>
      <c r="G3033" s="23"/>
      <c r="L3033" s="23"/>
    </row>
    <row r="3034">
      <c r="E3034" s="22"/>
      <c r="F3034" s="23"/>
      <c r="G3034" s="23"/>
      <c r="L3034" s="23"/>
    </row>
    <row r="3035">
      <c r="E3035" s="22"/>
      <c r="F3035" s="23"/>
      <c r="G3035" s="23"/>
      <c r="L3035" s="23"/>
    </row>
    <row r="3036">
      <c r="E3036" s="22"/>
      <c r="F3036" s="23"/>
      <c r="G3036" s="23"/>
      <c r="L3036" s="23"/>
    </row>
    <row r="3037">
      <c r="E3037" s="22"/>
      <c r="F3037" s="23"/>
      <c r="G3037" s="23"/>
      <c r="L3037" s="23"/>
    </row>
    <row r="3038">
      <c r="E3038" s="22"/>
      <c r="F3038" s="23"/>
      <c r="G3038" s="23"/>
      <c r="L3038" s="23"/>
    </row>
    <row r="3039">
      <c r="E3039" s="22"/>
      <c r="F3039" s="23"/>
      <c r="G3039" s="23"/>
      <c r="L3039" s="23"/>
    </row>
    <row r="3040">
      <c r="E3040" s="22"/>
      <c r="F3040" s="23"/>
      <c r="G3040" s="23"/>
      <c r="L3040" s="23"/>
    </row>
    <row r="3041">
      <c r="E3041" s="22"/>
      <c r="F3041" s="23"/>
      <c r="G3041" s="23"/>
      <c r="L3041" s="23"/>
    </row>
    <row r="3042">
      <c r="E3042" s="22"/>
      <c r="F3042" s="23"/>
      <c r="G3042" s="23"/>
      <c r="L3042" s="23"/>
    </row>
    <row r="3043">
      <c r="E3043" s="22"/>
      <c r="F3043" s="23"/>
      <c r="G3043" s="23"/>
      <c r="L3043" s="23"/>
    </row>
    <row r="3044">
      <c r="E3044" s="22"/>
      <c r="F3044" s="23"/>
      <c r="G3044" s="23"/>
      <c r="L3044" s="23"/>
    </row>
    <row r="3045">
      <c r="E3045" s="22"/>
      <c r="F3045" s="23"/>
      <c r="G3045" s="23"/>
      <c r="L3045" s="23"/>
    </row>
    <row r="3046">
      <c r="E3046" s="22"/>
      <c r="F3046" s="23"/>
      <c r="G3046" s="23"/>
      <c r="L3046" s="23"/>
    </row>
    <row r="3047">
      <c r="E3047" s="22"/>
      <c r="F3047" s="23"/>
      <c r="G3047" s="23"/>
      <c r="L3047" s="23"/>
    </row>
    <row r="3048">
      <c r="E3048" s="22"/>
      <c r="F3048" s="23"/>
      <c r="G3048" s="23"/>
      <c r="L3048" s="23"/>
    </row>
    <row r="3049">
      <c r="E3049" s="22"/>
      <c r="F3049" s="23"/>
      <c r="G3049" s="23"/>
      <c r="L3049" s="23"/>
    </row>
    <row r="3050">
      <c r="E3050" s="22"/>
      <c r="F3050" s="23"/>
      <c r="G3050" s="23"/>
      <c r="L3050" s="23"/>
    </row>
    <row r="3051">
      <c r="E3051" s="22"/>
      <c r="F3051" s="23"/>
      <c r="G3051" s="23"/>
      <c r="L3051" s="23"/>
    </row>
    <row r="3052">
      <c r="E3052" s="22"/>
      <c r="F3052" s="23"/>
      <c r="G3052" s="23"/>
      <c r="L3052" s="23"/>
    </row>
    <row r="3053">
      <c r="E3053" s="22"/>
      <c r="F3053" s="23"/>
      <c r="G3053" s="23"/>
      <c r="L3053" s="23"/>
    </row>
    <row r="3054">
      <c r="E3054" s="22"/>
      <c r="F3054" s="23"/>
      <c r="G3054" s="23"/>
      <c r="L3054" s="23"/>
    </row>
    <row r="3055">
      <c r="E3055" s="22"/>
      <c r="F3055" s="23"/>
      <c r="G3055" s="23"/>
      <c r="L3055" s="23"/>
    </row>
    <row r="3056">
      <c r="E3056" s="22"/>
      <c r="F3056" s="23"/>
      <c r="G3056" s="23"/>
      <c r="L3056" s="23"/>
    </row>
    <row r="3057">
      <c r="E3057" s="22"/>
      <c r="F3057" s="23"/>
      <c r="G3057" s="23"/>
      <c r="L3057" s="23"/>
    </row>
    <row r="3058">
      <c r="E3058" s="22"/>
      <c r="F3058" s="23"/>
      <c r="G3058" s="23"/>
      <c r="L3058" s="23"/>
    </row>
    <row r="3059">
      <c r="E3059" s="22"/>
      <c r="F3059" s="23"/>
      <c r="G3059" s="23"/>
      <c r="L3059" s="23"/>
    </row>
    <row r="3060">
      <c r="E3060" s="22"/>
      <c r="F3060" s="23"/>
      <c r="G3060" s="23"/>
      <c r="L3060" s="23"/>
    </row>
    <row r="3061">
      <c r="E3061" s="22"/>
      <c r="F3061" s="23"/>
      <c r="G3061" s="23"/>
      <c r="L3061" s="23"/>
    </row>
    <row r="3062">
      <c r="E3062" s="22"/>
      <c r="F3062" s="23"/>
      <c r="G3062" s="23"/>
      <c r="L3062" s="23"/>
    </row>
    <row r="3063">
      <c r="E3063" s="22"/>
      <c r="F3063" s="23"/>
      <c r="G3063" s="23"/>
      <c r="L3063" s="23"/>
    </row>
    <row r="3064">
      <c r="E3064" s="22"/>
      <c r="F3064" s="23"/>
      <c r="G3064" s="23"/>
      <c r="L3064" s="23"/>
    </row>
    <row r="3065">
      <c r="E3065" s="22"/>
      <c r="F3065" s="23"/>
      <c r="G3065" s="23"/>
      <c r="L3065" s="23"/>
    </row>
    <row r="3066">
      <c r="E3066" s="22"/>
      <c r="F3066" s="23"/>
      <c r="G3066" s="23"/>
      <c r="L3066" s="23"/>
    </row>
    <row r="3067">
      <c r="E3067" s="22"/>
      <c r="F3067" s="23"/>
      <c r="G3067" s="23"/>
      <c r="L3067" s="23"/>
    </row>
    <row r="3068">
      <c r="E3068" s="22"/>
      <c r="F3068" s="23"/>
      <c r="G3068" s="23"/>
      <c r="L3068" s="23"/>
    </row>
    <row r="3069">
      <c r="E3069" s="22"/>
      <c r="F3069" s="23"/>
      <c r="G3069" s="23"/>
      <c r="L3069" s="23"/>
    </row>
    <row r="3070">
      <c r="E3070" s="22"/>
      <c r="F3070" s="23"/>
      <c r="G3070" s="23"/>
      <c r="L3070" s="23"/>
    </row>
    <row r="3071">
      <c r="E3071" s="22"/>
      <c r="F3071" s="23"/>
      <c r="G3071" s="23"/>
      <c r="L3071" s="23"/>
    </row>
    <row r="3072">
      <c r="E3072" s="22"/>
      <c r="F3072" s="23"/>
      <c r="G3072" s="23"/>
      <c r="L3072" s="23"/>
    </row>
    <row r="3073">
      <c r="E3073" s="22"/>
      <c r="F3073" s="23"/>
      <c r="G3073" s="23"/>
      <c r="L3073" s="23"/>
    </row>
    <row r="3074">
      <c r="E3074" s="22"/>
      <c r="F3074" s="23"/>
      <c r="G3074" s="23"/>
      <c r="L3074" s="23"/>
    </row>
    <row r="3075">
      <c r="E3075" s="22"/>
      <c r="F3075" s="23"/>
      <c r="G3075" s="23"/>
      <c r="L3075" s="23"/>
    </row>
    <row r="3076">
      <c r="E3076" s="22"/>
      <c r="F3076" s="23"/>
      <c r="G3076" s="23"/>
      <c r="L3076" s="23"/>
    </row>
    <row r="3077">
      <c r="E3077" s="22"/>
      <c r="F3077" s="23"/>
      <c r="G3077" s="23"/>
      <c r="L3077" s="23"/>
    </row>
    <row r="3078">
      <c r="E3078" s="22"/>
      <c r="F3078" s="23"/>
      <c r="G3078" s="23"/>
      <c r="L3078" s="23"/>
    </row>
    <row r="3079">
      <c r="E3079" s="22"/>
      <c r="F3079" s="23"/>
      <c r="G3079" s="23"/>
      <c r="L3079" s="23"/>
    </row>
    <row r="3080">
      <c r="E3080" s="22"/>
      <c r="F3080" s="23"/>
      <c r="G3080" s="23"/>
      <c r="L3080" s="23"/>
    </row>
    <row r="3081">
      <c r="E3081" s="22"/>
      <c r="F3081" s="23"/>
      <c r="G3081" s="23"/>
      <c r="L3081" s="23"/>
    </row>
    <row r="3082">
      <c r="E3082" s="22"/>
      <c r="F3082" s="23"/>
      <c r="G3082" s="23"/>
      <c r="L3082" s="23"/>
    </row>
    <row r="3083">
      <c r="E3083" s="22"/>
      <c r="F3083" s="23"/>
      <c r="G3083" s="23"/>
      <c r="L3083" s="23"/>
    </row>
    <row r="3084">
      <c r="E3084" s="22"/>
      <c r="F3084" s="23"/>
      <c r="G3084" s="23"/>
      <c r="L3084" s="23"/>
    </row>
    <row r="3085">
      <c r="E3085" s="22"/>
      <c r="F3085" s="23"/>
      <c r="G3085" s="23"/>
      <c r="L3085" s="23"/>
    </row>
    <row r="3086">
      <c r="E3086" s="22"/>
      <c r="F3086" s="23"/>
      <c r="G3086" s="23"/>
      <c r="L3086" s="23"/>
    </row>
    <row r="3087">
      <c r="E3087" s="22"/>
      <c r="F3087" s="23"/>
      <c r="G3087" s="23"/>
      <c r="L3087" s="23"/>
    </row>
    <row r="3088">
      <c r="E3088" s="22"/>
      <c r="F3088" s="23"/>
      <c r="G3088" s="23"/>
      <c r="L3088" s="23"/>
    </row>
    <row r="3089">
      <c r="E3089" s="22"/>
      <c r="F3089" s="23"/>
      <c r="G3089" s="23"/>
      <c r="L3089" s="23"/>
    </row>
    <row r="3090">
      <c r="E3090" s="22"/>
      <c r="F3090" s="23"/>
      <c r="G3090" s="23"/>
      <c r="L3090" s="23"/>
    </row>
    <row r="3091">
      <c r="E3091" s="22"/>
      <c r="F3091" s="23"/>
      <c r="G3091" s="23"/>
      <c r="L3091" s="23"/>
    </row>
    <row r="3092">
      <c r="E3092" s="22"/>
      <c r="F3092" s="23"/>
      <c r="G3092" s="23"/>
      <c r="L3092" s="23"/>
    </row>
    <row r="3093">
      <c r="E3093" s="22"/>
      <c r="F3093" s="23"/>
      <c r="G3093" s="23"/>
      <c r="L3093" s="23"/>
    </row>
    <row r="3094">
      <c r="E3094" s="22"/>
      <c r="F3094" s="23"/>
      <c r="G3094" s="23"/>
      <c r="L3094" s="23"/>
    </row>
    <row r="3095">
      <c r="E3095" s="22"/>
      <c r="F3095" s="23"/>
      <c r="G3095" s="23"/>
      <c r="L3095" s="23"/>
    </row>
    <row r="3096">
      <c r="E3096" s="22"/>
      <c r="F3096" s="23"/>
      <c r="G3096" s="23"/>
      <c r="L3096" s="23"/>
    </row>
    <row r="3097">
      <c r="E3097" s="22"/>
      <c r="F3097" s="23"/>
      <c r="G3097" s="23"/>
      <c r="L3097" s="23"/>
    </row>
    <row r="3098">
      <c r="E3098" s="22"/>
      <c r="F3098" s="23"/>
      <c r="G3098" s="23"/>
      <c r="L3098" s="23"/>
    </row>
    <row r="3099">
      <c r="E3099" s="22"/>
      <c r="F3099" s="23"/>
      <c r="G3099" s="23"/>
      <c r="L3099" s="23"/>
    </row>
    <row r="3100">
      <c r="E3100" s="22"/>
      <c r="F3100" s="23"/>
      <c r="G3100" s="23"/>
      <c r="L3100" s="23"/>
    </row>
    <row r="3101">
      <c r="E3101" s="22"/>
      <c r="F3101" s="23"/>
      <c r="G3101" s="23"/>
      <c r="L3101" s="23"/>
    </row>
    <row r="3102">
      <c r="E3102" s="22"/>
      <c r="F3102" s="23"/>
      <c r="G3102" s="23"/>
      <c r="L3102" s="23"/>
    </row>
    <row r="3103">
      <c r="E3103" s="22"/>
      <c r="F3103" s="23"/>
      <c r="G3103" s="23"/>
      <c r="L3103" s="23"/>
    </row>
    <row r="3104">
      <c r="E3104" s="22"/>
      <c r="F3104" s="23"/>
      <c r="G3104" s="23"/>
      <c r="L3104" s="23"/>
    </row>
    <row r="3105">
      <c r="E3105" s="22"/>
      <c r="F3105" s="23"/>
      <c r="G3105" s="23"/>
      <c r="L3105" s="23"/>
    </row>
    <row r="3106">
      <c r="E3106" s="22"/>
      <c r="F3106" s="23"/>
      <c r="G3106" s="23"/>
      <c r="L3106" s="23"/>
    </row>
    <row r="3107">
      <c r="E3107" s="22"/>
      <c r="F3107" s="23"/>
      <c r="G3107" s="23"/>
      <c r="L3107" s="23"/>
    </row>
    <row r="3108">
      <c r="E3108" s="22"/>
      <c r="F3108" s="23"/>
      <c r="G3108" s="23"/>
      <c r="L3108" s="23"/>
    </row>
    <row r="3109">
      <c r="E3109" s="22"/>
      <c r="F3109" s="23"/>
      <c r="G3109" s="23"/>
      <c r="L3109" s="23"/>
    </row>
    <row r="3110">
      <c r="E3110" s="22"/>
      <c r="F3110" s="23"/>
      <c r="G3110" s="23"/>
      <c r="L3110" s="23"/>
    </row>
    <row r="3111">
      <c r="E3111" s="22"/>
      <c r="F3111" s="23"/>
      <c r="G3111" s="23"/>
      <c r="L3111" s="23"/>
    </row>
    <row r="3112">
      <c r="E3112" s="22"/>
      <c r="F3112" s="23"/>
      <c r="G3112" s="23"/>
      <c r="L3112" s="23"/>
    </row>
    <row r="3113">
      <c r="E3113" s="22"/>
      <c r="F3113" s="23"/>
      <c r="G3113" s="23"/>
      <c r="L3113" s="23"/>
    </row>
    <row r="3114">
      <c r="E3114" s="22"/>
      <c r="F3114" s="23"/>
      <c r="G3114" s="23"/>
      <c r="L3114" s="23"/>
    </row>
    <row r="3115">
      <c r="E3115" s="22"/>
      <c r="F3115" s="23"/>
      <c r="G3115" s="23"/>
      <c r="L3115" s="23"/>
    </row>
    <row r="3116">
      <c r="E3116" s="22"/>
      <c r="F3116" s="23"/>
      <c r="G3116" s="23"/>
      <c r="L3116" s="23"/>
    </row>
    <row r="3117">
      <c r="E3117" s="22"/>
      <c r="F3117" s="23"/>
      <c r="G3117" s="23"/>
      <c r="L3117" s="23"/>
    </row>
    <row r="3118">
      <c r="E3118" s="22"/>
      <c r="F3118" s="23"/>
      <c r="G3118" s="23"/>
      <c r="L3118" s="23"/>
    </row>
    <row r="3119">
      <c r="E3119" s="22"/>
      <c r="F3119" s="23"/>
      <c r="G3119" s="23"/>
      <c r="L3119" s="23"/>
    </row>
    <row r="3120">
      <c r="E3120" s="22"/>
      <c r="F3120" s="23"/>
      <c r="G3120" s="23"/>
      <c r="L3120" s="23"/>
    </row>
    <row r="3121">
      <c r="E3121" s="22"/>
      <c r="F3121" s="23"/>
      <c r="G3121" s="23"/>
      <c r="L3121" s="23"/>
    </row>
    <row r="3122">
      <c r="E3122" s="22"/>
      <c r="F3122" s="23"/>
      <c r="G3122" s="23"/>
      <c r="L3122" s="23"/>
    </row>
    <row r="3123">
      <c r="E3123" s="22"/>
      <c r="F3123" s="23"/>
      <c r="G3123" s="23"/>
      <c r="L3123" s="23"/>
    </row>
    <row r="3124">
      <c r="E3124" s="22"/>
      <c r="F3124" s="23"/>
      <c r="G3124" s="23"/>
      <c r="L3124" s="23"/>
    </row>
    <row r="3125">
      <c r="E3125" s="22"/>
      <c r="F3125" s="23"/>
      <c r="G3125" s="23"/>
      <c r="L3125" s="23"/>
    </row>
    <row r="3126">
      <c r="E3126" s="22"/>
      <c r="F3126" s="23"/>
      <c r="G3126" s="23"/>
      <c r="L3126" s="23"/>
    </row>
    <row r="3127">
      <c r="E3127" s="22"/>
      <c r="F3127" s="23"/>
      <c r="G3127" s="23"/>
      <c r="L3127" s="23"/>
    </row>
    <row r="3128">
      <c r="E3128" s="22"/>
      <c r="F3128" s="23"/>
      <c r="G3128" s="23"/>
      <c r="L3128" s="23"/>
    </row>
    <row r="3129">
      <c r="E3129" s="22"/>
      <c r="F3129" s="23"/>
      <c r="G3129" s="23"/>
      <c r="L3129" s="23"/>
    </row>
    <row r="3130">
      <c r="E3130" s="22"/>
      <c r="F3130" s="23"/>
      <c r="G3130" s="23"/>
      <c r="L3130" s="23"/>
    </row>
    <row r="3131">
      <c r="E3131" s="22"/>
      <c r="F3131" s="23"/>
      <c r="G3131" s="23"/>
      <c r="L3131" s="23"/>
    </row>
    <row r="3132">
      <c r="E3132" s="22"/>
      <c r="F3132" s="23"/>
      <c r="G3132" s="23"/>
      <c r="L3132" s="23"/>
    </row>
    <row r="3133">
      <c r="E3133" s="22"/>
      <c r="F3133" s="23"/>
      <c r="G3133" s="23"/>
      <c r="L3133" s="23"/>
    </row>
    <row r="3134">
      <c r="E3134" s="22"/>
      <c r="F3134" s="23"/>
      <c r="G3134" s="23"/>
      <c r="L3134" s="23"/>
    </row>
    <row r="3135">
      <c r="E3135" s="22"/>
      <c r="F3135" s="23"/>
      <c r="G3135" s="23"/>
      <c r="L3135" s="23"/>
    </row>
    <row r="3136">
      <c r="E3136" s="22"/>
      <c r="F3136" s="23"/>
      <c r="G3136" s="23"/>
      <c r="L3136" s="23"/>
    </row>
    <row r="3137">
      <c r="E3137" s="22"/>
      <c r="F3137" s="23"/>
      <c r="G3137" s="23"/>
      <c r="L3137" s="23"/>
    </row>
    <row r="3138">
      <c r="E3138" s="22"/>
      <c r="F3138" s="23"/>
      <c r="G3138" s="23"/>
      <c r="L3138" s="23"/>
    </row>
    <row r="3139">
      <c r="E3139" s="22"/>
      <c r="F3139" s="23"/>
      <c r="G3139" s="23"/>
      <c r="L3139" s="23"/>
    </row>
    <row r="3140">
      <c r="E3140" s="22"/>
      <c r="F3140" s="23"/>
      <c r="G3140" s="23"/>
      <c r="L3140" s="23"/>
    </row>
    <row r="3141">
      <c r="E3141" s="22"/>
      <c r="F3141" s="23"/>
      <c r="G3141" s="23"/>
      <c r="L3141" s="23"/>
    </row>
    <row r="3142">
      <c r="E3142" s="22"/>
      <c r="F3142" s="23"/>
      <c r="G3142" s="23"/>
      <c r="L3142" s="23"/>
    </row>
    <row r="3143">
      <c r="E3143" s="22"/>
      <c r="F3143" s="23"/>
      <c r="G3143" s="23"/>
      <c r="L3143" s="23"/>
    </row>
    <row r="3144">
      <c r="E3144" s="22"/>
      <c r="F3144" s="23"/>
      <c r="G3144" s="23"/>
      <c r="L3144" s="23"/>
    </row>
    <row r="3145">
      <c r="E3145" s="22"/>
      <c r="F3145" s="23"/>
      <c r="G3145" s="23"/>
      <c r="L3145" s="23"/>
    </row>
    <row r="3146">
      <c r="E3146" s="22"/>
      <c r="F3146" s="23"/>
      <c r="G3146" s="23"/>
      <c r="L3146" s="23"/>
    </row>
    <row r="3147">
      <c r="E3147" s="22"/>
      <c r="F3147" s="23"/>
      <c r="G3147" s="23"/>
      <c r="L3147" s="23"/>
    </row>
    <row r="3148">
      <c r="E3148" s="22"/>
      <c r="F3148" s="23"/>
      <c r="G3148" s="23"/>
      <c r="L3148" s="23"/>
    </row>
    <row r="3149">
      <c r="E3149" s="22"/>
      <c r="F3149" s="23"/>
      <c r="G3149" s="23"/>
      <c r="L3149" s="23"/>
    </row>
    <row r="3150">
      <c r="E3150" s="22"/>
      <c r="F3150" s="23"/>
      <c r="G3150" s="23"/>
      <c r="L3150" s="23"/>
    </row>
    <row r="3151">
      <c r="E3151" s="22"/>
      <c r="F3151" s="23"/>
      <c r="G3151" s="23"/>
      <c r="L3151" s="23"/>
    </row>
    <row r="3152">
      <c r="E3152" s="22"/>
      <c r="F3152" s="23"/>
      <c r="G3152" s="23"/>
      <c r="L3152" s="23"/>
    </row>
    <row r="3153">
      <c r="E3153" s="22"/>
      <c r="F3153" s="23"/>
      <c r="G3153" s="23"/>
      <c r="L3153" s="23"/>
    </row>
    <row r="3154">
      <c r="E3154" s="22"/>
      <c r="F3154" s="23"/>
      <c r="G3154" s="23"/>
      <c r="L3154" s="23"/>
    </row>
    <row r="3155">
      <c r="E3155" s="22"/>
      <c r="F3155" s="23"/>
      <c r="G3155" s="23"/>
      <c r="L3155" s="23"/>
    </row>
    <row r="3156">
      <c r="E3156" s="22"/>
      <c r="F3156" s="23"/>
      <c r="G3156" s="23"/>
      <c r="L3156" s="23"/>
    </row>
    <row r="3157">
      <c r="E3157" s="22"/>
      <c r="F3157" s="23"/>
      <c r="G3157" s="23"/>
      <c r="L3157" s="23"/>
    </row>
    <row r="3158">
      <c r="E3158" s="22"/>
      <c r="F3158" s="23"/>
      <c r="G3158" s="23"/>
      <c r="L3158" s="23"/>
    </row>
    <row r="3159">
      <c r="E3159" s="22"/>
      <c r="F3159" s="23"/>
      <c r="G3159" s="23"/>
      <c r="L3159" s="23"/>
    </row>
    <row r="3160">
      <c r="E3160" s="22"/>
      <c r="F3160" s="23"/>
      <c r="G3160" s="23"/>
      <c r="L3160" s="23"/>
    </row>
    <row r="3161">
      <c r="E3161" s="22"/>
      <c r="F3161" s="23"/>
      <c r="G3161" s="23"/>
      <c r="L3161" s="23"/>
    </row>
    <row r="3162">
      <c r="E3162" s="22"/>
      <c r="F3162" s="23"/>
      <c r="G3162" s="23"/>
      <c r="L3162" s="23"/>
    </row>
    <row r="3163">
      <c r="E3163" s="22"/>
      <c r="F3163" s="23"/>
      <c r="G3163" s="23"/>
      <c r="L3163" s="23"/>
    </row>
    <row r="3164">
      <c r="E3164" s="22"/>
      <c r="F3164" s="23"/>
      <c r="G3164" s="23"/>
      <c r="L3164" s="23"/>
    </row>
    <row r="3165">
      <c r="E3165" s="22"/>
      <c r="F3165" s="23"/>
      <c r="G3165" s="23"/>
      <c r="L3165" s="23"/>
    </row>
    <row r="3166">
      <c r="E3166" s="22"/>
      <c r="F3166" s="23"/>
      <c r="G3166" s="23"/>
      <c r="L3166" s="23"/>
    </row>
    <row r="3167">
      <c r="E3167" s="22"/>
      <c r="F3167" s="23"/>
      <c r="G3167" s="23"/>
      <c r="L3167" s="23"/>
    </row>
    <row r="3168">
      <c r="E3168" s="22"/>
      <c r="F3168" s="23"/>
      <c r="G3168" s="23"/>
      <c r="L3168" s="23"/>
    </row>
    <row r="3169">
      <c r="E3169" s="22"/>
      <c r="F3169" s="23"/>
      <c r="G3169" s="23"/>
      <c r="L3169" s="23"/>
    </row>
    <row r="3170">
      <c r="E3170" s="22"/>
      <c r="F3170" s="23"/>
      <c r="G3170" s="23"/>
      <c r="L3170" s="23"/>
    </row>
    <row r="3171">
      <c r="E3171" s="22"/>
      <c r="F3171" s="23"/>
      <c r="G3171" s="23"/>
      <c r="L3171" s="23"/>
    </row>
    <row r="3172">
      <c r="E3172" s="22"/>
      <c r="F3172" s="23"/>
      <c r="G3172" s="23"/>
      <c r="L3172" s="23"/>
    </row>
    <row r="3173">
      <c r="E3173" s="22"/>
      <c r="F3173" s="23"/>
      <c r="G3173" s="23"/>
      <c r="L3173" s="23"/>
    </row>
    <row r="3174">
      <c r="E3174" s="22"/>
      <c r="F3174" s="23"/>
      <c r="G3174" s="23"/>
      <c r="L3174" s="23"/>
    </row>
    <row r="3175">
      <c r="E3175" s="22"/>
      <c r="F3175" s="23"/>
      <c r="G3175" s="23"/>
      <c r="L3175" s="23"/>
    </row>
    <row r="3176">
      <c r="E3176" s="22"/>
      <c r="F3176" s="23"/>
      <c r="G3176" s="23"/>
      <c r="L3176" s="23"/>
    </row>
    <row r="3177">
      <c r="E3177" s="22"/>
      <c r="F3177" s="23"/>
      <c r="G3177" s="23"/>
      <c r="L3177" s="23"/>
    </row>
    <row r="3178">
      <c r="E3178" s="22"/>
      <c r="F3178" s="23"/>
      <c r="G3178" s="23"/>
      <c r="L3178" s="23"/>
    </row>
    <row r="3179">
      <c r="E3179" s="22"/>
      <c r="F3179" s="23"/>
      <c r="G3179" s="23"/>
      <c r="L3179" s="23"/>
    </row>
    <row r="3180">
      <c r="E3180" s="22"/>
      <c r="F3180" s="23"/>
      <c r="G3180" s="23"/>
      <c r="L3180" s="23"/>
    </row>
    <row r="3181">
      <c r="E3181" s="22"/>
      <c r="F3181" s="23"/>
      <c r="G3181" s="23"/>
      <c r="L3181" s="23"/>
    </row>
    <row r="3182">
      <c r="E3182" s="22"/>
      <c r="F3182" s="23"/>
      <c r="G3182" s="23"/>
      <c r="L3182" s="23"/>
    </row>
    <row r="3183">
      <c r="E3183" s="22"/>
      <c r="F3183" s="23"/>
      <c r="G3183" s="23"/>
      <c r="L3183" s="23"/>
    </row>
    <row r="3184">
      <c r="E3184" s="22"/>
      <c r="F3184" s="23"/>
      <c r="G3184" s="23"/>
      <c r="L3184" s="23"/>
    </row>
    <row r="3185">
      <c r="E3185" s="22"/>
      <c r="F3185" s="23"/>
      <c r="G3185" s="23"/>
      <c r="L3185" s="23"/>
    </row>
    <row r="3186">
      <c r="E3186" s="22"/>
      <c r="F3186" s="23"/>
      <c r="G3186" s="23"/>
      <c r="L3186" s="23"/>
    </row>
    <row r="3187">
      <c r="E3187" s="22"/>
      <c r="F3187" s="23"/>
      <c r="G3187" s="23"/>
      <c r="L3187" s="23"/>
    </row>
    <row r="3188">
      <c r="E3188" s="22"/>
      <c r="F3188" s="23"/>
      <c r="G3188" s="23"/>
      <c r="L3188" s="23"/>
    </row>
    <row r="3189">
      <c r="E3189" s="22"/>
      <c r="F3189" s="23"/>
      <c r="G3189" s="23"/>
      <c r="L3189" s="23"/>
    </row>
    <row r="3190">
      <c r="E3190" s="22"/>
      <c r="F3190" s="23"/>
      <c r="G3190" s="23"/>
      <c r="L3190" s="23"/>
    </row>
    <row r="3191">
      <c r="E3191" s="22"/>
      <c r="F3191" s="23"/>
      <c r="G3191" s="23"/>
      <c r="L3191" s="23"/>
    </row>
    <row r="3192">
      <c r="E3192" s="22"/>
      <c r="F3192" s="23"/>
      <c r="G3192" s="23"/>
      <c r="L3192" s="23"/>
    </row>
    <row r="3193">
      <c r="E3193" s="22"/>
      <c r="F3193" s="23"/>
      <c r="G3193" s="23"/>
      <c r="L3193" s="23"/>
    </row>
    <row r="3194">
      <c r="E3194" s="22"/>
      <c r="F3194" s="23"/>
      <c r="G3194" s="23"/>
      <c r="L3194" s="23"/>
    </row>
    <row r="3195">
      <c r="E3195" s="22"/>
      <c r="F3195" s="23"/>
      <c r="G3195" s="23"/>
      <c r="L3195" s="23"/>
    </row>
    <row r="3196">
      <c r="E3196" s="22"/>
      <c r="F3196" s="23"/>
      <c r="G3196" s="23"/>
      <c r="L3196" s="23"/>
    </row>
    <row r="3197">
      <c r="E3197" s="22"/>
      <c r="F3197" s="23"/>
      <c r="G3197" s="23"/>
      <c r="L3197" s="23"/>
    </row>
    <row r="3198">
      <c r="E3198" s="22"/>
      <c r="F3198" s="23"/>
      <c r="G3198" s="23"/>
      <c r="L3198" s="23"/>
    </row>
    <row r="3199">
      <c r="E3199" s="22"/>
      <c r="F3199" s="23"/>
      <c r="G3199" s="23"/>
      <c r="L3199" s="23"/>
    </row>
    <row r="3200">
      <c r="E3200" s="22"/>
      <c r="F3200" s="23"/>
      <c r="G3200" s="23"/>
      <c r="L3200" s="23"/>
    </row>
    <row r="3201">
      <c r="E3201" s="22"/>
      <c r="F3201" s="23"/>
      <c r="G3201" s="23"/>
      <c r="L3201" s="23"/>
    </row>
    <row r="3202">
      <c r="E3202" s="22"/>
      <c r="F3202" s="23"/>
      <c r="G3202" s="23"/>
      <c r="L3202" s="23"/>
    </row>
    <row r="3203">
      <c r="E3203" s="22"/>
      <c r="F3203" s="23"/>
      <c r="G3203" s="23"/>
      <c r="L3203" s="23"/>
    </row>
    <row r="3204">
      <c r="E3204" s="22"/>
      <c r="F3204" s="23"/>
      <c r="G3204" s="23"/>
      <c r="L3204" s="23"/>
    </row>
    <row r="3205">
      <c r="E3205" s="22"/>
      <c r="F3205" s="23"/>
      <c r="G3205" s="23"/>
      <c r="L3205" s="23"/>
    </row>
    <row r="3206">
      <c r="E3206" s="22"/>
      <c r="F3206" s="23"/>
      <c r="G3206" s="23"/>
      <c r="L3206" s="23"/>
    </row>
    <row r="3207">
      <c r="E3207" s="22"/>
      <c r="F3207" s="23"/>
      <c r="G3207" s="23"/>
      <c r="L3207" s="23"/>
    </row>
    <row r="3208">
      <c r="E3208" s="22"/>
      <c r="F3208" s="23"/>
      <c r="G3208" s="23"/>
      <c r="L3208" s="23"/>
    </row>
    <row r="3209">
      <c r="E3209" s="22"/>
      <c r="F3209" s="23"/>
      <c r="G3209" s="23"/>
      <c r="L3209" s="23"/>
    </row>
    <row r="3210">
      <c r="E3210" s="22"/>
      <c r="F3210" s="23"/>
      <c r="G3210" s="23"/>
      <c r="L3210" s="23"/>
    </row>
    <row r="3211">
      <c r="E3211" s="22"/>
      <c r="F3211" s="23"/>
      <c r="G3211" s="23"/>
      <c r="L3211" s="23"/>
    </row>
    <row r="3212">
      <c r="E3212" s="22"/>
      <c r="F3212" s="23"/>
      <c r="G3212" s="23"/>
      <c r="L3212" s="23"/>
    </row>
    <row r="3213">
      <c r="E3213" s="22"/>
      <c r="F3213" s="23"/>
      <c r="G3213" s="23"/>
      <c r="L3213" s="23"/>
    </row>
    <row r="3214">
      <c r="E3214" s="22"/>
      <c r="F3214" s="23"/>
      <c r="G3214" s="23"/>
      <c r="L3214" s="23"/>
    </row>
    <row r="3215">
      <c r="E3215" s="22"/>
      <c r="F3215" s="23"/>
      <c r="G3215" s="23"/>
      <c r="L3215" s="23"/>
    </row>
    <row r="3216">
      <c r="E3216" s="22"/>
      <c r="F3216" s="23"/>
      <c r="G3216" s="23"/>
      <c r="L3216" s="23"/>
    </row>
    <row r="3217">
      <c r="E3217" s="22"/>
      <c r="F3217" s="23"/>
      <c r="G3217" s="23"/>
      <c r="L3217" s="23"/>
    </row>
    <row r="3218">
      <c r="E3218" s="22"/>
      <c r="F3218" s="23"/>
      <c r="G3218" s="23"/>
      <c r="L3218" s="23"/>
    </row>
    <row r="3219">
      <c r="E3219" s="22"/>
      <c r="F3219" s="23"/>
      <c r="G3219" s="23"/>
      <c r="L3219" s="23"/>
    </row>
    <row r="3220">
      <c r="E3220" s="22"/>
      <c r="F3220" s="23"/>
      <c r="G3220" s="23"/>
      <c r="L3220" s="23"/>
    </row>
    <row r="3221">
      <c r="E3221" s="22"/>
      <c r="F3221" s="23"/>
      <c r="G3221" s="23"/>
      <c r="L3221" s="23"/>
    </row>
    <row r="3222">
      <c r="E3222" s="22"/>
      <c r="F3222" s="23"/>
      <c r="G3222" s="23"/>
      <c r="L3222" s="23"/>
    </row>
    <row r="3223">
      <c r="E3223" s="22"/>
      <c r="F3223" s="23"/>
      <c r="G3223" s="23"/>
      <c r="L3223" s="23"/>
    </row>
    <row r="3224">
      <c r="E3224" s="22"/>
      <c r="F3224" s="23"/>
      <c r="G3224" s="23"/>
      <c r="L3224" s="23"/>
    </row>
    <row r="3225">
      <c r="E3225" s="22"/>
      <c r="F3225" s="23"/>
      <c r="G3225" s="23"/>
      <c r="L3225" s="23"/>
    </row>
    <row r="3226">
      <c r="E3226" s="22"/>
      <c r="F3226" s="23"/>
      <c r="G3226" s="23"/>
      <c r="L3226" s="23"/>
    </row>
    <row r="3227">
      <c r="E3227" s="22"/>
      <c r="F3227" s="23"/>
      <c r="G3227" s="23"/>
      <c r="L3227" s="23"/>
    </row>
    <row r="3228">
      <c r="E3228" s="22"/>
      <c r="F3228" s="23"/>
      <c r="G3228" s="23"/>
      <c r="L3228" s="23"/>
    </row>
    <row r="3229">
      <c r="E3229" s="22"/>
      <c r="F3229" s="23"/>
      <c r="G3229" s="23"/>
      <c r="L3229" s="23"/>
    </row>
    <row r="3230">
      <c r="E3230" s="22"/>
      <c r="F3230" s="23"/>
      <c r="G3230" s="23"/>
      <c r="L3230" s="23"/>
    </row>
    <row r="3231">
      <c r="E3231" s="22"/>
      <c r="F3231" s="23"/>
      <c r="G3231" s="23"/>
      <c r="L3231" s="23"/>
    </row>
    <row r="3232">
      <c r="E3232" s="22"/>
      <c r="F3232" s="23"/>
      <c r="G3232" s="23"/>
      <c r="L3232" s="23"/>
    </row>
    <row r="3233">
      <c r="E3233" s="22"/>
      <c r="F3233" s="23"/>
      <c r="G3233" s="23"/>
      <c r="L3233" s="23"/>
    </row>
    <row r="3234">
      <c r="E3234" s="22"/>
      <c r="F3234" s="23"/>
      <c r="G3234" s="23"/>
      <c r="L3234" s="23"/>
    </row>
    <row r="3235">
      <c r="E3235" s="22"/>
      <c r="F3235" s="23"/>
      <c r="G3235" s="23"/>
      <c r="L3235" s="23"/>
    </row>
    <row r="3236">
      <c r="E3236" s="22"/>
      <c r="F3236" s="23"/>
      <c r="G3236" s="23"/>
      <c r="L3236" s="23"/>
    </row>
    <row r="3237">
      <c r="E3237" s="22"/>
      <c r="F3237" s="23"/>
      <c r="G3237" s="23"/>
      <c r="L3237" s="23"/>
    </row>
    <row r="3238">
      <c r="E3238" s="22"/>
      <c r="F3238" s="23"/>
      <c r="G3238" s="23"/>
      <c r="L3238" s="23"/>
    </row>
    <row r="3239">
      <c r="E3239" s="22"/>
      <c r="F3239" s="23"/>
      <c r="G3239" s="23"/>
      <c r="L3239" s="23"/>
    </row>
    <row r="3240">
      <c r="E3240" s="22"/>
      <c r="F3240" s="23"/>
      <c r="G3240" s="23"/>
      <c r="L3240" s="23"/>
    </row>
    <row r="3241">
      <c r="E3241" s="22"/>
      <c r="F3241" s="23"/>
      <c r="G3241" s="23"/>
      <c r="L3241" s="23"/>
    </row>
    <row r="3242">
      <c r="E3242" s="22"/>
      <c r="F3242" s="23"/>
      <c r="G3242" s="23"/>
      <c r="L3242" s="23"/>
    </row>
    <row r="3243">
      <c r="E3243" s="22"/>
      <c r="F3243" s="23"/>
      <c r="G3243" s="23"/>
      <c r="L3243" s="23"/>
    </row>
    <row r="3244">
      <c r="E3244" s="22"/>
      <c r="F3244" s="23"/>
      <c r="G3244" s="23"/>
      <c r="L3244" s="23"/>
    </row>
    <row r="3245">
      <c r="E3245" s="22"/>
      <c r="F3245" s="23"/>
      <c r="G3245" s="23"/>
      <c r="L3245" s="23"/>
    </row>
    <row r="3246">
      <c r="E3246" s="22"/>
      <c r="F3246" s="23"/>
      <c r="G3246" s="23"/>
      <c r="L3246" s="23"/>
    </row>
    <row r="3247">
      <c r="E3247" s="22"/>
      <c r="F3247" s="23"/>
      <c r="G3247" s="23"/>
      <c r="L3247" s="23"/>
    </row>
    <row r="3248">
      <c r="E3248" s="22"/>
      <c r="F3248" s="23"/>
      <c r="G3248" s="23"/>
      <c r="L3248" s="23"/>
    </row>
    <row r="3249">
      <c r="E3249" s="22"/>
      <c r="F3249" s="23"/>
      <c r="G3249" s="23"/>
      <c r="L3249" s="23"/>
    </row>
    <row r="3250">
      <c r="E3250" s="22"/>
      <c r="F3250" s="23"/>
      <c r="G3250" s="23"/>
      <c r="L3250" s="23"/>
    </row>
    <row r="3251">
      <c r="E3251" s="22"/>
      <c r="F3251" s="23"/>
      <c r="G3251" s="23"/>
      <c r="L3251" s="23"/>
    </row>
    <row r="3252">
      <c r="E3252" s="22"/>
      <c r="F3252" s="23"/>
      <c r="G3252" s="23"/>
      <c r="L3252" s="23"/>
    </row>
    <row r="3253">
      <c r="E3253" s="22"/>
      <c r="F3253" s="23"/>
      <c r="G3253" s="23"/>
      <c r="L3253" s="23"/>
    </row>
    <row r="3254">
      <c r="E3254" s="22"/>
      <c r="F3254" s="23"/>
      <c r="G3254" s="23"/>
      <c r="L3254" s="23"/>
    </row>
    <row r="3255">
      <c r="E3255" s="22"/>
      <c r="F3255" s="23"/>
      <c r="G3255" s="23"/>
      <c r="L3255" s="23"/>
    </row>
    <row r="3256">
      <c r="E3256" s="22"/>
      <c r="F3256" s="23"/>
      <c r="G3256" s="23"/>
      <c r="L3256" s="23"/>
    </row>
    <row r="3257">
      <c r="E3257" s="22"/>
      <c r="F3257" s="23"/>
      <c r="G3257" s="23"/>
      <c r="L3257" s="23"/>
    </row>
    <row r="3258">
      <c r="E3258" s="22"/>
      <c r="F3258" s="23"/>
      <c r="G3258" s="23"/>
      <c r="L3258" s="23"/>
    </row>
    <row r="3259">
      <c r="E3259" s="22"/>
      <c r="F3259" s="23"/>
      <c r="G3259" s="23"/>
      <c r="L3259" s="23"/>
    </row>
    <row r="3260">
      <c r="E3260" s="22"/>
      <c r="F3260" s="23"/>
      <c r="G3260" s="23"/>
      <c r="L3260" s="23"/>
    </row>
    <row r="3261">
      <c r="E3261" s="22"/>
      <c r="F3261" s="23"/>
      <c r="G3261" s="23"/>
      <c r="L3261" s="23"/>
    </row>
    <row r="3262">
      <c r="E3262" s="22"/>
      <c r="F3262" s="23"/>
      <c r="G3262" s="23"/>
      <c r="L3262" s="23"/>
    </row>
    <row r="3263">
      <c r="E3263" s="22"/>
      <c r="F3263" s="23"/>
      <c r="G3263" s="23"/>
      <c r="L3263" s="23"/>
    </row>
    <row r="3264">
      <c r="E3264" s="22"/>
      <c r="F3264" s="23"/>
      <c r="G3264" s="23"/>
      <c r="L3264" s="23"/>
    </row>
    <row r="3265">
      <c r="E3265" s="22"/>
      <c r="F3265" s="23"/>
      <c r="G3265" s="23"/>
      <c r="L3265" s="23"/>
    </row>
    <row r="3266">
      <c r="E3266" s="22"/>
      <c r="F3266" s="23"/>
      <c r="G3266" s="23"/>
      <c r="L3266" s="23"/>
    </row>
    <row r="3267">
      <c r="E3267" s="22"/>
      <c r="F3267" s="23"/>
      <c r="G3267" s="23"/>
      <c r="L3267" s="23"/>
    </row>
    <row r="3268">
      <c r="E3268" s="22"/>
      <c r="F3268" s="23"/>
      <c r="G3268" s="23"/>
      <c r="L3268" s="23"/>
    </row>
    <row r="3269">
      <c r="E3269" s="22"/>
      <c r="F3269" s="23"/>
      <c r="G3269" s="23"/>
      <c r="L3269" s="23"/>
    </row>
    <row r="3270">
      <c r="E3270" s="22"/>
      <c r="F3270" s="23"/>
      <c r="G3270" s="23"/>
      <c r="L3270" s="23"/>
    </row>
    <row r="3271">
      <c r="E3271" s="22"/>
      <c r="F3271" s="23"/>
      <c r="G3271" s="23"/>
      <c r="L3271" s="23"/>
    </row>
    <row r="3272">
      <c r="E3272" s="22"/>
      <c r="F3272" s="23"/>
      <c r="G3272" s="23"/>
      <c r="L3272" s="23"/>
    </row>
    <row r="3273">
      <c r="E3273" s="22"/>
      <c r="F3273" s="23"/>
      <c r="G3273" s="23"/>
      <c r="L3273" s="23"/>
    </row>
    <row r="3274">
      <c r="E3274" s="22"/>
      <c r="F3274" s="23"/>
      <c r="G3274" s="23"/>
      <c r="L3274" s="23"/>
    </row>
    <row r="3275">
      <c r="E3275" s="22"/>
      <c r="F3275" s="23"/>
      <c r="G3275" s="23"/>
      <c r="L3275" s="23"/>
    </row>
    <row r="3276">
      <c r="E3276" s="22"/>
      <c r="F3276" s="23"/>
      <c r="G3276" s="23"/>
      <c r="L3276" s="23"/>
    </row>
    <row r="3277">
      <c r="E3277" s="22"/>
      <c r="F3277" s="23"/>
      <c r="G3277" s="23"/>
      <c r="L3277" s="23"/>
    </row>
    <row r="3278">
      <c r="E3278" s="22"/>
      <c r="F3278" s="23"/>
      <c r="G3278" s="23"/>
      <c r="L3278" s="23"/>
    </row>
    <row r="3279">
      <c r="E3279" s="22"/>
      <c r="F3279" s="23"/>
      <c r="G3279" s="23"/>
      <c r="L3279" s="23"/>
    </row>
    <row r="3280">
      <c r="E3280" s="22"/>
      <c r="F3280" s="23"/>
      <c r="G3280" s="23"/>
      <c r="L3280" s="23"/>
    </row>
    <row r="3281">
      <c r="E3281" s="22"/>
      <c r="F3281" s="23"/>
      <c r="G3281" s="23"/>
      <c r="L3281" s="23"/>
    </row>
    <row r="3282">
      <c r="E3282" s="22"/>
      <c r="F3282" s="23"/>
      <c r="G3282" s="23"/>
      <c r="L3282" s="23"/>
    </row>
    <row r="3283">
      <c r="E3283" s="22"/>
      <c r="F3283" s="23"/>
      <c r="G3283" s="23"/>
      <c r="L3283" s="23"/>
    </row>
    <row r="3284">
      <c r="E3284" s="22"/>
      <c r="F3284" s="23"/>
      <c r="G3284" s="23"/>
      <c r="L3284" s="23"/>
    </row>
    <row r="3285">
      <c r="E3285" s="22"/>
      <c r="F3285" s="23"/>
      <c r="G3285" s="23"/>
      <c r="L3285" s="23"/>
    </row>
    <row r="3286">
      <c r="E3286" s="22"/>
      <c r="F3286" s="23"/>
      <c r="G3286" s="23"/>
      <c r="L3286" s="23"/>
    </row>
    <row r="3287">
      <c r="E3287" s="22"/>
      <c r="F3287" s="23"/>
      <c r="G3287" s="23"/>
      <c r="L3287" s="23"/>
    </row>
    <row r="3288">
      <c r="E3288" s="22"/>
      <c r="F3288" s="23"/>
      <c r="G3288" s="23"/>
      <c r="L3288" s="23"/>
    </row>
    <row r="3289">
      <c r="E3289" s="22"/>
      <c r="F3289" s="23"/>
      <c r="G3289" s="23"/>
      <c r="L3289" s="23"/>
    </row>
    <row r="3290">
      <c r="E3290" s="22"/>
      <c r="F3290" s="23"/>
      <c r="G3290" s="23"/>
      <c r="L3290" s="23"/>
    </row>
    <row r="3291">
      <c r="E3291" s="22"/>
      <c r="F3291" s="23"/>
      <c r="G3291" s="23"/>
      <c r="L3291" s="23"/>
    </row>
    <row r="3292">
      <c r="E3292" s="22"/>
      <c r="F3292" s="23"/>
      <c r="G3292" s="23"/>
      <c r="L3292" s="23"/>
    </row>
    <row r="3293">
      <c r="E3293" s="22"/>
      <c r="F3293" s="23"/>
      <c r="G3293" s="23"/>
      <c r="L3293" s="23"/>
    </row>
    <row r="3294">
      <c r="E3294" s="22"/>
      <c r="F3294" s="23"/>
      <c r="G3294" s="23"/>
      <c r="L3294" s="23"/>
    </row>
    <row r="3295">
      <c r="E3295" s="22"/>
      <c r="F3295" s="23"/>
      <c r="G3295" s="23"/>
      <c r="L3295" s="23"/>
    </row>
    <row r="3296">
      <c r="E3296" s="22"/>
      <c r="F3296" s="23"/>
      <c r="G3296" s="23"/>
      <c r="L3296" s="23"/>
    </row>
    <row r="3297">
      <c r="E3297" s="22"/>
      <c r="F3297" s="23"/>
      <c r="G3297" s="23"/>
      <c r="L3297" s="23"/>
    </row>
    <row r="3298">
      <c r="E3298" s="22"/>
      <c r="F3298" s="23"/>
      <c r="G3298" s="23"/>
      <c r="L3298" s="23"/>
    </row>
    <row r="3299">
      <c r="E3299" s="22"/>
      <c r="F3299" s="23"/>
      <c r="G3299" s="23"/>
      <c r="L3299" s="23"/>
    </row>
    <row r="3300">
      <c r="E3300" s="22"/>
      <c r="F3300" s="23"/>
      <c r="G3300" s="23"/>
      <c r="L3300" s="23"/>
    </row>
    <row r="3301">
      <c r="E3301" s="22"/>
      <c r="F3301" s="23"/>
      <c r="G3301" s="23"/>
      <c r="L3301" s="23"/>
    </row>
    <row r="3302">
      <c r="E3302" s="22"/>
      <c r="F3302" s="23"/>
      <c r="G3302" s="23"/>
      <c r="L3302" s="23"/>
    </row>
    <row r="3303">
      <c r="E3303" s="22"/>
      <c r="F3303" s="23"/>
      <c r="G3303" s="23"/>
      <c r="L3303" s="23"/>
    </row>
    <row r="3304">
      <c r="E3304" s="22"/>
      <c r="F3304" s="23"/>
      <c r="G3304" s="23"/>
      <c r="L3304" s="23"/>
    </row>
    <row r="3305">
      <c r="E3305" s="22"/>
      <c r="F3305" s="23"/>
      <c r="G3305" s="23"/>
      <c r="L3305" s="23"/>
    </row>
    <row r="3306">
      <c r="E3306" s="22"/>
      <c r="F3306" s="23"/>
      <c r="G3306" s="23"/>
      <c r="L3306" s="23"/>
    </row>
    <row r="3307">
      <c r="E3307" s="22"/>
      <c r="F3307" s="23"/>
      <c r="G3307" s="23"/>
      <c r="L3307" s="23"/>
    </row>
    <row r="3308">
      <c r="E3308" s="22"/>
      <c r="F3308" s="23"/>
      <c r="G3308" s="23"/>
      <c r="L3308" s="23"/>
    </row>
    <row r="3309">
      <c r="E3309" s="22"/>
      <c r="F3309" s="23"/>
      <c r="G3309" s="23"/>
      <c r="L3309" s="23"/>
    </row>
    <row r="3310">
      <c r="E3310" s="22"/>
      <c r="F3310" s="23"/>
      <c r="G3310" s="23"/>
      <c r="L3310" s="23"/>
    </row>
    <row r="3311">
      <c r="E3311" s="22"/>
      <c r="F3311" s="23"/>
      <c r="G3311" s="23"/>
      <c r="L3311" s="23"/>
    </row>
    <row r="3312">
      <c r="E3312" s="22"/>
      <c r="F3312" s="23"/>
      <c r="G3312" s="23"/>
      <c r="L3312" s="23"/>
    </row>
    <row r="3313">
      <c r="E3313" s="22"/>
      <c r="F3313" s="23"/>
      <c r="G3313" s="23"/>
      <c r="L3313" s="23"/>
    </row>
    <row r="3314">
      <c r="E3314" s="22"/>
      <c r="F3314" s="23"/>
      <c r="G3314" s="23"/>
      <c r="L3314" s="23"/>
    </row>
    <row r="3315">
      <c r="E3315" s="22"/>
      <c r="F3315" s="23"/>
      <c r="G3315" s="23"/>
      <c r="L3315" s="23"/>
    </row>
    <row r="3316">
      <c r="E3316" s="22"/>
      <c r="F3316" s="23"/>
      <c r="G3316" s="23"/>
      <c r="L3316" s="23"/>
    </row>
    <row r="3317">
      <c r="E3317" s="22"/>
      <c r="F3317" s="23"/>
      <c r="G3317" s="23"/>
      <c r="L3317" s="23"/>
    </row>
    <row r="3318">
      <c r="E3318" s="22"/>
      <c r="F3318" s="23"/>
      <c r="G3318" s="23"/>
      <c r="L3318" s="23"/>
    </row>
    <row r="3319">
      <c r="E3319" s="22"/>
      <c r="F3319" s="23"/>
      <c r="G3319" s="23"/>
      <c r="L3319" s="23"/>
    </row>
    <row r="3320">
      <c r="E3320" s="22"/>
      <c r="F3320" s="23"/>
      <c r="G3320" s="23"/>
      <c r="L3320" s="23"/>
    </row>
    <row r="3321">
      <c r="E3321" s="22"/>
      <c r="F3321" s="23"/>
      <c r="G3321" s="23"/>
      <c r="L3321" s="23"/>
    </row>
    <row r="3322">
      <c r="E3322" s="22"/>
      <c r="F3322" s="23"/>
      <c r="G3322" s="23"/>
      <c r="L3322" s="23"/>
    </row>
    <row r="3323">
      <c r="E3323" s="22"/>
      <c r="F3323" s="23"/>
      <c r="G3323" s="23"/>
      <c r="L3323" s="23"/>
    </row>
    <row r="3324">
      <c r="E3324" s="22"/>
      <c r="F3324" s="23"/>
      <c r="G3324" s="23"/>
      <c r="L3324" s="23"/>
    </row>
    <row r="3325">
      <c r="E3325" s="22"/>
      <c r="F3325" s="23"/>
      <c r="G3325" s="23"/>
      <c r="L3325" s="23"/>
    </row>
    <row r="3326">
      <c r="E3326" s="22"/>
      <c r="F3326" s="23"/>
      <c r="G3326" s="23"/>
      <c r="L3326" s="23"/>
    </row>
    <row r="3327">
      <c r="E3327" s="22"/>
      <c r="F3327" s="23"/>
      <c r="G3327" s="23"/>
      <c r="L3327" s="23"/>
    </row>
    <row r="3328">
      <c r="E3328" s="22"/>
      <c r="F3328" s="23"/>
      <c r="G3328" s="23"/>
      <c r="L3328" s="23"/>
    </row>
    <row r="3329">
      <c r="E3329" s="22"/>
      <c r="F3329" s="23"/>
      <c r="G3329" s="23"/>
      <c r="L3329" s="23"/>
    </row>
    <row r="3330">
      <c r="E3330" s="22"/>
      <c r="F3330" s="23"/>
      <c r="G3330" s="23"/>
      <c r="L3330" s="23"/>
    </row>
    <row r="3331">
      <c r="E3331" s="22"/>
      <c r="F3331" s="23"/>
      <c r="G3331" s="23"/>
      <c r="L3331" s="23"/>
    </row>
    <row r="3332">
      <c r="E3332" s="22"/>
      <c r="F3332" s="23"/>
      <c r="G3332" s="23"/>
      <c r="L3332" s="23"/>
    </row>
    <row r="3333">
      <c r="E3333" s="22"/>
      <c r="F3333" s="23"/>
      <c r="G3333" s="23"/>
      <c r="L3333" s="23"/>
    </row>
    <row r="3334">
      <c r="E3334" s="22"/>
      <c r="F3334" s="23"/>
      <c r="G3334" s="23"/>
      <c r="L3334" s="23"/>
    </row>
    <row r="3335">
      <c r="E3335" s="22"/>
      <c r="F3335" s="23"/>
      <c r="G3335" s="23"/>
      <c r="L3335" s="23"/>
    </row>
    <row r="3336">
      <c r="E3336" s="22"/>
      <c r="F3336" s="23"/>
      <c r="G3336" s="23"/>
      <c r="L3336" s="23"/>
    </row>
    <row r="3337">
      <c r="E3337" s="22"/>
      <c r="F3337" s="23"/>
      <c r="G3337" s="23"/>
      <c r="L3337" s="23"/>
    </row>
    <row r="3338">
      <c r="E3338" s="22"/>
      <c r="F3338" s="23"/>
      <c r="G3338" s="23"/>
      <c r="L3338" s="23"/>
    </row>
    <row r="3339">
      <c r="E3339" s="22"/>
      <c r="F3339" s="23"/>
      <c r="G3339" s="23"/>
      <c r="L3339" s="23"/>
    </row>
    <row r="3340">
      <c r="E3340" s="22"/>
      <c r="F3340" s="23"/>
      <c r="G3340" s="23"/>
      <c r="L3340" s="23"/>
    </row>
    <row r="3341">
      <c r="E3341" s="22"/>
      <c r="F3341" s="23"/>
      <c r="G3341" s="23"/>
      <c r="L3341" s="23"/>
    </row>
    <row r="3342">
      <c r="E3342" s="22"/>
      <c r="F3342" s="23"/>
      <c r="G3342" s="23"/>
      <c r="L3342" s="23"/>
    </row>
    <row r="3343">
      <c r="E3343" s="22"/>
      <c r="F3343" s="23"/>
      <c r="G3343" s="23"/>
      <c r="L3343" s="23"/>
    </row>
    <row r="3344">
      <c r="E3344" s="22"/>
      <c r="F3344" s="23"/>
      <c r="G3344" s="23"/>
      <c r="L3344" s="23"/>
    </row>
    <row r="3345">
      <c r="E3345" s="22"/>
      <c r="F3345" s="23"/>
      <c r="G3345" s="23"/>
      <c r="L3345" s="23"/>
    </row>
    <row r="3346">
      <c r="E3346" s="22"/>
      <c r="F3346" s="23"/>
      <c r="G3346" s="23"/>
      <c r="L3346" s="23"/>
    </row>
    <row r="3347">
      <c r="E3347" s="22"/>
      <c r="F3347" s="23"/>
      <c r="G3347" s="23"/>
      <c r="L3347" s="23"/>
    </row>
    <row r="3348">
      <c r="E3348" s="22"/>
      <c r="F3348" s="23"/>
      <c r="G3348" s="23"/>
      <c r="L3348" s="23"/>
    </row>
    <row r="3349">
      <c r="E3349" s="22"/>
      <c r="F3349" s="23"/>
      <c r="G3349" s="23"/>
      <c r="L3349" s="23"/>
    </row>
    <row r="3350">
      <c r="E3350" s="22"/>
      <c r="F3350" s="23"/>
      <c r="G3350" s="23"/>
      <c r="L3350" s="23"/>
    </row>
    <row r="3351">
      <c r="E3351" s="22"/>
      <c r="F3351" s="23"/>
      <c r="G3351" s="23"/>
      <c r="L3351" s="23"/>
    </row>
    <row r="3352">
      <c r="E3352" s="22"/>
      <c r="F3352" s="23"/>
      <c r="G3352" s="23"/>
      <c r="L3352" s="23"/>
    </row>
    <row r="3353">
      <c r="E3353" s="22"/>
      <c r="F3353" s="23"/>
      <c r="G3353" s="23"/>
      <c r="L3353" s="23"/>
    </row>
    <row r="3354">
      <c r="E3354" s="22"/>
      <c r="F3354" s="23"/>
      <c r="G3354" s="23"/>
      <c r="L3354" s="23"/>
    </row>
    <row r="3355">
      <c r="E3355" s="22"/>
      <c r="F3355" s="23"/>
      <c r="G3355" s="23"/>
      <c r="L3355" s="23"/>
    </row>
    <row r="3356">
      <c r="E3356" s="22"/>
      <c r="F3356" s="23"/>
      <c r="G3356" s="23"/>
      <c r="L3356" s="23"/>
    </row>
    <row r="3357">
      <c r="E3357" s="22"/>
      <c r="F3357" s="23"/>
      <c r="G3357" s="23"/>
      <c r="L3357" s="23"/>
    </row>
    <row r="3358">
      <c r="E3358" s="22"/>
      <c r="F3358" s="23"/>
      <c r="G3358" s="23"/>
      <c r="L3358" s="23"/>
    </row>
    <row r="3359">
      <c r="E3359" s="22"/>
      <c r="F3359" s="23"/>
      <c r="G3359" s="23"/>
      <c r="L3359" s="23"/>
    </row>
    <row r="3360">
      <c r="E3360" s="22"/>
      <c r="F3360" s="23"/>
      <c r="G3360" s="23"/>
      <c r="L3360" s="23"/>
    </row>
    <row r="3361">
      <c r="E3361" s="22"/>
      <c r="F3361" s="23"/>
      <c r="G3361" s="23"/>
      <c r="L3361" s="23"/>
    </row>
    <row r="3362">
      <c r="E3362" s="22"/>
      <c r="F3362" s="23"/>
      <c r="G3362" s="23"/>
      <c r="L3362" s="23"/>
    </row>
    <row r="3363">
      <c r="E3363" s="22"/>
      <c r="F3363" s="23"/>
      <c r="G3363" s="23"/>
      <c r="L3363" s="23"/>
    </row>
    <row r="3364">
      <c r="E3364" s="22"/>
      <c r="F3364" s="23"/>
      <c r="G3364" s="23"/>
      <c r="L3364" s="23"/>
    </row>
    <row r="3365">
      <c r="E3365" s="22"/>
      <c r="F3365" s="23"/>
      <c r="G3365" s="23"/>
      <c r="L3365" s="23"/>
    </row>
    <row r="3366">
      <c r="E3366" s="22"/>
      <c r="F3366" s="23"/>
      <c r="G3366" s="23"/>
      <c r="L3366" s="23"/>
    </row>
    <row r="3367">
      <c r="E3367" s="22"/>
      <c r="F3367" s="23"/>
      <c r="G3367" s="23"/>
      <c r="L3367" s="23"/>
    </row>
    <row r="3368">
      <c r="E3368" s="22"/>
      <c r="F3368" s="23"/>
      <c r="G3368" s="23"/>
      <c r="L3368" s="23"/>
    </row>
    <row r="3369">
      <c r="E3369" s="22"/>
      <c r="F3369" s="23"/>
      <c r="G3369" s="23"/>
      <c r="L3369" s="23"/>
    </row>
    <row r="3370">
      <c r="E3370" s="22"/>
      <c r="F3370" s="23"/>
      <c r="G3370" s="23"/>
      <c r="L3370" s="23"/>
    </row>
    <row r="3371">
      <c r="E3371" s="22"/>
      <c r="F3371" s="23"/>
      <c r="G3371" s="23"/>
      <c r="L3371" s="23"/>
    </row>
    <row r="3372">
      <c r="E3372" s="22"/>
      <c r="F3372" s="23"/>
      <c r="G3372" s="23"/>
      <c r="L3372" s="23"/>
    </row>
    <row r="3373">
      <c r="E3373" s="22"/>
      <c r="F3373" s="23"/>
      <c r="G3373" s="23"/>
      <c r="L3373" s="23"/>
    </row>
    <row r="3374">
      <c r="E3374" s="22"/>
      <c r="F3374" s="23"/>
      <c r="G3374" s="23"/>
      <c r="L3374" s="23"/>
    </row>
    <row r="3375">
      <c r="E3375" s="22"/>
      <c r="F3375" s="23"/>
      <c r="G3375" s="23"/>
      <c r="L3375" s="23"/>
    </row>
    <row r="3376">
      <c r="E3376" s="22"/>
      <c r="F3376" s="23"/>
      <c r="G3376" s="23"/>
      <c r="L3376" s="23"/>
    </row>
    <row r="3377">
      <c r="E3377" s="22"/>
      <c r="F3377" s="23"/>
      <c r="G3377" s="23"/>
      <c r="L3377" s="23"/>
    </row>
    <row r="3378">
      <c r="E3378" s="22"/>
      <c r="F3378" s="23"/>
      <c r="G3378" s="23"/>
      <c r="L3378" s="23"/>
    </row>
    <row r="3379">
      <c r="E3379" s="22"/>
      <c r="F3379" s="23"/>
      <c r="G3379" s="23"/>
      <c r="L3379" s="23"/>
    </row>
    <row r="3380">
      <c r="E3380" s="22"/>
      <c r="F3380" s="23"/>
      <c r="G3380" s="23"/>
      <c r="L3380" s="23"/>
    </row>
    <row r="3381">
      <c r="E3381" s="22"/>
      <c r="F3381" s="23"/>
      <c r="G3381" s="23"/>
      <c r="L3381" s="23"/>
    </row>
    <row r="3382">
      <c r="E3382" s="22"/>
      <c r="F3382" s="23"/>
      <c r="G3382" s="23"/>
      <c r="L3382" s="23"/>
    </row>
    <row r="3383">
      <c r="E3383" s="22"/>
      <c r="F3383" s="23"/>
      <c r="G3383" s="23"/>
      <c r="L3383" s="23"/>
    </row>
    <row r="3384">
      <c r="E3384" s="22"/>
      <c r="F3384" s="23"/>
      <c r="G3384" s="23"/>
      <c r="L3384" s="23"/>
    </row>
    <row r="3385">
      <c r="E3385" s="22"/>
      <c r="F3385" s="23"/>
      <c r="G3385" s="23"/>
      <c r="L3385" s="23"/>
    </row>
    <row r="3386">
      <c r="E3386" s="22"/>
      <c r="F3386" s="23"/>
      <c r="G3386" s="23"/>
      <c r="L3386" s="23"/>
    </row>
    <row r="3387">
      <c r="E3387" s="22"/>
      <c r="F3387" s="23"/>
      <c r="G3387" s="23"/>
      <c r="L3387" s="23"/>
    </row>
    <row r="3388">
      <c r="E3388" s="22"/>
      <c r="F3388" s="23"/>
      <c r="G3388" s="23"/>
      <c r="L3388" s="23"/>
    </row>
    <row r="3389">
      <c r="E3389" s="22"/>
      <c r="F3389" s="23"/>
      <c r="G3389" s="23"/>
      <c r="L3389" s="23"/>
    </row>
    <row r="3390">
      <c r="E3390" s="22"/>
      <c r="F3390" s="23"/>
      <c r="G3390" s="23"/>
      <c r="L3390" s="23"/>
    </row>
    <row r="3391">
      <c r="E3391" s="22"/>
      <c r="F3391" s="23"/>
      <c r="G3391" s="23"/>
      <c r="L3391" s="23"/>
    </row>
    <row r="3392">
      <c r="E3392" s="22"/>
      <c r="F3392" s="23"/>
      <c r="G3392" s="23"/>
      <c r="L3392" s="23"/>
    </row>
    <row r="3393">
      <c r="E3393" s="22"/>
      <c r="F3393" s="23"/>
      <c r="G3393" s="23"/>
      <c r="L3393" s="23"/>
    </row>
    <row r="3394">
      <c r="E3394" s="22"/>
      <c r="F3394" s="23"/>
      <c r="G3394" s="23"/>
      <c r="L3394" s="23"/>
    </row>
    <row r="3395">
      <c r="E3395" s="22"/>
      <c r="F3395" s="23"/>
      <c r="G3395" s="23"/>
      <c r="L3395" s="23"/>
    </row>
    <row r="3396">
      <c r="E3396" s="22"/>
      <c r="F3396" s="23"/>
      <c r="G3396" s="23"/>
      <c r="L3396" s="23"/>
    </row>
    <row r="3397">
      <c r="E3397" s="22"/>
      <c r="F3397" s="23"/>
      <c r="G3397" s="23"/>
      <c r="L3397" s="23"/>
    </row>
    <row r="3398">
      <c r="E3398" s="22"/>
      <c r="F3398" s="23"/>
      <c r="G3398" s="23"/>
      <c r="L3398" s="23"/>
    </row>
    <row r="3399">
      <c r="E3399" s="22"/>
      <c r="F3399" s="23"/>
      <c r="G3399" s="23"/>
      <c r="L3399" s="23"/>
    </row>
    <row r="3400">
      <c r="E3400" s="22"/>
      <c r="F3400" s="23"/>
      <c r="G3400" s="23"/>
      <c r="L3400" s="23"/>
    </row>
    <row r="3401">
      <c r="E3401" s="22"/>
      <c r="F3401" s="23"/>
      <c r="G3401" s="23"/>
      <c r="L3401" s="23"/>
    </row>
    <row r="3402">
      <c r="E3402" s="22"/>
      <c r="F3402" s="23"/>
      <c r="G3402" s="23"/>
      <c r="L3402" s="23"/>
    </row>
    <row r="3403">
      <c r="E3403" s="22"/>
      <c r="F3403" s="23"/>
      <c r="G3403" s="23"/>
      <c r="L3403" s="23"/>
    </row>
    <row r="3404">
      <c r="E3404" s="22"/>
      <c r="F3404" s="23"/>
      <c r="G3404" s="23"/>
      <c r="L3404" s="23"/>
    </row>
    <row r="3405">
      <c r="E3405" s="22"/>
      <c r="F3405" s="23"/>
      <c r="G3405" s="23"/>
      <c r="L3405" s="23"/>
    </row>
    <row r="3406">
      <c r="E3406" s="22"/>
      <c r="F3406" s="23"/>
      <c r="G3406" s="23"/>
      <c r="L3406" s="23"/>
    </row>
    <row r="3407">
      <c r="E3407" s="22"/>
      <c r="F3407" s="23"/>
      <c r="G3407" s="23"/>
      <c r="L3407" s="23"/>
    </row>
    <row r="3408">
      <c r="E3408" s="22"/>
      <c r="F3408" s="23"/>
      <c r="G3408" s="23"/>
      <c r="L3408" s="23"/>
    </row>
    <row r="3409">
      <c r="E3409" s="22"/>
      <c r="F3409" s="23"/>
      <c r="G3409" s="23"/>
      <c r="L3409" s="23"/>
    </row>
    <row r="3410">
      <c r="E3410" s="22"/>
      <c r="F3410" s="23"/>
      <c r="G3410" s="23"/>
      <c r="L3410" s="23"/>
    </row>
    <row r="3411">
      <c r="E3411" s="22"/>
      <c r="F3411" s="23"/>
      <c r="G3411" s="23"/>
      <c r="L3411" s="23"/>
    </row>
    <row r="3412">
      <c r="E3412" s="22"/>
      <c r="F3412" s="23"/>
      <c r="G3412" s="23"/>
      <c r="L3412" s="23"/>
    </row>
    <row r="3413">
      <c r="E3413" s="22"/>
      <c r="F3413" s="23"/>
      <c r="G3413" s="23"/>
      <c r="L3413" s="23"/>
    </row>
    <row r="3414">
      <c r="E3414" s="22"/>
      <c r="F3414" s="23"/>
      <c r="G3414" s="23"/>
      <c r="L3414" s="23"/>
    </row>
    <row r="3415">
      <c r="E3415" s="22"/>
      <c r="F3415" s="23"/>
      <c r="G3415" s="23"/>
      <c r="L3415" s="23"/>
    </row>
    <row r="3416">
      <c r="E3416" s="22"/>
      <c r="F3416" s="23"/>
      <c r="G3416" s="23"/>
      <c r="L3416" s="23"/>
    </row>
    <row r="3417">
      <c r="E3417" s="22"/>
      <c r="F3417" s="23"/>
      <c r="G3417" s="23"/>
      <c r="L3417" s="23"/>
    </row>
    <row r="3418">
      <c r="E3418" s="22"/>
      <c r="F3418" s="23"/>
      <c r="G3418" s="23"/>
      <c r="L3418" s="23"/>
    </row>
    <row r="3419">
      <c r="E3419" s="22"/>
      <c r="F3419" s="23"/>
      <c r="G3419" s="23"/>
      <c r="L3419" s="23"/>
    </row>
    <row r="3420">
      <c r="E3420" s="22"/>
      <c r="F3420" s="23"/>
      <c r="G3420" s="23"/>
      <c r="L3420" s="23"/>
    </row>
    <row r="3421">
      <c r="E3421" s="22"/>
      <c r="F3421" s="23"/>
      <c r="G3421" s="23"/>
      <c r="L3421" s="23"/>
    </row>
    <row r="3422">
      <c r="E3422" s="22"/>
      <c r="F3422" s="23"/>
      <c r="G3422" s="23"/>
      <c r="L3422" s="23"/>
    </row>
    <row r="3423">
      <c r="E3423" s="22"/>
      <c r="F3423" s="23"/>
      <c r="G3423" s="23"/>
      <c r="L3423" s="23"/>
    </row>
    <row r="3424">
      <c r="E3424" s="22"/>
      <c r="F3424" s="23"/>
      <c r="G3424" s="23"/>
      <c r="L3424" s="23"/>
    </row>
    <row r="3425">
      <c r="E3425" s="22"/>
      <c r="F3425" s="23"/>
      <c r="G3425" s="23"/>
      <c r="L3425" s="23"/>
    </row>
    <row r="3426">
      <c r="E3426" s="22"/>
      <c r="F3426" s="23"/>
      <c r="G3426" s="23"/>
      <c r="L3426" s="23"/>
    </row>
    <row r="3427">
      <c r="E3427" s="22"/>
      <c r="F3427" s="23"/>
      <c r="G3427" s="23"/>
      <c r="L3427" s="23"/>
    </row>
    <row r="3428">
      <c r="E3428" s="22"/>
      <c r="F3428" s="23"/>
      <c r="G3428" s="23"/>
      <c r="L3428" s="23"/>
    </row>
    <row r="3429">
      <c r="E3429" s="22"/>
      <c r="F3429" s="23"/>
      <c r="G3429" s="23"/>
      <c r="L3429" s="23"/>
    </row>
    <row r="3430">
      <c r="E3430" s="22"/>
      <c r="F3430" s="23"/>
      <c r="G3430" s="23"/>
      <c r="L3430" s="23"/>
    </row>
    <row r="3431">
      <c r="E3431" s="22"/>
      <c r="F3431" s="23"/>
      <c r="G3431" s="23"/>
      <c r="L3431" s="23"/>
    </row>
    <row r="3432">
      <c r="E3432" s="22"/>
      <c r="F3432" s="23"/>
      <c r="G3432" s="23"/>
      <c r="L3432" s="23"/>
    </row>
    <row r="3433">
      <c r="E3433" s="22"/>
      <c r="F3433" s="23"/>
      <c r="G3433" s="23"/>
      <c r="L3433" s="23"/>
    </row>
    <row r="3434">
      <c r="E3434" s="22"/>
      <c r="F3434" s="23"/>
      <c r="G3434" s="23"/>
      <c r="L3434" s="23"/>
    </row>
    <row r="3435">
      <c r="E3435" s="22"/>
      <c r="F3435" s="23"/>
      <c r="G3435" s="23"/>
      <c r="L3435" s="23"/>
    </row>
    <row r="3436">
      <c r="E3436" s="22"/>
      <c r="F3436" s="23"/>
      <c r="G3436" s="23"/>
      <c r="L3436" s="23"/>
    </row>
    <row r="3437">
      <c r="E3437" s="22"/>
      <c r="F3437" s="23"/>
      <c r="G3437" s="23"/>
      <c r="L3437" s="23"/>
    </row>
    <row r="3438">
      <c r="E3438" s="22"/>
      <c r="F3438" s="23"/>
      <c r="G3438" s="23"/>
      <c r="L3438" s="23"/>
    </row>
    <row r="3439">
      <c r="E3439" s="22"/>
      <c r="F3439" s="23"/>
      <c r="G3439" s="23"/>
      <c r="L3439" s="23"/>
    </row>
    <row r="3440">
      <c r="E3440" s="22"/>
      <c r="F3440" s="23"/>
      <c r="G3440" s="23"/>
      <c r="L3440" s="23"/>
    </row>
    <row r="3441">
      <c r="E3441" s="22"/>
      <c r="F3441" s="23"/>
      <c r="G3441" s="23"/>
      <c r="L3441" s="23"/>
    </row>
    <row r="3442">
      <c r="E3442" s="22"/>
      <c r="F3442" s="23"/>
      <c r="G3442" s="23"/>
      <c r="L3442" s="23"/>
    </row>
    <row r="3443">
      <c r="E3443" s="22"/>
      <c r="F3443" s="23"/>
      <c r="G3443" s="23"/>
      <c r="L3443" s="23"/>
    </row>
    <row r="3444">
      <c r="E3444" s="22"/>
      <c r="F3444" s="23"/>
      <c r="G3444" s="23"/>
      <c r="L3444" s="23"/>
    </row>
    <row r="3445">
      <c r="E3445" s="22"/>
      <c r="F3445" s="23"/>
      <c r="G3445" s="23"/>
      <c r="L3445" s="23"/>
    </row>
    <row r="3446">
      <c r="E3446" s="22"/>
      <c r="F3446" s="23"/>
      <c r="G3446" s="23"/>
      <c r="L3446" s="23"/>
    </row>
    <row r="3447">
      <c r="E3447" s="22"/>
      <c r="F3447" s="23"/>
      <c r="G3447" s="23"/>
      <c r="L3447" s="23"/>
    </row>
    <row r="3448">
      <c r="E3448" s="22"/>
      <c r="F3448" s="23"/>
      <c r="G3448" s="23"/>
      <c r="L3448" s="23"/>
    </row>
    <row r="3449">
      <c r="E3449" s="22"/>
      <c r="F3449" s="23"/>
      <c r="G3449" s="23"/>
      <c r="L3449" s="23"/>
    </row>
    <row r="3450">
      <c r="E3450" s="22"/>
      <c r="F3450" s="23"/>
      <c r="G3450" s="23"/>
      <c r="L3450" s="23"/>
    </row>
    <row r="3451">
      <c r="E3451" s="22"/>
      <c r="F3451" s="23"/>
      <c r="G3451" s="23"/>
      <c r="L3451" s="23"/>
    </row>
    <row r="3452">
      <c r="E3452" s="22"/>
      <c r="F3452" s="23"/>
      <c r="G3452" s="23"/>
      <c r="L3452" s="23"/>
    </row>
    <row r="3453">
      <c r="E3453" s="22"/>
      <c r="F3453" s="23"/>
      <c r="G3453" s="23"/>
      <c r="L3453" s="23"/>
    </row>
    <row r="3454">
      <c r="E3454" s="22"/>
      <c r="F3454" s="23"/>
      <c r="G3454" s="23"/>
      <c r="L3454" s="23"/>
    </row>
    <row r="3455">
      <c r="E3455" s="22"/>
      <c r="F3455" s="23"/>
      <c r="G3455" s="23"/>
      <c r="L3455" s="23"/>
    </row>
    <row r="3456">
      <c r="E3456" s="22"/>
      <c r="F3456" s="23"/>
      <c r="G3456" s="23"/>
      <c r="L3456" s="23"/>
    </row>
    <row r="3457">
      <c r="E3457" s="22"/>
      <c r="F3457" s="23"/>
      <c r="G3457" s="23"/>
      <c r="L3457" s="23"/>
    </row>
    <row r="3458">
      <c r="E3458" s="22"/>
      <c r="F3458" s="23"/>
      <c r="G3458" s="23"/>
      <c r="L3458" s="23"/>
    </row>
    <row r="3459">
      <c r="E3459" s="22"/>
      <c r="F3459" s="23"/>
      <c r="G3459" s="23"/>
      <c r="L3459" s="23"/>
    </row>
    <row r="3460">
      <c r="E3460" s="22"/>
      <c r="F3460" s="23"/>
      <c r="G3460" s="23"/>
      <c r="L3460" s="23"/>
    </row>
    <row r="3461">
      <c r="E3461" s="22"/>
      <c r="F3461" s="23"/>
      <c r="G3461" s="23"/>
      <c r="L3461" s="23"/>
    </row>
    <row r="3462">
      <c r="E3462" s="22"/>
      <c r="F3462" s="23"/>
      <c r="G3462" s="23"/>
      <c r="L3462" s="23"/>
    </row>
    <row r="3463">
      <c r="E3463" s="22"/>
      <c r="F3463" s="23"/>
      <c r="G3463" s="23"/>
      <c r="L3463" s="23"/>
    </row>
    <row r="3464">
      <c r="E3464" s="22"/>
      <c r="F3464" s="23"/>
      <c r="G3464" s="23"/>
      <c r="L3464" s="23"/>
    </row>
    <row r="3465">
      <c r="E3465" s="22"/>
      <c r="F3465" s="23"/>
      <c r="G3465" s="23"/>
      <c r="L3465" s="23"/>
    </row>
    <row r="3466">
      <c r="E3466" s="22"/>
      <c r="F3466" s="23"/>
      <c r="G3466" s="23"/>
      <c r="L3466" s="23"/>
    </row>
    <row r="3467">
      <c r="E3467" s="22"/>
      <c r="F3467" s="23"/>
      <c r="G3467" s="23"/>
      <c r="L3467" s="23"/>
    </row>
    <row r="3468">
      <c r="E3468" s="22"/>
      <c r="F3468" s="23"/>
      <c r="G3468" s="23"/>
      <c r="L3468" s="23"/>
    </row>
    <row r="3469">
      <c r="E3469" s="22"/>
      <c r="F3469" s="23"/>
      <c r="G3469" s="23"/>
      <c r="L3469" s="23"/>
    </row>
    <row r="3470">
      <c r="E3470" s="22"/>
      <c r="F3470" s="23"/>
      <c r="G3470" s="23"/>
      <c r="L3470" s="23"/>
    </row>
    <row r="3471">
      <c r="E3471" s="22"/>
      <c r="F3471" s="23"/>
      <c r="G3471" s="23"/>
      <c r="L3471" s="23"/>
    </row>
    <row r="3472">
      <c r="E3472" s="22"/>
      <c r="F3472" s="23"/>
      <c r="G3472" s="23"/>
      <c r="L3472" s="23"/>
    </row>
    <row r="3473">
      <c r="E3473" s="22"/>
      <c r="F3473" s="23"/>
      <c r="G3473" s="23"/>
      <c r="L3473" s="23"/>
    </row>
    <row r="3474">
      <c r="E3474" s="22"/>
      <c r="F3474" s="23"/>
      <c r="G3474" s="23"/>
      <c r="L3474" s="23"/>
    </row>
    <row r="3475">
      <c r="E3475" s="22"/>
      <c r="F3475" s="23"/>
      <c r="G3475" s="23"/>
      <c r="L3475" s="23"/>
    </row>
    <row r="3476">
      <c r="E3476" s="22"/>
      <c r="F3476" s="23"/>
      <c r="G3476" s="23"/>
      <c r="L3476" s="23"/>
    </row>
    <row r="3477">
      <c r="E3477" s="22"/>
      <c r="F3477" s="23"/>
      <c r="G3477" s="23"/>
      <c r="L3477" s="23"/>
    </row>
    <row r="3478">
      <c r="E3478" s="22"/>
      <c r="F3478" s="23"/>
      <c r="G3478" s="23"/>
      <c r="L3478" s="23"/>
    </row>
    <row r="3479">
      <c r="E3479" s="22"/>
      <c r="F3479" s="23"/>
      <c r="G3479" s="23"/>
      <c r="L3479" s="23"/>
    </row>
    <row r="3480">
      <c r="E3480" s="22"/>
      <c r="F3480" s="23"/>
      <c r="G3480" s="23"/>
      <c r="L3480" s="23"/>
    </row>
    <row r="3481">
      <c r="E3481" s="22"/>
      <c r="F3481" s="23"/>
      <c r="G3481" s="23"/>
      <c r="L3481" s="23"/>
    </row>
    <row r="3482">
      <c r="E3482" s="22"/>
      <c r="F3482" s="23"/>
      <c r="G3482" s="23"/>
      <c r="L3482" s="23"/>
    </row>
    <row r="3483">
      <c r="E3483" s="22"/>
      <c r="F3483" s="23"/>
      <c r="G3483" s="23"/>
      <c r="L3483" s="23"/>
    </row>
    <row r="3484">
      <c r="E3484" s="22"/>
      <c r="F3484" s="23"/>
      <c r="G3484" s="23"/>
      <c r="L3484" s="23"/>
    </row>
    <row r="3485">
      <c r="E3485" s="22"/>
      <c r="F3485" s="23"/>
      <c r="G3485" s="23"/>
      <c r="L3485" s="23"/>
    </row>
    <row r="3486">
      <c r="E3486" s="22"/>
      <c r="F3486" s="23"/>
      <c r="G3486" s="23"/>
      <c r="L3486" s="23"/>
    </row>
    <row r="3487">
      <c r="E3487" s="22"/>
      <c r="F3487" s="23"/>
      <c r="G3487" s="23"/>
      <c r="L3487" s="23"/>
    </row>
    <row r="3488">
      <c r="E3488" s="22"/>
      <c r="F3488" s="23"/>
      <c r="G3488" s="23"/>
      <c r="L3488" s="23"/>
    </row>
    <row r="3489">
      <c r="E3489" s="22"/>
      <c r="F3489" s="23"/>
      <c r="G3489" s="23"/>
      <c r="L3489" s="23"/>
    </row>
    <row r="3490">
      <c r="E3490" s="22"/>
      <c r="F3490" s="23"/>
      <c r="G3490" s="23"/>
      <c r="L3490" s="23"/>
    </row>
    <row r="3491">
      <c r="E3491" s="22"/>
      <c r="F3491" s="23"/>
      <c r="G3491" s="23"/>
      <c r="L3491" s="23"/>
    </row>
    <row r="3492">
      <c r="E3492" s="22"/>
      <c r="F3492" s="23"/>
      <c r="G3492" s="23"/>
      <c r="L3492" s="23"/>
    </row>
    <row r="3493">
      <c r="E3493" s="22"/>
      <c r="F3493" s="23"/>
      <c r="G3493" s="23"/>
      <c r="L3493" s="23"/>
    </row>
    <row r="3494">
      <c r="E3494" s="22"/>
      <c r="F3494" s="23"/>
      <c r="G3494" s="23"/>
      <c r="L3494" s="23"/>
    </row>
    <row r="3495">
      <c r="E3495" s="22"/>
      <c r="F3495" s="23"/>
      <c r="G3495" s="23"/>
      <c r="L3495" s="23"/>
    </row>
    <row r="3496">
      <c r="E3496" s="22"/>
      <c r="F3496" s="23"/>
      <c r="G3496" s="23"/>
      <c r="L3496" s="23"/>
    </row>
    <row r="3497">
      <c r="E3497" s="22"/>
      <c r="F3497" s="23"/>
      <c r="G3497" s="23"/>
      <c r="L3497" s="23"/>
    </row>
    <row r="3498">
      <c r="E3498" s="22"/>
      <c r="F3498" s="23"/>
      <c r="G3498" s="23"/>
      <c r="L3498" s="23"/>
    </row>
    <row r="3499">
      <c r="E3499" s="22"/>
      <c r="F3499" s="23"/>
      <c r="G3499" s="23"/>
      <c r="L3499" s="23"/>
    </row>
    <row r="3500">
      <c r="E3500" s="22"/>
      <c r="F3500" s="23"/>
      <c r="G3500" s="23"/>
      <c r="L3500" s="23"/>
    </row>
    <row r="3501">
      <c r="E3501" s="22"/>
      <c r="F3501" s="23"/>
      <c r="G3501" s="23"/>
      <c r="L3501" s="23"/>
    </row>
    <row r="3502">
      <c r="E3502" s="22"/>
      <c r="F3502" s="23"/>
      <c r="G3502" s="23"/>
      <c r="L3502" s="23"/>
    </row>
    <row r="3503">
      <c r="E3503" s="22"/>
      <c r="F3503" s="23"/>
      <c r="G3503" s="23"/>
      <c r="L3503" s="23"/>
    </row>
    <row r="3504">
      <c r="E3504" s="22"/>
      <c r="F3504" s="23"/>
      <c r="G3504" s="23"/>
      <c r="L3504" s="23"/>
    </row>
    <row r="3505">
      <c r="E3505" s="22"/>
      <c r="F3505" s="23"/>
      <c r="G3505" s="23"/>
      <c r="L3505" s="23"/>
    </row>
    <row r="3506">
      <c r="E3506" s="22"/>
      <c r="F3506" s="23"/>
      <c r="G3506" s="23"/>
      <c r="L3506" s="23"/>
    </row>
    <row r="3507">
      <c r="E3507" s="22"/>
      <c r="F3507" s="23"/>
      <c r="G3507" s="23"/>
      <c r="L3507" s="23"/>
    </row>
    <row r="3508">
      <c r="E3508" s="22"/>
      <c r="F3508" s="23"/>
      <c r="G3508" s="23"/>
      <c r="L3508" s="23"/>
    </row>
    <row r="3509">
      <c r="E3509" s="22"/>
      <c r="F3509" s="23"/>
      <c r="G3509" s="23"/>
      <c r="L3509" s="23"/>
    </row>
    <row r="3510">
      <c r="E3510" s="22"/>
      <c r="F3510" s="23"/>
      <c r="G3510" s="23"/>
      <c r="L3510" s="23"/>
    </row>
    <row r="3511">
      <c r="E3511" s="22"/>
      <c r="F3511" s="23"/>
      <c r="G3511" s="23"/>
      <c r="L3511" s="23"/>
    </row>
    <row r="3512">
      <c r="E3512" s="22"/>
      <c r="F3512" s="23"/>
      <c r="G3512" s="23"/>
      <c r="L3512" s="23"/>
    </row>
    <row r="3513">
      <c r="E3513" s="22"/>
      <c r="F3513" s="23"/>
      <c r="G3513" s="23"/>
      <c r="L3513" s="23"/>
    </row>
    <row r="3514">
      <c r="E3514" s="22"/>
      <c r="F3514" s="23"/>
      <c r="G3514" s="23"/>
      <c r="L3514" s="23"/>
    </row>
    <row r="3515">
      <c r="E3515" s="22"/>
      <c r="F3515" s="23"/>
      <c r="G3515" s="23"/>
      <c r="L3515" s="23"/>
    </row>
    <row r="3516">
      <c r="E3516" s="22"/>
      <c r="F3516" s="23"/>
      <c r="G3516" s="23"/>
      <c r="L3516" s="23"/>
    </row>
    <row r="3517">
      <c r="E3517" s="22"/>
      <c r="F3517" s="23"/>
      <c r="G3517" s="23"/>
      <c r="L3517" s="23"/>
    </row>
    <row r="3518">
      <c r="E3518" s="22"/>
      <c r="F3518" s="23"/>
      <c r="G3518" s="23"/>
      <c r="L3518" s="23"/>
    </row>
    <row r="3519">
      <c r="E3519" s="22"/>
      <c r="F3519" s="23"/>
      <c r="G3519" s="23"/>
      <c r="L3519" s="23"/>
    </row>
    <row r="3520">
      <c r="E3520" s="22"/>
      <c r="F3520" s="23"/>
      <c r="G3520" s="23"/>
      <c r="L3520" s="23"/>
    </row>
    <row r="3521">
      <c r="E3521" s="22"/>
      <c r="F3521" s="23"/>
      <c r="G3521" s="23"/>
      <c r="L3521" s="23"/>
    </row>
    <row r="3522">
      <c r="E3522" s="22"/>
      <c r="F3522" s="23"/>
      <c r="G3522" s="23"/>
      <c r="L3522" s="23"/>
    </row>
    <row r="3523">
      <c r="E3523" s="22"/>
      <c r="F3523" s="23"/>
      <c r="G3523" s="23"/>
      <c r="L3523" s="23"/>
    </row>
    <row r="3524">
      <c r="E3524" s="22"/>
      <c r="F3524" s="23"/>
      <c r="G3524" s="23"/>
      <c r="L3524" s="23"/>
    </row>
    <row r="3525">
      <c r="E3525" s="22"/>
      <c r="F3525" s="23"/>
      <c r="G3525" s="23"/>
      <c r="L3525" s="23"/>
    </row>
    <row r="3526">
      <c r="E3526" s="22"/>
      <c r="F3526" s="23"/>
      <c r="G3526" s="23"/>
      <c r="L3526" s="23"/>
    </row>
    <row r="3527">
      <c r="E3527" s="22"/>
      <c r="F3527" s="23"/>
      <c r="G3527" s="23"/>
      <c r="L3527" s="23"/>
    </row>
    <row r="3528">
      <c r="E3528" s="22"/>
      <c r="F3528" s="23"/>
      <c r="G3528" s="23"/>
      <c r="L3528" s="23"/>
    </row>
    <row r="3529">
      <c r="E3529" s="22"/>
      <c r="F3529" s="23"/>
      <c r="G3529" s="23"/>
      <c r="L3529" s="23"/>
    </row>
    <row r="3530">
      <c r="E3530" s="22"/>
      <c r="F3530" s="23"/>
      <c r="G3530" s="23"/>
      <c r="L3530" s="23"/>
    </row>
    <row r="3531">
      <c r="E3531" s="22"/>
      <c r="F3531" s="23"/>
      <c r="G3531" s="23"/>
      <c r="L3531" s="23"/>
    </row>
    <row r="3532">
      <c r="E3532" s="22"/>
      <c r="F3532" s="23"/>
      <c r="G3532" s="23"/>
      <c r="L3532" s="23"/>
    </row>
    <row r="3533">
      <c r="E3533" s="22"/>
      <c r="F3533" s="23"/>
      <c r="G3533" s="23"/>
      <c r="L3533" s="23"/>
    </row>
    <row r="3534">
      <c r="E3534" s="22"/>
      <c r="F3534" s="23"/>
      <c r="G3534" s="23"/>
      <c r="L3534" s="23"/>
    </row>
    <row r="3535">
      <c r="E3535" s="22"/>
      <c r="F3535" s="23"/>
      <c r="G3535" s="23"/>
      <c r="L3535" s="23"/>
    </row>
    <row r="3536">
      <c r="E3536" s="22"/>
      <c r="F3536" s="23"/>
      <c r="G3536" s="23"/>
      <c r="L3536" s="23"/>
    </row>
    <row r="3537">
      <c r="E3537" s="22"/>
      <c r="F3537" s="23"/>
      <c r="G3537" s="23"/>
      <c r="L3537" s="23"/>
    </row>
    <row r="3538">
      <c r="E3538" s="22"/>
      <c r="F3538" s="23"/>
      <c r="G3538" s="23"/>
      <c r="L3538" s="23"/>
    </row>
    <row r="3539">
      <c r="E3539" s="22"/>
      <c r="F3539" s="23"/>
      <c r="G3539" s="23"/>
      <c r="L3539" s="23"/>
    </row>
    <row r="3540">
      <c r="E3540" s="22"/>
      <c r="F3540" s="23"/>
      <c r="G3540" s="23"/>
      <c r="L3540" s="23"/>
    </row>
    <row r="3541">
      <c r="E3541" s="22"/>
      <c r="F3541" s="23"/>
      <c r="G3541" s="23"/>
      <c r="L3541" s="23"/>
    </row>
    <row r="3542">
      <c r="E3542" s="22"/>
      <c r="F3542" s="23"/>
      <c r="G3542" s="23"/>
      <c r="L3542" s="23"/>
    </row>
    <row r="3543">
      <c r="E3543" s="22"/>
      <c r="F3543" s="23"/>
      <c r="G3543" s="23"/>
      <c r="L3543" s="23"/>
    </row>
    <row r="3544">
      <c r="E3544" s="22"/>
      <c r="F3544" s="23"/>
      <c r="G3544" s="23"/>
      <c r="L3544" s="23"/>
    </row>
    <row r="3545">
      <c r="E3545" s="22"/>
      <c r="F3545" s="23"/>
      <c r="G3545" s="23"/>
      <c r="L3545" s="23"/>
    </row>
    <row r="3546">
      <c r="E3546" s="22"/>
      <c r="F3546" s="23"/>
      <c r="G3546" s="23"/>
      <c r="L3546" s="23"/>
    </row>
    <row r="3547">
      <c r="E3547" s="22"/>
      <c r="F3547" s="23"/>
      <c r="G3547" s="23"/>
      <c r="L3547" s="23"/>
    </row>
    <row r="3548">
      <c r="E3548" s="22"/>
      <c r="F3548" s="23"/>
      <c r="G3548" s="23"/>
      <c r="L3548" s="23"/>
    </row>
    <row r="3549">
      <c r="E3549" s="22"/>
      <c r="F3549" s="23"/>
      <c r="G3549" s="23"/>
      <c r="L3549" s="23"/>
    </row>
    <row r="3550">
      <c r="E3550" s="22"/>
      <c r="F3550" s="23"/>
      <c r="G3550" s="23"/>
      <c r="L3550" s="23"/>
    </row>
    <row r="3551">
      <c r="E3551" s="22"/>
      <c r="F3551" s="23"/>
      <c r="G3551" s="23"/>
      <c r="L3551" s="23"/>
    </row>
    <row r="3552">
      <c r="E3552" s="22"/>
      <c r="F3552" s="23"/>
      <c r="G3552" s="23"/>
      <c r="L3552" s="23"/>
    </row>
    <row r="3553">
      <c r="E3553" s="22"/>
      <c r="F3553" s="23"/>
      <c r="G3553" s="23"/>
      <c r="L3553" s="23"/>
    </row>
    <row r="3554">
      <c r="E3554" s="22"/>
      <c r="F3554" s="23"/>
      <c r="G3554" s="23"/>
      <c r="L3554" s="23"/>
    </row>
    <row r="3555">
      <c r="E3555" s="22"/>
      <c r="F3555" s="23"/>
      <c r="G3555" s="23"/>
      <c r="L3555" s="23"/>
    </row>
    <row r="3556">
      <c r="E3556" s="22"/>
      <c r="F3556" s="23"/>
      <c r="G3556" s="23"/>
      <c r="L3556" s="23"/>
    </row>
    <row r="3557">
      <c r="E3557" s="22"/>
      <c r="F3557" s="23"/>
      <c r="G3557" s="23"/>
      <c r="L3557" s="23"/>
    </row>
    <row r="3558">
      <c r="E3558" s="22"/>
      <c r="F3558" s="23"/>
      <c r="G3558" s="23"/>
      <c r="L3558" s="23"/>
    </row>
    <row r="3559">
      <c r="E3559" s="22"/>
      <c r="F3559" s="23"/>
      <c r="G3559" s="23"/>
      <c r="L3559" s="23"/>
    </row>
    <row r="3560">
      <c r="E3560" s="22"/>
      <c r="F3560" s="23"/>
      <c r="G3560" s="23"/>
      <c r="L3560" s="23"/>
    </row>
    <row r="3561">
      <c r="E3561" s="22"/>
      <c r="F3561" s="23"/>
      <c r="G3561" s="23"/>
      <c r="L3561" s="23"/>
    </row>
    <row r="3562">
      <c r="E3562" s="22"/>
      <c r="F3562" s="23"/>
      <c r="G3562" s="23"/>
      <c r="L3562" s="23"/>
    </row>
    <row r="3563">
      <c r="E3563" s="22"/>
      <c r="F3563" s="23"/>
      <c r="G3563" s="23"/>
      <c r="L3563" s="23"/>
    </row>
    <row r="3564">
      <c r="E3564" s="22"/>
      <c r="F3564" s="23"/>
      <c r="G3564" s="23"/>
      <c r="L3564" s="23"/>
    </row>
    <row r="3565">
      <c r="E3565" s="22"/>
      <c r="F3565" s="23"/>
      <c r="G3565" s="23"/>
      <c r="L3565" s="23"/>
    </row>
    <row r="3566">
      <c r="E3566" s="22"/>
      <c r="F3566" s="23"/>
      <c r="G3566" s="23"/>
      <c r="L3566" s="23"/>
    </row>
    <row r="3567">
      <c r="E3567" s="22"/>
      <c r="F3567" s="23"/>
      <c r="G3567" s="23"/>
      <c r="L3567" s="23"/>
    </row>
    <row r="3568">
      <c r="E3568" s="22"/>
      <c r="F3568" s="23"/>
      <c r="G3568" s="23"/>
      <c r="L3568" s="23"/>
    </row>
    <row r="3569">
      <c r="E3569" s="22"/>
      <c r="F3569" s="23"/>
      <c r="G3569" s="23"/>
      <c r="L3569" s="23"/>
    </row>
    <row r="3570">
      <c r="E3570" s="22"/>
      <c r="F3570" s="23"/>
      <c r="G3570" s="23"/>
      <c r="L3570" s="23"/>
    </row>
    <row r="3571">
      <c r="E3571" s="22"/>
      <c r="F3571" s="23"/>
      <c r="G3571" s="23"/>
      <c r="L3571" s="23"/>
    </row>
    <row r="3572">
      <c r="E3572" s="22"/>
      <c r="F3572" s="23"/>
      <c r="G3572" s="23"/>
      <c r="L3572" s="23"/>
    </row>
    <row r="3573">
      <c r="E3573" s="22"/>
      <c r="F3573" s="23"/>
      <c r="G3573" s="23"/>
      <c r="L3573" s="23"/>
    </row>
    <row r="3574">
      <c r="E3574" s="22"/>
      <c r="F3574" s="23"/>
      <c r="G3574" s="23"/>
      <c r="L3574" s="23"/>
    </row>
    <row r="3575">
      <c r="E3575" s="22"/>
      <c r="F3575" s="23"/>
      <c r="G3575" s="23"/>
      <c r="L3575" s="23"/>
    </row>
    <row r="3576">
      <c r="E3576" s="22"/>
      <c r="F3576" s="23"/>
      <c r="G3576" s="23"/>
      <c r="L3576" s="23"/>
    </row>
    <row r="3577">
      <c r="E3577" s="22"/>
      <c r="F3577" s="23"/>
      <c r="G3577" s="23"/>
      <c r="L3577" s="23"/>
    </row>
    <row r="3578">
      <c r="E3578" s="22"/>
      <c r="F3578" s="23"/>
      <c r="G3578" s="23"/>
      <c r="L3578" s="23"/>
    </row>
    <row r="3579">
      <c r="E3579" s="22"/>
      <c r="F3579" s="23"/>
      <c r="G3579" s="23"/>
      <c r="L3579" s="23"/>
    </row>
    <row r="3580">
      <c r="E3580" s="22"/>
      <c r="F3580" s="23"/>
      <c r="G3580" s="23"/>
      <c r="L3580" s="23"/>
    </row>
    <row r="3581">
      <c r="E3581" s="22"/>
      <c r="F3581" s="23"/>
      <c r="G3581" s="23"/>
      <c r="L3581" s="23"/>
    </row>
    <row r="3582">
      <c r="E3582" s="22"/>
      <c r="F3582" s="23"/>
      <c r="G3582" s="23"/>
      <c r="L3582" s="23"/>
    </row>
    <row r="3583">
      <c r="E3583" s="22"/>
      <c r="F3583" s="23"/>
      <c r="G3583" s="23"/>
      <c r="L3583" s="23"/>
    </row>
    <row r="3584">
      <c r="E3584" s="22"/>
      <c r="F3584" s="23"/>
      <c r="G3584" s="23"/>
      <c r="L3584" s="23"/>
    </row>
    <row r="3585">
      <c r="E3585" s="22"/>
      <c r="F3585" s="23"/>
      <c r="G3585" s="23"/>
      <c r="L3585" s="23"/>
    </row>
    <row r="3586">
      <c r="E3586" s="22"/>
      <c r="F3586" s="23"/>
      <c r="G3586" s="23"/>
      <c r="L3586" s="23"/>
    </row>
    <row r="3587">
      <c r="E3587" s="22"/>
      <c r="F3587" s="23"/>
      <c r="G3587" s="23"/>
      <c r="L3587" s="23"/>
    </row>
    <row r="3588">
      <c r="E3588" s="22"/>
      <c r="F3588" s="23"/>
      <c r="G3588" s="23"/>
      <c r="L3588" s="23"/>
    </row>
    <row r="3589">
      <c r="E3589" s="22"/>
      <c r="F3589" s="23"/>
      <c r="G3589" s="23"/>
      <c r="L3589" s="23"/>
    </row>
    <row r="3590">
      <c r="E3590" s="22"/>
      <c r="F3590" s="23"/>
      <c r="G3590" s="23"/>
      <c r="L3590" s="23"/>
    </row>
    <row r="3591">
      <c r="E3591" s="22"/>
      <c r="F3591" s="23"/>
      <c r="G3591" s="23"/>
      <c r="L3591" s="23"/>
    </row>
    <row r="3592">
      <c r="E3592" s="22"/>
      <c r="F3592" s="23"/>
      <c r="G3592" s="23"/>
      <c r="L3592" s="23"/>
    </row>
    <row r="3593">
      <c r="E3593" s="22"/>
      <c r="F3593" s="23"/>
      <c r="G3593" s="23"/>
      <c r="L3593" s="23"/>
    </row>
    <row r="3594">
      <c r="E3594" s="22"/>
      <c r="F3594" s="23"/>
      <c r="G3594" s="23"/>
      <c r="L3594" s="23"/>
    </row>
    <row r="3595">
      <c r="E3595" s="22"/>
      <c r="F3595" s="23"/>
      <c r="G3595" s="23"/>
      <c r="L3595" s="23"/>
    </row>
    <row r="3596">
      <c r="E3596" s="22"/>
      <c r="F3596" s="23"/>
      <c r="G3596" s="23"/>
      <c r="L3596" s="23"/>
    </row>
    <row r="3597">
      <c r="E3597" s="22"/>
      <c r="F3597" s="23"/>
      <c r="G3597" s="23"/>
      <c r="L3597" s="23"/>
    </row>
    <row r="3598">
      <c r="E3598" s="22"/>
      <c r="F3598" s="23"/>
      <c r="G3598" s="23"/>
      <c r="L3598" s="23"/>
    </row>
    <row r="3599">
      <c r="E3599" s="22"/>
      <c r="F3599" s="23"/>
      <c r="G3599" s="23"/>
      <c r="L3599" s="23"/>
    </row>
    <row r="3600">
      <c r="E3600" s="22"/>
      <c r="F3600" s="23"/>
      <c r="G3600" s="23"/>
      <c r="L3600" s="23"/>
    </row>
    <row r="3601">
      <c r="E3601" s="22"/>
      <c r="F3601" s="23"/>
      <c r="G3601" s="23"/>
      <c r="L3601" s="23"/>
    </row>
    <row r="3602">
      <c r="E3602" s="22"/>
      <c r="F3602" s="23"/>
      <c r="G3602" s="23"/>
      <c r="L3602" s="23"/>
    </row>
    <row r="3603">
      <c r="E3603" s="22"/>
      <c r="F3603" s="23"/>
      <c r="G3603" s="23"/>
      <c r="L3603" s="23"/>
    </row>
    <row r="3604">
      <c r="E3604" s="22"/>
      <c r="F3604" s="23"/>
      <c r="G3604" s="23"/>
      <c r="L3604" s="23"/>
    </row>
    <row r="3605">
      <c r="E3605" s="22"/>
      <c r="F3605" s="23"/>
      <c r="G3605" s="23"/>
      <c r="L3605" s="23"/>
    </row>
    <row r="3606">
      <c r="E3606" s="22"/>
      <c r="F3606" s="23"/>
      <c r="G3606" s="23"/>
      <c r="L3606" s="23"/>
    </row>
    <row r="3607">
      <c r="E3607" s="22"/>
      <c r="F3607" s="23"/>
      <c r="G3607" s="23"/>
      <c r="L3607" s="23"/>
    </row>
    <row r="3608">
      <c r="E3608" s="22"/>
      <c r="F3608" s="23"/>
      <c r="G3608" s="23"/>
      <c r="L3608" s="23"/>
    </row>
    <row r="3609">
      <c r="E3609" s="22"/>
      <c r="F3609" s="23"/>
      <c r="G3609" s="23"/>
      <c r="L3609" s="23"/>
    </row>
    <row r="3610">
      <c r="E3610" s="22"/>
      <c r="F3610" s="23"/>
      <c r="G3610" s="23"/>
      <c r="L3610" s="23"/>
    </row>
    <row r="3611">
      <c r="E3611" s="22"/>
      <c r="F3611" s="23"/>
      <c r="G3611" s="23"/>
      <c r="L3611" s="23"/>
    </row>
    <row r="3612">
      <c r="E3612" s="22"/>
      <c r="F3612" s="23"/>
      <c r="G3612" s="23"/>
      <c r="L3612" s="23"/>
    </row>
    <row r="3613">
      <c r="E3613" s="22"/>
      <c r="F3613" s="23"/>
      <c r="G3613" s="23"/>
      <c r="L3613" s="23"/>
    </row>
    <row r="3614">
      <c r="E3614" s="22"/>
      <c r="F3614" s="23"/>
      <c r="G3614" s="23"/>
      <c r="L3614" s="23"/>
    </row>
    <row r="3615">
      <c r="E3615" s="22"/>
      <c r="F3615" s="23"/>
      <c r="G3615" s="23"/>
      <c r="L3615" s="23"/>
    </row>
    <row r="3616">
      <c r="E3616" s="22"/>
      <c r="F3616" s="23"/>
      <c r="G3616" s="23"/>
      <c r="L3616" s="23"/>
    </row>
    <row r="3617">
      <c r="E3617" s="22"/>
      <c r="F3617" s="23"/>
      <c r="G3617" s="23"/>
      <c r="L3617" s="23"/>
    </row>
    <row r="3618">
      <c r="E3618" s="22"/>
      <c r="F3618" s="23"/>
      <c r="G3618" s="23"/>
      <c r="L3618" s="23"/>
    </row>
    <row r="3619">
      <c r="E3619" s="22"/>
      <c r="F3619" s="23"/>
      <c r="G3619" s="23"/>
      <c r="L3619" s="23"/>
    </row>
    <row r="3620">
      <c r="E3620" s="22"/>
      <c r="F3620" s="23"/>
      <c r="G3620" s="23"/>
      <c r="L3620" s="23"/>
    </row>
    <row r="3621">
      <c r="E3621" s="22"/>
      <c r="F3621" s="23"/>
      <c r="G3621" s="23"/>
      <c r="L3621" s="23"/>
    </row>
    <row r="3622">
      <c r="E3622" s="22"/>
      <c r="F3622" s="23"/>
      <c r="G3622" s="23"/>
      <c r="L3622" s="23"/>
    </row>
    <row r="3623">
      <c r="E3623" s="22"/>
      <c r="F3623" s="23"/>
      <c r="G3623" s="23"/>
      <c r="L3623" s="23"/>
    </row>
    <row r="3624">
      <c r="E3624" s="22"/>
      <c r="F3624" s="23"/>
      <c r="G3624" s="23"/>
      <c r="L3624" s="23"/>
    </row>
    <row r="3625">
      <c r="E3625" s="22"/>
      <c r="F3625" s="23"/>
      <c r="G3625" s="23"/>
      <c r="L3625" s="23"/>
    </row>
    <row r="3626">
      <c r="E3626" s="22"/>
      <c r="F3626" s="23"/>
      <c r="G3626" s="23"/>
      <c r="L3626" s="23"/>
    </row>
    <row r="3627">
      <c r="E3627" s="22"/>
      <c r="F3627" s="23"/>
      <c r="G3627" s="23"/>
      <c r="L3627" s="23"/>
    </row>
    <row r="3628">
      <c r="E3628" s="22"/>
      <c r="F3628" s="23"/>
      <c r="G3628" s="23"/>
      <c r="L3628" s="23"/>
    </row>
    <row r="3629">
      <c r="E3629" s="22"/>
      <c r="F3629" s="23"/>
      <c r="G3629" s="23"/>
      <c r="L3629" s="23"/>
    </row>
    <row r="3630">
      <c r="E3630" s="22"/>
      <c r="F3630" s="23"/>
      <c r="G3630" s="23"/>
      <c r="L3630" s="23"/>
    </row>
    <row r="3631">
      <c r="E3631" s="22"/>
      <c r="F3631" s="23"/>
      <c r="G3631" s="23"/>
      <c r="L3631" s="23"/>
    </row>
    <row r="3632">
      <c r="E3632" s="22"/>
      <c r="F3632" s="23"/>
      <c r="G3632" s="23"/>
      <c r="L3632" s="23"/>
    </row>
    <row r="3633">
      <c r="E3633" s="22"/>
      <c r="F3633" s="23"/>
      <c r="G3633" s="23"/>
      <c r="L3633" s="23"/>
    </row>
    <row r="3634">
      <c r="E3634" s="22"/>
      <c r="F3634" s="23"/>
      <c r="G3634" s="23"/>
      <c r="L3634" s="23"/>
    </row>
    <row r="3635">
      <c r="E3635" s="22"/>
      <c r="F3635" s="23"/>
      <c r="G3635" s="23"/>
      <c r="L3635" s="23"/>
    </row>
    <row r="3636">
      <c r="E3636" s="22"/>
      <c r="F3636" s="23"/>
      <c r="G3636" s="23"/>
      <c r="L3636" s="23"/>
    </row>
    <row r="3637">
      <c r="E3637" s="22"/>
      <c r="F3637" s="23"/>
      <c r="G3637" s="23"/>
      <c r="L3637" s="23"/>
    </row>
    <row r="3638">
      <c r="E3638" s="22"/>
      <c r="F3638" s="23"/>
      <c r="G3638" s="23"/>
      <c r="L3638" s="23"/>
    </row>
    <row r="3639">
      <c r="E3639" s="22"/>
      <c r="F3639" s="23"/>
      <c r="G3639" s="23"/>
      <c r="L3639" s="23"/>
    </row>
    <row r="3640">
      <c r="E3640" s="22"/>
      <c r="F3640" s="23"/>
      <c r="G3640" s="23"/>
      <c r="L3640" s="23"/>
    </row>
    <row r="3641">
      <c r="E3641" s="22"/>
      <c r="F3641" s="23"/>
      <c r="G3641" s="23"/>
      <c r="L3641" s="23"/>
    </row>
    <row r="3642">
      <c r="E3642" s="22"/>
      <c r="F3642" s="23"/>
      <c r="G3642" s="23"/>
      <c r="L3642" s="23"/>
    </row>
    <row r="3643">
      <c r="E3643" s="22"/>
      <c r="F3643" s="23"/>
      <c r="G3643" s="23"/>
      <c r="L3643" s="23"/>
    </row>
    <row r="3644">
      <c r="E3644" s="22"/>
      <c r="F3644" s="23"/>
      <c r="G3644" s="23"/>
      <c r="L3644" s="23"/>
    </row>
    <row r="3645">
      <c r="E3645" s="22"/>
      <c r="F3645" s="23"/>
      <c r="G3645" s="23"/>
      <c r="L3645" s="23"/>
    </row>
    <row r="3646">
      <c r="E3646" s="22"/>
      <c r="F3646" s="23"/>
      <c r="G3646" s="23"/>
      <c r="L3646" s="23"/>
    </row>
    <row r="3647">
      <c r="E3647" s="22"/>
      <c r="F3647" s="23"/>
      <c r="G3647" s="23"/>
      <c r="L3647" s="23"/>
    </row>
    <row r="3648">
      <c r="E3648" s="22"/>
      <c r="F3648" s="23"/>
      <c r="G3648" s="23"/>
      <c r="L3648" s="23"/>
    </row>
    <row r="3649">
      <c r="E3649" s="22"/>
      <c r="F3649" s="23"/>
      <c r="G3649" s="23"/>
      <c r="L3649" s="23"/>
    </row>
    <row r="3650">
      <c r="E3650" s="22"/>
      <c r="F3650" s="23"/>
      <c r="G3650" s="23"/>
      <c r="L3650" s="23"/>
    </row>
    <row r="3651">
      <c r="E3651" s="22"/>
      <c r="F3651" s="23"/>
      <c r="G3651" s="23"/>
      <c r="L3651" s="23"/>
    </row>
    <row r="3652">
      <c r="E3652" s="22"/>
      <c r="F3652" s="23"/>
      <c r="G3652" s="23"/>
      <c r="L3652" s="23"/>
    </row>
    <row r="3653">
      <c r="E3653" s="22"/>
      <c r="F3653" s="23"/>
      <c r="G3653" s="23"/>
      <c r="L3653" s="23"/>
    </row>
    <row r="3654">
      <c r="E3654" s="22"/>
      <c r="F3654" s="23"/>
      <c r="G3654" s="23"/>
      <c r="L3654" s="23"/>
    </row>
    <row r="3655">
      <c r="E3655" s="22"/>
      <c r="F3655" s="23"/>
      <c r="G3655" s="23"/>
      <c r="L3655" s="23"/>
    </row>
    <row r="3656">
      <c r="E3656" s="22"/>
      <c r="F3656" s="23"/>
      <c r="G3656" s="23"/>
      <c r="L3656" s="23"/>
    </row>
    <row r="3657">
      <c r="E3657" s="22"/>
      <c r="F3657" s="23"/>
      <c r="G3657" s="23"/>
      <c r="L3657" s="23"/>
    </row>
    <row r="3658">
      <c r="E3658" s="22"/>
      <c r="F3658" s="23"/>
      <c r="G3658" s="23"/>
      <c r="L3658" s="23"/>
    </row>
    <row r="3659">
      <c r="E3659" s="22"/>
      <c r="F3659" s="23"/>
      <c r="G3659" s="23"/>
      <c r="L3659" s="23"/>
    </row>
    <row r="3660">
      <c r="E3660" s="22"/>
      <c r="F3660" s="23"/>
      <c r="G3660" s="23"/>
      <c r="L3660" s="23"/>
    </row>
    <row r="3661">
      <c r="E3661" s="22"/>
      <c r="F3661" s="23"/>
      <c r="G3661" s="23"/>
      <c r="L3661" s="23"/>
    </row>
    <row r="3662">
      <c r="E3662" s="22"/>
      <c r="F3662" s="23"/>
      <c r="G3662" s="23"/>
      <c r="L3662" s="23"/>
    </row>
    <row r="3663">
      <c r="E3663" s="22"/>
      <c r="F3663" s="23"/>
      <c r="G3663" s="23"/>
      <c r="L3663" s="23"/>
    </row>
    <row r="3664">
      <c r="E3664" s="22"/>
      <c r="F3664" s="23"/>
      <c r="G3664" s="23"/>
      <c r="L3664" s="23"/>
    </row>
    <row r="3665">
      <c r="E3665" s="22"/>
      <c r="F3665" s="23"/>
      <c r="G3665" s="23"/>
      <c r="L3665" s="23"/>
    </row>
    <row r="3666">
      <c r="E3666" s="22"/>
      <c r="F3666" s="23"/>
      <c r="G3666" s="23"/>
      <c r="L3666" s="23"/>
    </row>
    <row r="3667">
      <c r="E3667" s="22"/>
      <c r="F3667" s="23"/>
      <c r="G3667" s="23"/>
      <c r="L3667" s="23"/>
    </row>
    <row r="3668">
      <c r="E3668" s="22"/>
      <c r="F3668" s="23"/>
      <c r="G3668" s="23"/>
      <c r="L3668" s="23"/>
    </row>
    <row r="3669">
      <c r="E3669" s="22"/>
      <c r="F3669" s="23"/>
      <c r="G3669" s="23"/>
      <c r="L3669" s="23"/>
    </row>
    <row r="3670">
      <c r="E3670" s="22"/>
      <c r="F3670" s="23"/>
      <c r="G3670" s="23"/>
      <c r="L3670" s="23"/>
    </row>
    <row r="3671">
      <c r="E3671" s="22"/>
      <c r="F3671" s="23"/>
      <c r="G3671" s="23"/>
      <c r="L3671" s="23"/>
    </row>
    <row r="3672">
      <c r="E3672" s="22"/>
      <c r="F3672" s="23"/>
      <c r="G3672" s="23"/>
      <c r="L3672" s="23"/>
    </row>
    <row r="3673">
      <c r="E3673" s="22"/>
      <c r="F3673" s="23"/>
      <c r="G3673" s="23"/>
      <c r="L3673" s="23"/>
    </row>
    <row r="3674">
      <c r="E3674" s="22"/>
      <c r="F3674" s="23"/>
      <c r="G3674" s="23"/>
      <c r="L3674" s="23"/>
    </row>
    <row r="3675">
      <c r="E3675" s="22"/>
      <c r="F3675" s="23"/>
      <c r="G3675" s="23"/>
      <c r="L3675" s="23"/>
    </row>
    <row r="3676">
      <c r="E3676" s="22"/>
      <c r="F3676" s="23"/>
      <c r="G3676" s="23"/>
      <c r="L3676" s="23"/>
    </row>
    <row r="3677">
      <c r="E3677" s="22"/>
      <c r="F3677" s="23"/>
      <c r="G3677" s="23"/>
      <c r="L3677" s="23"/>
    </row>
    <row r="3678">
      <c r="E3678" s="22"/>
      <c r="F3678" s="23"/>
      <c r="G3678" s="23"/>
      <c r="L3678" s="23"/>
    </row>
    <row r="3679">
      <c r="E3679" s="22"/>
      <c r="F3679" s="23"/>
      <c r="G3679" s="23"/>
      <c r="L3679" s="23"/>
    </row>
    <row r="3680">
      <c r="E3680" s="22"/>
      <c r="F3680" s="23"/>
      <c r="G3680" s="23"/>
      <c r="L3680" s="23"/>
    </row>
    <row r="3681">
      <c r="E3681" s="22"/>
      <c r="F3681" s="23"/>
      <c r="G3681" s="23"/>
      <c r="L3681" s="23"/>
    </row>
    <row r="3682">
      <c r="E3682" s="22"/>
      <c r="F3682" s="23"/>
      <c r="G3682" s="23"/>
      <c r="L3682" s="23"/>
    </row>
    <row r="3683">
      <c r="E3683" s="22"/>
      <c r="F3683" s="23"/>
      <c r="G3683" s="23"/>
      <c r="L3683" s="23"/>
    </row>
    <row r="3684">
      <c r="E3684" s="22"/>
      <c r="F3684" s="23"/>
      <c r="G3684" s="23"/>
      <c r="L3684" s="23"/>
    </row>
    <row r="3685">
      <c r="E3685" s="22"/>
      <c r="F3685" s="23"/>
      <c r="G3685" s="23"/>
      <c r="L3685" s="23"/>
    </row>
    <row r="3686">
      <c r="E3686" s="22"/>
      <c r="F3686" s="23"/>
      <c r="G3686" s="23"/>
      <c r="L3686" s="23"/>
    </row>
    <row r="3687">
      <c r="E3687" s="22"/>
      <c r="F3687" s="23"/>
      <c r="G3687" s="23"/>
      <c r="L3687" s="23"/>
    </row>
    <row r="3688">
      <c r="E3688" s="22"/>
      <c r="F3688" s="23"/>
      <c r="G3688" s="23"/>
      <c r="L3688" s="23"/>
    </row>
    <row r="3689">
      <c r="E3689" s="22"/>
      <c r="F3689" s="23"/>
      <c r="G3689" s="23"/>
      <c r="L3689" s="23"/>
    </row>
    <row r="3690">
      <c r="E3690" s="22"/>
      <c r="F3690" s="23"/>
      <c r="G3690" s="23"/>
      <c r="L3690" s="23"/>
    </row>
    <row r="3691">
      <c r="E3691" s="22"/>
      <c r="F3691" s="23"/>
      <c r="G3691" s="23"/>
      <c r="L3691" s="23"/>
    </row>
    <row r="3692">
      <c r="E3692" s="22"/>
      <c r="F3692" s="23"/>
      <c r="G3692" s="23"/>
      <c r="L3692" s="23"/>
    </row>
    <row r="3693">
      <c r="E3693" s="22"/>
      <c r="F3693" s="23"/>
      <c r="G3693" s="23"/>
      <c r="L3693" s="23"/>
    </row>
    <row r="3694">
      <c r="E3694" s="22"/>
      <c r="F3694" s="23"/>
      <c r="G3694" s="23"/>
      <c r="L3694" s="23"/>
    </row>
    <row r="3695">
      <c r="E3695" s="22"/>
      <c r="F3695" s="23"/>
      <c r="G3695" s="23"/>
      <c r="L3695" s="23"/>
    </row>
    <row r="3696">
      <c r="E3696" s="22"/>
      <c r="F3696" s="23"/>
      <c r="G3696" s="23"/>
      <c r="L3696" s="23"/>
    </row>
    <row r="3697">
      <c r="E3697" s="22"/>
      <c r="F3697" s="23"/>
      <c r="G3697" s="23"/>
      <c r="L3697" s="23"/>
    </row>
    <row r="3698">
      <c r="E3698" s="22"/>
      <c r="F3698" s="23"/>
      <c r="G3698" s="23"/>
      <c r="L3698" s="23"/>
    </row>
    <row r="3699">
      <c r="E3699" s="22"/>
      <c r="F3699" s="23"/>
      <c r="G3699" s="23"/>
      <c r="L3699" s="23"/>
    </row>
    <row r="3700">
      <c r="E3700" s="22"/>
      <c r="F3700" s="23"/>
      <c r="G3700" s="23"/>
      <c r="L3700" s="23"/>
    </row>
    <row r="3701">
      <c r="E3701" s="22"/>
      <c r="F3701" s="23"/>
      <c r="G3701" s="23"/>
      <c r="L3701" s="23"/>
    </row>
    <row r="3702">
      <c r="E3702" s="22"/>
      <c r="F3702" s="23"/>
      <c r="G3702" s="23"/>
      <c r="L3702" s="23"/>
    </row>
    <row r="3703">
      <c r="E3703" s="22"/>
      <c r="F3703" s="23"/>
      <c r="G3703" s="23"/>
      <c r="L3703" s="23"/>
    </row>
    <row r="3704">
      <c r="E3704" s="22"/>
      <c r="F3704" s="23"/>
      <c r="G3704" s="23"/>
      <c r="L3704" s="23"/>
    </row>
    <row r="3705">
      <c r="E3705" s="22"/>
      <c r="F3705" s="23"/>
      <c r="G3705" s="23"/>
      <c r="L3705" s="23"/>
    </row>
    <row r="3706">
      <c r="E3706" s="22"/>
      <c r="F3706" s="23"/>
      <c r="G3706" s="23"/>
      <c r="L3706" s="23"/>
    </row>
    <row r="3707">
      <c r="E3707" s="22"/>
      <c r="F3707" s="23"/>
      <c r="G3707" s="23"/>
      <c r="L3707" s="23"/>
    </row>
    <row r="3708">
      <c r="E3708" s="22"/>
      <c r="F3708" s="23"/>
      <c r="G3708" s="23"/>
      <c r="L3708" s="23"/>
    </row>
    <row r="3709">
      <c r="E3709" s="22"/>
      <c r="F3709" s="23"/>
      <c r="G3709" s="23"/>
      <c r="L3709" s="23"/>
    </row>
    <row r="3710">
      <c r="E3710" s="22"/>
      <c r="F3710" s="23"/>
      <c r="G3710" s="23"/>
      <c r="L3710" s="23"/>
    </row>
    <row r="3711">
      <c r="E3711" s="22"/>
      <c r="F3711" s="23"/>
      <c r="G3711" s="23"/>
      <c r="L3711" s="23"/>
    </row>
    <row r="3712">
      <c r="E3712" s="22"/>
      <c r="F3712" s="23"/>
      <c r="G3712" s="23"/>
      <c r="L3712" s="23"/>
    </row>
    <row r="3713">
      <c r="E3713" s="22"/>
      <c r="F3713" s="23"/>
      <c r="G3713" s="23"/>
      <c r="L3713" s="23"/>
    </row>
    <row r="3714">
      <c r="E3714" s="22"/>
      <c r="F3714" s="23"/>
      <c r="G3714" s="23"/>
      <c r="L3714" s="23"/>
    </row>
    <row r="3715">
      <c r="E3715" s="22"/>
      <c r="F3715" s="23"/>
      <c r="G3715" s="23"/>
      <c r="L3715" s="23"/>
    </row>
    <row r="3716">
      <c r="E3716" s="22"/>
      <c r="F3716" s="23"/>
      <c r="G3716" s="23"/>
      <c r="L3716" s="23"/>
    </row>
    <row r="3717">
      <c r="E3717" s="22"/>
      <c r="F3717" s="23"/>
      <c r="G3717" s="23"/>
      <c r="L3717" s="23"/>
    </row>
    <row r="3718">
      <c r="E3718" s="22"/>
      <c r="F3718" s="23"/>
      <c r="G3718" s="23"/>
      <c r="L3718" s="23"/>
    </row>
    <row r="3719">
      <c r="E3719" s="22"/>
      <c r="F3719" s="23"/>
      <c r="G3719" s="23"/>
      <c r="L3719" s="23"/>
    </row>
    <row r="3720">
      <c r="E3720" s="22"/>
      <c r="F3720" s="23"/>
      <c r="G3720" s="23"/>
      <c r="L3720" s="23"/>
    </row>
    <row r="3721">
      <c r="E3721" s="22"/>
      <c r="F3721" s="23"/>
      <c r="G3721" s="23"/>
      <c r="L3721" s="23"/>
    </row>
    <row r="3722">
      <c r="E3722" s="22"/>
      <c r="F3722" s="23"/>
      <c r="G3722" s="23"/>
      <c r="L3722" s="23"/>
    </row>
    <row r="3723">
      <c r="E3723" s="22"/>
      <c r="F3723" s="23"/>
      <c r="G3723" s="23"/>
      <c r="L3723" s="23"/>
    </row>
    <row r="3724">
      <c r="E3724" s="22"/>
      <c r="F3724" s="23"/>
      <c r="G3724" s="23"/>
      <c r="L3724" s="23"/>
    </row>
    <row r="3725">
      <c r="E3725" s="22"/>
      <c r="F3725" s="23"/>
      <c r="G3725" s="23"/>
      <c r="L3725" s="23"/>
    </row>
    <row r="3726">
      <c r="E3726" s="22"/>
      <c r="F3726" s="23"/>
      <c r="G3726" s="23"/>
      <c r="L3726" s="23"/>
    </row>
    <row r="3727">
      <c r="E3727" s="22"/>
      <c r="F3727" s="23"/>
      <c r="G3727" s="23"/>
      <c r="L3727" s="23"/>
    </row>
    <row r="3728">
      <c r="E3728" s="22"/>
      <c r="F3728" s="23"/>
      <c r="G3728" s="23"/>
      <c r="L3728" s="23"/>
    </row>
    <row r="3729">
      <c r="E3729" s="22"/>
      <c r="F3729" s="23"/>
      <c r="G3729" s="23"/>
      <c r="L3729" s="23"/>
    </row>
    <row r="3730">
      <c r="E3730" s="22"/>
      <c r="F3730" s="23"/>
      <c r="G3730" s="23"/>
      <c r="L3730" s="23"/>
    </row>
    <row r="3731">
      <c r="E3731" s="22"/>
      <c r="F3731" s="23"/>
      <c r="G3731" s="23"/>
      <c r="L3731" s="23"/>
    </row>
    <row r="3732">
      <c r="E3732" s="22"/>
      <c r="F3732" s="23"/>
      <c r="G3732" s="23"/>
      <c r="L3732" s="23"/>
    </row>
    <row r="3733">
      <c r="E3733" s="22"/>
      <c r="F3733" s="23"/>
      <c r="G3733" s="23"/>
      <c r="L3733" s="23"/>
    </row>
    <row r="3734">
      <c r="E3734" s="22"/>
      <c r="F3734" s="23"/>
      <c r="G3734" s="23"/>
      <c r="L3734" s="23"/>
    </row>
    <row r="3735">
      <c r="E3735" s="22"/>
      <c r="F3735" s="23"/>
      <c r="G3735" s="23"/>
      <c r="L3735" s="23"/>
    </row>
    <row r="3736">
      <c r="E3736" s="22"/>
      <c r="F3736" s="23"/>
      <c r="G3736" s="23"/>
      <c r="L3736" s="23"/>
    </row>
    <row r="3737">
      <c r="E3737" s="22"/>
      <c r="F3737" s="23"/>
      <c r="G3737" s="23"/>
      <c r="L3737" s="23"/>
    </row>
    <row r="3738">
      <c r="E3738" s="22"/>
      <c r="F3738" s="23"/>
      <c r="G3738" s="23"/>
      <c r="L3738" s="23"/>
    </row>
    <row r="3739">
      <c r="E3739" s="22"/>
      <c r="F3739" s="23"/>
      <c r="G3739" s="23"/>
      <c r="L3739" s="23"/>
    </row>
    <row r="3740">
      <c r="E3740" s="22"/>
      <c r="F3740" s="23"/>
      <c r="G3740" s="23"/>
      <c r="L3740" s="23"/>
    </row>
    <row r="3741">
      <c r="E3741" s="22"/>
      <c r="F3741" s="23"/>
      <c r="G3741" s="23"/>
      <c r="L3741" s="23"/>
    </row>
    <row r="3742">
      <c r="E3742" s="22"/>
      <c r="F3742" s="23"/>
      <c r="G3742" s="23"/>
      <c r="L3742" s="23"/>
    </row>
    <row r="3743">
      <c r="E3743" s="22"/>
      <c r="F3743" s="23"/>
      <c r="G3743" s="23"/>
      <c r="L3743" s="23"/>
    </row>
    <row r="3744">
      <c r="E3744" s="22"/>
      <c r="F3744" s="23"/>
      <c r="G3744" s="23"/>
      <c r="L3744" s="23"/>
    </row>
    <row r="3745">
      <c r="E3745" s="22"/>
      <c r="F3745" s="23"/>
      <c r="G3745" s="23"/>
      <c r="L3745" s="23"/>
    </row>
    <row r="3746">
      <c r="E3746" s="22"/>
      <c r="F3746" s="23"/>
      <c r="G3746" s="23"/>
      <c r="L3746" s="23"/>
    </row>
    <row r="3747">
      <c r="E3747" s="22"/>
      <c r="F3747" s="23"/>
      <c r="G3747" s="23"/>
      <c r="L3747" s="23"/>
    </row>
    <row r="3748">
      <c r="E3748" s="22"/>
      <c r="F3748" s="23"/>
      <c r="G3748" s="23"/>
      <c r="L3748" s="23"/>
    </row>
    <row r="3749">
      <c r="E3749" s="22"/>
      <c r="F3749" s="23"/>
      <c r="G3749" s="23"/>
      <c r="L3749" s="23"/>
    </row>
    <row r="3750">
      <c r="E3750" s="22"/>
      <c r="F3750" s="23"/>
      <c r="G3750" s="23"/>
      <c r="L3750" s="23"/>
    </row>
    <row r="3751">
      <c r="E3751" s="22"/>
      <c r="F3751" s="23"/>
      <c r="G3751" s="23"/>
      <c r="L3751" s="23"/>
    </row>
    <row r="3752">
      <c r="E3752" s="22"/>
      <c r="F3752" s="23"/>
      <c r="G3752" s="23"/>
      <c r="L3752" s="23"/>
    </row>
    <row r="3753">
      <c r="E3753" s="22"/>
      <c r="F3753" s="23"/>
      <c r="G3753" s="23"/>
      <c r="L3753" s="23"/>
    </row>
    <row r="3754">
      <c r="E3754" s="22"/>
      <c r="F3754" s="23"/>
      <c r="G3754" s="23"/>
      <c r="L3754" s="23"/>
    </row>
    <row r="3755">
      <c r="E3755" s="22"/>
      <c r="F3755" s="23"/>
      <c r="G3755" s="23"/>
      <c r="L3755" s="23"/>
    </row>
    <row r="3756">
      <c r="E3756" s="22"/>
      <c r="F3756" s="23"/>
      <c r="G3756" s="23"/>
      <c r="L3756" s="23"/>
    </row>
    <row r="3757">
      <c r="E3757" s="22"/>
      <c r="F3757" s="23"/>
      <c r="G3757" s="23"/>
      <c r="L3757" s="23"/>
    </row>
    <row r="3758">
      <c r="E3758" s="22"/>
      <c r="F3758" s="23"/>
      <c r="G3758" s="23"/>
      <c r="L3758" s="23"/>
    </row>
    <row r="3759">
      <c r="E3759" s="22"/>
      <c r="F3759" s="23"/>
      <c r="G3759" s="23"/>
      <c r="L3759" s="23"/>
    </row>
    <row r="3760">
      <c r="E3760" s="22"/>
      <c r="F3760" s="23"/>
      <c r="G3760" s="23"/>
      <c r="L3760" s="23"/>
    </row>
    <row r="3761">
      <c r="E3761" s="22"/>
      <c r="F3761" s="23"/>
      <c r="G3761" s="23"/>
      <c r="L3761" s="23"/>
    </row>
    <row r="3762">
      <c r="E3762" s="22"/>
      <c r="F3762" s="23"/>
      <c r="G3762" s="23"/>
      <c r="L3762" s="23"/>
    </row>
    <row r="3763">
      <c r="E3763" s="22"/>
      <c r="F3763" s="23"/>
      <c r="G3763" s="23"/>
      <c r="L3763" s="23"/>
    </row>
    <row r="3764">
      <c r="E3764" s="22"/>
      <c r="F3764" s="23"/>
      <c r="G3764" s="23"/>
      <c r="L3764" s="23"/>
    </row>
    <row r="3765">
      <c r="E3765" s="22"/>
      <c r="F3765" s="23"/>
      <c r="G3765" s="23"/>
      <c r="L3765" s="23"/>
    </row>
    <row r="3766">
      <c r="E3766" s="22"/>
      <c r="F3766" s="23"/>
      <c r="G3766" s="23"/>
      <c r="L3766" s="23"/>
    </row>
    <row r="3767">
      <c r="E3767" s="22"/>
      <c r="F3767" s="23"/>
      <c r="G3767" s="23"/>
      <c r="L3767" s="23"/>
    </row>
    <row r="3768">
      <c r="E3768" s="22"/>
      <c r="F3768" s="23"/>
      <c r="G3768" s="23"/>
      <c r="L3768" s="23"/>
    </row>
    <row r="3769">
      <c r="E3769" s="22"/>
      <c r="F3769" s="23"/>
      <c r="G3769" s="23"/>
      <c r="L3769" s="23"/>
    </row>
    <row r="3770">
      <c r="E3770" s="22"/>
      <c r="F3770" s="23"/>
      <c r="G3770" s="23"/>
      <c r="L3770" s="23"/>
    </row>
    <row r="3771">
      <c r="E3771" s="22"/>
      <c r="F3771" s="23"/>
      <c r="G3771" s="23"/>
      <c r="L3771" s="23"/>
    </row>
    <row r="3772">
      <c r="E3772" s="22"/>
      <c r="F3772" s="23"/>
      <c r="G3772" s="23"/>
      <c r="L3772" s="23"/>
    </row>
    <row r="3773">
      <c r="E3773" s="22"/>
      <c r="F3773" s="23"/>
      <c r="G3773" s="23"/>
      <c r="L3773" s="23"/>
    </row>
    <row r="3774">
      <c r="E3774" s="22"/>
      <c r="F3774" s="23"/>
      <c r="G3774" s="23"/>
      <c r="L3774" s="23"/>
    </row>
    <row r="3775">
      <c r="E3775" s="22"/>
      <c r="F3775" s="23"/>
      <c r="G3775" s="23"/>
      <c r="L3775" s="23"/>
    </row>
    <row r="3776">
      <c r="E3776" s="22"/>
      <c r="F3776" s="23"/>
      <c r="G3776" s="23"/>
      <c r="L3776" s="23"/>
    </row>
    <row r="3777">
      <c r="E3777" s="22"/>
      <c r="F3777" s="23"/>
      <c r="G3777" s="23"/>
      <c r="L3777" s="23"/>
    </row>
    <row r="3778">
      <c r="E3778" s="22"/>
      <c r="F3778" s="23"/>
      <c r="G3778" s="23"/>
      <c r="L3778" s="23"/>
    </row>
    <row r="3779">
      <c r="E3779" s="22"/>
      <c r="F3779" s="23"/>
      <c r="G3779" s="23"/>
      <c r="L3779" s="23"/>
    </row>
    <row r="3780">
      <c r="E3780" s="22"/>
      <c r="F3780" s="23"/>
      <c r="G3780" s="23"/>
      <c r="L3780" s="23"/>
    </row>
    <row r="3781">
      <c r="E3781" s="22"/>
      <c r="F3781" s="23"/>
      <c r="G3781" s="23"/>
      <c r="L3781" s="23"/>
    </row>
    <row r="3782">
      <c r="E3782" s="22"/>
      <c r="F3782" s="23"/>
      <c r="G3782" s="23"/>
      <c r="L3782" s="23"/>
    </row>
    <row r="3783">
      <c r="E3783" s="22"/>
      <c r="F3783" s="23"/>
      <c r="G3783" s="23"/>
      <c r="L3783" s="23"/>
    </row>
    <row r="3784">
      <c r="E3784" s="22"/>
      <c r="F3784" s="23"/>
      <c r="G3784" s="23"/>
      <c r="L3784" s="23"/>
    </row>
    <row r="3785">
      <c r="E3785" s="22"/>
      <c r="F3785" s="23"/>
      <c r="G3785" s="23"/>
      <c r="L3785" s="23"/>
    </row>
    <row r="3786">
      <c r="E3786" s="22"/>
      <c r="F3786" s="23"/>
      <c r="G3786" s="23"/>
      <c r="L3786" s="23"/>
    </row>
    <row r="3787">
      <c r="E3787" s="22"/>
      <c r="F3787" s="23"/>
      <c r="G3787" s="23"/>
      <c r="L3787" s="23"/>
    </row>
    <row r="3788">
      <c r="E3788" s="22"/>
      <c r="F3788" s="23"/>
      <c r="G3788" s="23"/>
      <c r="L3788" s="23"/>
    </row>
    <row r="3789">
      <c r="E3789" s="22"/>
      <c r="F3789" s="23"/>
      <c r="G3789" s="23"/>
      <c r="L3789" s="23"/>
    </row>
    <row r="3790">
      <c r="E3790" s="22"/>
      <c r="F3790" s="23"/>
      <c r="G3790" s="23"/>
      <c r="L3790" s="23"/>
    </row>
    <row r="3791">
      <c r="E3791" s="22"/>
      <c r="F3791" s="23"/>
      <c r="G3791" s="23"/>
      <c r="L3791" s="23"/>
    </row>
    <row r="3792">
      <c r="E3792" s="22"/>
      <c r="F3792" s="23"/>
      <c r="G3792" s="23"/>
      <c r="L3792" s="23"/>
    </row>
    <row r="3793">
      <c r="E3793" s="22"/>
      <c r="F3793" s="23"/>
      <c r="G3793" s="23"/>
      <c r="L3793" s="23"/>
    </row>
    <row r="3794">
      <c r="E3794" s="22"/>
      <c r="F3794" s="23"/>
      <c r="G3794" s="23"/>
      <c r="L3794" s="23"/>
    </row>
    <row r="3795">
      <c r="E3795" s="22"/>
      <c r="F3795" s="23"/>
      <c r="G3795" s="23"/>
      <c r="L3795" s="23"/>
    </row>
    <row r="3796">
      <c r="E3796" s="22"/>
      <c r="F3796" s="23"/>
      <c r="G3796" s="23"/>
      <c r="L3796" s="23"/>
    </row>
    <row r="3797">
      <c r="E3797" s="22"/>
      <c r="F3797" s="23"/>
      <c r="G3797" s="23"/>
      <c r="L3797" s="23"/>
    </row>
    <row r="3798">
      <c r="E3798" s="22"/>
      <c r="F3798" s="23"/>
      <c r="G3798" s="23"/>
      <c r="L3798" s="23"/>
    </row>
    <row r="3799">
      <c r="E3799" s="22"/>
      <c r="F3799" s="23"/>
      <c r="G3799" s="23"/>
      <c r="L3799" s="23"/>
    </row>
    <row r="3800">
      <c r="E3800" s="22"/>
      <c r="F3800" s="23"/>
      <c r="G3800" s="23"/>
      <c r="L3800" s="23"/>
    </row>
    <row r="3801">
      <c r="E3801" s="22"/>
      <c r="F3801" s="23"/>
      <c r="G3801" s="23"/>
      <c r="L3801" s="23"/>
    </row>
    <row r="3802">
      <c r="E3802" s="22"/>
      <c r="F3802" s="23"/>
      <c r="G3802" s="23"/>
      <c r="L3802" s="23"/>
    </row>
    <row r="3803">
      <c r="E3803" s="22"/>
      <c r="F3803" s="23"/>
      <c r="G3803" s="23"/>
      <c r="L3803" s="23"/>
    </row>
    <row r="3804">
      <c r="E3804" s="22"/>
      <c r="F3804" s="23"/>
      <c r="G3804" s="23"/>
      <c r="L3804" s="23"/>
    </row>
    <row r="3805">
      <c r="E3805" s="22"/>
      <c r="F3805" s="23"/>
      <c r="G3805" s="23"/>
      <c r="L3805" s="23"/>
    </row>
    <row r="3806">
      <c r="E3806" s="22"/>
      <c r="F3806" s="23"/>
      <c r="G3806" s="23"/>
      <c r="L3806" s="23"/>
    </row>
    <row r="3807">
      <c r="E3807" s="22"/>
      <c r="F3807" s="23"/>
      <c r="G3807" s="23"/>
      <c r="L3807" s="23"/>
    </row>
    <row r="3808">
      <c r="E3808" s="22"/>
      <c r="F3808" s="23"/>
      <c r="G3808" s="23"/>
      <c r="L3808" s="23"/>
    </row>
    <row r="3809">
      <c r="E3809" s="22"/>
      <c r="F3809" s="23"/>
      <c r="G3809" s="23"/>
      <c r="L3809" s="23"/>
    </row>
    <row r="3810">
      <c r="E3810" s="22"/>
      <c r="F3810" s="23"/>
      <c r="G3810" s="23"/>
      <c r="L3810" s="23"/>
    </row>
    <row r="3811">
      <c r="E3811" s="22"/>
      <c r="F3811" s="23"/>
      <c r="G3811" s="23"/>
      <c r="L3811" s="23"/>
    </row>
    <row r="3812">
      <c r="E3812" s="22"/>
      <c r="F3812" s="23"/>
      <c r="G3812" s="23"/>
      <c r="L3812" s="23"/>
    </row>
    <row r="3813">
      <c r="E3813" s="22"/>
      <c r="F3813" s="23"/>
      <c r="G3813" s="23"/>
      <c r="L3813" s="23"/>
    </row>
    <row r="3814">
      <c r="E3814" s="22"/>
      <c r="F3814" s="23"/>
      <c r="G3814" s="23"/>
      <c r="L3814" s="23"/>
    </row>
    <row r="3815">
      <c r="E3815" s="22"/>
      <c r="F3815" s="23"/>
      <c r="G3815" s="23"/>
      <c r="L3815" s="23"/>
    </row>
    <row r="3816">
      <c r="E3816" s="22"/>
      <c r="F3816" s="23"/>
      <c r="G3816" s="23"/>
      <c r="L3816" s="23"/>
    </row>
    <row r="3817">
      <c r="E3817" s="22"/>
      <c r="F3817" s="23"/>
      <c r="G3817" s="23"/>
      <c r="L3817" s="23"/>
    </row>
    <row r="3818">
      <c r="E3818" s="22"/>
      <c r="F3818" s="23"/>
      <c r="G3818" s="23"/>
      <c r="L3818" s="23"/>
    </row>
    <row r="3819">
      <c r="E3819" s="22"/>
      <c r="F3819" s="23"/>
      <c r="G3819" s="23"/>
      <c r="L3819" s="23"/>
    </row>
    <row r="3820">
      <c r="E3820" s="22"/>
      <c r="F3820" s="23"/>
      <c r="G3820" s="23"/>
      <c r="L3820" s="23"/>
    </row>
    <row r="3821">
      <c r="E3821" s="22"/>
      <c r="F3821" s="23"/>
      <c r="G3821" s="23"/>
      <c r="L3821" s="23"/>
    </row>
    <row r="3822">
      <c r="E3822" s="22"/>
      <c r="F3822" s="23"/>
      <c r="G3822" s="23"/>
      <c r="L3822" s="23"/>
    </row>
    <row r="3823">
      <c r="E3823" s="22"/>
      <c r="F3823" s="23"/>
      <c r="G3823" s="23"/>
      <c r="L3823" s="23"/>
    </row>
    <row r="3824">
      <c r="E3824" s="22"/>
      <c r="F3824" s="23"/>
      <c r="G3824" s="23"/>
      <c r="L3824" s="23"/>
    </row>
    <row r="3825">
      <c r="E3825" s="22"/>
      <c r="F3825" s="23"/>
      <c r="G3825" s="23"/>
      <c r="L3825" s="23"/>
    </row>
    <row r="3826">
      <c r="E3826" s="22"/>
      <c r="F3826" s="23"/>
      <c r="G3826" s="23"/>
      <c r="L3826" s="23"/>
    </row>
    <row r="3827">
      <c r="E3827" s="22"/>
      <c r="F3827" s="23"/>
      <c r="G3827" s="23"/>
      <c r="L3827" s="23"/>
    </row>
    <row r="3828">
      <c r="E3828" s="22"/>
      <c r="F3828" s="23"/>
      <c r="G3828" s="23"/>
      <c r="L3828" s="23"/>
    </row>
    <row r="3829">
      <c r="E3829" s="22"/>
      <c r="F3829" s="23"/>
      <c r="G3829" s="23"/>
      <c r="L3829" s="23"/>
    </row>
    <row r="3830">
      <c r="E3830" s="22"/>
      <c r="F3830" s="23"/>
      <c r="G3830" s="23"/>
      <c r="L3830" s="23"/>
    </row>
    <row r="3831">
      <c r="E3831" s="22"/>
      <c r="F3831" s="23"/>
      <c r="G3831" s="23"/>
      <c r="L3831" s="23"/>
    </row>
    <row r="3832">
      <c r="E3832" s="22"/>
      <c r="F3832" s="23"/>
      <c r="G3832" s="23"/>
      <c r="L3832" s="23"/>
    </row>
    <row r="3833">
      <c r="E3833" s="22"/>
      <c r="F3833" s="23"/>
      <c r="G3833" s="23"/>
      <c r="L3833" s="23"/>
    </row>
    <row r="3834">
      <c r="E3834" s="22"/>
      <c r="F3834" s="23"/>
      <c r="G3834" s="23"/>
      <c r="L3834" s="23"/>
    </row>
    <row r="3835">
      <c r="E3835" s="22"/>
      <c r="F3835" s="23"/>
      <c r="G3835" s="23"/>
      <c r="L3835" s="23"/>
    </row>
    <row r="3836">
      <c r="E3836" s="22"/>
      <c r="F3836" s="23"/>
      <c r="G3836" s="23"/>
      <c r="L3836" s="23"/>
    </row>
    <row r="3837">
      <c r="E3837" s="22"/>
      <c r="F3837" s="23"/>
      <c r="G3837" s="23"/>
      <c r="L3837" s="23"/>
    </row>
    <row r="3838">
      <c r="E3838" s="22"/>
      <c r="F3838" s="23"/>
      <c r="G3838" s="23"/>
      <c r="L3838" s="23"/>
    </row>
    <row r="3839">
      <c r="E3839" s="22"/>
      <c r="F3839" s="23"/>
      <c r="G3839" s="23"/>
      <c r="L3839" s="23"/>
    </row>
    <row r="3840">
      <c r="E3840" s="22"/>
      <c r="F3840" s="23"/>
      <c r="G3840" s="23"/>
      <c r="L3840" s="23"/>
    </row>
    <row r="3841">
      <c r="E3841" s="22"/>
      <c r="F3841" s="23"/>
      <c r="G3841" s="23"/>
      <c r="L3841" s="23"/>
    </row>
    <row r="3842">
      <c r="E3842" s="22"/>
      <c r="F3842" s="23"/>
      <c r="G3842" s="23"/>
      <c r="L3842" s="23"/>
    </row>
    <row r="3843">
      <c r="E3843" s="22"/>
      <c r="F3843" s="23"/>
      <c r="G3843" s="23"/>
      <c r="L3843" s="23"/>
    </row>
    <row r="3844">
      <c r="E3844" s="22"/>
      <c r="F3844" s="23"/>
      <c r="G3844" s="23"/>
      <c r="L3844" s="23"/>
    </row>
    <row r="3845">
      <c r="E3845" s="22"/>
      <c r="F3845" s="23"/>
      <c r="G3845" s="23"/>
      <c r="L3845" s="23"/>
    </row>
    <row r="3846">
      <c r="E3846" s="22"/>
      <c r="F3846" s="23"/>
      <c r="G3846" s="23"/>
      <c r="L3846" s="23"/>
    </row>
    <row r="3847">
      <c r="E3847" s="22"/>
      <c r="F3847" s="23"/>
      <c r="G3847" s="23"/>
      <c r="L3847" s="23"/>
    </row>
    <row r="3848">
      <c r="E3848" s="22"/>
      <c r="F3848" s="23"/>
      <c r="G3848" s="23"/>
      <c r="L3848" s="23"/>
    </row>
    <row r="3849">
      <c r="E3849" s="22"/>
      <c r="F3849" s="23"/>
      <c r="G3849" s="23"/>
      <c r="L3849" s="23"/>
    </row>
    <row r="3850">
      <c r="E3850" s="22"/>
      <c r="F3850" s="23"/>
      <c r="G3850" s="23"/>
      <c r="L3850" s="23"/>
    </row>
    <row r="3851">
      <c r="E3851" s="22"/>
      <c r="F3851" s="23"/>
      <c r="G3851" s="23"/>
      <c r="L3851" s="23"/>
    </row>
    <row r="3852">
      <c r="E3852" s="22"/>
      <c r="F3852" s="23"/>
      <c r="G3852" s="23"/>
      <c r="L3852" s="23"/>
    </row>
    <row r="3853">
      <c r="E3853" s="22"/>
      <c r="F3853" s="23"/>
      <c r="G3853" s="23"/>
      <c r="L3853" s="23"/>
    </row>
    <row r="3854">
      <c r="E3854" s="22"/>
      <c r="F3854" s="23"/>
      <c r="G3854" s="23"/>
      <c r="L3854" s="23"/>
    </row>
    <row r="3855">
      <c r="E3855" s="22"/>
      <c r="F3855" s="23"/>
      <c r="G3855" s="23"/>
      <c r="L3855" s="23"/>
    </row>
    <row r="3856">
      <c r="E3856" s="22"/>
      <c r="F3856" s="23"/>
      <c r="G3856" s="23"/>
      <c r="L3856" s="23"/>
    </row>
    <row r="3857">
      <c r="E3857" s="22"/>
      <c r="F3857" s="23"/>
      <c r="G3857" s="23"/>
      <c r="L3857" s="23"/>
    </row>
    <row r="3858">
      <c r="E3858" s="22"/>
      <c r="F3858" s="23"/>
      <c r="G3858" s="23"/>
      <c r="L3858" s="23"/>
    </row>
    <row r="3859">
      <c r="E3859" s="22"/>
      <c r="F3859" s="23"/>
      <c r="G3859" s="23"/>
      <c r="L3859" s="23"/>
    </row>
    <row r="3860">
      <c r="E3860" s="22"/>
      <c r="F3860" s="23"/>
      <c r="G3860" s="23"/>
      <c r="L3860" s="23"/>
    </row>
    <row r="3861">
      <c r="E3861" s="22"/>
      <c r="F3861" s="23"/>
      <c r="G3861" s="23"/>
      <c r="L3861" s="23"/>
    </row>
    <row r="3862">
      <c r="E3862" s="22"/>
      <c r="F3862" s="23"/>
      <c r="G3862" s="23"/>
      <c r="L3862" s="23"/>
    </row>
    <row r="3863">
      <c r="E3863" s="22"/>
      <c r="F3863" s="23"/>
      <c r="G3863" s="23"/>
      <c r="L3863" s="23"/>
    </row>
    <row r="3864">
      <c r="E3864" s="22"/>
      <c r="F3864" s="23"/>
      <c r="G3864" s="23"/>
      <c r="L3864" s="23"/>
    </row>
    <row r="3865">
      <c r="E3865" s="22"/>
      <c r="F3865" s="23"/>
      <c r="G3865" s="23"/>
      <c r="L3865" s="23"/>
    </row>
    <row r="3866">
      <c r="E3866" s="22"/>
      <c r="F3866" s="23"/>
      <c r="G3866" s="23"/>
      <c r="L3866" s="23"/>
    </row>
    <row r="3867">
      <c r="E3867" s="22"/>
      <c r="F3867" s="23"/>
      <c r="G3867" s="23"/>
      <c r="L3867" s="23"/>
    </row>
    <row r="3868">
      <c r="E3868" s="22"/>
      <c r="F3868" s="23"/>
      <c r="G3868" s="23"/>
      <c r="L3868" s="23"/>
    </row>
    <row r="3869">
      <c r="E3869" s="22"/>
      <c r="F3869" s="23"/>
      <c r="G3869" s="23"/>
      <c r="L3869" s="23"/>
    </row>
    <row r="3870">
      <c r="E3870" s="22"/>
      <c r="F3870" s="23"/>
      <c r="G3870" s="23"/>
      <c r="L3870" s="23"/>
    </row>
    <row r="3871">
      <c r="E3871" s="22"/>
      <c r="F3871" s="23"/>
      <c r="G3871" s="23"/>
      <c r="L3871" s="23"/>
    </row>
    <row r="3872">
      <c r="E3872" s="22"/>
      <c r="F3872" s="23"/>
      <c r="G3872" s="23"/>
      <c r="L3872" s="23"/>
    </row>
    <row r="3873">
      <c r="E3873" s="22"/>
      <c r="F3873" s="23"/>
      <c r="G3873" s="23"/>
      <c r="L3873" s="23"/>
    </row>
    <row r="3874">
      <c r="E3874" s="22"/>
      <c r="F3874" s="23"/>
      <c r="G3874" s="23"/>
      <c r="L3874" s="23"/>
    </row>
    <row r="3875">
      <c r="E3875" s="22"/>
      <c r="F3875" s="23"/>
      <c r="G3875" s="23"/>
      <c r="L3875" s="23"/>
    </row>
    <row r="3876">
      <c r="E3876" s="22"/>
      <c r="F3876" s="23"/>
      <c r="G3876" s="23"/>
      <c r="L3876" s="23"/>
    </row>
    <row r="3877">
      <c r="E3877" s="22"/>
      <c r="F3877" s="23"/>
      <c r="G3877" s="23"/>
      <c r="L3877" s="23"/>
    </row>
    <row r="3878">
      <c r="E3878" s="22"/>
      <c r="F3878" s="23"/>
      <c r="G3878" s="23"/>
      <c r="L3878" s="23"/>
    </row>
    <row r="3879">
      <c r="E3879" s="22"/>
      <c r="F3879" s="23"/>
      <c r="G3879" s="23"/>
      <c r="L3879" s="23"/>
    </row>
    <row r="3880">
      <c r="E3880" s="22"/>
      <c r="F3880" s="23"/>
      <c r="G3880" s="23"/>
      <c r="L3880" s="23"/>
    </row>
    <row r="3881">
      <c r="E3881" s="22"/>
      <c r="F3881" s="23"/>
      <c r="G3881" s="23"/>
      <c r="L3881" s="23"/>
    </row>
    <row r="3882">
      <c r="E3882" s="22"/>
      <c r="F3882" s="23"/>
      <c r="G3882" s="23"/>
      <c r="L3882" s="23"/>
    </row>
    <row r="3883">
      <c r="E3883" s="22"/>
      <c r="F3883" s="23"/>
      <c r="G3883" s="23"/>
      <c r="L3883" s="23"/>
    </row>
    <row r="3884">
      <c r="E3884" s="22"/>
      <c r="F3884" s="23"/>
      <c r="G3884" s="23"/>
      <c r="L3884" s="23"/>
    </row>
    <row r="3885">
      <c r="E3885" s="22"/>
      <c r="F3885" s="23"/>
      <c r="G3885" s="23"/>
      <c r="L3885" s="23"/>
    </row>
    <row r="3886">
      <c r="E3886" s="22"/>
      <c r="F3886" s="23"/>
      <c r="G3886" s="23"/>
      <c r="L3886" s="23"/>
    </row>
    <row r="3887">
      <c r="E3887" s="22"/>
      <c r="F3887" s="23"/>
      <c r="G3887" s="23"/>
      <c r="L3887" s="23"/>
    </row>
    <row r="3888">
      <c r="E3888" s="22"/>
      <c r="F3888" s="23"/>
      <c r="G3888" s="23"/>
      <c r="L3888" s="23"/>
    </row>
    <row r="3889">
      <c r="E3889" s="22"/>
      <c r="F3889" s="23"/>
      <c r="G3889" s="23"/>
      <c r="L3889" s="23"/>
    </row>
    <row r="3890">
      <c r="E3890" s="22"/>
      <c r="F3890" s="23"/>
      <c r="G3890" s="23"/>
      <c r="L3890" s="23"/>
    </row>
    <row r="3891">
      <c r="E3891" s="22"/>
      <c r="F3891" s="23"/>
      <c r="G3891" s="23"/>
      <c r="L3891" s="23"/>
    </row>
    <row r="3892">
      <c r="E3892" s="22"/>
      <c r="F3892" s="23"/>
      <c r="G3892" s="23"/>
      <c r="L3892" s="23"/>
    </row>
    <row r="3893">
      <c r="E3893" s="22"/>
      <c r="F3893" s="23"/>
      <c r="G3893" s="23"/>
      <c r="L3893" s="23"/>
    </row>
    <row r="3894">
      <c r="E3894" s="22"/>
      <c r="F3894" s="23"/>
      <c r="G3894" s="23"/>
      <c r="L3894" s="23"/>
    </row>
    <row r="3895">
      <c r="E3895" s="22"/>
      <c r="F3895" s="23"/>
      <c r="G3895" s="23"/>
      <c r="L3895" s="23"/>
    </row>
    <row r="3896">
      <c r="E3896" s="22"/>
      <c r="F3896" s="23"/>
      <c r="G3896" s="23"/>
      <c r="L3896" s="23"/>
    </row>
    <row r="3897">
      <c r="E3897" s="22"/>
      <c r="F3897" s="23"/>
      <c r="G3897" s="23"/>
      <c r="L3897" s="23"/>
    </row>
    <row r="3898">
      <c r="E3898" s="22"/>
      <c r="F3898" s="23"/>
      <c r="G3898" s="23"/>
      <c r="L3898" s="23"/>
    </row>
    <row r="3899">
      <c r="E3899" s="22"/>
      <c r="F3899" s="23"/>
      <c r="G3899" s="23"/>
      <c r="L3899" s="23"/>
    </row>
    <row r="3900">
      <c r="E3900" s="22"/>
      <c r="F3900" s="23"/>
      <c r="G3900" s="23"/>
      <c r="L3900" s="23"/>
    </row>
    <row r="3901">
      <c r="E3901" s="22"/>
      <c r="F3901" s="23"/>
      <c r="G3901" s="23"/>
      <c r="L3901" s="23"/>
    </row>
    <row r="3902">
      <c r="E3902" s="22"/>
      <c r="F3902" s="23"/>
      <c r="G3902" s="23"/>
      <c r="L3902" s="23"/>
    </row>
    <row r="3903">
      <c r="E3903" s="22"/>
      <c r="F3903" s="23"/>
      <c r="G3903" s="23"/>
      <c r="L3903" s="23"/>
    </row>
    <row r="3904">
      <c r="E3904" s="22"/>
      <c r="F3904" s="23"/>
      <c r="G3904" s="23"/>
      <c r="L3904" s="23"/>
    </row>
    <row r="3905">
      <c r="E3905" s="22"/>
      <c r="F3905" s="23"/>
      <c r="G3905" s="23"/>
      <c r="L3905" s="23"/>
    </row>
    <row r="3906">
      <c r="E3906" s="22"/>
      <c r="F3906" s="23"/>
      <c r="G3906" s="23"/>
      <c r="L3906" s="23"/>
    </row>
    <row r="3907">
      <c r="E3907" s="22"/>
      <c r="F3907" s="23"/>
      <c r="G3907" s="23"/>
      <c r="L3907" s="23"/>
    </row>
    <row r="3908">
      <c r="E3908" s="22"/>
      <c r="F3908" s="23"/>
      <c r="G3908" s="23"/>
      <c r="L3908" s="23"/>
    </row>
    <row r="3909">
      <c r="E3909" s="22"/>
      <c r="F3909" s="23"/>
      <c r="G3909" s="23"/>
      <c r="L3909" s="23"/>
    </row>
    <row r="3910">
      <c r="E3910" s="22"/>
      <c r="F3910" s="23"/>
      <c r="G3910" s="23"/>
      <c r="L3910" s="23"/>
    </row>
    <row r="3911">
      <c r="E3911" s="22"/>
      <c r="F3911" s="23"/>
      <c r="G3911" s="23"/>
      <c r="L3911" s="23"/>
    </row>
    <row r="3912">
      <c r="E3912" s="22"/>
      <c r="F3912" s="23"/>
      <c r="G3912" s="23"/>
      <c r="L3912" s="23"/>
    </row>
    <row r="3913">
      <c r="E3913" s="22"/>
      <c r="F3913" s="23"/>
      <c r="G3913" s="23"/>
      <c r="L3913" s="23"/>
    </row>
    <row r="3914">
      <c r="E3914" s="22"/>
      <c r="F3914" s="23"/>
      <c r="G3914" s="23"/>
      <c r="L3914" s="23"/>
    </row>
    <row r="3915">
      <c r="E3915" s="22"/>
      <c r="F3915" s="23"/>
      <c r="G3915" s="23"/>
      <c r="L3915" s="23"/>
    </row>
    <row r="3916">
      <c r="E3916" s="22"/>
      <c r="F3916" s="23"/>
      <c r="G3916" s="23"/>
      <c r="L3916" s="23"/>
    </row>
    <row r="3917">
      <c r="E3917" s="22"/>
      <c r="F3917" s="23"/>
      <c r="G3917" s="23"/>
      <c r="L3917" s="23"/>
    </row>
    <row r="3918">
      <c r="E3918" s="22"/>
      <c r="F3918" s="23"/>
      <c r="G3918" s="23"/>
      <c r="L3918" s="23"/>
    </row>
    <row r="3919">
      <c r="E3919" s="22"/>
      <c r="F3919" s="23"/>
      <c r="G3919" s="23"/>
      <c r="L3919" s="23"/>
    </row>
    <row r="3920">
      <c r="E3920" s="22"/>
      <c r="F3920" s="23"/>
      <c r="G3920" s="23"/>
      <c r="L3920" s="23"/>
    </row>
    <row r="3921">
      <c r="E3921" s="22"/>
      <c r="F3921" s="23"/>
      <c r="G3921" s="23"/>
      <c r="L3921" s="23"/>
    </row>
    <row r="3922">
      <c r="E3922" s="22"/>
      <c r="F3922" s="23"/>
      <c r="G3922" s="23"/>
      <c r="L3922" s="23"/>
    </row>
    <row r="3923">
      <c r="E3923" s="22"/>
      <c r="F3923" s="23"/>
      <c r="G3923" s="23"/>
      <c r="L3923" s="23"/>
    </row>
    <row r="3924">
      <c r="E3924" s="22"/>
      <c r="F3924" s="23"/>
      <c r="G3924" s="23"/>
      <c r="L3924" s="23"/>
    </row>
    <row r="3925">
      <c r="E3925" s="22"/>
      <c r="F3925" s="23"/>
      <c r="G3925" s="23"/>
      <c r="L3925" s="23"/>
    </row>
    <row r="3926">
      <c r="E3926" s="22"/>
      <c r="F3926" s="23"/>
      <c r="G3926" s="23"/>
      <c r="L3926" s="23"/>
    </row>
    <row r="3927">
      <c r="E3927" s="22"/>
      <c r="F3927" s="23"/>
      <c r="G3927" s="23"/>
      <c r="L3927" s="23"/>
    </row>
    <row r="3928">
      <c r="E3928" s="22"/>
      <c r="F3928" s="23"/>
      <c r="G3928" s="23"/>
      <c r="L3928" s="23"/>
    </row>
    <row r="3929">
      <c r="E3929" s="22"/>
      <c r="F3929" s="23"/>
      <c r="G3929" s="23"/>
      <c r="L3929" s="23"/>
    </row>
    <row r="3930">
      <c r="E3930" s="22"/>
      <c r="F3930" s="23"/>
      <c r="G3930" s="23"/>
      <c r="L3930" s="23"/>
    </row>
    <row r="3931">
      <c r="E3931" s="22"/>
      <c r="F3931" s="23"/>
      <c r="G3931" s="23"/>
      <c r="L3931" s="23"/>
    </row>
    <row r="3932">
      <c r="E3932" s="22"/>
      <c r="F3932" s="23"/>
      <c r="G3932" s="23"/>
      <c r="L3932" s="23"/>
    </row>
    <row r="3933">
      <c r="E3933" s="22"/>
      <c r="F3933" s="23"/>
      <c r="G3933" s="23"/>
      <c r="L3933" s="23"/>
    </row>
    <row r="3934">
      <c r="E3934" s="22"/>
      <c r="F3934" s="23"/>
      <c r="G3934" s="23"/>
      <c r="L3934" s="23"/>
    </row>
    <row r="3935">
      <c r="E3935" s="22"/>
      <c r="F3935" s="23"/>
      <c r="G3935" s="23"/>
      <c r="L3935" s="23"/>
    </row>
    <row r="3936">
      <c r="E3936" s="22"/>
      <c r="F3936" s="23"/>
      <c r="G3936" s="23"/>
      <c r="L3936" s="23"/>
    </row>
    <row r="3937">
      <c r="E3937" s="22"/>
      <c r="F3937" s="23"/>
      <c r="G3937" s="23"/>
      <c r="L3937" s="23"/>
    </row>
    <row r="3938">
      <c r="E3938" s="22"/>
      <c r="F3938" s="23"/>
      <c r="G3938" s="23"/>
      <c r="L3938" s="23"/>
    </row>
    <row r="3939">
      <c r="E3939" s="22"/>
      <c r="F3939" s="23"/>
      <c r="G3939" s="23"/>
      <c r="L3939" s="23"/>
    </row>
    <row r="3940">
      <c r="E3940" s="22"/>
      <c r="F3940" s="23"/>
      <c r="G3940" s="23"/>
      <c r="L3940" s="23"/>
    </row>
    <row r="3941">
      <c r="E3941" s="22"/>
      <c r="F3941" s="23"/>
      <c r="G3941" s="23"/>
      <c r="L3941" s="23"/>
    </row>
    <row r="3942">
      <c r="E3942" s="22"/>
      <c r="F3942" s="23"/>
      <c r="G3942" s="23"/>
      <c r="L3942" s="23"/>
    </row>
    <row r="3943">
      <c r="E3943" s="22"/>
      <c r="F3943" s="23"/>
      <c r="G3943" s="23"/>
      <c r="L3943" s="23"/>
    </row>
    <row r="3944">
      <c r="E3944" s="22"/>
      <c r="F3944" s="23"/>
      <c r="G3944" s="23"/>
      <c r="L3944" s="23"/>
    </row>
    <row r="3945">
      <c r="E3945" s="22"/>
      <c r="F3945" s="23"/>
      <c r="G3945" s="23"/>
      <c r="L3945" s="23"/>
    </row>
    <row r="3946">
      <c r="E3946" s="22"/>
      <c r="F3946" s="23"/>
      <c r="G3946" s="23"/>
      <c r="L3946" s="23"/>
    </row>
    <row r="3947">
      <c r="E3947" s="22"/>
      <c r="F3947" s="23"/>
      <c r="G3947" s="23"/>
      <c r="L3947" s="23"/>
    </row>
    <row r="3948">
      <c r="E3948" s="22"/>
      <c r="F3948" s="23"/>
      <c r="G3948" s="23"/>
      <c r="L3948" s="23"/>
    </row>
    <row r="3949">
      <c r="E3949" s="22"/>
      <c r="F3949" s="23"/>
      <c r="G3949" s="23"/>
      <c r="L3949" s="23"/>
    </row>
    <row r="3950">
      <c r="E3950" s="22"/>
      <c r="F3950" s="23"/>
      <c r="G3950" s="23"/>
      <c r="L3950" s="23"/>
    </row>
    <row r="3951">
      <c r="E3951" s="22"/>
      <c r="F3951" s="23"/>
      <c r="G3951" s="23"/>
      <c r="L3951" s="23"/>
    </row>
    <row r="3952">
      <c r="E3952" s="22"/>
      <c r="F3952" s="23"/>
      <c r="G3952" s="23"/>
      <c r="L3952" s="23"/>
    </row>
    <row r="3953">
      <c r="E3953" s="22"/>
      <c r="F3953" s="23"/>
      <c r="G3953" s="23"/>
      <c r="L3953" s="23"/>
    </row>
    <row r="3954">
      <c r="E3954" s="22"/>
      <c r="F3954" s="23"/>
      <c r="G3954" s="23"/>
      <c r="L3954" s="23"/>
    </row>
    <row r="3955">
      <c r="E3955" s="22"/>
      <c r="F3955" s="23"/>
      <c r="G3955" s="23"/>
      <c r="L3955" s="23"/>
    </row>
    <row r="3956">
      <c r="E3956" s="22"/>
      <c r="F3956" s="23"/>
      <c r="G3956" s="23"/>
      <c r="L3956" s="23"/>
    </row>
    <row r="3957">
      <c r="E3957" s="22"/>
      <c r="F3957" s="23"/>
      <c r="G3957" s="23"/>
      <c r="L3957" s="23"/>
    </row>
    <row r="3958">
      <c r="E3958" s="22"/>
      <c r="F3958" s="23"/>
      <c r="G3958" s="23"/>
      <c r="L3958" s="23"/>
    </row>
    <row r="3959">
      <c r="E3959" s="22"/>
      <c r="F3959" s="23"/>
      <c r="G3959" s="23"/>
      <c r="L3959" s="23"/>
    </row>
    <row r="3960">
      <c r="E3960" s="22"/>
      <c r="F3960" s="23"/>
      <c r="G3960" s="23"/>
      <c r="L3960" s="23"/>
    </row>
    <row r="3961">
      <c r="E3961" s="22"/>
      <c r="F3961" s="23"/>
      <c r="G3961" s="23"/>
      <c r="L3961" s="23"/>
    </row>
    <row r="3962">
      <c r="E3962" s="22"/>
      <c r="F3962" s="23"/>
      <c r="G3962" s="23"/>
      <c r="L3962" s="23"/>
    </row>
    <row r="3963">
      <c r="E3963" s="22"/>
      <c r="F3963" s="23"/>
      <c r="G3963" s="23"/>
      <c r="L3963" s="23"/>
    </row>
    <row r="3964">
      <c r="E3964" s="22"/>
      <c r="F3964" s="23"/>
      <c r="G3964" s="23"/>
      <c r="L3964" s="23"/>
    </row>
    <row r="3965">
      <c r="E3965" s="22"/>
      <c r="F3965" s="23"/>
      <c r="G3965" s="23"/>
      <c r="L3965" s="23"/>
    </row>
    <row r="3966">
      <c r="E3966" s="22"/>
      <c r="F3966" s="23"/>
      <c r="G3966" s="23"/>
      <c r="L3966" s="23"/>
    </row>
    <row r="3967">
      <c r="E3967" s="22"/>
      <c r="F3967" s="23"/>
      <c r="G3967" s="23"/>
      <c r="L3967" s="23"/>
    </row>
    <row r="3968">
      <c r="E3968" s="22"/>
      <c r="F3968" s="23"/>
      <c r="G3968" s="23"/>
      <c r="L3968" s="23"/>
    </row>
    <row r="3969">
      <c r="E3969" s="22"/>
      <c r="F3969" s="23"/>
      <c r="G3969" s="23"/>
      <c r="L3969" s="23"/>
    </row>
    <row r="3970">
      <c r="E3970" s="22"/>
      <c r="F3970" s="23"/>
      <c r="G3970" s="23"/>
      <c r="L3970" s="23"/>
    </row>
    <row r="3971">
      <c r="E3971" s="22"/>
      <c r="F3971" s="23"/>
      <c r="G3971" s="23"/>
      <c r="L3971" s="23"/>
    </row>
    <row r="3972">
      <c r="E3972" s="22"/>
      <c r="F3972" s="23"/>
      <c r="G3972" s="23"/>
      <c r="L3972" s="23"/>
    </row>
    <row r="3973">
      <c r="E3973" s="22"/>
      <c r="F3973" s="23"/>
      <c r="G3973" s="23"/>
      <c r="L3973" s="23"/>
    </row>
    <row r="3974">
      <c r="E3974" s="22"/>
      <c r="F3974" s="23"/>
      <c r="G3974" s="23"/>
      <c r="L3974" s="23"/>
    </row>
    <row r="3975">
      <c r="E3975" s="22"/>
      <c r="F3975" s="23"/>
      <c r="G3975" s="23"/>
      <c r="L3975" s="23"/>
    </row>
    <row r="3976">
      <c r="E3976" s="22"/>
      <c r="F3976" s="23"/>
      <c r="G3976" s="23"/>
      <c r="L3976" s="23"/>
    </row>
    <row r="3977">
      <c r="E3977" s="22"/>
      <c r="F3977" s="23"/>
      <c r="G3977" s="23"/>
      <c r="L3977" s="23"/>
    </row>
    <row r="3978">
      <c r="E3978" s="22"/>
      <c r="F3978" s="23"/>
      <c r="G3978" s="23"/>
      <c r="L3978" s="23"/>
    </row>
    <row r="3979">
      <c r="E3979" s="22"/>
      <c r="F3979" s="23"/>
      <c r="G3979" s="23"/>
      <c r="L3979" s="23"/>
    </row>
    <row r="3980">
      <c r="E3980" s="22"/>
      <c r="F3980" s="23"/>
      <c r="G3980" s="23"/>
      <c r="L3980" s="23"/>
    </row>
    <row r="3981">
      <c r="E3981" s="22"/>
      <c r="F3981" s="23"/>
      <c r="G3981" s="23"/>
      <c r="L3981" s="23"/>
    </row>
    <row r="3982">
      <c r="E3982" s="22"/>
      <c r="F3982" s="23"/>
      <c r="G3982" s="23"/>
      <c r="L3982" s="23"/>
    </row>
    <row r="3983">
      <c r="E3983" s="22"/>
      <c r="F3983" s="23"/>
      <c r="G3983" s="23"/>
      <c r="L3983" s="23"/>
    </row>
    <row r="3984">
      <c r="E3984" s="22"/>
      <c r="F3984" s="23"/>
      <c r="G3984" s="23"/>
      <c r="L3984" s="23"/>
    </row>
    <row r="3985">
      <c r="E3985" s="22"/>
      <c r="F3985" s="23"/>
      <c r="G3985" s="23"/>
      <c r="L3985" s="23"/>
    </row>
    <row r="3986">
      <c r="E3986" s="22"/>
      <c r="F3986" s="23"/>
      <c r="G3986" s="23"/>
      <c r="L3986" s="23"/>
    </row>
    <row r="3987">
      <c r="E3987" s="22"/>
      <c r="F3987" s="23"/>
      <c r="G3987" s="23"/>
      <c r="L3987" s="23"/>
    </row>
    <row r="3988">
      <c r="E3988" s="22"/>
      <c r="F3988" s="23"/>
      <c r="G3988" s="23"/>
      <c r="L3988" s="23"/>
    </row>
    <row r="3989">
      <c r="E3989" s="22"/>
      <c r="F3989" s="23"/>
      <c r="G3989" s="23"/>
      <c r="L3989" s="23"/>
    </row>
    <row r="3990">
      <c r="E3990" s="22"/>
      <c r="F3990" s="23"/>
      <c r="G3990" s="23"/>
      <c r="L3990" s="23"/>
    </row>
    <row r="3991">
      <c r="E3991" s="22"/>
      <c r="F3991" s="23"/>
      <c r="G3991" s="23"/>
      <c r="L3991" s="23"/>
    </row>
    <row r="3992">
      <c r="E3992" s="22"/>
      <c r="F3992" s="23"/>
      <c r="G3992" s="23"/>
      <c r="L3992" s="23"/>
    </row>
    <row r="3993">
      <c r="E3993" s="22"/>
      <c r="F3993" s="23"/>
      <c r="G3993" s="23"/>
      <c r="L3993" s="23"/>
    </row>
    <row r="3994">
      <c r="E3994" s="22"/>
      <c r="F3994" s="23"/>
      <c r="G3994" s="23"/>
      <c r="L3994" s="23"/>
    </row>
    <row r="3995">
      <c r="E3995" s="22"/>
      <c r="F3995" s="23"/>
      <c r="G3995" s="23"/>
      <c r="L3995" s="23"/>
    </row>
    <row r="3996">
      <c r="E3996" s="22"/>
      <c r="F3996" s="23"/>
      <c r="G3996" s="23"/>
      <c r="L3996" s="23"/>
    </row>
    <row r="3997">
      <c r="E3997" s="22"/>
      <c r="F3997" s="23"/>
      <c r="G3997" s="23"/>
      <c r="L3997" s="23"/>
    </row>
    <row r="3998">
      <c r="E3998" s="22"/>
      <c r="F3998" s="23"/>
      <c r="G3998" s="23"/>
      <c r="L3998" s="23"/>
    </row>
    <row r="3999">
      <c r="E3999" s="22"/>
      <c r="F3999" s="23"/>
      <c r="G3999" s="23"/>
      <c r="L3999" s="23"/>
    </row>
    <row r="4000">
      <c r="E4000" s="22"/>
      <c r="F4000" s="23"/>
      <c r="G4000" s="23"/>
      <c r="L4000" s="23"/>
    </row>
    <row r="4001">
      <c r="E4001" s="22"/>
      <c r="F4001" s="23"/>
      <c r="G4001" s="23"/>
      <c r="L4001" s="23"/>
    </row>
    <row r="4002">
      <c r="E4002" s="22"/>
      <c r="F4002" s="23"/>
      <c r="G4002" s="23"/>
      <c r="L4002" s="23"/>
    </row>
    <row r="4003">
      <c r="E4003" s="22"/>
      <c r="F4003" s="23"/>
      <c r="G4003" s="23"/>
      <c r="L4003" s="23"/>
    </row>
    <row r="4004">
      <c r="E4004" s="22"/>
      <c r="F4004" s="23"/>
      <c r="G4004" s="23"/>
      <c r="L4004" s="23"/>
    </row>
    <row r="4005">
      <c r="E4005" s="22"/>
      <c r="F4005" s="23"/>
      <c r="G4005" s="23"/>
      <c r="L4005" s="23"/>
    </row>
    <row r="4006">
      <c r="E4006" s="22"/>
      <c r="F4006" s="23"/>
      <c r="G4006" s="23"/>
      <c r="L4006" s="23"/>
    </row>
    <row r="4007">
      <c r="E4007" s="22"/>
      <c r="F4007" s="23"/>
      <c r="G4007" s="23"/>
      <c r="L4007" s="23"/>
    </row>
    <row r="4008">
      <c r="E4008" s="22"/>
      <c r="F4008" s="23"/>
      <c r="G4008" s="23"/>
      <c r="L4008" s="23"/>
    </row>
    <row r="4009">
      <c r="E4009" s="22"/>
      <c r="F4009" s="23"/>
      <c r="G4009" s="23"/>
      <c r="L4009" s="23"/>
    </row>
    <row r="4010">
      <c r="E4010" s="22"/>
      <c r="F4010" s="23"/>
      <c r="G4010" s="23"/>
      <c r="L4010" s="23"/>
    </row>
    <row r="4011">
      <c r="E4011" s="22"/>
      <c r="F4011" s="23"/>
      <c r="G4011" s="23"/>
      <c r="L4011" s="23"/>
    </row>
    <row r="4012">
      <c r="E4012" s="22"/>
      <c r="F4012" s="23"/>
      <c r="G4012" s="23"/>
      <c r="L4012" s="23"/>
    </row>
    <row r="4013">
      <c r="E4013" s="22"/>
      <c r="F4013" s="23"/>
      <c r="G4013" s="23"/>
      <c r="L4013" s="23"/>
    </row>
    <row r="4014">
      <c r="E4014" s="22"/>
      <c r="F4014" s="23"/>
      <c r="G4014" s="23"/>
      <c r="L4014" s="23"/>
    </row>
    <row r="4015">
      <c r="E4015" s="22"/>
      <c r="F4015" s="23"/>
      <c r="G4015" s="23"/>
      <c r="L4015" s="23"/>
    </row>
    <row r="4016">
      <c r="E4016" s="22"/>
      <c r="F4016" s="23"/>
      <c r="G4016" s="23"/>
      <c r="L4016" s="23"/>
    </row>
    <row r="4017">
      <c r="E4017" s="22"/>
      <c r="F4017" s="23"/>
      <c r="G4017" s="23"/>
      <c r="L4017" s="23"/>
    </row>
    <row r="4018">
      <c r="E4018" s="22"/>
      <c r="F4018" s="23"/>
      <c r="G4018" s="23"/>
      <c r="L4018" s="23"/>
    </row>
    <row r="4019">
      <c r="E4019" s="22"/>
      <c r="F4019" s="23"/>
      <c r="G4019" s="23"/>
      <c r="L4019" s="23"/>
    </row>
    <row r="4020">
      <c r="E4020" s="22"/>
      <c r="F4020" s="23"/>
      <c r="G4020" s="23"/>
      <c r="L4020" s="23"/>
    </row>
    <row r="4021">
      <c r="E4021" s="22"/>
      <c r="F4021" s="23"/>
      <c r="G4021" s="23"/>
      <c r="L4021" s="23"/>
    </row>
    <row r="4022">
      <c r="E4022" s="22"/>
      <c r="F4022" s="23"/>
      <c r="G4022" s="23"/>
      <c r="L4022" s="23"/>
    </row>
    <row r="4023">
      <c r="E4023" s="22"/>
      <c r="F4023" s="23"/>
      <c r="G4023" s="23"/>
      <c r="L4023" s="23"/>
    </row>
    <row r="4024">
      <c r="E4024" s="22"/>
      <c r="F4024" s="23"/>
      <c r="G4024" s="23"/>
      <c r="L4024" s="23"/>
    </row>
    <row r="4025">
      <c r="E4025" s="22"/>
      <c r="F4025" s="23"/>
      <c r="G4025" s="23"/>
      <c r="L4025" s="23"/>
    </row>
    <row r="4026">
      <c r="E4026" s="22"/>
      <c r="F4026" s="23"/>
      <c r="G4026" s="23"/>
      <c r="L4026" s="23"/>
    </row>
    <row r="4027">
      <c r="E4027" s="22"/>
      <c r="F4027" s="23"/>
      <c r="G4027" s="23"/>
      <c r="L4027" s="23"/>
    </row>
    <row r="4028">
      <c r="E4028" s="22"/>
      <c r="F4028" s="23"/>
      <c r="G4028" s="23"/>
      <c r="L4028" s="23"/>
    </row>
    <row r="4029">
      <c r="E4029" s="22"/>
      <c r="F4029" s="23"/>
      <c r="G4029" s="23"/>
      <c r="L4029" s="23"/>
    </row>
    <row r="4030">
      <c r="E4030" s="22"/>
      <c r="F4030" s="23"/>
      <c r="G4030" s="23"/>
      <c r="L4030" s="23"/>
    </row>
    <row r="4031">
      <c r="E4031" s="22"/>
      <c r="F4031" s="23"/>
      <c r="G4031" s="23"/>
      <c r="L4031" s="23"/>
    </row>
    <row r="4032">
      <c r="E4032" s="22"/>
      <c r="F4032" s="23"/>
      <c r="G4032" s="23"/>
      <c r="L4032" s="23"/>
    </row>
    <row r="4033">
      <c r="E4033" s="22"/>
      <c r="F4033" s="23"/>
      <c r="G4033" s="23"/>
      <c r="L4033" s="23"/>
    </row>
    <row r="4034">
      <c r="E4034" s="22"/>
      <c r="F4034" s="23"/>
      <c r="G4034" s="23"/>
      <c r="L4034" s="23"/>
    </row>
    <row r="4035">
      <c r="E4035" s="22"/>
      <c r="F4035" s="23"/>
      <c r="G4035" s="23"/>
      <c r="L4035" s="23"/>
    </row>
    <row r="4036">
      <c r="E4036" s="22"/>
      <c r="F4036" s="23"/>
      <c r="G4036" s="23"/>
      <c r="L4036" s="23"/>
    </row>
    <row r="4037">
      <c r="E4037" s="22"/>
      <c r="F4037" s="23"/>
      <c r="G4037" s="23"/>
      <c r="L4037" s="23"/>
    </row>
    <row r="4038">
      <c r="E4038" s="22"/>
      <c r="F4038" s="23"/>
      <c r="G4038" s="23"/>
      <c r="L4038" s="23"/>
    </row>
    <row r="4039">
      <c r="E4039" s="22"/>
      <c r="F4039" s="23"/>
      <c r="G4039" s="23"/>
      <c r="L4039" s="23"/>
    </row>
    <row r="4040">
      <c r="E4040" s="22"/>
      <c r="F4040" s="23"/>
      <c r="G4040" s="23"/>
      <c r="L4040" s="23"/>
    </row>
    <row r="4041">
      <c r="E4041" s="22"/>
      <c r="F4041" s="23"/>
      <c r="G4041" s="23"/>
      <c r="L4041" s="23"/>
    </row>
    <row r="4042">
      <c r="E4042" s="22"/>
      <c r="F4042" s="23"/>
      <c r="G4042" s="23"/>
      <c r="L4042" s="23"/>
    </row>
    <row r="4043">
      <c r="E4043" s="22"/>
      <c r="F4043" s="23"/>
      <c r="G4043" s="23"/>
      <c r="L4043" s="23"/>
    </row>
    <row r="4044">
      <c r="E4044" s="22"/>
      <c r="F4044" s="23"/>
      <c r="G4044" s="23"/>
      <c r="L4044" s="23"/>
    </row>
    <row r="4045">
      <c r="E4045" s="22"/>
      <c r="F4045" s="23"/>
      <c r="G4045" s="23"/>
      <c r="L4045" s="23"/>
    </row>
    <row r="4046">
      <c r="E4046" s="22"/>
      <c r="F4046" s="23"/>
      <c r="G4046" s="23"/>
      <c r="L4046" s="23"/>
    </row>
    <row r="4047">
      <c r="E4047" s="22"/>
      <c r="F4047" s="23"/>
      <c r="G4047" s="23"/>
      <c r="L4047" s="23"/>
    </row>
    <row r="4048">
      <c r="E4048" s="22"/>
      <c r="F4048" s="23"/>
      <c r="G4048" s="23"/>
      <c r="L4048" s="23"/>
    </row>
    <row r="4049">
      <c r="E4049" s="22"/>
      <c r="F4049" s="23"/>
      <c r="G4049" s="23"/>
      <c r="L4049" s="23"/>
    </row>
    <row r="4050">
      <c r="E4050" s="22"/>
      <c r="F4050" s="23"/>
      <c r="G4050" s="23"/>
      <c r="L4050" s="23"/>
    </row>
    <row r="4051">
      <c r="E4051" s="22"/>
      <c r="F4051" s="23"/>
      <c r="G4051" s="23"/>
      <c r="L4051" s="23"/>
    </row>
    <row r="4052">
      <c r="E4052" s="22"/>
      <c r="F4052" s="23"/>
      <c r="G4052" s="23"/>
      <c r="L4052" s="23"/>
    </row>
    <row r="4053">
      <c r="E4053" s="22"/>
      <c r="F4053" s="23"/>
      <c r="G4053" s="23"/>
      <c r="L4053" s="23"/>
    </row>
    <row r="4054">
      <c r="E4054" s="22"/>
      <c r="F4054" s="23"/>
      <c r="G4054" s="23"/>
      <c r="L4054" s="23"/>
    </row>
    <row r="4055">
      <c r="E4055" s="22"/>
      <c r="F4055" s="23"/>
      <c r="G4055" s="23"/>
      <c r="L4055" s="23"/>
    </row>
    <row r="4056">
      <c r="E4056" s="22"/>
      <c r="F4056" s="23"/>
      <c r="G4056" s="23"/>
      <c r="L4056" s="23"/>
    </row>
    <row r="4057">
      <c r="E4057" s="22"/>
      <c r="F4057" s="23"/>
      <c r="G4057" s="23"/>
      <c r="L4057" s="23"/>
    </row>
    <row r="4058">
      <c r="E4058" s="22"/>
      <c r="F4058" s="23"/>
      <c r="G4058" s="23"/>
      <c r="L4058" s="23"/>
    </row>
    <row r="4059">
      <c r="E4059" s="22"/>
      <c r="F4059" s="23"/>
      <c r="G4059" s="23"/>
      <c r="L4059" s="23"/>
    </row>
    <row r="4060">
      <c r="E4060" s="22"/>
      <c r="F4060" s="23"/>
      <c r="G4060" s="23"/>
      <c r="L4060" s="23"/>
    </row>
    <row r="4061">
      <c r="E4061" s="22"/>
      <c r="F4061" s="23"/>
      <c r="G4061" s="23"/>
      <c r="L4061" s="23"/>
    </row>
    <row r="4062">
      <c r="E4062" s="22"/>
      <c r="F4062" s="23"/>
      <c r="G4062" s="23"/>
      <c r="L4062" s="23"/>
    </row>
    <row r="4063">
      <c r="E4063" s="22"/>
      <c r="F4063" s="23"/>
      <c r="G4063" s="23"/>
      <c r="L4063" s="23"/>
    </row>
    <row r="4064">
      <c r="E4064" s="22"/>
      <c r="F4064" s="23"/>
      <c r="G4064" s="23"/>
      <c r="L4064" s="23"/>
    </row>
    <row r="4065">
      <c r="E4065" s="22"/>
      <c r="F4065" s="23"/>
      <c r="G4065" s="23"/>
      <c r="L4065" s="23"/>
    </row>
    <row r="4066">
      <c r="E4066" s="22"/>
      <c r="F4066" s="23"/>
      <c r="G4066" s="23"/>
      <c r="L4066" s="23"/>
    </row>
    <row r="4067">
      <c r="E4067" s="22"/>
      <c r="F4067" s="23"/>
      <c r="G4067" s="23"/>
      <c r="L4067" s="23"/>
    </row>
    <row r="4068">
      <c r="E4068" s="22"/>
      <c r="F4068" s="23"/>
      <c r="G4068" s="23"/>
      <c r="L4068" s="23"/>
    </row>
    <row r="4069">
      <c r="E4069" s="22"/>
      <c r="F4069" s="23"/>
      <c r="G4069" s="23"/>
      <c r="L4069" s="23"/>
    </row>
    <row r="4070">
      <c r="E4070" s="22"/>
      <c r="F4070" s="23"/>
      <c r="G4070" s="23"/>
      <c r="L4070" s="23"/>
    </row>
    <row r="4071">
      <c r="E4071" s="22"/>
      <c r="F4071" s="23"/>
      <c r="G4071" s="23"/>
      <c r="L4071" s="23"/>
    </row>
    <row r="4072">
      <c r="E4072" s="22"/>
      <c r="F4072" s="23"/>
      <c r="G4072" s="23"/>
      <c r="L4072" s="23"/>
    </row>
    <row r="4073">
      <c r="E4073" s="22"/>
      <c r="F4073" s="23"/>
      <c r="G4073" s="23"/>
      <c r="L4073" s="23"/>
    </row>
    <row r="4074">
      <c r="E4074" s="22"/>
      <c r="F4074" s="23"/>
      <c r="G4074" s="23"/>
      <c r="L4074" s="23"/>
    </row>
    <row r="4075">
      <c r="E4075" s="22"/>
      <c r="F4075" s="23"/>
      <c r="G4075" s="23"/>
      <c r="L4075" s="23"/>
    </row>
    <row r="4076">
      <c r="E4076" s="22"/>
      <c r="F4076" s="23"/>
      <c r="G4076" s="23"/>
      <c r="L4076" s="23"/>
    </row>
    <row r="4077">
      <c r="E4077" s="22"/>
      <c r="F4077" s="23"/>
      <c r="G4077" s="23"/>
      <c r="L4077" s="23"/>
    </row>
    <row r="4078">
      <c r="E4078" s="22"/>
      <c r="F4078" s="23"/>
      <c r="G4078" s="23"/>
      <c r="L4078" s="23"/>
    </row>
    <row r="4079">
      <c r="E4079" s="22"/>
      <c r="F4079" s="23"/>
      <c r="G4079" s="23"/>
      <c r="L4079" s="23"/>
    </row>
    <row r="4080">
      <c r="E4080" s="22"/>
      <c r="F4080" s="23"/>
      <c r="G4080" s="23"/>
      <c r="L4080" s="23"/>
    </row>
    <row r="4081">
      <c r="E4081" s="22"/>
      <c r="F4081" s="23"/>
      <c r="G4081" s="23"/>
      <c r="L4081" s="23"/>
    </row>
    <row r="4082">
      <c r="E4082" s="22"/>
      <c r="F4082" s="23"/>
      <c r="G4082" s="23"/>
      <c r="L4082" s="23"/>
    </row>
    <row r="4083">
      <c r="E4083" s="22"/>
      <c r="F4083" s="23"/>
      <c r="G4083" s="23"/>
      <c r="L4083" s="23"/>
    </row>
    <row r="4084">
      <c r="E4084" s="22"/>
      <c r="F4084" s="23"/>
      <c r="G4084" s="23"/>
      <c r="L4084" s="23"/>
    </row>
    <row r="4085">
      <c r="E4085" s="22"/>
      <c r="F4085" s="23"/>
      <c r="G4085" s="23"/>
      <c r="L4085" s="23"/>
    </row>
    <row r="4086">
      <c r="E4086" s="22"/>
      <c r="F4086" s="23"/>
      <c r="G4086" s="23"/>
      <c r="L4086" s="23"/>
    </row>
    <row r="4087">
      <c r="E4087" s="22"/>
      <c r="F4087" s="23"/>
      <c r="G4087" s="23"/>
      <c r="L4087" s="23"/>
    </row>
    <row r="4088">
      <c r="E4088" s="22"/>
      <c r="F4088" s="23"/>
      <c r="G4088" s="23"/>
      <c r="L4088" s="23"/>
    </row>
    <row r="4089">
      <c r="E4089" s="22"/>
      <c r="F4089" s="23"/>
      <c r="G4089" s="23"/>
      <c r="L4089" s="23"/>
    </row>
    <row r="4090">
      <c r="E4090" s="22"/>
      <c r="F4090" s="23"/>
      <c r="G4090" s="23"/>
      <c r="L4090" s="23"/>
    </row>
    <row r="4091">
      <c r="E4091" s="22"/>
      <c r="F4091" s="23"/>
      <c r="G4091" s="23"/>
      <c r="L4091" s="23"/>
    </row>
    <row r="4092">
      <c r="E4092" s="22"/>
      <c r="F4092" s="23"/>
      <c r="G4092" s="23"/>
      <c r="L4092" s="23"/>
    </row>
    <row r="4093">
      <c r="E4093" s="22"/>
      <c r="F4093" s="23"/>
      <c r="G4093" s="23"/>
      <c r="L4093" s="23"/>
    </row>
    <row r="4094">
      <c r="E4094" s="22"/>
      <c r="F4094" s="23"/>
      <c r="G4094" s="23"/>
      <c r="L4094" s="23"/>
    </row>
    <row r="4095">
      <c r="E4095" s="22"/>
      <c r="F4095" s="23"/>
      <c r="G4095" s="23"/>
      <c r="L4095" s="23"/>
    </row>
    <row r="4096">
      <c r="E4096" s="22"/>
      <c r="F4096" s="23"/>
      <c r="G4096" s="23"/>
      <c r="L4096" s="23"/>
    </row>
    <row r="4097">
      <c r="E4097" s="22"/>
      <c r="F4097" s="23"/>
      <c r="G4097" s="23"/>
      <c r="L4097" s="23"/>
    </row>
    <row r="4098">
      <c r="E4098" s="22"/>
      <c r="F4098" s="23"/>
      <c r="G4098" s="23"/>
      <c r="L4098" s="23"/>
    </row>
    <row r="4099">
      <c r="E4099" s="22"/>
      <c r="F4099" s="23"/>
      <c r="G4099" s="23"/>
      <c r="L4099" s="23"/>
    </row>
    <row r="4100">
      <c r="E4100" s="22"/>
      <c r="F4100" s="23"/>
      <c r="G4100" s="23"/>
      <c r="L4100" s="23"/>
    </row>
    <row r="4101">
      <c r="E4101" s="22"/>
      <c r="F4101" s="23"/>
      <c r="G4101" s="23"/>
      <c r="L4101" s="23"/>
    </row>
    <row r="4102">
      <c r="E4102" s="22"/>
      <c r="F4102" s="23"/>
      <c r="G4102" s="23"/>
      <c r="L4102" s="23"/>
    </row>
    <row r="4103">
      <c r="E4103" s="22"/>
      <c r="F4103" s="23"/>
      <c r="G4103" s="23"/>
      <c r="L4103" s="23"/>
    </row>
    <row r="4104">
      <c r="E4104" s="22"/>
      <c r="F4104" s="23"/>
      <c r="G4104" s="23"/>
      <c r="L4104" s="23"/>
    </row>
    <row r="4105">
      <c r="E4105" s="22"/>
      <c r="F4105" s="23"/>
      <c r="G4105" s="23"/>
      <c r="L4105" s="23"/>
    </row>
    <row r="4106">
      <c r="E4106" s="22"/>
      <c r="F4106" s="23"/>
      <c r="G4106" s="23"/>
      <c r="L4106" s="23"/>
    </row>
    <row r="4107">
      <c r="E4107" s="22"/>
      <c r="F4107" s="23"/>
      <c r="G4107" s="23"/>
      <c r="L4107" s="23"/>
    </row>
    <row r="4108">
      <c r="E4108" s="22"/>
      <c r="F4108" s="23"/>
      <c r="G4108" s="23"/>
      <c r="L4108" s="23"/>
    </row>
    <row r="4109">
      <c r="E4109" s="22"/>
      <c r="F4109" s="23"/>
      <c r="G4109" s="23"/>
      <c r="L4109" s="23"/>
    </row>
    <row r="4110">
      <c r="E4110" s="22"/>
      <c r="F4110" s="23"/>
      <c r="G4110" s="23"/>
      <c r="L4110" s="23"/>
    </row>
    <row r="4111">
      <c r="E4111" s="22"/>
      <c r="F4111" s="23"/>
      <c r="G4111" s="23"/>
      <c r="L4111" s="23"/>
    </row>
    <row r="4112">
      <c r="E4112" s="22"/>
      <c r="F4112" s="23"/>
      <c r="G4112" s="23"/>
      <c r="L4112" s="23"/>
    </row>
    <row r="4113">
      <c r="E4113" s="22"/>
      <c r="F4113" s="23"/>
      <c r="G4113" s="23"/>
      <c r="L4113" s="23"/>
    </row>
    <row r="4114">
      <c r="E4114" s="22"/>
      <c r="F4114" s="23"/>
      <c r="G4114" s="23"/>
      <c r="L4114" s="23"/>
    </row>
    <row r="4115">
      <c r="E4115" s="22"/>
      <c r="F4115" s="23"/>
      <c r="G4115" s="23"/>
      <c r="L4115" s="23"/>
    </row>
    <row r="4116">
      <c r="E4116" s="22"/>
      <c r="F4116" s="23"/>
      <c r="G4116" s="23"/>
      <c r="L4116" s="23"/>
    </row>
    <row r="4117">
      <c r="E4117" s="22"/>
      <c r="F4117" s="23"/>
      <c r="G4117" s="23"/>
      <c r="L4117" s="23"/>
    </row>
    <row r="4118">
      <c r="E4118" s="22"/>
      <c r="F4118" s="23"/>
      <c r="G4118" s="23"/>
      <c r="L4118" s="23"/>
    </row>
    <row r="4119">
      <c r="E4119" s="22"/>
      <c r="F4119" s="23"/>
      <c r="G4119" s="23"/>
      <c r="L4119" s="23"/>
    </row>
    <row r="4120">
      <c r="E4120" s="22"/>
      <c r="F4120" s="23"/>
      <c r="G4120" s="23"/>
      <c r="L4120" s="23"/>
    </row>
    <row r="4121">
      <c r="E4121" s="22"/>
      <c r="F4121" s="23"/>
      <c r="G4121" s="23"/>
      <c r="L4121" s="23"/>
    </row>
    <row r="4122">
      <c r="E4122" s="22"/>
      <c r="F4122" s="23"/>
      <c r="G4122" s="23"/>
      <c r="L4122" s="23"/>
    </row>
    <row r="4123">
      <c r="E4123" s="22"/>
      <c r="F4123" s="23"/>
      <c r="G4123" s="23"/>
      <c r="L4123" s="23"/>
    </row>
    <row r="4124">
      <c r="E4124" s="22"/>
      <c r="F4124" s="23"/>
      <c r="G4124" s="23"/>
      <c r="L4124" s="23"/>
    </row>
    <row r="4125">
      <c r="E4125" s="22"/>
      <c r="F4125" s="23"/>
      <c r="G4125" s="23"/>
      <c r="L4125" s="23"/>
    </row>
    <row r="4126">
      <c r="E4126" s="22"/>
      <c r="F4126" s="23"/>
      <c r="G4126" s="23"/>
      <c r="L4126" s="23"/>
    </row>
    <row r="4127">
      <c r="E4127" s="22"/>
      <c r="F4127" s="23"/>
      <c r="G4127" s="23"/>
      <c r="L4127" s="23"/>
    </row>
    <row r="4128">
      <c r="E4128" s="22"/>
      <c r="F4128" s="23"/>
      <c r="G4128" s="23"/>
      <c r="L4128" s="23"/>
    </row>
    <row r="4129">
      <c r="E4129" s="22"/>
      <c r="F4129" s="23"/>
      <c r="G4129" s="23"/>
      <c r="L4129" s="23"/>
    </row>
    <row r="4130">
      <c r="E4130" s="22"/>
      <c r="F4130" s="23"/>
      <c r="G4130" s="23"/>
      <c r="L4130" s="23"/>
    </row>
    <row r="4131">
      <c r="E4131" s="22"/>
      <c r="F4131" s="23"/>
      <c r="G4131" s="23"/>
      <c r="L4131" s="23"/>
    </row>
    <row r="4132">
      <c r="E4132" s="22"/>
      <c r="F4132" s="23"/>
      <c r="G4132" s="23"/>
      <c r="L4132" s="23"/>
    </row>
    <row r="4133">
      <c r="E4133" s="22"/>
      <c r="F4133" s="23"/>
      <c r="G4133" s="23"/>
      <c r="L4133" s="23"/>
    </row>
    <row r="4134">
      <c r="E4134" s="22"/>
      <c r="F4134" s="23"/>
      <c r="G4134" s="23"/>
      <c r="L4134" s="23"/>
    </row>
    <row r="4135">
      <c r="E4135" s="22"/>
      <c r="F4135" s="23"/>
      <c r="G4135" s="23"/>
      <c r="L4135" s="23"/>
    </row>
    <row r="4136">
      <c r="E4136" s="22"/>
      <c r="F4136" s="23"/>
      <c r="G4136" s="23"/>
      <c r="L4136" s="23"/>
    </row>
    <row r="4137">
      <c r="E4137" s="22"/>
      <c r="F4137" s="23"/>
      <c r="G4137" s="23"/>
      <c r="L4137" s="23"/>
    </row>
    <row r="4138">
      <c r="E4138" s="22"/>
      <c r="F4138" s="23"/>
      <c r="G4138" s="23"/>
      <c r="L4138" s="23"/>
    </row>
    <row r="4139">
      <c r="E4139" s="22"/>
      <c r="F4139" s="23"/>
      <c r="G4139" s="23"/>
      <c r="L4139" s="23"/>
    </row>
    <row r="4140">
      <c r="E4140" s="22"/>
      <c r="F4140" s="23"/>
      <c r="G4140" s="23"/>
      <c r="L4140" s="23"/>
    </row>
    <row r="4141">
      <c r="E4141" s="22"/>
      <c r="F4141" s="23"/>
      <c r="G4141" s="23"/>
      <c r="L4141" s="23"/>
    </row>
    <row r="4142">
      <c r="E4142" s="22"/>
      <c r="F4142" s="23"/>
      <c r="G4142" s="23"/>
      <c r="L4142" s="23"/>
    </row>
    <row r="4143">
      <c r="E4143" s="22"/>
      <c r="F4143" s="23"/>
      <c r="G4143" s="23"/>
      <c r="L4143" s="23"/>
    </row>
    <row r="4144">
      <c r="E4144" s="22"/>
      <c r="F4144" s="23"/>
      <c r="G4144" s="23"/>
      <c r="L4144" s="23"/>
    </row>
    <row r="4145">
      <c r="E4145" s="22"/>
      <c r="F4145" s="23"/>
      <c r="G4145" s="23"/>
      <c r="L4145" s="23"/>
    </row>
    <row r="4146">
      <c r="E4146" s="22"/>
      <c r="F4146" s="23"/>
      <c r="G4146" s="23"/>
      <c r="L4146" s="23"/>
    </row>
    <row r="4147">
      <c r="E4147" s="22"/>
      <c r="F4147" s="23"/>
      <c r="G4147" s="23"/>
      <c r="L4147" s="23"/>
    </row>
    <row r="4148">
      <c r="E4148" s="22"/>
      <c r="F4148" s="23"/>
      <c r="G4148" s="23"/>
      <c r="L4148" s="23"/>
    </row>
    <row r="4149">
      <c r="E4149" s="22"/>
      <c r="F4149" s="23"/>
      <c r="G4149" s="23"/>
      <c r="L4149" s="23"/>
    </row>
    <row r="4150">
      <c r="E4150" s="22"/>
      <c r="F4150" s="23"/>
      <c r="G4150" s="23"/>
      <c r="L4150" s="23"/>
    </row>
    <row r="4151">
      <c r="E4151" s="22"/>
      <c r="F4151" s="23"/>
      <c r="G4151" s="23"/>
      <c r="L4151" s="23"/>
    </row>
    <row r="4152">
      <c r="E4152" s="22"/>
      <c r="F4152" s="23"/>
      <c r="G4152" s="23"/>
      <c r="L4152" s="23"/>
    </row>
    <row r="4153">
      <c r="E4153" s="22"/>
      <c r="F4153" s="23"/>
      <c r="G4153" s="23"/>
      <c r="L4153" s="23"/>
    </row>
    <row r="4154">
      <c r="E4154" s="22"/>
      <c r="F4154" s="23"/>
      <c r="G4154" s="23"/>
      <c r="L4154" s="23"/>
    </row>
    <row r="4155">
      <c r="E4155" s="22"/>
      <c r="F4155" s="23"/>
      <c r="G4155" s="23"/>
      <c r="L4155" s="23"/>
    </row>
    <row r="4156">
      <c r="E4156" s="22"/>
      <c r="F4156" s="23"/>
      <c r="G4156" s="23"/>
      <c r="L4156" s="23"/>
    </row>
    <row r="4157">
      <c r="E4157" s="22"/>
      <c r="F4157" s="23"/>
      <c r="G4157" s="23"/>
      <c r="L4157" s="23"/>
    </row>
    <row r="4158">
      <c r="E4158" s="22"/>
      <c r="F4158" s="23"/>
      <c r="G4158" s="23"/>
      <c r="L4158" s="23"/>
    </row>
    <row r="4159">
      <c r="E4159" s="22"/>
      <c r="F4159" s="23"/>
      <c r="G4159" s="23"/>
      <c r="L4159" s="23"/>
    </row>
    <row r="4160">
      <c r="E4160" s="22"/>
      <c r="F4160" s="23"/>
      <c r="G4160" s="23"/>
      <c r="L4160" s="23"/>
    </row>
    <row r="4161">
      <c r="E4161" s="22"/>
      <c r="F4161" s="23"/>
      <c r="G4161" s="23"/>
      <c r="L4161" s="23"/>
    </row>
    <row r="4162">
      <c r="E4162" s="22"/>
      <c r="F4162" s="23"/>
      <c r="G4162" s="23"/>
      <c r="L4162" s="23"/>
    </row>
    <row r="4163">
      <c r="E4163" s="22"/>
      <c r="F4163" s="23"/>
      <c r="G4163" s="23"/>
      <c r="L4163" s="23"/>
    </row>
    <row r="4164">
      <c r="E4164" s="22"/>
      <c r="F4164" s="23"/>
      <c r="G4164" s="23"/>
      <c r="L4164" s="23"/>
    </row>
    <row r="4165">
      <c r="E4165" s="22"/>
      <c r="F4165" s="23"/>
      <c r="G4165" s="23"/>
      <c r="L4165" s="23"/>
    </row>
    <row r="4166">
      <c r="E4166" s="22"/>
      <c r="F4166" s="23"/>
      <c r="G4166" s="23"/>
      <c r="L4166" s="23"/>
    </row>
    <row r="4167">
      <c r="E4167" s="22"/>
      <c r="F4167" s="23"/>
      <c r="G4167" s="23"/>
      <c r="L4167" s="23"/>
    </row>
    <row r="4168">
      <c r="E4168" s="22"/>
      <c r="F4168" s="23"/>
      <c r="G4168" s="23"/>
      <c r="L4168" s="23"/>
    </row>
    <row r="4169">
      <c r="E4169" s="22"/>
      <c r="F4169" s="23"/>
      <c r="G4169" s="23"/>
      <c r="L4169" s="23"/>
    </row>
    <row r="4170">
      <c r="E4170" s="22"/>
      <c r="F4170" s="23"/>
      <c r="G4170" s="23"/>
      <c r="L4170" s="23"/>
    </row>
    <row r="4171">
      <c r="E4171" s="22"/>
      <c r="F4171" s="23"/>
      <c r="G4171" s="23"/>
      <c r="L4171" s="23"/>
    </row>
    <row r="4172">
      <c r="E4172" s="22"/>
      <c r="F4172" s="23"/>
      <c r="G4172" s="23"/>
      <c r="L4172" s="23"/>
    </row>
    <row r="4173">
      <c r="E4173" s="22"/>
      <c r="F4173" s="23"/>
      <c r="G4173" s="23"/>
      <c r="L4173" s="23"/>
    </row>
    <row r="4174">
      <c r="E4174" s="22"/>
      <c r="F4174" s="23"/>
      <c r="G4174" s="23"/>
      <c r="L4174" s="23"/>
    </row>
    <row r="4175">
      <c r="E4175" s="22"/>
      <c r="F4175" s="23"/>
      <c r="G4175" s="23"/>
      <c r="L4175" s="23"/>
    </row>
    <row r="4176">
      <c r="E4176" s="22"/>
      <c r="F4176" s="23"/>
      <c r="G4176" s="23"/>
      <c r="L4176" s="23"/>
    </row>
    <row r="4177">
      <c r="E4177" s="22"/>
      <c r="F4177" s="23"/>
      <c r="G4177" s="23"/>
      <c r="L4177" s="23"/>
    </row>
    <row r="4178">
      <c r="E4178" s="22"/>
      <c r="F4178" s="23"/>
      <c r="G4178" s="23"/>
      <c r="L4178" s="23"/>
    </row>
    <row r="4179">
      <c r="E4179" s="22"/>
      <c r="F4179" s="23"/>
      <c r="G4179" s="23"/>
      <c r="L4179" s="23"/>
    </row>
    <row r="4180">
      <c r="E4180" s="22"/>
      <c r="F4180" s="23"/>
      <c r="G4180" s="23"/>
      <c r="L4180" s="23"/>
    </row>
    <row r="4181">
      <c r="E4181" s="22"/>
      <c r="F4181" s="23"/>
      <c r="G4181" s="23"/>
      <c r="L4181" s="23"/>
    </row>
    <row r="4182">
      <c r="E4182" s="22"/>
      <c r="F4182" s="23"/>
      <c r="G4182" s="23"/>
      <c r="L4182" s="23"/>
    </row>
    <row r="4183">
      <c r="E4183" s="22"/>
      <c r="F4183" s="23"/>
      <c r="G4183" s="23"/>
      <c r="L4183" s="23"/>
    </row>
    <row r="4184">
      <c r="E4184" s="22"/>
      <c r="F4184" s="23"/>
      <c r="G4184" s="23"/>
      <c r="L4184" s="23"/>
    </row>
    <row r="4185">
      <c r="E4185" s="22"/>
      <c r="F4185" s="23"/>
      <c r="G4185" s="23"/>
      <c r="L4185" s="23"/>
    </row>
    <row r="4186">
      <c r="E4186" s="22"/>
      <c r="F4186" s="23"/>
      <c r="G4186" s="23"/>
      <c r="L4186" s="23"/>
    </row>
    <row r="4187">
      <c r="E4187" s="22"/>
      <c r="F4187" s="23"/>
      <c r="G4187" s="23"/>
      <c r="L4187" s="23"/>
    </row>
    <row r="4188">
      <c r="E4188" s="22"/>
      <c r="F4188" s="23"/>
      <c r="G4188" s="23"/>
      <c r="L4188" s="23"/>
    </row>
    <row r="4189">
      <c r="E4189" s="22"/>
      <c r="F4189" s="23"/>
      <c r="G4189" s="23"/>
      <c r="L4189" s="23"/>
    </row>
    <row r="4190">
      <c r="E4190" s="22"/>
      <c r="F4190" s="23"/>
      <c r="G4190" s="23"/>
      <c r="L4190" s="23"/>
    </row>
    <row r="4191">
      <c r="E4191" s="22"/>
      <c r="F4191" s="23"/>
      <c r="G4191" s="23"/>
      <c r="L4191" s="23"/>
    </row>
    <row r="4192">
      <c r="E4192" s="22"/>
      <c r="F4192" s="23"/>
      <c r="G4192" s="23"/>
      <c r="L4192" s="23"/>
    </row>
    <row r="4193">
      <c r="E4193" s="22"/>
      <c r="F4193" s="23"/>
      <c r="G4193" s="23"/>
      <c r="L4193" s="23"/>
    </row>
    <row r="4194">
      <c r="E4194" s="22"/>
      <c r="F4194" s="23"/>
      <c r="G4194" s="23"/>
      <c r="L4194" s="23"/>
    </row>
    <row r="4195">
      <c r="E4195" s="22"/>
      <c r="F4195" s="23"/>
      <c r="G4195" s="23"/>
      <c r="L4195" s="23"/>
    </row>
    <row r="4196">
      <c r="E4196" s="22"/>
      <c r="F4196" s="23"/>
      <c r="G4196" s="23"/>
      <c r="L4196" s="23"/>
    </row>
    <row r="4197">
      <c r="E4197" s="22"/>
      <c r="F4197" s="23"/>
      <c r="G4197" s="23"/>
      <c r="L4197" s="23"/>
    </row>
    <row r="4198">
      <c r="E4198" s="22"/>
      <c r="F4198" s="23"/>
      <c r="G4198" s="23"/>
      <c r="L4198" s="23"/>
    </row>
    <row r="4199">
      <c r="E4199" s="22"/>
      <c r="F4199" s="23"/>
      <c r="G4199" s="23"/>
      <c r="L4199" s="23"/>
    </row>
    <row r="4200">
      <c r="E4200" s="22"/>
      <c r="F4200" s="23"/>
      <c r="G4200" s="23"/>
      <c r="L4200" s="23"/>
    </row>
    <row r="4201">
      <c r="E4201" s="22"/>
      <c r="F4201" s="23"/>
      <c r="G4201" s="23"/>
      <c r="L4201" s="23"/>
    </row>
    <row r="4202">
      <c r="E4202" s="22"/>
      <c r="F4202" s="23"/>
      <c r="G4202" s="23"/>
      <c r="L4202" s="23"/>
    </row>
    <row r="4203">
      <c r="E4203" s="22"/>
      <c r="F4203" s="23"/>
      <c r="G4203" s="23"/>
      <c r="L4203" s="23"/>
    </row>
    <row r="4204">
      <c r="E4204" s="22"/>
      <c r="F4204" s="23"/>
      <c r="G4204" s="23"/>
      <c r="L4204" s="23"/>
    </row>
    <row r="4205">
      <c r="E4205" s="22"/>
      <c r="F4205" s="23"/>
      <c r="G4205" s="23"/>
      <c r="L4205" s="23"/>
    </row>
    <row r="4206">
      <c r="E4206" s="22"/>
      <c r="F4206" s="23"/>
      <c r="G4206" s="23"/>
      <c r="L4206" s="23"/>
    </row>
    <row r="4207">
      <c r="E4207" s="22"/>
      <c r="F4207" s="23"/>
      <c r="G4207" s="23"/>
      <c r="L4207" s="23"/>
    </row>
    <row r="4208">
      <c r="E4208" s="22"/>
      <c r="F4208" s="23"/>
      <c r="G4208" s="23"/>
      <c r="L4208" s="23"/>
    </row>
    <row r="4209">
      <c r="E4209" s="22"/>
      <c r="F4209" s="23"/>
      <c r="G4209" s="23"/>
      <c r="L4209" s="23"/>
    </row>
    <row r="4210">
      <c r="E4210" s="22"/>
      <c r="F4210" s="23"/>
      <c r="G4210" s="23"/>
      <c r="L4210" s="23"/>
    </row>
    <row r="4211">
      <c r="E4211" s="22"/>
      <c r="F4211" s="23"/>
      <c r="G4211" s="23"/>
      <c r="L4211" s="23"/>
    </row>
    <row r="4212">
      <c r="E4212" s="22"/>
      <c r="F4212" s="23"/>
      <c r="G4212" s="23"/>
      <c r="L4212" s="23"/>
    </row>
    <row r="4213">
      <c r="E4213" s="22"/>
      <c r="F4213" s="23"/>
      <c r="G4213" s="23"/>
      <c r="L4213" s="23"/>
    </row>
    <row r="4214">
      <c r="E4214" s="22"/>
      <c r="F4214" s="23"/>
      <c r="G4214" s="23"/>
      <c r="L4214" s="23"/>
    </row>
    <row r="4215">
      <c r="E4215" s="22"/>
      <c r="F4215" s="23"/>
      <c r="G4215" s="23"/>
      <c r="L4215" s="23"/>
    </row>
    <row r="4216">
      <c r="E4216" s="22"/>
      <c r="F4216" s="23"/>
      <c r="G4216" s="23"/>
      <c r="L4216" s="23"/>
    </row>
    <row r="4217">
      <c r="E4217" s="22"/>
      <c r="F4217" s="23"/>
      <c r="G4217" s="23"/>
      <c r="L4217" s="23"/>
    </row>
    <row r="4218">
      <c r="E4218" s="22"/>
      <c r="F4218" s="23"/>
      <c r="G4218" s="23"/>
      <c r="L4218" s="23"/>
    </row>
    <row r="4219">
      <c r="E4219" s="22"/>
      <c r="F4219" s="23"/>
      <c r="G4219" s="23"/>
      <c r="L4219" s="23"/>
    </row>
    <row r="4220">
      <c r="E4220" s="22"/>
      <c r="F4220" s="23"/>
      <c r="G4220" s="23"/>
      <c r="L4220" s="23"/>
    </row>
    <row r="4221">
      <c r="E4221" s="22"/>
      <c r="F4221" s="23"/>
      <c r="G4221" s="23"/>
      <c r="L4221" s="23"/>
    </row>
    <row r="4222">
      <c r="E4222" s="22"/>
      <c r="F4222" s="23"/>
      <c r="G4222" s="23"/>
      <c r="L4222" s="23"/>
    </row>
    <row r="4223">
      <c r="E4223" s="22"/>
      <c r="F4223" s="23"/>
      <c r="G4223" s="23"/>
      <c r="L4223" s="23"/>
    </row>
    <row r="4224">
      <c r="E4224" s="22"/>
      <c r="F4224" s="23"/>
      <c r="G4224" s="23"/>
      <c r="L4224" s="23"/>
    </row>
    <row r="4225">
      <c r="E4225" s="22"/>
      <c r="F4225" s="23"/>
      <c r="G4225" s="23"/>
      <c r="L4225" s="23"/>
    </row>
    <row r="4226">
      <c r="E4226" s="22"/>
      <c r="F4226" s="23"/>
      <c r="G4226" s="23"/>
      <c r="L4226" s="23"/>
    </row>
    <row r="4227">
      <c r="E4227" s="22"/>
      <c r="F4227" s="23"/>
      <c r="G4227" s="23"/>
      <c r="L4227" s="23"/>
    </row>
    <row r="4228">
      <c r="E4228" s="22"/>
      <c r="F4228" s="23"/>
      <c r="G4228" s="23"/>
      <c r="L4228" s="23"/>
    </row>
    <row r="4229">
      <c r="E4229" s="22"/>
      <c r="F4229" s="23"/>
      <c r="G4229" s="23"/>
      <c r="L4229" s="23"/>
    </row>
    <row r="4230">
      <c r="E4230" s="22"/>
      <c r="F4230" s="23"/>
      <c r="G4230" s="23"/>
      <c r="L4230" s="23"/>
    </row>
    <row r="4231">
      <c r="E4231" s="22"/>
      <c r="F4231" s="23"/>
      <c r="G4231" s="23"/>
      <c r="L4231" s="23"/>
    </row>
    <row r="4232">
      <c r="E4232" s="22"/>
      <c r="F4232" s="23"/>
      <c r="G4232" s="23"/>
      <c r="L4232" s="23"/>
    </row>
    <row r="4233">
      <c r="E4233" s="22"/>
      <c r="F4233" s="23"/>
      <c r="G4233" s="23"/>
      <c r="L4233" s="23"/>
    </row>
    <row r="4234">
      <c r="E4234" s="22"/>
      <c r="F4234" s="23"/>
      <c r="G4234" s="23"/>
      <c r="L4234" s="23"/>
    </row>
    <row r="4235">
      <c r="E4235" s="22"/>
      <c r="F4235" s="23"/>
      <c r="G4235" s="23"/>
      <c r="L4235" s="23"/>
    </row>
    <row r="4236">
      <c r="E4236" s="22"/>
      <c r="F4236" s="23"/>
      <c r="G4236" s="23"/>
      <c r="L4236" s="23"/>
    </row>
    <row r="4237">
      <c r="E4237" s="22"/>
      <c r="F4237" s="23"/>
      <c r="G4237" s="23"/>
      <c r="L4237" s="23"/>
    </row>
    <row r="4238">
      <c r="E4238" s="22"/>
      <c r="F4238" s="23"/>
      <c r="G4238" s="23"/>
      <c r="L4238" s="23"/>
    </row>
    <row r="4239">
      <c r="E4239" s="22"/>
      <c r="F4239" s="23"/>
      <c r="G4239" s="23"/>
      <c r="L4239" s="23"/>
    </row>
    <row r="4240">
      <c r="E4240" s="22"/>
      <c r="F4240" s="23"/>
      <c r="G4240" s="23"/>
      <c r="L4240" s="23"/>
    </row>
    <row r="4241">
      <c r="E4241" s="22"/>
      <c r="F4241" s="23"/>
      <c r="G4241" s="23"/>
      <c r="L4241" s="23"/>
    </row>
    <row r="4242">
      <c r="E4242" s="22"/>
      <c r="F4242" s="23"/>
      <c r="G4242" s="23"/>
      <c r="L4242" s="23"/>
    </row>
    <row r="4243">
      <c r="E4243" s="22"/>
      <c r="F4243" s="23"/>
      <c r="G4243" s="23"/>
      <c r="L4243" s="23"/>
    </row>
    <row r="4244">
      <c r="E4244" s="22"/>
      <c r="F4244" s="23"/>
      <c r="G4244" s="23"/>
      <c r="L4244" s="23"/>
    </row>
    <row r="4245">
      <c r="E4245" s="22"/>
      <c r="F4245" s="23"/>
      <c r="G4245" s="23"/>
      <c r="L4245" s="23"/>
    </row>
    <row r="4246">
      <c r="E4246" s="22"/>
      <c r="F4246" s="23"/>
      <c r="G4246" s="23"/>
      <c r="L4246" s="23"/>
    </row>
    <row r="4247">
      <c r="E4247" s="22"/>
      <c r="F4247" s="23"/>
      <c r="G4247" s="23"/>
      <c r="L4247" s="23"/>
    </row>
    <row r="4248">
      <c r="E4248" s="22"/>
      <c r="F4248" s="23"/>
      <c r="G4248" s="23"/>
      <c r="L4248" s="23"/>
    </row>
    <row r="4249">
      <c r="E4249" s="22"/>
      <c r="F4249" s="23"/>
      <c r="G4249" s="23"/>
      <c r="L4249" s="23"/>
    </row>
    <row r="4250">
      <c r="E4250" s="22"/>
      <c r="F4250" s="23"/>
      <c r="G4250" s="23"/>
      <c r="L4250" s="23"/>
    </row>
    <row r="4251">
      <c r="E4251" s="22"/>
      <c r="F4251" s="23"/>
      <c r="G4251" s="23"/>
      <c r="L4251" s="23"/>
    </row>
    <row r="4252">
      <c r="E4252" s="22"/>
      <c r="F4252" s="23"/>
      <c r="G4252" s="23"/>
      <c r="L4252" s="23"/>
    </row>
    <row r="4253">
      <c r="E4253" s="22"/>
      <c r="F4253" s="23"/>
      <c r="G4253" s="23"/>
      <c r="L4253" s="23"/>
    </row>
    <row r="4254">
      <c r="E4254" s="22"/>
      <c r="F4254" s="23"/>
      <c r="G4254" s="23"/>
      <c r="L4254" s="23"/>
    </row>
    <row r="4255">
      <c r="E4255" s="22"/>
      <c r="F4255" s="23"/>
      <c r="G4255" s="23"/>
      <c r="L4255" s="23"/>
    </row>
    <row r="4256">
      <c r="E4256" s="22"/>
      <c r="F4256" s="23"/>
      <c r="G4256" s="23"/>
      <c r="L4256" s="23"/>
    </row>
    <row r="4257">
      <c r="E4257" s="22"/>
      <c r="F4257" s="23"/>
      <c r="G4257" s="23"/>
      <c r="L4257" s="23"/>
    </row>
    <row r="4258">
      <c r="E4258" s="22"/>
      <c r="F4258" s="23"/>
      <c r="G4258" s="23"/>
      <c r="L4258" s="23"/>
    </row>
    <row r="4259">
      <c r="E4259" s="22"/>
      <c r="F4259" s="23"/>
      <c r="G4259" s="23"/>
      <c r="L4259" s="23"/>
    </row>
    <row r="4260">
      <c r="E4260" s="22"/>
      <c r="F4260" s="23"/>
      <c r="G4260" s="23"/>
      <c r="L4260" s="23"/>
    </row>
    <row r="4261">
      <c r="E4261" s="22"/>
      <c r="F4261" s="23"/>
      <c r="G4261" s="23"/>
      <c r="L4261" s="23"/>
    </row>
    <row r="4262">
      <c r="E4262" s="22"/>
      <c r="F4262" s="23"/>
      <c r="G4262" s="23"/>
      <c r="L4262" s="23"/>
    </row>
    <row r="4263">
      <c r="E4263" s="22"/>
      <c r="F4263" s="23"/>
      <c r="G4263" s="23"/>
      <c r="L4263" s="23"/>
    </row>
    <row r="4264">
      <c r="E4264" s="22"/>
      <c r="F4264" s="23"/>
      <c r="G4264" s="23"/>
      <c r="L4264" s="23"/>
    </row>
    <row r="4265">
      <c r="E4265" s="22"/>
      <c r="F4265" s="23"/>
      <c r="G4265" s="23"/>
      <c r="L4265" s="23"/>
    </row>
    <row r="4266">
      <c r="E4266" s="22"/>
      <c r="F4266" s="23"/>
      <c r="G4266" s="23"/>
      <c r="L4266" s="23"/>
    </row>
    <row r="4267">
      <c r="E4267" s="22"/>
      <c r="F4267" s="23"/>
      <c r="G4267" s="23"/>
      <c r="L4267" s="23"/>
    </row>
    <row r="4268">
      <c r="E4268" s="22"/>
      <c r="F4268" s="23"/>
      <c r="G4268" s="23"/>
      <c r="L4268" s="23"/>
    </row>
    <row r="4269">
      <c r="E4269" s="22"/>
      <c r="F4269" s="23"/>
      <c r="G4269" s="23"/>
      <c r="L4269" s="23"/>
    </row>
    <row r="4270">
      <c r="E4270" s="22"/>
      <c r="F4270" s="23"/>
      <c r="G4270" s="23"/>
      <c r="L4270" s="23"/>
    </row>
    <row r="4271">
      <c r="E4271" s="22"/>
      <c r="F4271" s="23"/>
      <c r="G4271" s="23"/>
      <c r="L4271" s="23"/>
    </row>
    <row r="4272">
      <c r="E4272" s="22"/>
      <c r="F4272" s="23"/>
      <c r="G4272" s="23"/>
      <c r="L4272" s="23"/>
    </row>
    <row r="4273">
      <c r="E4273" s="22"/>
      <c r="F4273" s="23"/>
      <c r="G4273" s="23"/>
      <c r="L4273" s="23"/>
    </row>
    <row r="4274">
      <c r="E4274" s="22"/>
      <c r="F4274" s="23"/>
      <c r="G4274" s="23"/>
      <c r="L4274" s="23"/>
    </row>
    <row r="4275">
      <c r="E4275" s="22"/>
      <c r="F4275" s="23"/>
      <c r="G4275" s="23"/>
      <c r="L4275" s="23"/>
    </row>
    <row r="4276">
      <c r="E4276" s="22"/>
      <c r="F4276" s="23"/>
      <c r="G4276" s="23"/>
      <c r="L4276" s="23"/>
    </row>
    <row r="4277">
      <c r="E4277" s="22"/>
      <c r="F4277" s="23"/>
      <c r="G4277" s="23"/>
      <c r="L4277" s="23"/>
    </row>
    <row r="4278">
      <c r="E4278" s="22"/>
      <c r="F4278" s="23"/>
      <c r="G4278" s="23"/>
      <c r="L4278" s="23"/>
    </row>
    <row r="4279">
      <c r="E4279" s="22"/>
      <c r="F4279" s="23"/>
      <c r="G4279" s="23"/>
      <c r="L4279" s="23"/>
    </row>
    <row r="4280">
      <c r="E4280" s="22"/>
      <c r="F4280" s="23"/>
      <c r="G4280" s="23"/>
      <c r="L4280" s="23"/>
    </row>
    <row r="4281">
      <c r="E4281" s="22"/>
      <c r="F4281" s="23"/>
      <c r="G4281" s="23"/>
      <c r="L4281" s="23"/>
    </row>
    <row r="4282">
      <c r="E4282" s="22"/>
      <c r="F4282" s="23"/>
      <c r="G4282" s="23"/>
      <c r="L4282" s="23"/>
    </row>
    <row r="4283">
      <c r="E4283" s="22"/>
      <c r="F4283" s="23"/>
      <c r="G4283" s="23"/>
      <c r="L4283" s="23"/>
    </row>
    <row r="4284">
      <c r="E4284" s="22"/>
      <c r="F4284" s="23"/>
      <c r="G4284" s="23"/>
      <c r="L4284" s="23"/>
    </row>
    <row r="4285">
      <c r="E4285" s="22"/>
      <c r="F4285" s="23"/>
      <c r="G4285" s="23"/>
      <c r="L4285" s="23"/>
    </row>
    <row r="4286">
      <c r="E4286" s="22"/>
      <c r="F4286" s="23"/>
      <c r="G4286" s="23"/>
      <c r="L4286" s="23"/>
    </row>
    <row r="4287">
      <c r="E4287" s="22"/>
      <c r="F4287" s="23"/>
      <c r="G4287" s="23"/>
      <c r="L4287" s="23"/>
    </row>
    <row r="4288">
      <c r="E4288" s="22"/>
      <c r="F4288" s="23"/>
      <c r="G4288" s="23"/>
      <c r="L4288" s="23"/>
    </row>
    <row r="4289">
      <c r="E4289" s="22"/>
      <c r="F4289" s="23"/>
      <c r="G4289" s="23"/>
      <c r="L4289" s="23"/>
    </row>
    <row r="4290">
      <c r="E4290" s="22"/>
      <c r="F4290" s="23"/>
      <c r="G4290" s="23"/>
      <c r="L4290" s="23"/>
    </row>
    <row r="4291">
      <c r="E4291" s="22"/>
      <c r="F4291" s="23"/>
      <c r="G4291" s="23"/>
      <c r="L4291" s="23"/>
    </row>
    <row r="4292">
      <c r="E4292" s="22"/>
      <c r="F4292" s="23"/>
      <c r="G4292" s="23"/>
      <c r="L4292" s="23"/>
    </row>
    <row r="4293">
      <c r="E4293" s="22"/>
      <c r="F4293" s="23"/>
      <c r="G4293" s="23"/>
      <c r="L4293" s="23"/>
    </row>
    <row r="4294">
      <c r="E4294" s="22"/>
      <c r="F4294" s="23"/>
      <c r="G4294" s="23"/>
      <c r="L4294" s="23"/>
    </row>
    <row r="4295">
      <c r="E4295" s="22"/>
      <c r="F4295" s="23"/>
      <c r="G4295" s="23"/>
      <c r="L4295" s="23"/>
    </row>
    <row r="4296">
      <c r="E4296" s="22"/>
      <c r="F4296" s="23"/>
      <c r="G4296" s="23"/>
      <c r="L4296" s="23"/>
    </row>
    <row r="4297">
      <c r="E4297" s="22"/>
      <c r="F4297" s="23"/>
      <c r="G4297" s="23"/>
      <c r="L4297" s="23"/>
    </row>
    <row r="4298">
      <c r="E4298" s="22"/>
      <c r="F4298" s="23"/>
      <c r="G4298" s="23"/>
      <c r="L4298" s="23"/>
    </row>
    <row r="4299">
      <c r="E4299" s="22"/>
      <c r="F4299" s="23"/>
      <c r="G4299" s="23"/>
      <c r="L4299" s="23"/>
    </row>
    <row r="4300">
      <c r="E4300" s="22"/>
      <c r="F4300" s="23"/>
      <c r="G4300" s="23"/>
      <c r="L4300" s="23"/>
    </row>
    <row r="4301">
      <c r="E4301" s="22"/>
      <c r="F4301" s="23"/>
      <c r="G4301" s="23"/>
      <c r="L4301" s="23"/>
    </row>
    <row r="4302">
      <c r="E4302" s="22"/>
      <c r="F4302" s="23"/>
      <c r="G4302" s="23"/>
      <c r="L4302" s="23"/>
    </row>
    <row r="4303">
      <c r="E4303" s="22"/>
      <c r="F4303" s="23"/>
      <c r="G4303" s="23"/>
      <c r="L4303" s="23"/>
    </row>
    <row r="4304">
      <c r="E4304" s="22"/>
      <c r="F4304" s="23"/>
      <c r="G4304" s="23"/>
      <c r="L4304" s="23"/>
    </row>
    <row r="4305">
      <c r="E4305" s="22"/>
      <c r="F4305" s="23"/>
      <c r="G4305" s="23"/>
      <c r="L4305" s="23"/>
    </row>
    <row r="4306">
      <c r="E4306" s="22"/>
      <c r="F4306" s="23"/>
      <c r="G4306" s="23"/>
      <c r="L4306" s="23"/>
    </row>
    <row r="4307">
      <c r="E4307" s="22"/>
      <c r="F4307" s="23"/>
      <c r="G4307" s="23"/>
      <c r="L4307" s="23"/>
    </row>
    <row r="4308">
      <c r="E4308" s="22"/>
      <c r="F4308" s="23"/>
      <c r="G4308" s="23"/>
      <c r="L4308" s="23"/>
    </row>
    <row r="4309">
      <c r="E4309" s="22"/>
      <c r="F4309" s="23"/>
      <c r="G4309" s="23"/>
      <c r="L4309" s="23"/>
    </row>
    <row r="4310">
      <c r="E4310" s="22"/>
      <c r="F4310" s="23"/>
      <c r="G4310" s="23"/>
      <c r="L4310" s="23"/>
    </row>
    <row r="4311">
      <c r="E4311" s="22"/>
      <c r="F4311" s="23"/>
      <c r="G4311" s="23"/>
      <c r="L4311" s="23"/>
    </row>
    <row r="4312">
      <c r="E4312" s="22"/>
      <c r="F4312" s="23"/>
      <c r="G4312" s="23"/>
      <c r="L4312" s="23"/>
    </row>
    <row r="4313">
      <c r="E4313" s="22"/>
      <c r="F4313" s="23"/>
      <c r="G4313" s="23"/>
      <c r="L4313" s="23"/>
    </row>
    <row r="4314">
      <c r="E4314" s="22"/>
      <c r="F4314" s="23"/>
      <c r="G4314" s="23"/>
      <c r="L4314" s="23"/>
    </row>
    <row r="4315">
      <c r="E4315" s="22"/>
      <c r="F4315" s="23"/>
      <c r="G4315" s="23"/>
      <c r="L4315" s="23"/>
    </row>
    <row r="4316">
      <c r="E4316" s="22"/>
      <c r="F4316" s="23"/>
      <c r="G4316" s="23"/>
      <c r="L4316" s="23"/>
    </row>
    <row r="4317">
      <c r="E4317" s="22"/>
      <c r="F4317" s="23"/>
      <c r="G4317" s="23"/>
      <c r="L4317" s="23"/>
    </row>
    <row r="4318">
      <c r="E4318" s="22"/>
      <c r="F4318" s="23"/>
      <c r="G4318" s="23"/>
      <c r="L4318" s="23"/>
    </row>
    <row r="4319">
      <c r="E4319" s="22"/>
      <c r="F4319" s="23"/>
      <c r="G4319" s="23"/>
      <c r="L4319" s="23"/>
    </row>
    <row r="4320">
      <c r="E4320" s="22"/>
      <c r="F4320" s="23"/>
      <c r="G4320" s="23"/>
      <c r="L4320" s="23"/>
    </row>
    <row r="4321">
      <c r="E4321" s="22"/>
      <c r="F4321" s="23"/>
      <c r="G4321" s="23"/>
      <c r="L4321" s="23"/>
    </row>
    <row r="4322">
      <c r="E4322" s="22"/>
      <c r="F4322" s="23"/>
      <c r="G4322" s="23"/>
      <c r="L4322" s="23"/>
    </row>
    <row r="4323">
      <c r="E4323" s="22"/>
      <c r="F4323" s="23"/>
      <c r="G4323" s="23"/>
      <c r="L4323" s="23"/>
    </row>
    <row r="4324">
      <c r="E4324" s="22"/>
      <c r="F4324" s="23"/>
      <c r="G4324" s="23"/>
      <c r="L4324" s="23"/>
    </row>
    <row r="4325">
      <c r="E4325" s="22"/>
      <c r="F4325" s="23"/>
      <c r="G4325" s="23"/>
      <c r="L4325" s="23"/>
    </row>
    <row r="4326">
      <c r="E4326" s="22"/>
      <c r="F4326" s="23"/>
      <c r="G4326" s="23"/>
      <c r="L4326" s="23"/>
    </row>
    <row r="4327">
      <c r="E4327" s="22"/>
      <c r="F4327" s="23"/>
      <c r="G4327" s="23"/>
      <c r="L4327" s="23"/>
    </row>
    <row r="4328">
      <c r="E4328" s="22"/>
      <c r="F4328" s="23"/>
      <c r="G4328" s="23"/>
      <c r="L4328" s="23"/>
    </row>
    <row r="4329">
      <c r="E4329" s="22"/>
      <c r="F4329" s="23"/>
      <c r="G4329" s="23"/>
      <c r="L4329" s="23"/>
    </row>
    <row r="4330">
      <c r="E4330" s="22"/>
      <c r="F4330" s="23"/>
      <c r="G4330" s="23"/>
      <c r="L4330" s="23"/>
    </row>
    <row r="4331">
      <c r="E4331" s="22"/>
      <c r="F4331" s="23"/>
      <c r="G4331" s="23"/>
      <c r="L4331" s="23"/>
    </row>
    <row r="4332">
      <c r="E4332" s="22"/>
      <c r="F4332" s="23"/>
      <c r="G4332" s="23"/>
      <c r="L4332" s="23"/>
    </row>
    <row r="4333">
      <c r="E4333" s="22"/>
      <c r="F4333" s="23"/>
      <c r="G4333" s="23"/>
      <c r="L4333" s="23"/>
    </row>
    <row r="4334">
      <c r="E4334" s="22"/>
      <c r="F4334" s="23"/>
      <c r="G4334" s="23"/>
      <c r="L4334" s="23"/>
    </row>
    <row r="4335">
      <c r="E4335" s="22"/>
      <c r="F4335" s="23"/>
      <c r="G4335" s="23"/>
      <c r="L4335" s="23"/>
    </row>
    <row r="4336">
      <c r="E4336" s="22"/>
      <c r="F4336" s="23"/>
      <c r="G4336" s="23"/>
      <c r="L4336" s="23"/>
    </row>
    <row r="4337">
      <c r="E4337" s="22"/>
      <c r="F4337" s="23"/>
      <c r="G4337" s="23"/>
      <c r="L4337" s="23"/>
    </row>
    <row r="4338">
      <c r="E4338" s="22"/>
      <c r="F4338" s="23"/>
      <c r="G4338" s="23"/>
      <c r="L4338" s="23"/>
    </row>
    <row r="4339">
      <c r="E4339" s="22"/>
      <c r="F4339" s="23"/>
      <c r="G4339" s="23"/>
      <c r="L4339" s="23"/>
    </row>
    <row r="4340">
      <c r="E4340" s="22"/>
      <c r="F4340" s="23"/>
      <c r="G4340" s="23"/>
      <c r="L4340" s="23"/>
    </row>
    <row r="4341">
      <c r="E4341" s="22"/>
      <c r="F4341" s="23"/>
      <c r="G4341" s="23"/>
      <c r="L4341" s="23"/>
    </row>
    <row r="4342">
      <c r="E4342" s="22"/>
      <c r="F4342" s="23"/>
      <c r="G4342" s="23"/>
      <c r="L4342" s="23"/>
    </row>
    <row r="4343">
      <c r="E4343" s="22"/>
      <c r="F4343" s="23"/>
      <c r="G4343" s="23"/>
      <c r="L4343" s="23"/>
    </row>
    <row r="4344">
      <c r="E4344" s="22"/>
      <c r="F4344" s="23"/>
      <c r="G4344" s="23"/>
      <c r="L4344" s="23"/>
    </row>
    <row r="4345">
      <c r="E4345" s="22"/>
      <c r="F4345" s="23"/>
      <c r="G4345" s="23"/>
      <c r="L4345" s="23"/>
    </row>
    <row r="4346">
      <c r="E4346" s="22"/>
      <c r="F4346" s="23"/>
      <c r="G4346" s="23"/>
      <c r="L4346" s="23"/>
    </row>
    <row r="4347">
      <c r="E4347" s="22"/>
      <c r="F4347" s="23"/>
      <c r="G4347" s="23"/>
      <c r="L4347" s="23"/>
    </row>
    <row r="4348">
      <c r="E4348" s="22"/>
      <c r="F4348" s="23"/>
      <c r="G4348" s="23"/>
      <c r="L4348" s="23"/>
    </row>
    <row r="4349">
      <c r="E4349" s="22"/>
      <c r="F4349" s="23"/>
      <c r="G4349" s="23"/>
      <c r="L4349" s="23"/>
    </row>
    <row r="4350">
      <c r="E4350" s="22"/>
      <c r="F4350" s="23"/>
      <c r="G4350" s="23"/>
      <c r="L4350" s="23"/>
    </row>
    <row r="4351">
      <c r="E4351" s="22"/>
      <c r="F4351" s="23"/>
      <c r="G4351" s="23"/>
      <c r="L4351" s="23"/>
    </row>
    <row r="4352">
      <c r="E4352" s="22"/>
      <c r="F4352" s="23"/>
      <c r="G4352" s="23"/>
      <c r="L4352" s="23"/>
    </row>
    <row r="4353">
      <c r="E4353" s="22"/>
      <c r="F4353" s="23"/>
      <c r="G4353" s="23"/>
      <c r="L4353" s="23"/>
    </row>
    <row r="4354">
      <c r="E4354" s="22"/>
      <c r="F4354" s="23"/>
      <c r="G4354" s="23"/>
      <c r="L4354" s="23"/>
    </row>
    <row r="4355">
      <c r="E4355" s="22"/>
      <c r="F4355" s="23"/>
      <c r="G4355" s="23"/>
      <c r="L4355" s="23"/>
    </row>
    <row r="4356">
      <c r="E4356" s="22"/>
      <c r="F4356" s="23"/>
      <c r="G4356" s="23"/>
      <c r="L4356" s="23"/>
    </row>
    <row r="4357">
      <c r="E4357" s="22"/>
      <c r="F4357" s="23"/>
      <c r="G4357" s="23"/>
      <c r="L4357" s="23"/>
    </row>
    <row r="4358">
      <c r="E4358" s="22"/>
      <c r="F4358" s="23"/>
      <c r="G4358" s="23"/>
      <c r="L4358" s="23"/>
    </row>
    <row r="4359">
      <c r="E4359" s="22"/>
      <c r="F4359" s="23"/>
      <c r="G4359" s="23"/>
      <c r="L4359" s="23"/>
    </row>
    <row r="4360">
      <c r="E4360" s="22"/>
      <c r="F4360" s="23"/>
      <c r="G4360" s="23"/>
      <c r="L4360" s="23"/>
    </row>
    <row r="4361">
      <c r="E4361" s="22"/>
      <c r="F4361" s="23"/>
      <c r="G4361" s="23"/>
      <c r="L4361" s="23"/>
    </row>
    <row r="4362">
      <c r="E4362" s="22"/>
      <c r="F4362" s="23"/>
      <c r="G4362" s="23"/>
      <c r="L4362" s="23"/>
    </row>
    <row r="4363">
      <c r="E4363" s="22"/>
      <c r="F4363" s="23"/>
      <c r="G4363" s="23"/>
      <c r="L4363" s="23"/>
    </row>
    <row r="4364">
      <c r="E4364" s="22"/>
      <c r="F4364" s="23"/>
      <c r="G4364" s="23"/>
      <c r="L4364" s="23"/>
    </row>
    <row r="4365">
      <c r="E4365" s="22"/>
      <c r="F4365" s="23"/>
      <c r="G4365" s="23"/>
      <c r="L4365" s="23"/>
    </row>
    <row r="4366">
      <c r="E4366" s="22"/>
      <c r="F4366" s="23"/>
      <c r="G4366" s="23"/>
      <c r="L4366" s="23"/>
    </row>
    <row r="4367">
      <c r="E4367" s="22"/>
      <c r="F4367" s="23"/>
      <c r="G4367" s="23"/>
      <c r="L4367" s="23"/>
    </row>
    <row r="4368">
      <c r="E4368" s="22"/>
      <c r="F4368" s="23"/>
      <c r="G4368" s="23"/>
      <c r="L4368" s="23"/>
    </row>
    <row r="4369">
      <c r="E4369" s="22"/>
      <c r="F4369" s="23"/>
      <c r="G4369" s="23"/>
      <c r="L4369" s="23"/>
    </row>
    <row r="4370">
      <c r="E4370" s="22"/>
      <c r="F4370" s="23"/>
      <c r="G4370" s="23"/>
      <c r="L4370" s="23"/>
    </row>
    <row r="4371">
      <c r="E4371" s="22"/>
      <c r="F4371" s="23"/>
      <c r="G4371" s="23"/>
      <c r="L4371" s="23"/>
    </row>
    <row r="4372">
      <c r="E4372" s="22"/>
      <c r="F4372" s="23"/>
      <c r="G4372" s="23"/>
      <c r="L4372" s="23"/>
    </row>
    <row r="4373">
      <c r="E4373" s="22"/>
      <c r="F4373" s="23"/>
      <c r="G4373" s="23"/>
      <c r="L4373" s="23"/>
    </row>
    <row r="4374">
      <c r="E4374" s="22"/>
      <c r="F4374" s="23"/>
      <c r="G4374" s="23"/>
      <c r="L4374" s="23"/>
    </row>
    <row r="4375">
      <c r="E4375" s="22"/>
      <c r="F4375" s="23"/>
      <c r="G4375" s="23"/>
      <c r="L4375" s="23"/>
    </row>
    <row r="4376">
      <c r="E4376" s="22"/>
      <c r="F4376" s="23"/>
      <c r="G4376" s="23"/>
      <c r="L4376" s="23"/>
    </row>
    <row r="4377">
      <c r="E4377" s="22"/>
      <c r="F4377" s="23"/>
      <c r="G4377" s="23"/>
      <c r="L4377" s="23"/>
    </row>
    <row r="4378">
      <c r="E4378" s="22"/>
      <c r="F4378" s="23"/>
      <c r="G4378" s="23"/>
      <c r="L4378" s="23"/>
    </row>
    <row r="4379">
      <c r="E4379" s="22"/>
      <c r="F4379" s="23"/>
      <c r="G4379" s="23"/>
      <c r="L4379" s="23"/>
    </row>
    <row r="4380">
      <c r="E4380" s="22"/>
      <c r="F4380" s="23"/>
      <c r="G4380" s="23"/>
      <c r="L4380" s="23"/>
    </row>
    <row r="4381">
      <c r="E4381" s="22"/>
      <c r="F4381" s="23"/>
      <c r="G4381" s="23"/>
      <c r="L4381" s="23"/>
    </row>
    <row r="4382">
      <c r="E4382" s="22"/>
      <c r="F4382" s="23"/>
      <c r="G4382" s="23"/>
      <c r="L4382" s="23"/>
    </row>
    <row r="4383">
      <c r="E4383" s="22"/>
      <c r="F4383" s="23"/>
      <c r="G4383" s="23"/>
      <c r="L4383" s="23"/>
    </row>
    <row r="4384">
      <c r="E4384" s="22"/>
      <c r="F4384" s="23"/>
      <c r="G4384" s="23"/>
      <c r="L4384" s="23"/>
    </row>
    <row r="4385">
      <c r="E4385" s="22"/>
      <c r="F4385" s="23"/>
      <c r="G4385" s="23"/>
      <c r="L4385" s="23"/>
    </row>
    <row r="4386">
      <c r="E4386" s="22"/>
      <c r="F4386" s="23"/>
      <c r="G4386" s="23"/>
      <c r="L4386" s="23"/>
    </row>
    <row r="4387">
      <c r="E4387" s="22"/>
      <c r="F4387" s="23"/>
      <c r="G4387" s="23"/>
      <c r="L4387" s="23"/>
    </row>
    <row r="4388">
      <c r="E4388" s="22"/>
      <c r="F4388" s="23"/>
      <c r="G4388" s="23"/>
      <c r="L4388" s="23"/>
    </row>
    <row r="4389">
      <c r="E4389" s="22"/>
      <c r="F4389" s="23"/>
      <c r="G4389" s="23"/>
      <c r="L4389" s="23"/>
    </row>
    <row r="4390">
      <c r="E4390" s="22"/>
      <c r="F4390" s="23"/>
      <c r="G4390" s="23"/>
      <c r="L4390" s="23"/>
    </row>
    <row r="4391">
      <c r="E4391" s="22"/>
      <c r="F4391" s="23"/>
      <c r="G4391" s="23"/>
      <c r="L4391" s="23"/>
    </row>
    <row r="4392">
      <c r="E4392" s="22"/>
      <c r="F4392" s="23"/>
      <c r="G4392" s="23"/>
      <c r="L4392" s="23"/>
    </row>
    <row r="4393">
      <c r="E4393" s="22"/>
      <c r="F4393" s="23"/>
      <c r="G4393" s="23"/>
      <c r="L4393" s="23"/>
    </row>
    <row r="4394">
      <c r="E4394" s="22"/>
      <c r="F4394" s="23"/>
      <c r="G4394" s="23"/>
      <c r="L4394" s="23"/>
    </row>
    <row r="4395">
      <c r="E4395" s="22"/>
      <c r="F4395" s="23"/>
      <c r="G4395" s="23"/>
      <c r="L4395" s="23"/>
    </row>
    <row r="4396">
      <c r="E4396" s="22"/>
      <c r="F4396" s="23"/>
      <c r="G4396" s="23"/>
      <c r="L4396" s="23"/>
    </row>
    <row r="4397">
      <c r="E4397" s="22"/>
      <c r="F4397" s="23"/>
      <c r="G4397" s="23"/>
      <c r="L4397" s="23"/>
    </row>
    <row r="4398">
      <c r="E4398" s="22"/>
      <c r="F4398" s="23"/>
      <c r="G4398" s="23"/>
      <c r="L4398" s="23"/>
    </row>
    <row r="4399">
      <c r="E4399" s="22"/>
      <c r="F4399" s="23"/>
      <c r="G4399" s="23"/>
      <c r="L4399" s="23"/>
    </row>
    <row r="4400">
      <c r="E4400" s="22"/>
      <c r="F4400" s="23"/>
      <c r="G4400" s="23"/>
      <c r="L4400" s="23"/>
    </row>
    <row r="4401">
      <c r="E4401" s="22"/>
      <c r="F4401" s="23"/>
      <c r="G4401" s="23"/>
      <c r="L4401" s="23"/>
    </row>
    <row r="4402">
      <c r="E4402" s="22"/>
      <c r="F4402" s="23"/>
      <c r="G4402" s="23"/>
      <c r="L4402" s="23"/>
    </row>
    <row r="4403">
      <c r="E4403" s="22"/>
      <c r="F4403" s="23"/>
      <c r="G4403" s="23"/>
      <c r="L4403" s="23"/>
    </row>
    <row r="4404">
      <c r="E4404" s="22"/>
      <c r="F4404" s="23"/>
      <c r="G4404" s="23"/>
      <c r="L4404" s="23"/>
    </row>
    <row r="4405">
      <c r="E4405" s="22"/>
      <c r="F4405" s="23"/>
      <c r="G4405" s="23"/>
      <c r="L4405" s="23"/>
    </row>
    <row r="4406">
      <c r="E4406" s="22"/>
      <c r="F4406" s="23"/>
      <c r="G4406" s="23"/>
      <c r="L4406" s="23"/>
    </row>
    <row r="4407">
      <c r="E4407" s="22"/>
      <c r="F4407" s="23"/>
      <c r="G4407" s="23"/>
      <c r="L4407" s="23"/>
    </row>
    <row r="4408">
      <c r="E4408" s="22"/>
      <c r="F4408" s="23"/>
      <c r="G4408" s="23"/>
      <c r="L4408" s="23"/>
    </row>
    <row r="4409">
      <c r="E4409" s="22"/>
      <c r="F4409" s="23"/>
      <c r="G4409" s="23"/>
      <c r="L4409" s="23"/>
    </row>
    <row r="4410">
      <c r="E4410" s="22"/>
      <c r="F4410" s="23"/>
      <c r="G4410" s="23"/>
      <c r="L4410" s="23"/>
    </row>
    <row r="4411">
      <c r="E4411" s="22"/>
      <c r="F4411" s="23"/>
      <c r="G4411" s="23"/>
      <c r="L4411" s="23"/>
    </row>
    <row r="4412">
      <c r="E4412" s="22"/>
      <c r="F4412" s="23"/>
      <c r="G4412" s="23"/>
      <c r="L4412" s="23"/>
    </row>
    <row r="4413">
      <c r="E4413" s="22"/>
      <c r="F4413" s="23"/>
      <c r="G4413" s="23"/>
      <c r="L4413" s="23"/>
    </row>
    <row r="4414">
      <c r="E4414" s="22"/>
      <c r="F4414" s="23"/>
      <c r="G4414" s="23"/>
      <c r="L4414" s="23"/>
    </row>
    <row r="4415">
      <c r="E4415" s="22"/>
      <c r="F4415" s="23"/>
      <c r="G4415" s="23"/>
      <c r="L4415" s="23"/>
    </row>
    <row r="4416">
      <c r="E4416" s="22"/>
      <c r="F4416" s="23"/>
      <c r="G4416" s="23"/>
      <c r="L4416" s="23"/>
    </row>
    <row r="4417">
      <c r="E4417" s="22"/>
      <c r="F4417" s="23"/>
      <c r="G4417" s="23"/>
      <c r="L4417" s="23"/>
    </row>
    <row r="4418">
      <c r="E4418" s="22"/>
      <c r="F4418" s="23"/>
      <c r="G4418" s="23"/>
      <c r="L4418" s="23"/>
    </row>
    <row r="4419">
      <c r="E4419" s="22"/>
      <c r="F4419" s="23"/>
      <c r="G4419" s="23"/>
      <c r="L4419" s="23"/>
    </row>
    <row r="4420">
      <c r="E4420" s="22"/>
      <c r="F4420" s="23"/>
      <c r="G4420" s="23"/>
      <c r="L4420" s="23"/>
    </row>
    <row r="4421">
      <c r="E4421" s="22"/>
      <c r="F4421" s="23"/>
      <c r="G4421" s="23"/>
      <c r="L4421" s="23"/>
    </row>
    <row r="4422">
      <c r="E4422" s="22"/>
      <c r="F4422" s="23"/>
      <c r="G4422" s="23"/>
      <c r="L4422" s="23"/>
    </row>
    <row r="4423">
      <c r="E4423" s="22"/>
      <c r="F4423" s="23"/>
      <c r="G4423" s="23"/>
      <c r="L4423" s="23"/>
    </row>
    <row r="4424">
      <c r="E4424" s="22"/>
      <c r="F4424" s="23"/>
      <c r="G4424" s="23"/>
      <c r="L4424" s="23"/>
    </row>
    <row r="4425">
      <c r="E4425" s="22"/>
      <c r="F4425" s="23"/>
      <c r="G4425" s="23"/>
      <c r="L4425" s="23"/>
    </row>
    <row r="4426">
      <c r="E4426" s="22"/>
      <c r="F4426" s="23"/>
      <c r="G4426" s="23"/>
      <c r="L4426" s="23"/>
    </row>
    <row r="4427">
      <c r="E4427" s="22"/>
      <c r="F4427" s="23"/>
      <c r="G4427" s="23"/>
      <c r="L4427" s="23"/>
    </row>
    <row r="4428">
      <c r="E4428" s="22"/>
      <c r="F4428" s="23"/>
      <c r="G4428" s="23"/>
      <c r="L4428" s="23"/>
    </row>
    <row r="4429">
      <c r="E4429" s="22"/>
      <c r="F4429" s="23"/>
      <c r="G4429" s="23"/>
      <c r="L4429" s="23"/>
    </row>
    <row r="4430">
      <c r="E4430" s="22"/>
      <c r="F4430" s="23"/>
      <c r="G4430" s="23"/>
      <c r="L4430" s="23"/>
    </row>
    <row r="4431">
      <c r="E4431" s="22"/>
      <c r="F4431" s="23"/>
      <c r="G4431" s="23"/>
      <c r="L4431" s="23"/>
    </row>
    <row r="4432">
      <c r="E4432" s="22"/>
      <c r="F4432" s="23"/>
      <c r="G4432" s="23"/>
      <c r="L4432" s="23"/>
    </row>
    <row r="4433">
      <c r="E4433" s="22"/>
      <c r="F4433" s="23"/>
      <c r="G4433" s="23"/>
      <c r="L4433" s="23"/>
    </row>
    <row r="4434">
      <c r="E4434" s="22"/>
      <c r="F4434" s="23"/>
      <c r="G4434" s="23"/>
      <c r="L4434" s="23"/>
    </row>
    <row r="4435">
      <c r="E4435" s="22"/>
      <c r="F4435" s="23"/>
      <c r="G4435" s="23"/>
      <c r="L4435" s="23"/>
    </row>
    <row r="4436">
      <c r="E4436" s="22"/>
      <c r="F4436" s="23"/>
      <c r="G4436" s="23"/>
      <c r="L4436" s="23"/>
    </row>
    <row r="4437">
      <c r="E4437" s="22"/>
      <c r="F4437" s="23"/>
      <c r="G4437" s="23"/>
      <c r="L4437" s="23"/>
    </row>
    <row r="4438">
      <c r="E4438" s="22"/>
      <c r="F4438" s="23"/>
      <c r="G4438" s="23"/>
      <c r="L4438" s="23"/>
    </row>
    <row r="4439">
      <c r="E4439" s="22"/>
      <c r="F4439" s="23"/>
      <c r="G4439" s="23"/>
      <c r="L4439" s="23"/>
    </row>
    <row r="4440">
      <c r="E4440" s="22"/>
      <c r="F4440" s="23"/>
      <c r="G4440" s="23"/>
      <c r="L4440" s="23"/>
    </row>
    <row r="4441">
      <c r="E4441" s="22"/>
      <c r="F4441" s="23"/>
      <c r="G4441" s="23"/>
      <c r="L4441" s="23"/>
    </row>
    <row r="4442">
      <c r="E4442" s="22"/>
      <c r="F4442" s="23"/>
      <c r="G4442" s="23"/>
      <c r="L4442" s="23"/>
    </row>
    <row r="4443">
      <c r="E4443" s="22"/>
      <c r="F4443" s="23"/>
      <c r="G4443" s="23"/>
      <c r="L4443" s="23"/>
    </row>
    <row r="4444">
      <c r="E4444" s="22"/>
      <c r="F4444" s="23"/>
      <c r="G4444" s="23"/>
      <c r="L4444" s="23"/>
    </row>
    <row r="4445">
      <c r="E4445" s="22"/>
      <c r="F4445" s="23"/>
      <c r="G4445" s="23"/>
      <c r="L4445" s="23"/>
    </row>
    <row r="4446">
      <c r="E4446" s="22"/>
      <c r="F4446" s="23"/>
      <c r="G4446" s="23"/>
      <c r="L4446" s="23"/>
    </row>
    <row r="4447">
      <c r="E4447" s="22"/>
      <c r="F4447" s="23"/>
      <c r="G4447" s="23"/>
      <c r="L4447" s="23"/>
    </row>
    <row r="4448">
      <c r="E4448" s="22"/>
      <c r="F4448" s="23"/>
      <c r="G4448" s="23"/>
      <c r="L4448" s="23"/>
    </row>
    <row r="4449">
      <c r="E4449" s="22"/>
      <c r="F4449" s="23"/>
      <c r="G4449" s="23"/>
      <c r="L4449" s="23"/>
    </row>
    <row r="4450">
      <c r="E4450" s="22"/>
      <c r="F4450" s="23"/>
      <c r="G4450" s="23"/>
      <c r="L4450" s="23"/>
    </row>
    <row r="4451">
      <c r="E4451" s="22"/>
      <c r="F4451" s="23"/>
      <c r="G4451" s="23"/>
      <c r="L4451" s="23"/>
    </row>
    <row r="4452">
      <c r="E4452" s="22"/>
      <c r="F4452" s="23"/>
      <c r="G4452" s="23"/>
      <c r="L4452" s="23"/>
    </row>
    <row r="4453">
      <c r="E4453" s="22"/>
      <c r="F4453" s="23"/>
      <c r="G4453" s="23"/>
      <c r="L4453" s="23"/>
    </row>
    <row r="4454">
      <c r="E4454" s="22"/>
      <c r="F4454" s="23"/>
      <c r="G4454" s="23"/>
      <c r="L4454" s="23"/>
    </row>
    <row r="4455">
      <c r="E4455" s="22"/>
      <c r="F4455" s="23"/>
      <c r="G4455" s="23"/>
      <c r="L4455" s="23"/>
    </row>
    <row r="4456">
      <c r="E4456" s="22"/>
      <c r="F4456" s="23"/>
      <c r="G4456" s="23"/>
      <c r="L4456" s="23"/>
    </row>
    <row r="4457">
      <c r="E4457" s="22"/>
      <c r="F4457" s="23"/>
      <c r="G4457" s="23"/>
      <c r="L4457" s="23"/>
    </row>
    <row r="4458">
      <c r="E4458" s="22"/>
      <c r="F4458" s="23"/>
      <c r="G4458" s="23"/>
      <c r="L4458" s="23"/>
    </row>
    <row r="4459">
      <c r="E4459" s="22"/>
      <c r="F4459" s="23"/>
      <c r="G4459" s="23"/>
      <c r="L4459" s="23"/>
    </row>
    <row r="4460">
      <c r="E4460" s="22"/>
      <c r="F4460" s="23"/>
      <c r="G4460" s="23"/>
      <c r="L4460" s="23"/>
    </row>
    <row r="4461">
      <c r="E4461" s="22"/>
      <c r="F4461" s="23"/>
      <c r="G4461" s="23"/>
      <c r="L4461" s="23"/>
    </row>
    <row r="4462">
      <c r="E4462" s="22"/>
      <c r="F4462" s="23"/>
      <c r="G4462" s="23"/>
      <c r="L4462" s="23"/>
    </row>
    <row r="4463">
      <c r="E4463" s="22"/>
      <c r="F4463" s="23"/>
      <c r="G4463" s="23"/>
      <c r="L4463" s="23"/>
    </row>
    <row r="4464">
      <c r="E4464" s="22"/>
      <c r="F4464" s="23"/>
      <c r="G4464" s="23"/>
      <c r="L4464" s="23"/>
    </row>
    <row r="4465">
      <c r="E4465" s="22"/>
      <c r="F4465" s="23"/>
      <c r="G4465" s="23"/>
      <c r="L4465" s="23"/>
    </row>
    <row r="4466">
      <c r="E4466" s="22"/>
      <c r="F4466" s="23"/>
      <c r="G4466" s="23"/>
      <c r="L4466" s="23"/>
    </row>
    <row r="4467">
      <c r="E4467" s="22"/>
      <c r="F4467" s="23"/>
      <c r="G4467" s="23"/>
      <c r="L4467" s="23"/>
    </row>
    <row r="4468">
      <c r="E4468" s="22"/>
      <c r="F4468" s="23"/>
      <c r="G4468" s="23"/>
      <c r="L4468" s="23"/>
    </row>
    <row r="4469">
      <c r="E4469" s="22"/>
      <c r="F4469" s="23"/>
      <c r="G4469" s="23"/>
      <c r="L4469" s="23"/>
    </row>
    <row r="4470">
      <c r="E4470" s="22"/>
      <c r="F4470" s="23"/>
      <c r="G4470" s="23"/>
      <c r="L4470" s="23"/>
    </row>
    <row r="4471">
      <c r="E4471" s="22"/>
      <c r="F4471" s="23"/>
      <c r="G4471" s="23"/>
      <c r="L4471" s="23"/>
    </row>
    <row r="4472">
      <c r="E4472" s="22"/>
      <c r="F4472" s="23"/>
      <c r="G4472" s="23"/>
      <c r="L4472" s="23"/>
    </row>
    <row r="4473">
      <c r="E4473" s="22"/>
      <c r="F4473" s="23"/>
      <c r="G4473" s="23"/>
      <c r="L4473" s="23"/>
    </row>
    <row r="4474">
      <c r="E4474" s="22"/>
      <c r="F4474" s="23"/>
      <c r="G4474" s="23"/>
      <c r="L4474" s="23"/>
    </row>
    <row r="4475">
      <c r="E4475" s="22"/>
      <c r="F4475" s="23"/>
      <c r="G4475" s="23"/>
      <c r="L4475" s="23"/>
    </row>
    <row r="4476">
      <c r="E4476" s="22"/>
      <c r="F4476" s="23"/>
      <c r="G4476" s="23"/>
      <c r="L4476" s="23"/>
    </row>
    <row r="4477">
      <c r="E4477" s="22"/>
      <c r="F4477" s="23"/>
      <c r="G4477" s="23"/>
      <c r="L4477" s="23"/>
    </row>
    <row r="4478">
      <c r="E4478" s="22"/>
      <c r="F4478" s="23"/>
      <c r="G4478" s="23"/>
      <c r="L4478" s="23"/>
    </row>
    <row r="4479">
      <c r="E4479" s="22"/>
      <c r="F4479" s="23"/>
      <c r="G4479" s="23"/>
      <c r="L4479" s="23"/>
    </row>
    <row r="4480">
      <c r="E4480" s="22"/>
      <c r="F4480" s="23"/>
      <c r="G4480" s="23"/>
      <c r="L4480" s="23"/>
    </row>
    <row r="4481">
      <c r="E4481" s="22"/>
      <c r="F4481" s="23"/>
      <c r="G4481" s="23"/>
      <c r="L4481" s="23"/>
    </row>
    <row r="4482">
      <c r="E4482" s="22"/>
      <c r="F4482" s="23"/>
      <c r="G4482" s="23"/>
      <c r="L4482" s="23"/>
    </row>
    <row r="4483">
      <c r="E4483" s="22"/>
      <c r="F4483" s="23"/>
      <c r="G4483" s="23"/>
      <c r="L4483" s="23"/>
    </row>
    <row r="4484">
      <c r="E4484" s="22"/>
      <c r="F4484" s="23"/>
      <c r="G4484" s="23"/>
      <c r="L4484" s="23"/>
    </row>
    <row r="4485">
      <c r="E4485" s="22"/>
      <c r="F4485" s="23"/>
      <c r="G4485" s="23"/>
      <c r="L4485" s="23"/>
    </row>
    <row r="4486">
      <c r="E4486" s="22"/>
      <c r="F4486" s="23"/>
      <c r="G4486" s="23"/>
      <c r="L4486" s="23"/>
    </row>
    <row r="4487">
      <c r="E4487" s="22"/>
      <c r="F4487" s="23"/>
      <c r="G4487" s="23"/>
      <c r="L4487" s="23"/>
    </row>
    <row r="4488">
      <c r="E4488" s="22"/>
      <c r="F4488" s="23"/>
      <c r="G4488" s="23"/>
      <c r="L4488" s="23"/>
    </row>
    <row r="4489">
      <c r="E4489" s="22"/>
      <c r="F4489" s="23"/>
      <c r="G4489" s="23"/>
      <c r="L4489" s="23"/>
    </row>
    <row r="4490">
      <c r="E4490" s="22"/>
      <c r="F4490" s="23"/>
      <c r="G4490" s="23"/>
      <c r="L4490" s="23"/>
    </row>
    <row r="4491">
      <c r="E4491" s="22"/>
      <c r="F4491" s="23"/>
      <c r="G4491" s="23"/>
      <c r="L4491" s="23"/>
    </row>
    <row r="4492">
      <c r="E4492" s="22"/>
      <c r="F4492" s="23"/>
      <c r="G4492" s="23"/>
      <c r="L4492" s="23"/>
    </row>
    <row r="4493">
      <c r="E4493" s="22"/>
      <c r="F4493" s="23"/>
      <c r="G4493" s="23"/>
      <c r="L4493" s="23"/>
    </row>
    <row r="4494">
      <c r="E4494" s="22"/>
      <c r="F4494" s="23"/>
      <c r="G4494" s="23"/>
      <c r="L4494" s="23"/>
    </row>
    <row r="4495">
      <c r="E4495" s="22"/>
      <c r="F4495" s="23"/>
      <c r="G4495" s="23"/>
      <c r="L4495" s="23"/>
    </row>
    <row r="4496">
      <c r="E4496" s="22"/>
      <c r="F4496" s="23"/>
      <c r="G4496" s="23"/>
      <c r="L4496" s="23"/>
    </row>
    <row r="4497">
      <c r="E4497" s="22"/>
      <c r="F4497" s="23"/>
      <c r="G4497" s="23"/>
      <c r="L4497" s="23"/>
    </row>
    <row r="4498">
      <c r="E4498" s="22"/>
      <c r="F4498" s="23"/>
      <c r="G4498" s="23"/>
      <c r="L4498" s="23"/>
    </row>
    <row r="4499">
      <c r="E4499" s="22"/>
      <c r="F4499" s="23"/>
      <c r="G4499" s="23"/>
      <c r="L4499" s="23"/>
    </row>
    <row r="4500">
      <c r="E4500" s="22"/>
      <c r="F4500" s="23"/>
      <c r="G4500" s="23"/>
      <c r="L4500" s="23"/>
    </row>
    <row r="4501">
      <c r="E4501" s="22"/>
      <c r="F4501" s="23"/>
      <c r="G4501" s="23"/>
      <c r="L4501" s="23"/>
    </row>
    <row r="4502">
      <c r="E4502" s="22"/>
      <c r="F4502" s="23"/>
      <c r="G4502" s="23"/>
      <c r="L4502" s="23"/>
    </row>
    <row r="4503">
      <c r="E4503" s="22"/>
      <c r="F4503" s="23"/>
      <c r="G4503" s="23"/>
      <c r="L4503" s="23"/>
    </row>
    <row r="4504">
      <c r="E4504" s="22"/>
      <c r="F4504" s="23"/>
      <c r="G4504" s="23"/>
      <c r="L4504" s="23"/>
    </row>
    <row r="4505">
      <c r="E4505" s="22"/>
      <c r="F4505" s="23"/>
      <c r="G4505" s="23"/>
      <c r="L4505" s="23"/>
    </row>
    <row r="4506">
      <c r="E4506" s="22"/>
      <c r="F4506" s="23"/>
      <c r="G4506" s="23"/>
      <c r="L4506" s="23"/>
    </row>
    <row r="4507">
      <c r="E4507" s="22"/>
      <c r="F4507" s="23"/>
      <c r="G4507" s="23"/>
      <c r="L4507" s="23"/>
    </row>
    <row r="4508">
      <c r="E4508" s="22"/>
      <c r="F4508" s="23"/>
      <c r="G4508" s="23"/>
      <c r="L4508" s="23"/>
    </row>
    <row r="4509">
      <c r="E4509" s="22"/>
      <c r="F4509" s="23"/>
      <c r="G4509" s="23"/>
      <c r="L4509" s="23"/>
    </row>
    <row r="4510">
      <c r="E4510" s="22"/>
      <c r="F4510" s="23"/>
      <c r="G4510" s="23"/>
      <c r="L4510" s="23"/>
    </row>
    <row r="4511">
      <c r="E4511" s="22"/>
      <c r="F4511" s="23"/>
      <c r="G4511" s="23"/>
      <c r="L4511" s="23"/>
    </row>
    <row r="4512">
      <c r="E4512" s="22"/>
      <c r="F4512" s="23"/>
      <c r="G4512" s="23"/>
      <c r="L4512" s="23"/>
    </row>
    <row r="4513">
      <c r="E4513" s="22"/>
      <c r="F4513" s="23"/>
      <c r="G4513" s="23"/>
      <c r="L4513" s="23"/>
    </row>
    <row r="4514">
      <c r="E4514" s="22"/>
      <c r="F4514" s="23"/>
      <c r="G4514" s="23"/>
      <c r="L4514" s="23"/>
    </row>
    <row r="4515">
      <c r="E4515" s="22"/>
      <c r="F4515" s="23"/>
      <c r="G4515" s="23"/>
      <c r="L4515" s="23"/>
    </row>
    <row r="4516">
      <c r="E4516" s="22"/>
      <c r="F4516" s="23"/>
      <c r="G4516" s="23"/>
      <c r="L4516" s="23"/>
    </row>
    <row r="4517">
      <c r="E4517" s="22"/>
      <c r="F4517" s="23"/>
      <c r="G4517" s="23"/>
      <c r="L4517" s="23"/>
    </row>
    <row r="4518">
      <c r="E4518" s="22"/>
      <c r="F4518" s="23"/>
      <c r="G4518" s="23"/>
      <c r="L4518" s="23"/>
    </row>
    <row r="4519">
      <c r="E4519" s="22"/>
      <c r="F4519" s="23"/>
      <c r="G4519" s="23"/>
      <c r="L4519" s="23"/>
    </row>
    <row r="4520">
      <c r="E4520" s="22"/>
      <c r="F4520" s="23"/>
      <c r="G4520" s="23"/>
      <c r="L4520" s="23"/>
    </row>
    <row r="4521">
      <c r="E4521" s="22"/>
      <c r="F4521" s="23"/>
      <c r="G4521" s="23"/>
      <c r="L4521" s="23"/>
    </row>
    <row r="4522">
      <c r="E4522" s="22"/>
      <c r="F4522" s="23"/>
      <c r="G4522" s="23"/>
      <c r="L4522" s="23"/>
    </row>
    <row r="4523">
      <c r="E4523" s="22"/>
      <c r="F4523" s="23"/>
      <c r="G4523" s="23"/>
      <c r="L4523" s="23"/>
    </row>
    <row r="4524">
      <c r="E4524" s="22"/>
      <c r="F4524" s="23"/>
      <c r="G4524" s="23"/>
      <c r="L4524" s="23"/>
    </row>
    <row r="4525">
      <c r="E4525" s="22"/>
      <c r="F4525" s="23"/>
      <c r="G4525" s="23"/>
      <c r="L4525" s="23"/>
    </row>
    <row r="4526">
      <c r="E4526" s="22"/>
      <c r="F4526" s="23"/>
      <c r="G4526" s="23"/>
      <c r="L4526" s="23"/>
    </row>
    <row r="4527">
      <c r="E4527" s="22"/>
      <c r="F4527" s="23"/>
      <c r="G4527" s="23"/>
      <c r="L4527" s="23"/>
    </row>
    <row r="4528">
      <c r="E4528" s="22"/>
      <c r="F4528" s="23"/>
      <c r="G4528" s="23"/>
      <c r="L4528" s="23"/>
    </row>
    <row r="4529">
      <c r="E4529" s="22"/>
      <c r="F4529" s="23"/>
      <c r="G4529" s="23"/>
      <c r="L4529" s="23"/>
    </row>
    <row r="4530">
      <c r="E4530" s="22"/>
      <c r="F4530" s="23"/>
      <c r="G4530" s="23"/>
      <c r="L4530" s="23"/>
    </row>
    <row r="4531">
      <c r="E4531" s="22"/>
      <c r="F4531" s="23"/>
      <c r="G4531" s="23"/>
      <c r="L4531" s="23"/>
    </row>
    <row r="4532">
      <c r="E4532" s="22"/>
      <c r="F4532" s="23"/>
      <c r="G4532" s="23"/>
      <c r="L4532" s="23"/>
    </row>
    <row r="4533">
      <c r="E4533" s="22"/>
      <c r="F4533" s="23"/>
      <c r="G4533" s="23"/>
      <c r="L4533" s="23"/>
    </row>
    <row r="4534">
      <c r="E4534" s="22"/>
      <c r="F4534" s="23"/>
      <c r="G4534" s="23"/>
      <c r="L4534" s="23"/>
    </row>
    <row r="4535">
      <c r="E4535" s="22"/>
      <c r="F4535" s="23"/>
      <c r="G4535" s="23"/>
      <c r="L4535" s="23"/>
    </row>
    <row r="4536">
      <c r="E4536" s="22"/>
      <c r="F4536" s="23"/>
      <c r="G4536" s="23"/>
      <c r="L4536" s="23"/>
    </row>
    <row r="4537">
      <c r="E4537" s="22"/>
      <c r="F4537" s="23"/>
      <c r="G4537" s="23"/>
      <c r="L4537" s="23"/>
    </row>
    <row r="4538">
      <c r="E4538" s="22"/>
      <c r="F4538" s="23"/>
      <c r="G4538" s="23"/>
      <c r="L4538" s="23"/>
    </row>
    <row r="4539">
      <c r="E4539" s="22"/>
      <c r="F4539" s="23"/>
      <c r="G4539" s="23"/>
      <c r="L4539" s="23"/>
    </row>
    <row r="4540">
      <c r="E4540" s="22"/>
      <c r="F4540" s="23"/>
      <c r="G4540" s="23"/>
      <c r="L4540" s="23"/>
    </row>
    <row r="4541">
      <c r="E4541" s="22"/>
      <c r="F4541" s="23"/>
      <c r="G4541" s="23"/>
      <c r="L4541" s="23"/>
    </row>
    <row r="4542">
      <c r="E4542" s="22"/>
      <c r="F4542" s="23"/>
      <c r="G4542" s="23"/>
      <c r="L4542" s="23"/>
    </row>
    <row r="4543">
      <c r="E4543" s="22"/>
      <c r="F4543" s="23"/>
      <c r="G4543" s="23"/>
      <c r="L4543" s="23"/>
    </row>
    <row r="4544">
      <c r="E4544" s="22"/>
      <c r="F4544" s="23"/>
      <c r="G4544" s="23"/>
      <c r="L4544" s="23"/>
    </row>
    <row r="4545">
      <c r="E4545" s="22"/>
      <c r="F4545" s="23"/>
      <c r="G4545" s="23"/>
      <c r="L4545" s="23"/>
    </row>
    <row r="4546">
      <c r="E4546" s="22"/>
      <c r="F4546" s="23"/>
      <c r="G4546" s="23"/>
      <c r="L4546" s="23"/>
    </row>
    <row r="4547">
      <c r="E4547" s="22"/>
      <c r="F4547" s="23"/>
      <c r="G4547" s="23"/>
      <c r="L4547" s="23"/>
    </row>
    <row r="4548">
      <c r="E4548" s="22"/>
      <c r="F4548" s="23"/>
      <c r="G4548" s="23"/>
      <c r="L4548" s="23"/>
    </row>
    <row r="4549">
      <c r="E4549" s="22"/>
      <c r="F4549" s="23"/>
      <c r="G4549" s="23"/>
      <c r="L4549" s="23"/>
    </row>
    <row r="4550">
      <c r="E4550" s="22"/>
      <c r="F4550" s="23"/>
      <c r="G4550" s="23"/>
      <c r="L4550" s="23"/>
    </row>
    <row r="4551">
      <c r="E4551" s="22"/>
      <c r="F4551" s="23"/>
      <c r="G4551" s="23"/>
      <c r="L4551" s="23"/>
    </row>
    <row r="4552">
      <c r="E4552" s="22"/>
      <c r="F4552" s="23"/>
      <c r="G4552" s="23"/>
      <c r="L4552" s="23"/>
    </row>
    <row r="4553">
      <c r="E4553" s="22"/>
      <c r="F4553" s="23"/>
      <c r="G4553" s="23"/>
      <c r="L4553" s="23"/>
    </row>
    <row r="4554">
      <c r="E4554" s="22"/>
      <c r="F4554" s="23"/>
      <c r="G4554" s="23"/>
      <c r="L4554" s="23"/>
    </row>
    <row r="4555">
      <c r="E4555" s="22"/>
      <c r="F4555" s="23"/>
      <c r="G4555" s="23"/>
      <c r="L4555" s="23"/>
    </row>
    <row r="4556">
      <c r="E4556" s="22"/>
      <c r="F4556" s="23"/>
      <c r="G4556" s="23"/>
      <c r="L4556" s="23"/>
    </row>
    <row r="4557">
      <c r="E4557" s="22"/>
      <c r="F4557" s="23"/>
      <c r="G4557" s="23"/>
      <c r="L4557" s="23"/>
    </row>
    <row r="4558">
      <c r="E4558" s="22"/>
      <c r="F4558" s="23"/>
      <c r="G4558" s="23"/>
      <c r="L4558" s="23"/>
    </row>
    <row r="4559">
      <c r="E4559" s="22"/>
      <c r="F4559" s="23"/>
      <c r="G4559" s="23"/>
      <c r="L4559" s="23"/>
    </row>
    <row r="4560">
      <c r="E4560" s="22"/>
      <c r="F4560" s="23"/>
      <c r="G4560" s="23"/>
      <c r="L4560" s="23"/>
    </row>
    <row r="4561">
      <c r="E4561" s="22"/>
      <c r="F4561" s="23"/>
      <c r="G4561" s="23"/>
      <c r="L4561" s="23"/>
    </row>
    <row r="4562">
      <c r="E4562" s="22"/>
      <c r="F4562" s="23"/>
      <c r="G4562" s="23"/>
      <c r="L4562" s="23"/>
    </row>
    <row r="4563">
      <c r="E4563" s="22"/>
      <c r="F4563" s="23"/>
      <c r="G4563" s="23"/>
      <c r="L4563" s="23"/>
    </row>
    <row r="4564">
      <c r="E4564" s="22"/>
      <c r="F4564" s="23"/>
      <c r="G4564" s="23"/>
      <c r="L4564" s="23"/>
    </row>
    <row r="4565">
      <c r="E4565" s="22"/>
      <c r="F4565" s="23"/>
      <c r="G4565" s="23"/>
      <c r="L4565" s="23"/>
    </row>
    <row r="4566">
      <c r="E4566" s="22"/>
      <c r="F4566" s="23"/>
      <c r="G4566" s="23"/>
      <c r="L4566" s="23"/>
    </row>
    <row r="4567">
      <c r="E4567" s="22"/>
      <c r="F4567" s="23"/>
      <c r="G4567" s="23"/>
      <c r="L4567" s="23"/>
    </row>
    <row r="4568">
      <c r="E4568" s="22"/>
      <c r="F4568" s="23"/>
      <c r="G4568" s="23"/>
      <c r="L4568" s="23"/>
    </row>
    <row r="4569">
      <c r="E4569" s="22"/>
      <c r="F4569" s="23"/>
      <c r="G4569" s="23"/>
      <c r="L4569" s="23"/>
    </row>
    <row r="4570">
      <c r="E4570" s="22"/>
      <c r="F4570" s="23"/>
      <c r="G4570" s="23"/>
      <c r="L4570" s="23"/>
    </row>
    <row r="4571">
      <c r="E4571" s="22"/>
      <c r="F4571" s="23"/>
      <c r="G4571" s="23"/>
      <c r="L4571" s="23"/>
    </row>
    <row r="4572">
      <c r="E4572" s="22"/>
      <c r="F4572" s="23"/>
      <c r="G4572" s="23"/>
      <c r="L4572" s="23"/>
    </row>
    <row r="4573">
      <c r="E4573" s="22"/>
      <c r="F4573" s="23"/>
      <c r="G4573" s="23"/>
      <c r="L4573" s="23"/>
    </row>
    <row r="4574">
      <c r="E4574" s="22"/>
      <c r="F4574" s="23"/>
      <c r="G4574" s="23"/>
      <c r="L4574" s="23"/>
    </row>
    <row r="4575">
      <c r="E4575" s="22"/>
      <c r="F4575" s="23"/>
      <c r="G4575" s="23"/>
      <c r="L4575" s="23"/>
    </row>
    <row r="4576">
      <c r="E4576" s="22"/>
      <c r="F4576" s="23"/>
      <c r="G4576" s="23"/>
      <c r="L4576" s="23"/>
    </row>
    <row r="4577">
      <c r="E4577" s="22"/>
      <c r="F4577" s="23"/>
      <c r="G4577" s="23"/>
      <c r="L4577" s="23"/>
    </row>
    <row r="4578">
      <c r="E4578" s="22"/>
      <c r="F4578" s="23"/>
      <c r="G4578" s="23"/>
      <c r="L4578" s="23"/>
    </row>
    <row r="4579">
      <c r="E4579" s="22"/>
      <c r="F4579" s="23"/>
      <c r="G4579" s="23"/>
      <c r="L4579" s="23"/>
    </row>
    <row r="4580">
      <c r="E4580" s="22"/>
      <c r="F4580" s="23"/>
      <c r="G4580" s="23"/>
      <c r="L4580" s="23"/>
    </row>
    <row r="4581">
      <c r="E4581" s="22"/>
      <c r="F4581" s="23"/>
      <c r="G4581" s="23"/>
      <c r="L4581" s="23"/>
    </row>
    <row r="4582">
      <c r="E4582" s="22"/>
      <c r="F4582" s="23"/>
      <c r="G4582" s="23"/>
      <c r="L4582" s="23"/>
    </row>
    <row r="4583">
      <c r="E4583" s="22"/>
      <c r="F4583" s="23"/>
      <c r="G4583" s="23"/>
      <c r="L4583" s="23"/>
    </row>
    <row r="4584">
      <c r="E4584" s="22"/>
      <c r="F4584" s="23"/>
      <c r="G4584" s="23"/>
      <c r="L4584" s="23"/>
    </row>
    <row r="4585">
      <c r="E4585" s="22"/>
      <c r="F4585" s="23"/>
      <c r="G4585" s="23"/>
      <c r="L4585" s="23"/>
    </row>
    <row r="4586">
      <c r="E4586" s="22"/>
      <c r="F4586" s="23"/>
      <c r="G4586" s="23"/>
      <c r="L4586" s="23"/>
    </row>
    <row r="4587">
      <c r="E4587" s="22"/>
      <c r="F4587" s="23"/>
      <c r="G4587" s="23"/>
      <c r="L4587" s="23"/>
    </row>
    <row r="4588">
      <c r="E4588" s="22"/>
      <c r="F4588" s="23"/>
      <c r="G4588" s="23"/>
      <c r="L4588" s="23"/>
    </row>
    <row r="4589">
      <c r="E4589" s="22"/>
      <c r="F4589" s="23"/>
      <c r="G4589" s="23"/>
      <c r="L4589" s="23"/>
    </row>
    <row r="4590">
      <c r="E4590" s="22"/>
      <c r="F4590" s="23"/>
      <c r="G4590" s="23"/>
      <c r="L4590" s="23"/>
    </row>
    <row r="4591">
      <c r="E4591" s="22"/>
      <c r="F4591" s="23"/>
      <c r="G4591" s="23"/>
      <c r="L4591" s="23"/>
    </row>
    <row r="4592">
      <c r="E4592" s="22"/>
      <c r="F4592" s="23"/>
      <c r="G4592" s="23"/>
      <c r="L4592" s="23"/>
    </row>
    <row r="4593">
      <c r="E4593" s="22"/>
      <c r="F4593" s="23"/>
      <c r="G4593" s="23"/>
      <c r="L4593" s="23"/>
    </row>
    <row r="4594">
      <c r="E4594" s="22"/>
      <c r="F4594" s="23"/>
      <c r="G4594" s="23"/>
      <c r="L4594" s="23"/>
    </row>
    <row r="4595">
      <c r="E4595" s="22"/>
      <c r="F4595" s="23"/>
      <c r="G4595" s="23"/>
      <c r="L4595" s="23"/>
    </row>
    <row r="4596">
      <c r="E4596" s="22"/>
      <c r="F4596" s="23"/>
      <c r="G4596" s="23"/>
      <c r="L4596" s="23"/>
    </row>
    <row r="4597">
      <c r="E4597" s="22"/>
      <c r="F4597" s="23"/>
      <c r="G4597" s="23"/>
      <c r="L4597" s="23"/>
    </row>
    <row r="4598">
      <c r="E4598" s="22"/>
      <c r="F4598" s="23"/>
      <c r="G4598" s="23"/>
      <c r="L4598" s="23"/>
    </row>
    <row r="4599">
      <c r="E4599" s="22"/>
      <c r="F4599" s="23"/>
      <c r="G4599" s="23"/>
      <c r="L4599" s="23"/>
    </row>
    <row r="4600">
      <c r="E4600" s="22"/>
      <c r="F4600" s="23"/>
      <c r="G4600" s="23"/>
      <c r="L4600" s="23"/>
    </row>
    <row r="4601">
      <c r="E4601" s="22"/>
      <c r="F4601" s="23"/>
      <c r="G4601" s="23"/>
      <c r="L4601" s="23"/>
    </row>
    <row r="4602">
      <c r="E4602" s="22"/>
      <c r="F4602" s="23"/>
      <c r="G4602" s="23"/>
      <c r="L4602" s="23"/>
    </row>
    <row r="4603">
      <c r="E4603" s="22"/>
      <c r="F4603" s="23"/>
      <c r="G4603" s="23"/>
      <c r="L4603" s="23"/>
    </row>
    <row r="4604">
      <c r="E4604" s="22"/>
      <c r="F4604" s="23"/>
      <c r="G4604" s="23"/>
      <c r="L4604" s="23"/>
    </row>
    <row r="4605">
      <c r="E4605" s="22"/>
      <c r="F4605" s="23"/>
      <c r="G4605" s="23"/>
      <c r="L4605" s="23"/>
    </row>
    <row r="4606">
      <c r="E4606" s="22"/>
      <c r="F4606" s="23"/>
      <c r="G4606" s="23"/>
      <c r="L4606" s="23"/>
    </row>
    <row r="4607">
      <c r="E4607" s="22"/>
      <c r="F4607" s="23"/>
      <c r="G4607" s="23"/>
      <c r="L4607" s="23"/>
    </row>
    <row r="4608">
      <c r="E4608" s="22"/>
      <c r="F4608" s="23"/>
      <c r="G4608" s="23"/>
      <c r="L4608" s="23"/>
    </row>
    <row r="4609">
      <c r="E4609" s="22"/>
      <c r="F4609" s="23"/>
      <c r="G4609" s="23"/>
      <c r="L4609" s="23"/>
    </row>
    <row r="4610">
      <c r="E4610" s="22"/>
      <c r="F4610" s="23"/>
      <c r="G4610" s="23"/>
      <c r="L4610" s="23"/>
    </row>
    <row r="4611">
      <c r="E4611" s="22"/>
      <c r="F4611" s="23"/>
      <c r="G4611" s="23"/>
      <c r="L4611" s="23"/>
    </row>
    <row r="4612">
      <c r="E4612" s="22"/>
      <c r="F4612" s="23"/>
      <c r="G4612" s="23"/>
      <c r="L4612" s="23"/>
    </row>
    <row r="4613">
      <c r="E4613" s="22"/>
      <c r="F4613" s="23"/>
      <c r="G4613" s="23"/>
      <c r="L4613" s="23"/>
    </row>
    <row r="4614">
      <c r="E4614" s="22"/>
      <c r="F4614" s="23"/>
      <c r="G4614" s="23"/>
      <c r="L4614" s="23"/>
    </row>
    <row r="4615">
      <c r="E4615" s="22"/>
      <c r="F4615" s="23"/>
      <c r="G4615" s="23"/>
      <c r="L4615" s="23"/>
    </row>
    <row r="4616">
      <c r="E4616" s="22"/>
      <c r="F4616" s="23"/>
      <c r="G4616" s="23"/>
      <c r="L4616" s="23"/>
    </row>
    <row r="4617">
      <c r="E4617" s="22"/>
      <c r="F4617" s="23"/>
      <c r="G4617" s="23"/>
      <c r="L4617" s="23"/>
    </row>
    <row r="4618">
      <c r="E4618" s="22"/>
      <c r="F4618" s="23"/>
      <c r="G4618" s="23"/>
      <c r="L4618" s="23"/>
    </row>
    <row r="4619">
      <c r="E4619" s="22"/>
      <c r="F4619" s="23"/>
      <c r="G4619" s="23"/>
      <c r="L4619" s="23"/>
    </row>
    <row r="4620">
      <c r="E4620" s="22"/>
      <c r="F4620" s="23"/>
      <c r="G4620" s="23"/>
      <c r="L4620" s="23"/>
    </row>
  </sheetData>
  <autoFilter ref="$A$3:$L$1473"/>
  <dataValidations>
    <dataValidation type="list" allowBlank="1" showErrorMessage="1" sqref="A1 H1">
      <formula1>Sources!$A$2:$A$28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8" t="str">
        <f>ETFOverlap!A1</f>
        <v>IVV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</row>
    <row r="22">
      <c r="A22" s="28" t="str">
        <f>ETFOverlap!H1</f>
        <v>A200</v>
      </c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</row>
    <row r="44">
      <c r="A44" s="30" t="str">
        <f>ETFOverlap!A1</f>
        <v>IVV</v>
      </c>
      <c r="B44" s="31">
        <f>ETFOverlap!F2</f>
        <v>507</v>
      </c>
      <c r="C44" s="32" t="s">
        <v>76</v>
      </c>
      <c r="E44" s="33" t="s">
        <v>77</v>
      </c>
      <c r="F44" s="32" t="s">
        <v>78</v>
      </c>
      <c r="G44" s="34"/>
      <c r="H44" s="31">
        <f>MAX(ETFOverlap!F1:G1)</f>
        <v>2</v>
      </c>
      <c r="I44" s="32" t="s">
        <v>78</v>
      </c>
      <c r="K44" s="32" t="s">
        <v>79</v>
      </c>
      <c r="L44" s="30" t="str">
        <f>ETFOverlap!H1</f>
        <v>A200</v>
      </c>
      <c r="M44" s="31">
        <f>ETFOverlap!G2</f>
        <v>202</v>
      </c>
      <c r="N44" s="32" t="s">
        <v>76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8.13"/>
    <col customWidth="1" min="2" max="2" width="7.75"/>
    <col customWidth="1" min="3" max="3" width="26.88"/>
    <col customWidth="1" min="4" max="4" width="9.13"/>
    <col customWidth="1" min="5" max="5" width="15.75"/>
    <col customWidth="1" min="6" max="6" width="6.13"/>
    <col customWidth="1" min="7" max="7" width="6.38"/>
    <col customWidth="1" min="8" max="8" width="8.0"/>
    <col customWidth="1" min="9" max="9" width="10.63"/>
    <col customWidth="1" min="10" max="10" width="12.88"/>
    <col customWidth="1" min="11" max="11" width="13.63"/>
  </cols>
  <sheetData>
    <row r="1">
      <c r="A1" s="35" t="s">
        <v>80</v>
      </c>
      <c r="B1" s="35" t="s">
        <v>81</v>
      </c>
      <c r="C1" s="35" t="s">
        <v>82</v>
      </c>
      <c r="D1" s="35" t="s">
        <v>83</v>
      </c>
      <c r="E1" s="35" t="s">
        <v>84</v>
      </c>
      <c r="F1" s="35" t="s">
        <v>85</v>
      </c>
      <c r="G1" s="35" t="s">
        <v>86</v>
      </c>
      <c r="H1" s="35" t="s">
        <v>87</v>
      </c>
      <c r="I1" s="35" t="s">
        <v>88</v>
      </c>
      <c r="J1" s="35" t="s">
        <v>89</v>
      </c>
      <c r="K1" s="35" t="s">
        <v>90</v>
      </c>
      <c r="L1" s="36"/>
    </row>
    <row r="2">
      <c r="A2" s="35" t="s">
        <v>91</v>
      </c>
      <c r="B2" s="37">
        <v>6144690.0</v>
      </c>
      <c r="C2" s="35" t="s">
        <v>92</v>
      </c>
      <c r="D2" s="35" t="s">
        <v>93</v>
      </c>
      <c r="E2" s="35" t="s">
        <v>94</v>
      </c>
      <c r="F2" s="35" t="s">
        <v>95</v>
      </c>
      <c r="G2" s="35" t="s">
        <v>96</v>
      </c>
      <c r="H2" s="37">
        <v>11.1021801</v>
      </c>
      <c r="I2" s="37">
        <v>7277614.0</v>
      </c>
      <c r="J2" s="37">
        <v>3.3782684188E8</v>
      </c>
      <c r="K2" s="37">
        <v>3.3782684188E8</v>
      </c>
      <c r="L2" s="36"/>
    </row>
    <row r="3">
      <c r="A3" s="35" t="s">
        <v>97</v>
      </c>
      <c r="B3" s="37">
        <v>6215035.0</v>
      </c>
      <c r="C3" s="35" t="s">
        <v>98</v>
      </c>
      <c r="D3" s="35" t="s">
        <v>93</v>
      </c>
      <c r="E3" s="35" t="s">
        <v>99</v>
      </c>
      <c r="F3" s="35" t="s">
        <v>95</v>
      </c>
      <c r="G3" s="35" t="s">
        <v>96</v>
      </c>
      <c r="H3" s="37">
        <v>7.88876347</v>
      </c>
      <c r="I3" s="37">
        <v>2416167.0</v>
      </c>
      <c r="J3" s="37">
        <v>2.4004619145E8</v>
      </c>
      <c r="K3" s="37">
        <v>2.4004619145E8</v>
      </c>
      <c r="L3" s="36"/>
    </row>
    <row r="4">
      <c r="A4" s="35" t="s">
        <v>100</v>
      </c>
      <c r="B4" s="37">
        <v>6185495.0</v>
      </c>
      <c r="C4" s="35" t="s">
        <v>101</v>
      </c>
      <c r="D4" s="35" t="s">
        <v>93</v>
      </c>
      <c r="E4" s="35" t="s">
        <v>102</v>
      </c>
      <c r="F4" s="35" t="s">
        <v>95</v>
      </c>
      <c r="G4" s="35" t="s">
        <v>96</v>
      </c>
      <c r="H4" s="37">
        <v>6.30805714</v>
      </c>
      <c r="I4" s="37">
        <v>690805.0</v>
      </c>
      <c r="J4" s="37">
        <v>1.919470773E8</v>
      </c>
      <c r="K4" s="37">
        <v>1.919470773E8</v>
      </c>
      <c r="L4" s="36"/>
    </row>
    <row r="5">
      <c r="A5" s="35" t="s">
        <v>103</v>
      </c>
      <c r="B5" s="37">
        <v>6624608.0</v>
      </c>
      <c r="C5" s="35" t="s">
        <v>104</v>
      </c>
      <c r="D5" s="35" t="s">
        <v>93</v>
      </c>
      <c r="E5" s="35" t="s">
        <v>99</v>
      </c>
      <c r="F5" s="35" t="s">
        <v>95</v>
      </c>
      <c r="G5" s="35" t="s">
        <v>96</v>
      </c>
      <c r="H5" s="37">
        <v>3.80182956</v>
      </c>
      <c r="I5" s="37">
        <v>4475257.0</v>
      </c>
      <c r="J5" s="37">
        <v>1.1568539345E8</v>
      </c>
      <c r="K5" s="37">
        <v>1.1568539345E8</v>
      </c>
      <c r="L5" s="36"/>
    </row>
    <row r="6">
      <c r="A6" s="35" t="s">
        <v>105</v>
      </c>
      <c r="B6" s="37">
        <v>6076146.0</v>
      </c>
      <c r="C6" s="35" t="s">
        <v>106</v>
      </c>
      <c r="D6" s="35" t="s">
        <v>93</v>
      </c>
      <c r="E6" s="35" t="s">
        <v>99</v>
      </c>
      <c r="F6" s="35" t="s">
        <v>95</v>
      </c>
      <c r="G6" s="35" t="s">
        <v>96</v>
      </c>
      <c r="H6" s="37">
        <v>3.44699569</v>
      </c>
      <c r="I6" s="37">
        <v>5016174.0</v>
      </c>
      <c r="J6" s="37">
        <v>1.0488819834E8</v>
      </c>
      <c r="K6" s="37">
        <v>1.0488819834E8</v>
      </c>
      <c r="L6" s="36"/>
    </row>
    <row r="7">
      <c r="A7" s="35" t="s">
        <v>107</v>
      </c>
      <c r="B7" s="35" t="s">
        <v>108</v>
      </c>
      <c r="C7" s="35" t="s">
        <v>109</v>
      </c>
      <c r="D7" s="35" t="s">
        <v>93</v>
      </c>
      <c r="E7" s="35" t="s">
        <v>99</v>
      </c>
      <c r="F7" s="35" t="s">
        <v>95</v>
      </c>
      <c r="G7" s="35" t="s">
        <v>96</v>
      </c>
      <c r="H7" s="37">
        <v>3.34864124</v>
      </c>
      <c r="I7" s="37">
        <v>552578.0</v>
      </c>
      <c r="J7" s="37">
        <v>1.018953832E8</v>
      </c>
      <c r="K7" s="37">
        <v>1.018953832E8</v>
      </c>
      <c r="L7" s="36"/>
    </row>
    <row r="8">
      <c r="A8" s="35" t="s">
        <v>110</v>
      </c>
      <c r="B8" s="37">
        <v>6065586.0</v>
      </c>
      <c r="C8" s="35" t="s">
        <v>111</v>
      </c>
      <c r="D8" s="35" t="s">
        <v>93</v>
      </c>
      <c r="E8" s="35" t="s">
        <v>99</v>
      </c>
      <c r="F8" s="35" t="s">
        <v>95</v>
      </c>
      <c r="G8" s="35" t="s">
        <v>96</v>
      </c>
      <c r="H8" s="37">
        <v>3.30030041</v>
      </c>
      <c r="I8" s="37">
        <v>4313764.0</v>
      </c>
      <c r="J8" s="37">
        <v>1.0042442592E8</v>
      </c>
      <c r="K8" s="37">
        <v>1.0042442592E8</v>
      </c>
      <c r="L8" s="36"/>
    </row>
    <row r="9">
      <c r="A9" s="35" t="s">
        <v>112</v>
      </c>
      <c r="B9" s="35" t="s">
        <v>113</v>
      </c>
      <c r="C9" s="35" t="s">
        <v>114</v>
      </c>
      <c r="D9" s="35" t="s">
        <v>93</v>
      </c>
      <c r="E9" s="35" t="s">
        <v>115</v>
      </c>
      <c r="F9" s="35" t="s">
        <v>95</v>
      </c>
      <c r="G9" s="35" t="s">
        <v>96</v>
      </c>
      <c r="H9" s="37">
        <v>3.18957322</v>
      </c>
      <c r="I9" s="37">
        <v>2723972.0</v>
      </c>
      <c r="J9" s="37">
        <v>9.705512236E7</v>
      </c>
      <c r="K9" s="37">
        <v>9.705512236E7</v>
      </c>
      <c r="L9" s="36"/>
    </row>
    <row r="10">
      <c r="A10" s="35" t="s">
        <v>116</v>
      </c>
      <c r="B10" s="37">
        <v>6948836.0</v>
      </c>
      <c r="C10" s="35" t="s">
        <v>117</v>
      </c>
      <c r="D10" s="35" t="s">
        <v>93</v>
      </c>
      <c r="E10" s="35" t="s">
        <v>118</v>
      </c>
      <c r="F10" s="35" t="s">
        <v>95</v>
      </c>
      <c r="G10" s="35" t="s">
        <v>96</v>
      </c>
      <c r="H10" s="37">
        <v>2.60436275</v>
      </c>
      <c r="I10" s="37">
        <v>1616313.0</v>
      </c>
      <c r="J10" s="37">
        <v>7.924782639E7</v>
      </c>
      <c r="K10" s="37">
        <v>7.924782639E7</v>
      </c>
      <c r="L10" s="36"/>
    </row>
    <row r="11">
      <c r="A11" s="35" t="s">
        <v>119</v>
      </c>
      <c r="B11" s="37">
        <v>6087289.0</v>
      </c>
      <c r="C11" s="35" t="s">
        <v>120</v>
      </c>
      <c r="D11" s="35" t="s">
        <v>93</v>
      </c>
      <c r="E11" s="35" t="s">
        <v>121</v>
      </c>
      <c r="F11" s="35" t="s">
        <v>95</v>
      </c>
      <c r="G11" s="35" t="s">
        <v>96</v>
      </c>
      <c r="H11" s="37">
        <v>2.36760095</v>
      </c>
      <c r="I11" s="37">
        <v>1.6599869E7</v>
      </c>
      <c r="J11" s="37">
        <v>7.204343146E7</v>
      </c>
      <c r="K11" s="37">
        <v>7.204343146E7</v>
      </c>
      <c r="L11" s="36"/>
    </row>
    <row r="12">
      <c r="A12" s="35" t="s">
        <v>122</v>
      </c>
      <c r="B12" s="37">
        <v>6981239.0</v>
      </c>
      <c r="C12" s="35" t="s">
        <v>123</v>
      </c>
      <c r="D12" s="35" t="s">
        <v>93</v>
      </c>
      <c r="E12" s="35" t="s">
        <v>124</v>
      </c>
      <c r="F12" s="35" t="s">
        <v>95</v>
      </c>
      <c r="G12" s="35" t="s">
        <v>96</v>
      </c>
      <c r="H12" s="37">
        <v>2.21403718</v>
      </c>
      <c r="I12" s="37">
        <v>1744450.0</v>
      </c>
      <c r="J12" s="37">
        <v>6.7370659E7</v>
      </c>
      <c r="K12" s="37">
        <v>6.7370659E7</v>
      </c>
      <c r="L12" s="36"/>
    </row>
    <row r="13">
      <c r="A13" s="35" t="s">
        <v>125</v>
      </c>
      <c r="B13" s="37">
        <v>6200882.0</v>
      </c>
      <c r="C13" s="35" t="s">
        <v>126</v>
      </c>
      <c r="D13" s="35" t="s">
        <v>93</v>
      </c>
      <c r="E13" s="35" t="s">
        <v>127</v>
      </c>
      <c r="F13" s="35" t="s">
        <v>95</v>
      </c>
      <c r="G13" s="35" t="s">
        <v>96</v>
      </c>
      <c r="H13" s="37">
        <v>2.0961553</v>
      </c>
      <c r="I13" s="37">
        <v>4417150.0</v>
      </c>
      <c r="J13" s="37">
        <v>6.3783646E7</v>
      </c>
      <c r="K13" s="37">
        <v>6.3783646E7</v>
      </c>
      <c r="L13" s="36"/>
    </row>
    <row r="14">
      <c r="A14" s="35" t="s">
        <v>128</v>
      </c>
      <c r="B14" s="37">
        <v>6220103.0</v>
      </c>
      <c r="C14" s="35" t="s">
        <v>129</v>
      </c>
      <c r="D14" s="35" t="s">
        <v>93</v>
      </c>
      <c r="E14" s="35" t="s">
        <v>94</v>
      </c>
      <c r="F14" s="35" t="s">
        <v>95</v>
      </c>
      <c r="G14" s="35" t="s">
        <v>96</v>
      </c>
      <c r="H14" s="37">
        <v>2.06371526</v>
      </c>
      <c r="I14" s="37">
        <v>532174.0</v>
      </c>
      <c r="J14" s="37">
        <v>6.2796532E7</v>
      </c>
      <c r="K14" s="37">
        <v>6.2796532E7</v>
      </c>
      <c r="L14" s="36"/>
    </row>
    <row r="15">
      <c r="A15" s="35" t="s">
        <v>130</v>
      </c>
      <c r="B15" s="35" t="s">
        <v>131</v>
      </c>
      <c r="C15" s="35" t="s">
        <v>132</v>
      </c>
      <c r="D15" s="35" t="s">
        <v>93</v>
      </c>
      <c r="E15" s="35" t="s">
        <v>133</v>
      </c>
      <c r="F15" s="35" t="s">
        <v>95</v>
      </c>
      <c r="G15" s="35" t="s">
        <v>96</v>
      </c>
      <c r="H15" s="37">
        <v>1.75525794</v>
      </c>
      <c r="I15" s="37">
        <v>2642777.0</v>
      </c>
      <c r="J15" s="37">
        <v>5.341052317E7</v>
      </c>
      <c r="K15" s="37">
        <v>5.341052317E7</v>
      </c>
      <c r="L15" s="36"/>
    </row>
    <row r="16">
      <c r="A16" s="35" t="s">
        <v>134</v>
      </c>
      <c r="B16" s="37">
        <v>6086253.0</v>
      </c>
      <c r="C16" s="35" t="s">
        <v>135</v>
      </c>
      <c r="D16" s="35" t="s">
        <v>93</v>
      </c>
      <c r="E16" s="35" t="s">
        <v>94</v>
      </c>
      <c r="F16" s="35" t="s">
        <v>95</v>
      </c>
      <c r="G16" s="35" t="s">
        <v>96</v>
      </c>
      <c r="H16" s="37">
        <v>1.67421194</v>
      </c>
      <c r="I16" s="37">
        <v>2263189.0</v>
      </c>
      <c r="J16" s="37">
        <v>5.094438439E7</v>
      </c>
      <c r="K16" s="37">
        <v>5.094438439E7</v>
      </c>
      <c r="L16" s="36"/>
    </row>
    <row r="17">
      <c r="A17" s="35" t="s">
        <v>136</v>
      </c>
      <c r="B17" s="37">
        <v>6776703.0</v>
      </c>
      <c r="C17" s="35" t="s">
        <v>137</v>
      </c>
      <c r="D17" s="35" t="s">
        <v>93</v>
      </c>
      <c r="E17" s="35" t="s">
        <v>115</v>
      </c>
      <c r="F17" s="35" t="s">
        <v>95</v>
      </c>
      <c r="G17" s="35" t="s">
        <v>96</v>
      </c>
      <c r="H17" s="37">
        <v>1.11417624</v>
      </c>
      <c r="I17" s="37">
        <v>4460938.0</v>
      </c>
      <c r="J17" s="37">
        <v>3.39031288E7</v>
      </c>
      <c r="K17" s="37">
        <v>3.39031288E7</v>
      </c>
      <c r="L17" s="36"/>
    </row>
    <row r="18">
      <c r="A18" s="35" t="s">
        <v>138</v>
      </c>
      <c r="B18" s="37">
        <v>6637101.0</v>
      </c>
      <c r="C18" s="35" t="s">
        <v>139</v>
      </c>
      <c r="D18" s="35" t="s">
        <v>93</v>
      </c>
      <c r="E18" s="35" t="s">
        <v>94</v>
      </c>
      <c r="F18" s="35" t="s">
        <v>95</v>
      </c>
      <c r="G18" s="35" t="s">
        <v>96</v>
      </c>
      <c r="H18" s="37">
        <v>1.10806863</v>
      </c>
      <c r="I18" s="37">
        <v>1280079.0</v>
      </c>
      <c r="J18" s="37">
        <v>3.371728086E7</v>
      </c>
      <c r="K18" s="37">
        <v>3.371728086E7</v>
      </c>
      <c r="L18" s="36"/>
    </row>
    <row r="19">
      <c r="A19" s="35" t="s">
        <v>140</v>
      </c>
      <c r="B19" s="35" t="s">
        <v>141</v>
      </c>
      <c r="C19" s="35" t="s">
        <v>142</v>
      </c>
      <c r="D19" s="35" t="s">
        <v>93</v>
      </c>
      <c r="E19" s="35" t="s">
        <v>124</v>
      </c>
      <c r="F19" s="35" t="s">
        <v>95</v>
      </c>
      <c r="G19" s="35" t="s">
        <v>96</v>
      </c>
      <c r="H19" s="37">
        <v>1.10659429</v>
      </c>
      <c r="I19" s="37">
        <v>1861383.0</v>
      </c>
      <c r="J19" s="37">
        <v>3.367241847E7</v>
      </c>
      <c r="K19" s="37">
        <v>3.367241847E7</v>
      </c>
      <c r="L19" s="36"/>
    </row>
    <row r="20">
      <c r="A20" s="35" t="s">
        <v>143</v>
      </c>
      <c r="B20" s="37">
        <v>6715740.0</v>
      </c>
      <c r="C20" s="35" t="s">
        <v>144</v>
      </c>
      <c r="D20" s="35" t="s">
        <v>93</v>
      </c>
      <c r="E20" s="35" t="s">
        <v>99</v>
      </c>
      <c r="F20" s="35" t="s">
        <v>95</v>
      </c>
      <c r="G20" s="35" t="s">
        <v>96</v>
      </c>
      <c r="H20" s="37">
        <v>1.07617763</v>
      </c>
      <c r="I20" s="37">
        <v>2143120.0</v>
      </c>
      <c r="J20" s="37">
        <v>3.27468736E7</v>
      </c>
      <c r="K20" s="37">
        <v>3.27468736E7</v>
      </c>
      <c r="L20" s="36"/>
    </row>
    <row r="21">
      <c r="A21" s="35" t="s">
        <v>145</v>
      </c>
      <c r="B21" s="37">
        <v>6253983.0</v>
      </c>
      <c r="C21" s="35" t="s">
        <v>146</v>
      </c>
      <c r="D21" s="35" t="s">
        <v>93</v>
      </c>
      <c r="E21" s="35" t="s">
        <v>118</v>
      </c>
      <c r="F21" s="35" t="s">
        <v>95</v>
      </c>
      <c r="G21" s="35" t="s">
        <v>96</v>
      </c>
      <c r="H21" s="37">
        <v>1.05958359</v>
      </c>
      <c r="I21" s="37">
        <v>835933.0</v>
      </c>
      <c r="J21" s="37">
        <v>3.224193581E7</v>
      </c>
      <c r="K21" s="37">
        <v>3.224193581E7</v>
      </c>
      <c r="L21" s="36"/>
    </row>
    <row r="22">
      <c r="A22" s="35" t="s">
        <v>147</v>
      </c>
      <c r="B22" s="35" t="s">
        <v>148</v>
      </c>
      <c r="C22" s="35" t="s">
        <v>149</v>
      </c>
      <c r="D22" s="35" t="s">
        <v>93</v>
      </c>
      <c r="E22" s="35" t="s">
        <v>127</v>
      </c>
      <c r="F22" s="35" t="s">
        <v>95</v>
      </c>
      <c r="G22" s="35" t="s">
        <v>96</v>
      </c>
      <c r="H22" s="37">
        <v>0.90847391</v>
      </c>
      <c r="I22" s="37">
        <v>1995945.0</v>
      </c>
      <c r="J22" s="37">
        <v>2.764383825E7</v>
      </c>
      <c r="K22" s="37">
        <v>2.764383825E7</v>
      </c>
      <c r="L22" s="36"/>
    </row>
    <row r="23">
      <c r="A23" s="35" t="s">
        <v>150</v>
      </c>
      <c r="B23" s="35" t="s">
        <v>151</v>
      </c>
      <c r="C23" s="35" t="s">
        <v>152</v>
      </c>
      <c r="D23" s="35" t="s">
        <v>93</v>
      </c>
      <c r="E23" s="35" t="s">
        <v>94</v>
      </c>
      <c r="F23" s="35" t="s">
        <v>95</v>
      </c>
      <c r="G23" s="35" t="s">
        <v>96</v>
      </c>
      <c r="H23" s="37">
        <v>0.84059895</v>
      </c>
      <c r="I23" s="37">
        <v>6508519.0</v>
      </c>
      <c r="J23" s="37">
        <v>2.557847967E7</v>
      </c>
      <c r="K23" s="37">
        <v>2.557847967E7</v>
      </c>
      <c r="L23" s="36"/>
    </row>
    <row r="24">
      <c r="A24" s="35" t="s">
        <v>153</v>
      </c>
      <c r="B24" s="35" t="s">
        <v>154</v>
      </c>
      <c r="C24" s="35" t="s">
        <v>155</v>
      </c>
      <c r="D24" s="35" t="s">
        <v>93</v>
      </c>
      <c r="E24" s="35" t="s">
        <v>94</v>
      </c>
      <c r="F24" s="35" t="s">
        <v>95</v>
      </c>
      <c r="G24" s="35" t="s">
        <v>96</v>
      </c>
      <c r="H24" s="37">
        <v>0.8235475</v>
      </c>
      <c r="I24" s="37">
        <v>626334.0</v>
      </c>
      <c r="J24" s="37">
        <v>2.505962334E7</v>
      </c>
      <c r="K24" s="37">
        <v>2.505962334E7</v>
      </c>
      <c r="L24" s="36"/>
    </row>
    <row r="25">
      <c r="A25" s="35" t="s">
        <v>156</v>
      </c>
      <c r="B25" s="37">
        <v>6585084.0</v>
      </c>
      <c r="C25" s="35" t="s">
        <v>157</v>
      </c>
      <c r="D25" s="35" t="s">
        <v>93</v>
      </c>
      <c r="E25" s="35" t="s">
        <v>99</v>
      </c>
      <c r="F25" s="35" t="s">
        <v>95</v>
      </c>
      <c r="G25" s="35" t="s">
        <v>96</v>
      </c>
      <c r="H25" s="37">
        <v>0.79143237</v>
      </c>
      <c r="I25" s="37">
        <v>1814800.0</v>
      </c>
      <c r="J25" s="37">
        <v>2.4082396E7</v>
      </c>
      <c r="K25" s="37">
        <v>2.4082396E7</v>
      </c>
      <c r="L25" s="36"/>
    </row>
    <row r="26">
      <c r="A26" s="35" t="s">
        <v>158</v>
      </c>
      <c r="B26" s="37">
        <v>6821120.0</v>
      </c>
      <c r="C26" s="35" t="s">
        <v>159</v>
      </c>
      <c r="D26" s="35" t="s">
        <v>93</v>
      </c>
      <c r="E26" s="35" t="s">
        <v>102</v>
      </c>
      <c r="F26" s="35" t="s">
        <v>95</v>
      </c>
      <c r="G26" s="35" t="s">
        <v>96</v>
      </c>
      <c r="H26" s="37">
        <v>0.74180001</v>
      </c>
      <c r="I26" s="37">
        <v>643631.0</v>
      </c>
      <c r="J26" s="37">
        <v>2.257213917E7</v>
      </c>
      <c r="K26" s="37">
        <v>2.257213917E7</v>
      </c>
      <c r="L26" s="36"/>
    </row>
    <row r="27">
      <c r="A27" s="35" t="s">
        <v>160</v>
      </c>
      <c r="B27" s="37">
        <v>6211798.0</v>
      </c>
      <c r="C27" s="35" t="s">
        <v>161</v>
      </c>
      <c r="D27" s="35" t="s">
        <v>93</v>
      </c>
      <c r="E27" s="35" t="s">
        <v>102</v>
      </c>
      <c r="F27" s="35" t="s">
        <v>95</v>
      </c>
      <c r="G27" s="35" t="s">
        <v>96</v>
      </c>
      <c r="H27" s="37">
        <v>0.73811639</v>
      </c>
      <c r="I27" s="37">
        <v>94042.0</v>
      </c>
      <c r="J27" s="37">
        <v>2.246005086E7</v>
      </c>
      <c r="K27" s="37">
        <v>2.246005086E7</v>
      </c>
      <c r="L27" s="36"/>
    </row>
    <row r="28">
      <c r="A28" s="35" t="s">
        <v>162</v>
      </c>
      <c r="B28" s="37">
        <v>6717456.0</v>
      </c>
      <c r="C28" s="35" t="s">
        <v>163</v>
      </c>
      <c r="D28" s="35" t="s">
        <v>93</v>
      </c>
      <c r="E28" s="35" t="s">
        <v>94</v>
      </c>
      <c r="F28" s="35" t="s">
        <v>95</v>
      </c>
      <c r="G28" s="35" t="s">
        <v>96</v>
      </c>
      <c r="H28" s="37">
        <v>0.70468781</v>
      </c>
      <c r="I28" s="37">
        <v>1613458.0</v>
      </c>
      <c r="J28" s="37">
        <v>2.144285682E7</v>
      </c>
      <c r="K28" s="37">
        <v>2.144285682E7</v>
      </c>
      <c r="L28" s="36"/>
    </row>
    <row r="29">
      <c r="A29" s="35" t="s">
        <v>164</v>
      </c>
      <c r="B29" s="35" t="s">
        <v>165</v>
      </c>
      <c r="C29" s="35" t="s">
        <v>166</v>
      </c>
      <c r="D29" s="35" t="s">
        <v>93</v>
      </c>
      <c r="E29" s="35" t="s">
        <v>167</v>
      </c>
      <c r="F29" s="35" t="s">
        <v>95</v>
      </c>
      <c r="G29" s="35" t="s">
        <v>96</v>
      </c>
      <c r="H29" s="37">
        <v>0.69968231</v>
      </c>
      <c r="I29" s="37">
        <v>182407.0</v>
      </c>
      <c r="J29" s="37">
        <v>2.129054504E7</v>
      </c>
      <c r="K29" s="37">
        <v>2.129054504E7</v>
      </c>
      <c r="L29" s="36"/>
    </row>
    <row r="30">
      <c r="A30" s="35" t="s">
        <v>168</v>
      </c>
      <c r="B30" s="37">
        <v>6214861.0</v>
      </c>
      <c r="C30" s="35" t="s">
        <v>169</v>
      </c>
      <c r="D30" s="35" t="s">
        <v>93</v>
      </c>
      <c r="E30" s="35" t="s">
        <v>170</v>
      </c>
      <c r="F30" s="35" t="s">
        <v>95</v>
      </c>
      <c r="G30" s="35" t="s">
        <v>96</v>
      </c>
      <c r="H30" s="37">
        <v>0.68551618</v>
      </c>
      <c r="I30" s="37">
        <v>2459845.0</v>
      </c>
      <c r="J30" s="37">
        <v>2.08594856E7</v>
      </c>
      <c r="K30" s="37">
        <v>2.08594856E7</v>
      </c>
      <c r="L30" s="36"/>
    </row>
    <row r="31">
      <c r="A31" s="35" t="s">
        <v>171</v>
      </c>
      <c r="B31" s="35" t="s">
        <v>172</v>
      </c>
      <c r="C31" s="35" t="s">
        <v>173</v>
      </c>
      <c r="D31" s="35" t="s">
        <v>93</v>
      </c>
      <c r="E31" s="35" t="s">
        <v>133</v>
      </c>
      <c r="F31" s="35" t="s">
        <v>95</v>
      </c>
      <c r="G31" s="35" t="s">
        <v>96</v>
      </c>
      <c r="H31" s="37">
        <v>0.64054069</v>
      </c>
      <c r="I31" s="37">
        <v>7439287.0</v>
      </c>
      <c r="J31" s="37">
        <v>1.949093194E7</v>
      </c>
      <c r="K31" s="37">
        <v>1.949093194E7</v>
      </c>
      <c r="L31" s="36"/>
    </row>
    <row r="32">
      <c r="A32" s="35" t="s">
        <v>174</v>
      </c>
      <c r="B32" s="37">
        <v>6271026.0</v>
      </c>
      <c r="C32" s="35" t="s">
        <v>175</v>
      </c>
      <c r="D32" s="35" t="s">
        <v>93</v>
      </c>
      <c r="E32" s="35" t="s">
        <v>99</v>
      </c>
      <c r="F32" s="35" t="s">
        <v>95</v>
      </c>
      <c r="G32" s="35" t="s">
        <v>96</v>
      </c>
      <c r="H32" s="37">
        <v>0.63653629</v>
      </c>
      <c r="I32" s="37">
        <v>3515260.0</v>
      </c>
      <c r="J32" s="37">
        <v>1.93690826E7</v>
      </c>
      <c r="K32" s="37">
        <v>1.93690826E7</v>
      </c>
      <c r="L32" s="36"/>
    </row>
    <row r="33">
      <c r="A33" s="35" t="s">
        <v>176</v>
      </c>
      <c r="B33" s="35" t="s">
        <v>177</v>
      </c>
      <c r="C33" s="35" t="s">
        <v>178</v>
      </c>
      <c r="D33" s="35" t="s">
        <v>93</v>
      </c>
      <c r="E33" s="35" t="s">
        <v>94</v>
      </c>
      <c r="F33" s="35" t="s">
        <v>95</v>
      </c>
      <c r="G33" s="35" t="s">
        <v>96</v>
      </c>
      <c r="H33" s="37">
        <v>0.61735199</v>
      </c>
      <c r="I33" s="37">
        <v>3841580.0</v>
      </c>
      <c r="J33" s="37">
        <v>1.87853262E7</v>
      </c>
      <c r="K33" s="37">
        <v>1.87853262E7</v>
      </c>
      <c r="L33" s="36"/>
    </row>
    <row r="34">
      <c r="A34" s="35" t="s">
        <v>179</v>
      </c>
      <c r="B34" s="37">
        <v>6221667.0</v>
      </c>
      <c r="C34" s="35" t="s">
        <v>180</v>
      </c>
      <c r="D34" s="35" t="s">
        <v>93</v>
      </c>
      <c r="E34" s="35" t="s">
        <v>102</v>
      </c>
      <c r="F34" s="35" t="s">
        <v>95</v>
      </c>
      <c r="G34" s="35" t="s">
        <v>96</v>
      </c>
      <c r="H34" s="37">
        <v>0.60387348</v>
      </c>
      <c r="I34" s="37">
        <v>579659.0</v>
      </c>
      <c r="J34" s="37">
        <v>1.83751903E7</v>
      </c>
      <c r="K34" s="37">
        <v>1.83751903E7</v>
      </c>
      <c r="L34" s="36"/>
    </row>
    <row r="35">
      <c r="A35" s="35" t="s">
        <v>181</v>
      </c>
      <c r="B35" s="35" t="s">
        <v>182</v>
      </c>
      <c r="C35" s="35" t="s">
        <v>183</v>
      </c>
      <c r="D35" s="35" t="s">
        <v>93</v>
      </c>
      <c r="E35" s="35" t="s">
        <v>167</v>
      </c>
      <c r="F35" s="35" t="s">
        <v>95</v>
      </c>
      <c r="G35" s="35" t="s">
        <v>96</v>
      </c>
      <c r="H35" s="37">
        <v>0.58974536</v>
      </c>
      <c r="I35" s="37">
        <v>224092.0</v>
      </c>
      <c r="J35" s="37">
        <v>1.794528736E7</v>
      </c>
      <c r="K35" s="37">
        <v>1.794528736E7</v>
      </c>
      <c r="L35" s="36"/>
    </row>
    <row r="36">
      <c r="A36" s="35" t="s">
        <v>184</v>
      </c>
      <c r="B36" s="37">
        <v>6180412.0</v>
      </c>
      <c r="C36" s="35" t="s">
        <v>185</v>
      </c>
      <c r="D36" s="35" t="s">
        <v>93</v>
      </c>
      <c r="E36" s="35" t="s">
        <v>127</v>
      </c>
      <c r="F36" s="35" t="s">
        <v>95</v>
      </c>
      <c r="G36" s="35" t="s">
        <v>96</v>
      </c>
      <c r="H36" s="37">
        <v>0.57098157</v>
      </c>
      <c r="I36" s="37">
        <v>761364.0</v>
      </c>
      <c r="J36" s="37">
        <v>1.737432648E7</v>
      </c>
      <c r="K36" s="37">
        <v>1.737432648E7</v>
      </c>
      <c r="L36" s="36"/>
    </row>
    <row r="37">
      <c r="A37" s="35" t="s">
        <v>186</v>
      </c>
      <c r="B37" s="35" t="s">
        <v>187</v>
      </c>
      <c r="C37" s="35" t="s">
        <v>188</v>
      </c>
      <c r="D37" s="35" t="s">
        <v>93</v>
      </c>
      <c r="E37" s="35" t="s">
        <v>94</v>
      </c>
      <c r="F37" s="35" t="s">
        <v>95</v>
      </c>
      <c r="G37" s="35" t="s">
        <v>96</v>
      </c>
      <c r="H37" s="37">
        <v>0.5698361</v>
      </c>
      <c r="I37" s="37">
        <v>237527.0</v>
      </c>
      <c r="J37" s="37">
        <v>1.7339471E7</v>
      </c>
      <c r="K37" s="37">
        <v>1.7339471E7</v>
      </c>
      <c r="L37" s="36"/>
    </row>
    <row r="38">
      <c r="A38" s="35" t="s">
        <v>189</v>
      </c>
      <c r="B38" s="37">
        <v>6710347.0</v>
      </c>
      <c r="C38" s="35" t="s">
        <v>190</v>
      </c>
      <c r="D38" s="35" t="s">
        <v>93</v>
      </c>
      <c r="E38" s="35" t="s">
        <v>127</v>
      </c>
      <c r="F38" s="35" t="s">
        <v>95</v>
      </c>
      <c r="G38" s="35" t="s">
        <v>96</v>
      </c>
      <c r="H38" s="37">
        <v>0.56688354</v>
      </c>
      <c r="I38" s="37">
        <v>2593929.0</v>
      </c>
      <c r="J38" s="37">
        <v>1.724962785E7</v>
      </c>
      <c r="K38" s="37">
        <v>1.724962785E7</v>
      </c>
      <c r="L38" s="36"/>
    </row>
    <row r="39">
      <c r="A39" s="35" t="s">
        <v>191</v>
      </c>
      <c r="B39" s="37">
        <v>6129222.0</v>
      </c>
      <c r="C39" s="35" t="s">
        <v>192</v>
      </c>
      <c r="D39" s="35" t="s">
        <v>93</v>
      </c>
      <c r="E39" s="35" t="s">
        <v>99</v>
      </c>
      <c r="F39" s="35" t="s">
        <v>95</v>
      </c>
      <c r="G39" s="35" t="s">
        <v>96</v>
      </c>
      <c r="H39" s="37">
        <v>0.56167827</v>
      </c>
      <c r="I39" s="37">
        <v>276289.0</v>
      </c>
      <c r="J39" s="37">
        <v>1.709123754E7</v>
      </c>
      <c r="K39" s="37">
        <v>1.709123754E7</v>
      </c>
      <c r="L39" s="36"/>
    </row>
    <row r="40">
      <c r="A40" s="35" t="s">
        <v>193</v>
      </c>
      <c r="B40" s="37">
        <v>6247306.0</v>
      </c>
      <c r="C40" s="35" t="s">
        <v>194</v>
      </c>
      <c r="D40" s="35" t="s">
        <v>93</v>
      </c>
      <c r="E40" s="35" t="s">
        <v>170</v>
      </c>
      <c r="F40" s="35" t="s">
        <v>95</v>
      </c>
      <c r="G40" s="35" t="s">
        <v>96</v>
      </c>
      <c r="H40" s="37">
        <v>0.54236477</v>
      </c>
      <c r="I40" s="37">
        <v>1682319.0</v>
      </c>
      <c r="J40" s="37">
        <v>1.650354939E7</v>
      </c>
      <c r="K40" s="37">
        <v>1.650354939E7</v>
      </c>
      <c r="L40" s="36"/>
    </row>
    <row r="41">
      <c r="A41" s="35" t="s">
        <v>195</v>
      </c>
      <c r="B41" s="35" t="s">
        <v>196</v>
      </c>
      <c r="C41" s="35" t="s">
        <v>197</v>
      </c>
      <c r="D41" s="35" t="s">
        <v>93</v>
      </c>
      <c r="E41" s="35" t="s">
        <v>118</v>
      </c>
      <c r="F41" s="35" t="s">
        <v>95</v>
      </c>
      <c r="G41" s="35" t="s">
        <v>96</v>
      </c>
      <c r="H41" s="37">
        <v>0.53701588</v>
      </c>
      <c r="I41" s="37">
        <v>3197806.0</v>
      </c>
      <c r="J41" s="37">
        <v>1.634078866E7</v>
      </c>
      <c r="K41" s="37">
        <v>1.634078866E7</v>
      </c>
      <c r="L41" s="36"/>
    </row>
    <row r="42">
      <c r="A42" s="35" t="s">
        <v>198</v>
      </c>
      <c r="B42" s="37">
        <v>6041995.0</v>
      </c>
      <c r="C42" s="35" t="s">
        <v>199</v>
      </c>
      <c r="D42" s="35" t="s">
        <v>93</v>
      </c>
      <c r="E42" s="35" t="s">
        <v>102</v>
      </c>
      <c r="F42" s="35" t="s">
        <v>95</v>
      </c>
      <c r="G42" s="35" t="s">
        <v>96</v>
      </c>
      <c r="H42" s="37">
        <v>0.49233536</v>
      </c>
      <c r="I42" s="37">
        <v>260226.0</v>
      </c>
      <c r="J42" s="37">
        <v>1.498121082E7</v>
      </c>
      <c r="K42" s="37">
        <v>1.498121082E7</v>
      </c>
      <c r="L42" s="36"/>
    </row>
    <row r="43">
      <c r="A43" s="35" t="s">
        <v>200</v>
      </c>
      <c r="B43" s="37">
        <v>6439567.0</v>
      </c>
      <c r="C43" s="35" t="s">
        <v>201</v>
      </c>
      <c r="D43" s="35" t="s">
        <v>93</v>
      </c>
      <c r="E43" s="35" t="s">
        <v>94</v>
      </c>
      <c r="F43" s="35" t="s">
        <v>95</v>
      </c>
      <c r="G43" s="35" t="s">
        <v>96</v>
      </c>
      <c r="H43" s="37">
        <v>0.47505752</v>
      </c>
      <c r="I43" s="37">
        <v>957950.0</v>
      </c>
      <c r="J43" s="37">
        <v>1.44554655E7</v>
      </c>
      <c r="K43" s="37">
        <v>1.44554655E7</v>
      </c>
      <c r="L43" s="36"/>
    </row>
    <row r="44">
      <c r="A44" s="35" t="s">
        <v>202</v>
      </c>
      <c r="B44" s="37">
        <v>6850856.0</v>
      </c>
      <c r="C44" s="35" t="s">
        <v>203</v>
      </c>
      <c r="D44" s="35" t="s">
        <v>93</v>
      </c>
      <c r="E44" s="35" t="s">
        <v>133</v>
      </c>
      <c r="F44" s="35" t="s">
        <v>95</v>
      </c>
      <c r="G44" s="35" t="s">
        <v>96</v>
      </c>
      <c r="H44" s="37">
        <v>0.46610731</v>
      </c>
      <c r="I44" s="37">
        <v>3409404.0</v>
      </c>
      <c r="J44" s="37">
        <v>1.418312064E7</v>
      </c>
      <c r="K44" s="37">
        <v>1.418312064E7</v>
      </c>
      <c r="L44" s="36"/>
    </row>
    <row r="45">
      <c r="A45" s="35" t="s">
        <v>204</v>
      </c>
      <c r="B45" s="35" t="s">
        <v>205</v>
      </c>
      <c r="C45" s="35" t="s">
        <v>206</v>
      </c>
      <c r="D45" s="35" t="s">
        <v>93</v>
      </c>
      <c r="E45" s="35" t="s">
        <v>99</v>
      </c>
      <c r="F45" s="35" t="s">
        <v>95</v>
      </c>
      <c r="G45" s="35" t="s">
        <v>96</v>
      </c>
      <c r="H45" s="37">
        <v>0.46406203</v>
      </c>
      <c r="I45" s="37">
        <v>3955430.0</v>
      </c>
      <c r="J45" s="37">
        <v>1.41208851E7</v>
      </c>
      <c r="K45" s="37">
        <v>1.41208851E7</v>
      </c>
      <c r="L45" s="36"/>
    </row>
    <row r="46">
      <c r="A46" s="35" t="s">
        <v>207</v>
      </c>
      <c r="B46" s="37">
        <v>6533232.0</v>
      </c>
      <c r="C46" s="35" t="s">
        <v>208</v>
      </c>
      <c r="D46" s="35" t="s">
        <v>93</v>
      </c>
      <c r="E46" s="35" t="s">
        <v>94</v>
      </c>
      <c r="F46" s="35" t="s">
        <v>95</v>
      </c>
      <c r="G46" s="35" t="s">
        <v>96</v>
      </c>
      <c r="H46" s="37">
        <v>0.45305604</v>
      </c>
      <c r="I46" s="37">
        <v>655539.0</v>
      </c>
      <c r="J46" s="37">
        <v>1.378598517E7</v>
      </c>
      <c r="K46" s="37">
        <v>1.378598517E7</v>
      </c>
      <c r="L46" s="36"/>
    </row>
    <row r="47">
      <c r="A47" s="35" t="s">
        <v>209</v>
      </c>
      <c r="B47" s="35" t="s">
        <v>210</v>
      </c>
      <c r="C47" s="35" t="s">
        <v>211</v>
      </c>
      <c r="D47" s="35" t="s">
        <v>93</v>
      </c>
      <c r="E47" s="35" t="s">
        <v>94</v>
      </c>
      <c r="F47" s="35" t="s">
        <v>95</v>
      </c>
      <c r="G47" s="35" t="s">
        <v>96</v>
      </c>
      <c r="H47" s="37">
        <v>0.43369608</v>
      </c>
      <c r="I47" s="37">
        <v>831038.0</v>
      </c>
      <c r="J47" s="37">
        <v>1.319688344E7</v>
      </c>
      <c r="K47" s="37">
        <v>1.319688344E7</v>
      </c>
      <c r="L47" s="36"/>
    </row>
    <row r="48">
      <c r="A48" s="35" t="s">
        <v>212</v>
      </c>
      <c r="B48" s="37">
        <v>6066608.0</v>
      </c>
      <c r="C48" s="35" t="s">
        <v>213</v>
      </c>
      <c r="D48" s="35" t="s">
        <v>93</v>
      </c>
      <c r="E48" s="35" t="s">
        <v>94</v>
      </c>
      <c r="F48" s="35" t="s">
        <v>95</v>
      </c>
      <c r="G48" s="35" t="s">
        <v>96</v>
      </c>
      <c r="H48" s="37">
        <v>0.42161888</v>
      </c>
      <c r="I48" s="37">
        <v>861611.0</v>
      </c>
      <c r="J48" s="37">
        <v>1.282938779E7</v>
      </c>
      <c r="K48" s="37">
        <v>1.282938779E7</v>
      </c>
      <c r="L48" s="36"/>
    </row>
    <row r="49">
      <c r="A49" s="35" t="s">
        <v>214</v>
      </c>
      <c r="B49" s="37">
        <v>6161978.0</v>
      </c>
      <c r="C49" s="35" t="s">
        <v>215</v>
      </c>
      <c r="D49" s="35" t="s">
        <v>93</v>
      </c>
      <c r="E49" s="35" t="s">
        <v>133</v>
      </c>
      <c r="F49" s="35" t="s">
        <v>95</v>
      </c>
      <c r="G49" s="35" t="s">
        <v>96</v>
      </c>
      <c r="H49" s="37">
        <v>0.41653145</v>
      </c>
      <c r="I49" s="37">
        <v>5633148.0</v>
      </c>
      <c r="J49" s="37">
        <v>1.2674583E7</v>
      </c>
      <c r="K49" s="37">
        <v>1.2674583E7</v>
      </c>
      <c r="L49" s="36"/>
    </row>
    <row r="50">
      <c r="A50" s="35" t="s">
        <v>216</v>
      </c>
      <c r="B50" s="35" t="s">
        <v>217</v>
      </c>
      <c r="C50" s="35" t="s">
        <v>218</v>
      </c>
      <c r="D50" s="35" t="s">
        <v>93</v>
      </c>
      <c r="E50" s="35" t="s">
        <v>133</v>
      </c>
      <c r="F50" s="35" t="s">
        <v>95</v>
      </c>
      <c r="G50" s="35" t="s">
        <v>96</v>
      </c>
      <c r="H50" s="37">
        <v>0.40126409</v>
      </c>
      <c r="I50" s="37">
        <v>1528162.0</v>
      </c>
      <c r="J50" s="37">
        <v>1.221001438E7</v>
      </c>
      <c r="K50" s="37">
        <v>1.221001438E7</v>
      </c>
      <c r="L50" s="36"/>
    </row>
    <row r="51">
      <c r="A51" s="35" t="s">
        <v>219</v>
      </c>
      <c r="B51" s="35" t="s">
        <v>220</v>
      </c>
      <c r="C51" s="35" t="s">
        <v>221</v>
      </c>
      <c r="D51" s="35" t="s">
        <v>93</v>
      </c>
      <c r="E51" s="35" t="s">
        <v>124</v>
      </c>
      <c r="F51" s="35" t="s">
        <v>95</v>
      </c>
      <c r="G51" s="35" t="s">
        <v>96</v>
      </c>
      <c r="H51" s="37">
        <v>0.38733298</v>
      </c>
      <c r="I51" s="37">
        <v>1033869.0</v>
      </c>
      <c r="J51" s="37">
        <v>1.17861066E7</v>
      </c>
      <c r="K51" s="37">
        <v>1.17861066E7</v>
      </c>
      <c r="L51" s="36"/>
    </row>
    <row r="52">
      <c r="A52" s="35" t="s">
        <v>222</v>
      </c>
      <c r="B52" s="35" t="s">
        <v>223</v>
      </c>
      <c r="C52" s="35" t="s">
        <v>224</v>
      </c>
      <c r="D52" s="35" t="s">
        <v>93</v>
      </c>
      <c r="E52" s="35" t="s">
        <v>121</v>
      </c>
      <c r="F52" s="35" t="s">
        <v>95</v>
      </c>
      <c r="G52" s="35" t="s">
        <v>96</v>
      </c>
      <c r="H52" s="37">
        <v>0.38448388</v>
      </c>
      <c r="I52" s="37">
        <v>477527.0</v>
      </c>
      <c r="J52" s="37">
        <v>1.16994115E7</v>
      </c>
      <c r="K52" s="37">
        <v>1.16994115E7</v>
      </c>
      <c r="L52" s="36"/>
    </row>
    <row r="53">
      <c r="A53" s="35" t="s">
        <v>225</v>
      </c>
      <c r="B53" s="35" t="s">
        <v>226</v>
      </c>
      <c r="C53" s="35" t="s">
        <v>227</v>
      </c>
      <c r="D53" s="35" t="s">
        <v>93</v>
      </c>
      <c r="E53" s="35" t="s">
        <v>124</v>
      </c>
      <c r="F53" s="35" t="s">
        <v>95</v>
      </c>
      <c r="G53" s="35" t="s">
        <v>96</v>
      </c>
      <c r="H53" s="37">
        <v>0.3787063</v>
      </c>
      <c r="I53" s="37">
        <v>1933491.0</v>
      </c>
      <c r="J53" s="37">
        <v>1.152360636E7</v>
      </c>
      <c r="K53" s="37">
        <v>1.152360636E7</v>
      </c>
      <c r="L53" s="36"/>
    </row>
    <row r="54">
      <c r="A54" s="35" t="s">
        <v>228</v>
      </c>
      <c r="B54" s="37">
        <v>6365866.0</v>
      </c>
      <c r="C54" s="35" t="s">
        <v>229</v>
      </c>
      <c r="D54" s="35" t="s">
        <v>93</v>
      </c>
      <c r="E54" s="35" t="s">
        <v>133</v>
      </c>
      <c r="F54" s="35" t="s">
        <v>95</v>
      </c>
      <c r="G54" s="35" t="s">
        <v>96</v>
      </c>
      <c r="H54" s="37">
        <v>0.36974782</v>
      </c>
      <c r="I54" s="37">
        <v>2737472.0</v>
      </c>
      <c r="J54" s="37">
        <v>1.125100992E7</v>
      </c>
      <c r="K54" s="37">
        <v>1.125100992E7</v>
      </c>
      <c r="L54" s="36"/>
    </row>
    <row r="55">
      <c r="A55" s="35" t="s">
        <v>230</v>
      </c>
      <c r="B55" s="37">
        <v>6821807.0</v>
      </c>
      <c r="C55" s="35" t="s">
        <v>231</v>
      </c>
      <c r="D55" s="35" t="s">
        <v>93</v>
      </c>
      <c r="E55" s="35" t="s">
        <v>115</v>
      </c>
      <c r="F55" s="35" t="s">
        <v>95</v>
      </c>
      <c r="G55" s="35" t="s">
        <v>96</v>
      </c>
      <c r="H55" s="37">
        <v>0.35039282</v>
      </c>
      <c r="I55" s="37">
        <v>330504.0</v>
      </c>
      <c r="J55" s="37">
        <v>1.066205904E7</v>
      </c>
      <c r="K55" s="37">
        <v>1.066205904E7</v>
      </c>
      <c r="L55" s="36"/>
    </row>
    <row r="56">
      <c r="A56" s="35" t="s">
        <v>232</v>
      </c>
      <c r="B56" s="35" t="s">
        <v>233</v>
      </c>
      <c r="C56" s="35" t="s">
        <v>234</v>
      </c>
      <c r="D56" s="35" t="s">
        <v>93</v>
      </c>
      <c r="E56" s="35" t="s">
        <v>115</v>
      </c>
      <c r="F56" s="35" t="s">
        <v>95</v>
      </c>
      <c r="G56" s="35" t="s">
        <v>96</v>
      </c>
      <c r="H56" s="37">
        <v>0.34624003</v>
      </c>
      <c r="I56" s="37">
        <v>342068.0</v>
      </c>
      <c r="J56" s="37">
        <v>1.05356944E7</v>
      </c>
      <c r="K56" s="37">
        <v>1.05356944E7</v>
      </c>
      <c r="L56" s="36"/>
    </row>
    <row r="57">
      <c r="A57" s="35" t="s">
        <v>235</v>
      </c>
      <c r="B57" s="35" t="s">
        <v>236</v>
      </c>
      <c r="C57" s="35" t="s">
        <v>237</v>
      </c>
      <c r="D57" s="35" t="s">
        <v>93</v>
      </c>
      <c r="E57" s="35" t="s">
        <v>127</v>
      </c>
      <c r="F57" s="35" t="s">
        <v>95</v>
      </c>
      <c r="G57" s="35" t="s">
        <v>96</v>
      </c>
      <c r="H57" s="37">
        <v>0.33552497</v>
      </c>
      <c r="I57" s="37">
        <v>1625740.0</v>
      </c>
      <c r="J57" s="37">
        <v>1.02096472E7</v>
      </c>
      <c r="K57" s="37">
        <v>1.02096472E7</v>
      </c>
      <c r="L57" s="36"/>
    </row>
    <row r="58">
      <c r="A58" s="35" t="s">
        <v>238</v>
      </c>
      <c r="B58" s="35" t="s">
        <v>239</v>
      </c>
      <c r="C58" s="35" t="s">
        <v>240</v>
      </c>
      <c r="D58" s="35" t="s">
        <v>93</v>
      </c>
      <c r="E58" s="35" t="s">
        <v>121</v>
      </c>
      <c r="F58" s="35" t="s">
        <v>95</v>
      </c>
      <c r="G58" s="35" t="s">
        <v>96</v>
      </c>
      <c r="H58" s="37">
        <v>0.33460039</v>
      </c>
      <c r="I58" s="37">
        <v>459662.0</v>
      </c>
      <c r="J58" s="37">
        <v>1.01815133E7</v>
      </c>
      <c r="K58" s="37">
        <v>1.01815133E7</v>
      </c>
      <c r="L58" s="36"/>
    </row>
    <row r="59">
      <c r="A59" s="35" t="s">
        <v>241</v>
      </c>
      <c r="B59" s="37">
        <v>6458001.0</v>
      </c>
      <c r="C59" s="35" t="s">
        <v>242</v>
      </c>
      <c r="D59" s="35" t="s">
        <v>93</v>
      </c>
      <c r="E59" s="35" t="s">
        <v>94</v>
      </c>
      <c r="F59" s="35" t="s">
        <v>95</v>
      </c>
      <c r="G59" s="35" t="s">
        <v>96</v>
      </c>
      <c r="H59" s="37">
        <v>0.32653267</v>
      </c>
      <c r="I59" s="37">
        <v>648989.0</v>
      </c>
      <c r="J59" s="37">
        <v>9936021.59</v>
      </c>
      <c r="K59" s="37">
        <v>9936021.59</v>
      </c>
      <c r="L59" s="36"/>
    </row>
    <row r="60">
      <c r="A60" s="35" t="s">
        <v>243</v>
      </c>
      <c r="B60" s="37">
        <v>6198578.0</v>
      </c>
      <c r="C60" s="35" t="s">
        <v>244</v>
      </c>
      <c r="D60" s="35" t="s">
        <v>93</v>
      </c>
      <c r="E60" s="35" t="s">
        <v>121</v>
      </c>
      <c r="F60" s="35" t="s">
        <v>95</v>
      </c>
      <c r="G60" s="35" t="s">
        <v>96</v>
      </c>
      <c r="H60" s="37">
        <v>0.32556373</v>
      </c>
      <c r="I60" s="37">
        <v>72079.0</v>
      </c>
      <c r="J60" s="37">
        <v>9906537.76</v>
      </c>
      <c r="K60" s="37">
        <v>9906537.76</v>
      </c>
      <c r="L60" s="36"/>
    </row>
    <row r="61">
      <c r="A61" s="35" t="s">
        <v>245</v>
      </c>
      <c r="B61" s="37">
        <v>6121176.0</v>
      </c>
      <c r="C61" s="35" t="s">
        <v>246</v>
      </c>
      <c r="D61" s="35" t="s">
        <v>93</v>
      </c>
      <c r="E61" s="35" t="s">
        <v>94</v>
      </c>
      <c r="F61" s="35" t="s">
        <v>95</v>
      </c>
      <c r="G61" s="35" t="s">
        <v>96</v>
      </c>
      <c r="H61" s="37">
        <v>0.3220523</v>
      </c>
      <c r="I61" s="37">
        <v>1333291.0</v>
      </c>
      <c r="J61" s="37">
        <v>9799688.85</v>
      </c>
      <c r="K61" s="37">
        <v>9799688.85</v>
      </c>
      <c r="L61" s="36"/>
    </row>
    <row r="62">
      <c r="A62" s="35" t="s">
        <v>247</v>
      </c>
      <c r="B62" s="35" t="s">
        <v>248</v>
      </c>
      <c r="C62" s="35" t="s">
        <v>249</v>
      </c>
      <c r="D62" s="35" t="s">
        <v>93</v>
      </c>
      <c r="E62" s="35" t="s">
        <v>133</v>
      </c>
      <c r="F62" s="35" t="s">
        <v>95</v>
      </c>
      <c r="G62" s="35" t="s">
        <v>96</v>
      </c>
      <c r="H62" s="37">
        <v>0.31791115</v>
      </c>
      <c r="I62" s="37">
        <v>5186959.0</v>
      </c>
      <c r="J62" s="37">
        <v>9673678.54</v>
      </c>
      <c r="K62" s="37">
        <v>9673678.54</v>
      </c>
      <c r="L62" s="36"/>
    </row>
    <row r="63">
      <c r="A63" s="35" t="s">
        <v>250</v>
      </c>
      <c r="B63" s="35" t="s">
        <v>251</v>
      </c>
      <c r="C63" s="35" t="s">
        <v>252</v>
      </c>
      <c r="D63" s="35" t="s">
        <v>93</v>
      </c>
      <c r="E63" s="35" t="s">
        <v>127</v>
      </c>
      <c r="F63" s="35" t="s">
        <v>95</v>
      </c>
      <c r="G63" s="35" t="s">
        <v>96</v>
      </c>
      <c r="H63" s="37">
        <v>0.30891501</v>
      </c>
      <c r="I63" s="37">
        <v>2499983.0</v>
      </c>
      <c r="J63" s="37">
        <v>9399936.08</v>
      </c>
      <c r="K63" s="37">
        <v>9399936.08</v>
      </c>
      <c r="L63" s="36"/>
    </row>
    <row r="64">
      <c r="A64" s="35" t="s">
        <v>253</v>
      </c>
      <c r="B64" s="35" t="s">
        <v>254</v>
      </c>
      <c r="C64" s="35" t="s">
        <v>255</v>
      </c>
      <c r="D64" s="35" t="s">
        <v>93</v>
      </c>
      <c r="E64" s="35" t="s">
        <v>167</v>
      </c>
      <c r="F64" s="35" t="s">
        <v>95</v>
      </c>
      <c r="G64" s="35" t="s">
        <v>96</v>
      </c>
      <c r="H64" s="37">
        <v>0.30075756</v>
      </c>
      <c r="I64" s="37">
        <v>708337.0</v>
      </c>
      <c r="J64" s="37">
        <v>9151714.04</v>
      </c>
      <c r="K64" s="37">
        <v>9151714.04</v>
      </c>
      <c r="L64" s="36"/>
    </row>
    <row r="65">
      <c r="A65" s="35" t="s">
        <v>256</v>
      </c>
      <c r="B65" s="35" t="s">
        <v>257</v>
      </c>
      <c r="C65" s="35" t="s">
        <v>258</v>
      </c>
      <c r="D65" s="35" t="s">
        <v>93</v>
      </c>
      <c r="E65" s="35" t="s">
        <v>170</v>
      </c>
      <c r="F65" s="35" t="s">
        <v>95</v>
      </c>
      <c r="G65" s="35" t="s">
        <v>96</v>
      </c>
      <c r="H65" s="37">
        <v>0.29675838</v>
      </c>
      <c r="I65" s="37">
        <v>851889.0</v>
      </c>
      <c r="J65" s="37">
        <v>9030023.4</v>
      </c>
      <c r="K65" s="37">
        <v>9030023.4</v>
      </c>
      <c r="L65" s="36"/>
    </row>
    <row r="66">
      <c r="A66" s="35" t="s">
        <v>259</v>
      </c>
      <c r="B66" s="35" t="s">
        <v>260</v>
      </c>
      <c r="C66" s="35" t="s">
        <v>261</v>
      </c>
      <c r="D66" s="35" t="s">
        <v>93</v>
      </c>
      <c r="E66" s="35" t="s">
        <v>94</v>
      </c>
      <c r="F66" s="35" t="s">
        <v>95</v>
      </c>
      <c r="G66" s="35" t="s">
        <v>96</v>
      </c>
      <c r="H66" s="37">
        <v>0.28674822</v>
      </c>
      <c r="I66" s="37">
        <v>2589147.0</v>
      </c>
      <c r="J66" s="37">
        <v>8725425.39</v>
      </c>
      <c r="K66" s="37">
        <v>8725425.39</v>
      </c>
      <c r="L66" s="36"/>
    </row>
    <row r="67">
      <c r="A67" s="35" t="s">
        <v>262</v>
      </c>
      <c r="B67" s="37">
        <v>6562474.0</v>
      </c>
      <c r="C67" s="35" t="s">
        <v>263</v>
      </c>
      <c r="D67" s="35" t="s">
        <v>93</v>
      </c>
      <c r="E67" s="35" t="s">
        <v>127</v>
      </c>
      <c r="F67" s="35" t="s">
        <v>95</v>
      </c>
      <c r="G67" s="35" t="s">
        <v>96</v>
      </c>
      <c r="H67" s="37">
        <v>0.27336141</v>
      </c>
      <c r="I67" s="37">
        <v>524800.0</v>
      </c>
      <c r="J67" s="37">
        <v>8318080.0</v>
      </c>
      <c r="K67" s="37">
        <v>8318080.0</v>
      </c>
      <c r="L67" s="36"/>
    </row>
    <row r="68">
      <c r="A68" s="35" t="s">
        <v>264</v>
      </c>
      <c r="B68" s="35" t="s">
        <v>265</v>
      </c>
      <c r="C68" s="35" t="s">
        <v>266</v>
      </c>
      <c r="D68" s="35" t="s">
        <v>93</v>
      </c>
      <c r="E68" s="35" t="s">
        <v>115</v>
      </c>
      <c r="F68" s="35" t="s">
        <v>95</v>
      </c>
      <c r="G68" s="35" t="s">
        <v>96</v>
      </c>
      <c r="H68" s="37">
        <v>0.27214907</v>
      </c>
      <c r="I68" s="37">
        <v>1193255.0</v>
      </c>
      <c r="J68" s="37">
        <v>8281189.7</v>
      </c>
      <c r="K68" s="37">
        <v>8281189.7</v>
      </c>
      <c r="L68" s="36"/>
    </row>
    <row r="69">
      <c r="A69" s="35" t="s">
        <v>267</v>
      </c>
      <c r="B69" s="35" t="s">
        <v>268</v>
      </c>
      <c r="C69" s="35" t="s">
        <v>269</v>
      </c>
      <c r="D69" s="35" t="s">
        <v>93</v>
      </c>
      <c r="E69" s="35" t="s">
        <v>127</v>
      </c>
      <c r="F69" s="35" t="s">
        <v>95</v>
      </c>
      <c r="G69" s="35" t="s">
        <v>96</v>
      </c>
      <c r="H69" s="37">
        <v>0.27172148</v>
      </c>
      <c r="I69" s="37">
        <v>2974165.0</v>
      </c>
      <c r="J69" s="37">
        <v>8268178.7</v>
      </c>
      <c r="K69" s="37">
        <v>8268178.7</v>
      </c>
      <c r="L69" s="36"/>
    </row>
    <row r="70">
      <c r="A70" s="35" t="s">
        <v>270</v>
      </c>
      <c r="B70" s="37">
        <v>6728801.0</v>
      </c>
      <c r="C70" s="35" t="s">
        <v>271</v>
      </c>
      <c r="D70" s="35" t="s">
        <v>93</v>
      </c>
      <c r="E70" s="35" t="s">
        <v>127</v>
      </c>
      <c r="F70" s="35" t="s">
        <v>95</v>
      </c>
      <c r="G70" s="35" t="s">
        <v>96</v>
      </c>
      <c r="H70" s="37">
        <v>0.26190635</v>
      </c>
      <c r="I70" s="37">
        <v>414647.0</v>
      </c>
      <c r="J70" s="37">
        <v>7969515.34</v>
      </c>
      <c r="K70" s="37">
        <v>7969515.34</v>
      </c>
      <c r="L70" s="36"/>
    </row>
    <row r="71">
      <c r="A71" s="35" t="s">
        <v>272</v>
      </c>
      <c r="B71" s="35" t="s">
        <v>273</v>
      </c>
      <c r="C71" s="35" t="s">
        <v>274</v>
      </c>
      <c r="D71" s="35" t="s">
        <v>93</v>
      </c>
      <c r="E71" s="35" t="s">
        <v>99</v>
      </c>
      <c r="F71" s="35" t="s">
        <v>95</v>
      </c>
      <c r="G71" s="35" t="s">
        <v>96</v>
      </c>
      <c r="H71" s="37">
        <v>0.25084353</v>
      </c>
      <c r="I71" s="37">
        <v>1282838.0</v>
      </c>
      <c r="J71" s="37">
        <v>7632886.1</v>
      </c>
      <c r="K71" s="37">
        <v>7632886.1</v>
      </c>
      <c r="L71" s="36"/>
    </row>
    <row r="72">
      <c r="A72" s="35" t="s">
        <v>275</v>
      </c>
      <c r="B72" s="35" t="s">
        <v>276</v>
      </c>
      <c r="C72" s="35" t="s">
        <v>277</v>
      </c>
      <c r="D72" s="35" t="s">
        <v>93</v>
      </c>
      <c r="E72" s="35" t="s">
        <v>127</v>
      </c>
      <c r="F72" s="35" t="s">
        <v>95</v>
      </c>
      <c r="G72" s="35" t="s">
        <v>96</v>
      </c>
      <c r="H72" s="37">
        <v>0.24793152</v>
      </c>
      <c r="I72" s="37">
        <v>644810.0</v>
      </c>
      <c r="J72" s="37">
        <v>7544277.0</v>
      </c>
      <c r="K72" s="37">
        <v>7544277.0</v>
      </c>
      <c r="L72" s="36"/>
    </row>
    <row r="73">
      <c r="A73" s="35" t="s">
        <v>278</v>
      </c>
      <c r="B73" s="37">
        <v>6673042.0</v>
      </c>
      <c r="C73" s="35" t="s">
        <v>279</v>
      </c>
      <c r="D73" s="35" t="s">
        <v>93</v>
      </c>
      <c r="E73" s="35" t="s">
        <v>94</v>
      </c>
      <c r="F73" s="35" t="s">
        <v>95</v>
      </c>
      <c r="G73" s="35" t="s">
        <v>96</v>
      </c>
      <c r="H73" s="37">
        <v>0.24726234</v>
      </c>
      <c r="I73" s="37">
        <v>2786635.0</v>
      </c>
      <c r="J73" s="37">
        <v>7523914.5</v>
      </c>
      <c r="K73" s="37">
        <v>7523914.5</v>
      </c>
      <c r="L73" s="36"/>
    </row>
    <row r="74">
      <c r="A74" s="35" t="s">
        <v>280</v>
      </c>
      <c r="B74" s="35" t="s">
        <v>281</v>
      </c>
      <c r="C74" s="35" t="s">
        <v>282</v>
      </c>
      <c r="D74" s="35" t="s">
        <v>93</v>
      </c>
      <c r="E74" s="35" t="s">
        <v>94</v>
      </c>
      <c r="F74" s="35" t="s">
        <v>95</v>
      </c>
      <c r="G74" s="35" t="s">
        <v>96</v>
      </c>
      <c r="H74" s="37">
        <v>0.2404746</v>
      </c>
      <c r="I74" s="37">
        <v>2322975.0</v>
      </c>
      <c r="J74" s="37">
        <v>7317371.25</v>
      </c>
      <c r="K74" s="37">
        <v>7317371.25</v>
      </c>
      <c r="L74" s="36"/>
    </row>
    <row r="75">
      <c r="A75" s="35" t="s">
        <v>283</v>
      </c>
      <c r="B75" s="35" t="s">
        <v>284</v>
      </c>
      <c r="C75" s="35" t="s">
        <v>285</v>
      </c>
      <c r="D75" s="35" t="s">
        <v>93</v>
      </c>
      <c r="E75" s="35" t="s">
        <v>118</v>
      </c>
      <c r="F75" s="35" t="s">
        <v>95</v>
      </c>
      <c r="G75" s="35" t="s">
        <v>96</v>
      </c>
      <c r="H75" s="37">
        <v>0.23882521</v>
      </c>
      <c r="I75" s="37">
        <v>299061.0</v>
      </c>
      <c r="J75" s="37">
        <v>7267182.3</v>
      </c>
      <c r="K75" s="37">
        <v>7267182.3</v>
      </c>
      <c r="L75" s="36"/>
    </row>
    <row r="76">
      <c r="A76" s="35" t="s">
        <v>286</v>
      </c>
      <c r="B76" s="37">
        <v>6957575.0</v>
      </c>
      <c r="C76" s="35" t="s">
        <v>287</v>
      </c>
      <c r="D76" s="35" t="s">
        <v>93</v>
      </c>
      <c r="E76" s="35" t="s">
        <v>94</v>
      </c>
      <c r="F76" s="35" t="s">
        <v>95</v>
      </c>
      <c r="G76" s="35" t="s">
        <v>96</v>
      </c>
      <c r="H76" s="37">
        <v>0.23741506</v>
      </c>
      <c r="I76" s="37">
        <v>605048.0</v>
      </c>
      <c r="J76" s="37">
        <v>7224273.12</v>
      </c>
      <c r="K76" s="37">
        <v>7224273.12</v>
      </c>
      <c r="L76" s="36"/>
    </row>
    <row r="77">
      <c r="A77" s="35" t="s">
        <v>288</v>
      </c>
      <c r="B77" s="35" t="s">
        <v>289</v>
      </c>
      <c r="C77" s="35" t="s">
        <v>290</v>
      </c>
      <c r="D77" s="35" t="s">
        <v>93</v>
      </c>
      <c r="E77" s="35" t="s">
        <v>133</v>
      </c>
      <c r="F77" s="35" t="s">
        <v>95</v>
      </c>
      <c r="G77" s="35" t="s">
        <v>96</v>
      </c>
      <c r="H77" s="37">
        <v>0.2369505</v>
      </c>
      <c r="I77" s="37">
        <v>668224.0</v>
      </c>
      <c r="J77" s="37">
        <v>7210136.96</v>
      </c>
      <c r="K77" s="37">
        <v>7210136.96</v>
      </c>
      <c r="L77" s="36"/>
    </row>
    <row r="78">
      <c r="A78" s="35" t="s">
        <v>291</v>
      </c>
      <c r="B78" s="37">
        <v>6512004.0</v>
      </c>
      <c r="C78" s="35" t="s">
        <v>292</v>
      </c>
      <c r="D78" s="35" t="s">
        <v>93</v>
      </c>
      <c r="E78" s="35" t="s">
        <v>133</v>
      </c>
      <c r="F78" s="35" t="s">
        <v>95</v>
      </c>
      <c r="G78" s="35" t="s">
        <v>96</v>
      </c>
      <c r="H78" s="37">
        <v>0.23645911</v>
      </c>
      <c r="I78" s="37">
        <v>989709.0</v>
      </c>
      <c r="J78" s="37">
        <v>7195184.43</v>
      </c>
      <c r="K78" s="37">
        <v>7195184.43</v>
      </c>
      <c r="L78" s="36"/>
    </row>
    <row r="79">
      <c r="A79" s="35" t="s">
        <v>293</v>
      </c>
      <c r="B79" s="37">
        <v>6091280.0</v>
      </c>
      <c r="C79" s="35" t="s">
        <v>294</v>
      </c>
      <c r="D79" s="35" t="s">
        <v>93</v>
      </c>
      <c r="E79" s="35" t="s">
        <v>99</v>
      </c>
      <c r="F79" s="35" t="s">
        <v>95</v>
      </c>
      <c r="G79" s="35" t="s">
        <v>96</v>
      </c>
      <c r="H79" s="37">
        <v>0.22780792</v>
      </c>
      <c r="I79" s="37">
        <v>812654.0</v>
      </c>
      <c r="J79" s="37">
        <v>6931938.62</v>
      </c>
      <c r="K79" s="37">
        <v>6931938.62</v>
      </c>
      <c r="L79" s="36"/>
    </row>
    <row r="80">
      <c r="A80" s="35" t="s">
        <v>295</v>
      </c>
      <c r="B80" s="35" t="s">
        <v>296</v>
      </c>
      <c r="C80" s="35" t="s">
        <v>297</v>
      </c>
      <c r="D80" s="35" t="s">
        <v>93</v>
      </c>
      <c r="E80" s="35" t="s">
        <v>127</v>
      </c>
      <c r="F80" s="35" t="s">
        <v>95</v>
      </c>
      <c r="G80" s="35" t="s">
        <v>96</v>
      </c>
      <c r="H80" s="37">
        <v>0.22097128</v>
      </c>
      <c r="I80" s="37">
        <v>2367573.0</v>
      </c>
      <c r="J80" s="37">
        <v>6723907.32</v>
      </c>
      <c r="K80" s="37">
        <v>6723907.32</v>
      </c>
      <c r="L80" s="36"/>
    </row>
    <row r="81">
      <c r="A81" s="35" t="s">
        <v>298</v>
      </c>
      <c r="B81" s="37">
        <v>6702623.0</v>
      </c>
      <c r="C81" s="35" t="s">
        <v>299</v>
      </c>
      <c r="D81" s="35" t="s">
        <v>93</v>
      </c>
      <c r="E81" s="35" t="s">
        <v>118</v>
      </c>
      <c r="F81" s="35" t="s">
        <v>95</v>
      </c>
      <c r="G81" s="35" t="s">
        <v>96</v>
      </c>
      <c r="H81" s="37">
        <v>0.22029924</v>
      </c>
      <c r="I81" s="37">
        <v>155641.0</v>
      </c>
      <c r="J81" s="37">
        <v>6703457.87</v>
      </c>
      <c r="K81" s="37">
        <v>6703457.87</v>
      </c>
      <c r="L81" s="36"/>
    </row>
    <row r="82">
      <c r="A82" s="35" t="s">
        <v>300</v>
      </c>
      <c r="B82" s="37">
        <v>6302410.0</v>
      </c>
      <c r="C82" s="35" t="s">
        <v>301</v>
      </c>
      <c r="D82" s="35" t="s">
        <v>93</v>
      </c>
      <c r="E82" s="35" t="s">
        <v>167</v>
      </c>
      <c r="F82" s="35" t="s">
        <v>95</v>
      </c>
      <c r="G82" s="35" t="s">
        <v>96</v>
      </c>
      <c r="H82" s="37">
        <v>0.21017718</v>
      </c>
      <c r="I82" s="37">
        <v>402483.0</v>
      </c>
      <c r="J82" s="37">
        <v>6395454.87</v>
      </c>
      <c r="K82" s="37">
        <v>6395454.87</v>
      </c>
      <c r="L82" s="36"/>
    </row>
    <row r="83">
      <c r="A83" s="35" t="s">
        <v>302</v>
      </c>
      <c r="B83" s="35" t="s">
        <v>303</v>
      </c>
      <c r="C83" s="35" t="s">
        <v>304</v>
      </c>
      <c r="D83" s="35" t="s">
        <v>93</v>
      </c>
      <c r="E83" s="35" t="s">
        <v>99</v>
      </c>
      <c r="F83" s="35" t="s">
        <v>95</v>
      </c>
      <c r="G83" s="35" t="s">
        <v>96</v>
      </c>
      <c r="H83" s="37">
        <v>0.19558821</v>
      </c>
      <c r="I83" s="37">
        <v>684871.0</v>
      </c>
      <c r="J83" s="37">
        <v>5951528.99</v>
      </c>
      <c r="K83" s="37">
        <v>5951528.99</v>
      </c>
      <c r="L83" s="36"/>
    </row>
    <row r="84">
      <c r="A84" s="35" t="s">
        <v>305</v>
      </c>
      <c r="B84" s="35" t="s">
        <v>306</v>
      </c>
      <c r="C84" s="35" t="s">
        <v>307</v>
      </c>
      <c r="D84" s="35" t="s">
        <v>93</v>
      </c>
      <c r="E84" s="35" t="s">
        <v>127</v>
      </c>
      <c r="F84" s="35" t="s">
        <v>95</v>
      </c>
      <c r="G84" s="35" t="s">
        <v>96</v>
      </c>
      <c r="H84" s="37">
        <v>0.18454902</v>
      </c>
      <c r="I84" s="37">
        <v>220653.0</v>
      </c>
      <c r="J84" s="37">
        <v>5615618.85</v>
      </c>
      <c r="K84" s="37">
        <v>5615618.85</v>
      </c>
      <c r="L84" s="36"/>
    </row>
    <row r="85">
      <c r="A85" s="35" t="s">
        <v>308</v>
      </c>
      <c r="B85" s="37">
        <v>6076243.0</v>
      </c>
      <c r="C85" s="35" t="s">
        <v>309</v>
      </c>
      <c r="D85" s="35" t="s">
        <v>93</v>
      </c>
      <c r="E85" s="35" t="s">
        <v>99</v>
      </c>
      <c r="F85" s="35" t="s">
        <v>95</v>
      </c>
      <c r="G85" s="35" t="s">
        <v>96</v>
      </c>
      <c r="H85" s="37">
        <v>0.16738127</v>
      </c>
      <c r="I85" s="37">
        <v>924360.0</v>
      </c>
      <c r="J85" s="37">
        <v>5093223.6</v>
      </c>
      <c r="K85" s="37">
        <v>5093223.6</v>
      </c>
      <c r="L85" s="36"/>
    </row>
    <row r="86">
      <c r="A86" s="35" t="s">
        <v>310</v>
      </c>
      <c r="B86" s="37">
        <v>6423968.0</v>
      </c>
      <c r="C86" s="35" t="s">
        <v>311</v>
      </c>
      <c r="D86" s="35" t="s">
        <v>93</v>
      </c>
      <c r="E86" s="35" t="s">
        <v>102</v>
      </c>
      <c r="F86" s="35" t="s">
        <v>95</v>
      </c>
      <c r="G86" s="35" t="s">
        <v>96</v>
      </c>
      <c r="H86" s="37">
        <v>0.16171718</v>
      </c>
      <c r="I86" s="37">
        <v>226143.0</v>
      </c>
      <c r="J86" s="37">
        <v>4920871.68</v>
      </c>
      <c r="K86" s="37">
        <v>4920871.68</v>
      </c>
      <c r="L86" s="36"/>
    </row>
    <row r="87">
      <c r="A87" s="35" t="s">
        <v>312</v>
      </c>
      <c r="B87" s="37">
        <v>6709958.0</v>
      </c>
      <c r="C87" s="35" t="s">
        <v>313</v>
      </c>
      <c r="D87" s="35" t="s">
        <v>93</v>
      </c>
      <c r="E87" s="35" t="s">
        <v>99</v>
      </c>
      <c r="F87" s="35" t="s">
        <v>95</v>
      </c>
      <c r="G87" s="35" t="s">
        <v>96</v>
      </c>
      <c r="H87" s="37">
        <v>0.15751172</v>
      </c>
      <c r="I87" s="37">
        <v>4167743.0</v>
      </c>
      <c r="J87" s="37">
        <v>4792904.45</v>
      </c>
      <c r="K87" s="37">
        <v>4792904.45</v>
      </c>
      <c r="L87" s="36"/>
    </row>
    <row r="88">
      <c r="A88" s="35" t="s">
        <v>314</v>
      </c>
      <c r="B88" s="37">
        <v>6292782.0</v>
      </c>
      <c r="C88" s="35" t="s">
        <v>315</v>
      </c>
      <c r="D88" s="35" t="s">
        <v>93</v>
      </c>
      <c r="E88" s="35" t="s">
        <v>102</v>
      </c>
      <c r="F88" s="35" t="s">
        <v>95</v>
      </c>
      <c r="G88" s="35" t="s">
        <v>96</v>
      </c>
      <c r="H88" s="37">
        <v>0.15712236</v>
      </c>
      <c r="I88" s="37">
        <v>69482.0</v>
      </c>
      <c r="J88" s="37">
        <v>4781056.42</v>
      </c>
      <c r="K88" s="37">
        <v>4781056.42</v>
      </c>
      <c r="L88" s="36"/>
    </row>
    <row r="89">
      <c r="A89" s="35" t="s">
        <v>316</v>
      </c>
      <c r="B89" s="37">
        <v>6286611.0</v>
      </c>
      <c r="C89" s="35" t="s">
        <v>317</v>
      </c>
      <c r="D89" s="35" t="s">
        <v>93</v>
      </c>
      <c r="E89" s="35" t="s">
        <v>102</v>
      </c>
      <c r="F89" s="35" t="s">
        <v>95</v>
      </c>
      <c r="G89" s="35" t="s">
        <v>96</v>
      </c>
      <c r="H89" s="37">
        <v>0.15666087</v>
      </c>
      <c r="I89" s="37">
        <v>181739.0</v>
      </c>
      <c r="J89" s="37">
        <v>4767013.97</v>
      </c>
      <c r="K89" s="37">
        <v>4767013.97</v>
      </c>
      <c r="L89" s="36"/>
    </row>
    <row r="90">
      <c r="A90" s="35" t="s">
        <v>318</v>
      </c>
      <c r="B90" s="37">
        <v>6167697.0</v>
      </c>
      <c r="C90" s="35" t="s">
        <v>319</v>
      </c>
      <c r="D90" s="35" t="s">
        <v>93</v>
      </c>
      <c r="E90" s="35" t="s">
        <v>167</v>
      </c>
      <c r="F90" s="35" t="s">
        <v>95</v>
      </c>
      <c r="G90" s="35" t="s">
        <v>96</v>
      </c>
      <c r="H90" s="37">
        <v>0.15617488</v>
      </c>
      <c r="I90" s="37">
        <v>128196.0</v>
      </c>
      <c r="J90" s="37">
        <v>4752225.72</v>
      </c>
      <c r="K90" s="37">
        <v>4752225.72</v>
      </c>
      <c r="L90" s="36"/>
    </row>
    <row r="91">
      <c r="A91" s="35" t="s">
        <v>320</v>
      </c>
      <c r="B91" s="37">
        <v>6352147.0</v>
      </c>
      <c r="C91" s="35" t="s">
        <v>321</v>
      </c>
      <c r="D91" s="35" t="s">
        <v>93</v>
      </c>
      <c r="E91" s="35" t="s">
        <v>118</v>
      </c>
      <c r="F91" s="35" t="s">
        <v>95</v>
      </c>
      <c r="G91" s="35" t="s">
        <v>96</v>
      </c>
      <c r="H91" s="37">
        <v>0.15526669</v>
      </c>
      <c r="I91" s="37">
        <v>220158.0</v>
      </c>
      <c r="J91" s="37">
        <v>4724590.68</v>
      </c>
      <c r="K91" s="37">
        <v>4724590.68</v>
      </c>
      <c r="L91" s="36"/>
    </row>
    <row r="92">
      <c r="A92" s="35" t="s">
        <v>322</v>
      </c>
      <c r="B92" s="35" t="s">
        <v>323</v>
      </c>
      <c r="C92" s="35" t="s">
        <v>324</v>
      </c>
      <c r="D92" s="35" t="s">
        <v>93</v>
      </c>
      <c r="E92" s="35" t="s">
        <v>124</v>
      </c>
      <c r="F92" s="35" t="s">
        <v>95</v>
      </c>
      <c r="G92" s="35" t="s">
        <v>96</v>
      </c>
      <c r="H92" s="37">
        <v>0.15344074</v>
      </c>
      <c r="I92" s="37">
        <v>1289787.0</v>
      </c>
      <c r="J92" s="37">
        <v>4669028.94</v>
      </c>
      <c r="K92" s="37">
        <v>4669028.94</v>
      </c>
      <c r="L92" s="36"/>
    </row>
    <row r="93">
      <c r="A93" s="35" t="s">
        <v>325</v>
      </c>
      <c r="B93" s="37">
        <v>6954985.0</v>
      </c>
      <c r="C93" s="35" t="s">
        <v>326</v>
      </c>
      <c r="D93" s="35" t="s">
        <v>93</v>
      </c>
      <c r="E93" s="35" t="s">
        <v>94</v>
      </c>
      <c r="F93" s="35" t="s">
        <v>95</v>
      </c>
      <c r="G93" s="35" t="s">
        <v>96</v>
      </c>
      <c r="H93" s="37">
        <v>0.15318796</v>
      </c>
      <c r="I93" s="37">
        <v>3353480.0</v>
      </c>
      <c r="J93" s="37">
        <v>4661337.2</v>
      </c>
      <c r="K93" s="37">
        <v>4661337.2</v>
      </c>
      <c r="L93" s="36"/>
    </row>
    <row r="94">
      <c r="A94" s="35" t="s">
        <v>327</v>
      </c>
      <c r="B94" s="37">
        <v>6681960.0</v>
      </c>
      <c r="C94" s="35" t="s">
        <v>328</v>
      </c>
      <c r="D94" s="35" t="s">
        <v>93</v>
      </c>
      <c r="E94" s="35" t="s">
        <v>115</v>
      </c>
      <c r="F94" s="35" t="s">
        <v>95</v>
      </c>
      <c r="G94" s="35" t="s">
        <v>96</v>
      </c>
      <c r="H94" s="37">
        <v>0.14198347</v>
      </c>
      <c r="I94" s="37">
        <v>753996.0</v>
      </c>
      <c r="J94" s="37">
        <v>4320397.08</v>
      </c>
      <c r="K94" s="37">
        <v>4320397.08</v>
      </c>
      <c r="L94" s="36"/>
    </row>
    <row r="95">
      <c r="A95" s="35" t="s">
        <v>329</v>
      </c>
      <c r="B95" s="35" t="s">
        <v>330</v>
      </c>
      <c r="C95" s="35" t="s">
        <v>331</v>
      </c>
      <c r="D95" s="35" t="s">
        <v>93</v>
      </c>
      <c r="E95" s="35" t="s">
        <v>99</v>
      </c>
      <c r="F95" s="35" t="s">
        <v>95</v>
      </c>
      <c r="G95" s="35" t="s">
        <v>96</v>
      </c>
      <c r="H95" s="37">
        <v>0.13583447</v>
      </c>
      <c r="I95" s="37">
        <v>43154.0</v>
      </c>
      <c r="J95" s="37">
        <v>4133290.12</v>
      </c>
      <c r="K95" s="37">
        <v>4133290.12</v>
      </c>
      <c r="L95" s="36"/>
    </row>
    <row r="96">
      <c r="A96" s="35" t="s">
        <v>332</v>
      </c>
      <c r="B96" s="37">
        <v>6682394.0</v>
      </c>
      <c r="C96" s="35" t="s">
        <v>333</v>
      </c>
      <c r="D96" s="35" t="s">
        <v>93</v>
      </c>
      <c r="E96" s="35" t="s">
        <v>99</v>
      </c>
      <c r="F96" s="35" t="s">
        <v>95</v>
      </c>
      <c r="G96" s="35" t="s">
        <v>96</v>
      </c>
      <c r="H96" s="37">
        <v>0.13385181</v>
      </c>
      <c r="I96" s="37">
        <v>159100.0</v>
      </c>
      <c r="J96" s="37">
        <v>4072960.0</v>
      </c>
      <c r="K96" s="37">
        <v>4072960.0</v>
      </c>
      <c r="L96" s="36"/>
    </row>
    <row r="97">
      <c r="A97" s="35" t="s">
        <v>334</v>
      </c>
      <c r="B97" s="35" t="s">
        <v>335</v>
      </c>
      <c r="C97" s="35" t="s">
        <v>336</v>
      </c>
      <c r="D97" s="35" t="s">
        <v>93</v>
      </c>
      <c r="E97" s="35" t="s">
        <v>127</v>
      </c>
      <c r="F97" s="35" t="s">
        <v>95</v>
      </c>
      <c r="G97" s="35" t="s">
        <v>96</v>
      </c>
      <c r="H97" s="37">
        <v>0.13361582</v>
      </c>
      <c r="I97" s="37">
        <v>970353.0</v>
      </c>
      <c r="J97" s="37">
        <v>4065779.07</v>
      </c>
      <c r="K97" s="37">
        <v>4065779.07</v>
      </c>
      <c r="L97" s="36"/>
    </row>
    <row r="98">
      <c r="A98" s="35" t="s">
        <v>337</v>
      </c>
      <c r="B98" s="37">
        <v>6726300.0</v>
      </c>
      <c r="C98" s="35" t="s">
        <v>338</v>
      </c>
      <c r="D98" s="35" t="s">
        <v>93</v>
      </c>
      <c r="E98" s="35" t="s">
        <v>99</v>
      </c>
      <c r="F98" s="35" t="s">
        <v>95</v>
      </c>
      <c r="G98" s="35" t="s">
        <v>96</v>
      </c>
      <c r="H98" s="37">
        <v>0.13329357</v>
      </c>
      <c r="I98" s="37">
        <v>642785.0</v>
      </c>
      <c r="J98" s="37">
        <v>4055973.35</v>
      </c>
      <c r="K98" s="37">
        <v>4055973.35</v>
      </c>
      <c r="L98" s="36"/>
    </row>
    <row r="99">
      <c r="A99" s="35" t="s">
        <v>339</v>
      </c>
      <c r="B99" s="35" t="s">
        <v>340</v>
      </c>
      <c r="C99" s="35" t="s">
        <v>341</v>
      </c>
      <c r="D99" s="35" t="s">
        <v>93</v>
      </c>
      <c r="E99" s="35" t="s">
        <v>121</v>
      </c>
      <c r="F99" s="35" t="s">
        <v>95</v>
      </c>
      <c r="G99" s="35" t="s">
        <v>96</v>
      </c>
      <c r="H99" s="37">
        <v>0.13139114</v>
      </c>
      <c r="I99" s="37">
        <v>2039839.0</v>
      </c>
      <c r="J99" s="37">
        <v>3998084.44</v>
      </c>
      <c r="K99" s="37">
        <v>3998084.44</v>
      </c>
      <c r="L99" s="36"/>
    </row>
    <row r="100">
      <c r="A100" s="35" t="s">
        <v>342</v>
      </c>
      <c r="B100" s="35" t="s">
        <v>343</v>
      </c>
      <c r="C100" s="35" t="s">
        <v>344</v>
      </c>
      <c r="D100" s="35" t="s">
        <v>93</v>
      </c>
      <c r="E100" s="35" t="s">
        <v>133</v>
      </c>
      <c r="F100" s="35" t="s">
        <v>95</v>
      </c>
      <c r="G100" s="35" t="s">
        <v>96</v>
      </c>
      <c r="H100" s="37">
        <v>0.13121334</v>
      </c>
      <c r="I100" s="37">
        <v>1670575.0</v>
      </c>
      <c r="J100" s="37">
        <v>3992674.25</v>
      </c>
      <c r="K100" s="37">
        <v>3992674.25</v>
      </c>
      <c r="L100" s="36"/>
    </row>
    <row r="101">
      <c r="A101" s="35" t="s">
        <v>345</v>
      </c>
      <c r="B101" s="35" t="s">
        <v>346</v>
      </c>
      <c r="C101" s="35" t="s">
        <v>347</v>
      </c>
      <c r="D101" s="35" t="s">
        <v>93</v>
      </c>
      <c r="E101" s="35" t="s">
        <v>133</v>
      </c>
      <c r="F101" s="35" t="s">
        <v>95</v>
      </c>
      <c r="G101" s="35" t="s">
        <v>96</v>
      </c>
      <c r="H101" s="37">
        <v>0.12768158</v>
      </c>
      <c r="I101" s="37">
        <v>1646274.0</v>
      </c>
      <c r="J101" s="37">
        <v>3885206.64</v>
      </c>
      <c r="K101" s="37">
        <v>3885206.64</v>
      </c>
      <c r="L101" s="36"/>
    </row>
    <row r="102">
      <c r="A102" s="35" t="s">
        <v>348</v>
      </c>
      <c r="B102" s="35" t="s">
        <v>349</v>
      </c>
      <c r="C102" s="35" t="s">
        <v>350</v>
      </c>
      <c r="D102" s="35" t="s">
        <v>93</v>
      </c>
      <c r="E102" s="35" t="s">
        <v>102</v>
      </c>
      <c r="F102" s="35" t="s">
        <v>95</v>
      </c>
      <c r="G102" s="35" t="s">
        <v>96</v>
      </c>
      <c r="H102" s="37">
        <v>0.12586937</v>
      </c>
      <c r="I102" s="37">
        <v>335676.0</v>
      </c>
      <c r="J102" s="37">
        <v>3830063.16</v>
      </c>
      <c r="K102" s="37">
        <v>3830063.16</v>
      </c>
      <c r="L102" s="36"/>
    </row>
    <row r="103">
      <c r="A103" s="35" t="s">
        <v>351</v>
      </c>
      <c r="B103" s="37">
        <v>6739739.0</v>
      </c>
      <c r="C103" s="35" t="s">
        <v>352</v>
      </c>
      <c r="D103" s="35" t="s">
        <v>93</v>
      </c>
      <c r="E103" s="35" t="s">
        <v>94</v>
      </c>
      <c r="F103" s="35" t="s">
        <v>95</v>
      </c>
      <c r="G103" s="35" t="s">
        <v>96</v>
      </c>
      <c r="H103" s="37">
        <v>0.12475332</v>
      </c>
      <c r="I103" s="37">
        <v>604475.0</v>
      </c>
      <c r="J103" s="37">
        <v>3796103.0</v>
      </c>
      <c r="K103" s="37">
        <v>3796103.0</v>
      </c>
      <c r="L103" s="36"/>
    </row>
    <row r="104">
      <c r="A104" s="35" t="s">
        <v>353</v>
      </c>
      <c r="B104" s="37">
        <v>6015815.0</v>
      </c>
      <c r="C104" s="35" t="s">
        <v>354</v>
      </c>
      <c r="D104" s="35" t="s">
        <v>93</v>
      </c>
      <c r="E104" s="35" t="s">
        <v>118</v>
      </c>
      <c r="F104" s="35" t="s">
        <v>95</v>
      </c>
      <c r="G104" s="35" t="s">
        <v>96</v>
      </c>
      <c r="H104" s="37">
        <v>0.12349813</v>
      </c>
      <c r="I104" s="37">
        <v>520486.0</v>
      </c>
      <c r="J104" s="37">
        <v>3757908.92</v>
      </c>
      <c r="K104" s="37">
        <v>3757908.92</v>
      </c>
      <c r="L104" s="36"/>
    </row>
    <row r="105">
      <c r="A105" s="35" t="s">
        <v>355</v>
      </c>
      <c r="B105" s="35" t="s">
        <v>356</v>
      </c>
      <c r="C105" s="35" t="s">
        <v>357</v>
      </c>
      <c r="D105" s="35" t="s">
        <v>93</v>
      </c>
      <c r="E105" s="35" t="s">
        <v>99</v>
      </c>
      <c r="F105" s="35" t="s">
        <v>95</v>
      </c>
      <c r="G105" s="35" t="s">
        <v>96</v>
      </c>
      <c r="H105" s="37">
        <v>0.12197471</v>
      </c>
      <c r="I105" s="37">
        <v>136054.0</v>
      </c>
      <c r="J105" s="37">
        <v>3711553.12</v>
      </c>
      <c r="K105" s="37">
        <v>3711553.12</v>
      </c>
      <c r="L105" s="36"/>
    </row>
    <row r="106">
      <c r="A106" s="35" t="s">
        <v>358</v>
      </c>
      <c r="B106" s="35" t="s">
        <v>359</v>
      </c>
      <c r="C106" s="35" t="s">
        <v>360</v>
      </c>
      <c r="D106" s="35" t="s">
        <v>93</v>
      </c>
      <c r="E106" s="35" t="s">
        <v>133</v>
      </c>
      <c r="F106" s="35" t="s">
        <v>95</v>
      </c>
      <c r="G106" s="35" t="s">
        <v>96</v>
      </c>
      <c r="H106" s="37">
        <v>0.12120916</v>
      </c>
      <c r="I106" s="37">
        <v>906206.0</v>
      </c>
      <c r="J106" s="37">
        <v>3688258.42</v>
      </c>
      <c r="K106" s="37">
        <v>3688258.42</v>
      </c>
      <c r="L106" s="36"/>
    </row>
    <row r="107">
      <c r="A107" s="35" t="s">
        <v>361</v>
      </c>
      <c r="B107" s="35" t="s">
        <v>362</v>
      </c>
      <c r="C107" s="35" t="s">
        <v>363</v>
      </c>
      <c r="D107" s="35" t="s">
        <v>93</v>
      </c>
      <c r="E107" s="35" t="s">
        <v>94</v>
      </c>
      <c r="F107" s="35" t="s">
        <v>95</v>
      </c>
      <c r="G107" s="35" t="s">
        <v>96</v>
      </c>
      <c r="H107" s="37">
        <v>0.12110165</v>
      </c>
      <c r="I107" s="37">
        <v>1147971.0</v>
      </c>
      <c r="J107" s="37">
        <v>3684986.91</v>
      </c>
      <c r="K107" s="37">
        <v>3684986.91</v>
      </c>
      <c r="L107" s="36"/>
    </row>
    <row r="108">
      <c r="A108" s="35" t="s">
        <v>364</v>
      </c>
      <c r="B108" s="37">
        <v>6873262.0</v>
      </c>
      <c r="C108" s="35" t="s">
        <v>365</v>
      </c>
      <c r="D108" s="35" t="s">
        <v>93</v>
      </c>
      <c r="E108" s="35" t="s">
        <v>118</v>
      </c>
      <c r="F108" s="35" t="s">
        <v>95</v>
      </c>
      <c r="G108" s="35" t="s">
        <v>96</v>
      </c>
      <c r="H108" s="37">
        <v>0.11775825</v>
      </c>
      <c r="I108" s="37">
        <v>3242761.0</v>
      </c>
      <c r="J108" s="37">
        <v>3583250.9</v>
      </c>
      <c r="K108" s="37">
        <v>3583250.9</v>
      </c>
      <c r="L108" s="36"/>
    </row>
    <row r="109">
      <c r="A109" s="35" t="s">
        <v>366</v>
      </c>
      <c r="B109" s="35" t="s">
        <v>367</v>
      </c>
      <c r="C109" s="35" t="s">
        <v>368</v>
      </c>
      <c r="D109" s="35" t="s">
        <v>93</v>
      </c>
      <c r="E109" s="35" t="s">
        <v>118</v>
      </c>
      <c r="F109" s="35" t="s">
        <v>95</v>
      </c>
      <c r="G109" s="35" t="s">
        <v>96</v>
      </c>
      <c r="H109" s="37">
        <v>0.11772831</v>
      </c>
      <c r="I109" s="37">
        <v>179117.0</v>
      </c>
      <c r="J109" s="37">
        <v>3582340.0</v>
      </c>
      <c r="K109" s="37">
        <v>3582340.0</v>
      </c>
      <c r="L109" s="36"/>
    </row>
    <row r="110">
      <c r="A110" s="35" t="s">
        <v>369</v>
      </c>
      <c r="B110" s="35" t="s">
        <v>370</v>
      </c>
      <c r="C110" s="35" t="s">
        <v>371</v>
      </c>
      <c r="D110" s="35" t="s">
        <v>93</v>
      </c>
      <c r="E110" s="35" t="s">
        <v>115</v>
      </c>
      <c r="F110" s="35" t="s">
        <v>95</v>
      </c>
      <c r="G110" s="35" t="s">
        <v>96</v>
      </c>
      <c r="H110" s="37">
        <v>0.11673081</v>
      </c>
      <c r="I110" s="37">
        <v>1191942.0</v>
      </c>
      <c r="J110" s="37">
        <v>3551987.16</v>
      </c>
      <c r="K110" s="37">
        <v>3551987.16</v>
      </c>
      <c r="L110" s="36"/>
    </row>
    <row r="111">
      <c r="A111" s="35" t="s">
        <v>372</v>
      </c>
      <c r="B111" s="35" t="s">
        <v>373</v>
      </c>
      <c r="C111" s="35" t="s">
        <v>374</v>
      </c>
      <c r="D111" s="35" t="s">
        <v>93</v>
      </c>
      <c r="E111" s="35" t="s">
        <v>94</v>
      </c>
      <c r="F111" s="35" t="s">
        <v>95</v>
      </c>
      <c r="G111" s="35" t="s">
        <v>96</v>
      </c>
      <c r="H111" s="37">
        <v>0.11563485</v>
      </c>
      <c r="I111" s="37">
        <v>228483.0</v>
      </c>
      <c r="J111" s="37">
        <v>3518638.2</v>
      </c>
      <c r="K111" s="37">
        <v>3518638.2</v>
      </c>
      <c r="L111" s="36"/>
    </row>
    <row r="112">
      <c r="A112" s="35" t="s">
        <v>375</v>
      </c>
      <c r="B112" s="35" t="s">
        <v>376</v>
      </c>
      <c r="C112" s="35" t="s">
        <v>377</v>
      </c>
      <c r="D112" s="35" t="s">
        <v>93</v>
      </c>
      <c r="E112" s="35" t="s">
        <v>94</v>
      </c>
      <c r="F112" s="35" t="s">
        <v>95</v>
      </c>
      <c r="G112" s="35" t="s">
        <v>96</v>
      </c>
      <c r="H112" s="37">
        <v>0.11540552</v>
      </c>
      <c r="I112" s="37">
        <v>551281.0</v>
      </c>
      <c r="J112" s="37">
        <v>3511659.97</v>
      </c>
      <c r="K112" s="37">
        <v>3511659.97</v>
      </c>
      <c r="L112" s="36"/>
    </row>
    <row r="113">
      <c r="A113" s="35" t="s">
        <v>378</v>
      </c>
      <c r="B113" s="35" t="s">
        <v>379</v>
      </c>
      <c r="C113" s="35" t="s">
        <v>380</v>
      </c>
      <c r="D113" s="35" t="s">
        <v>93</v>
      </c>
      <c r="E113" s="35" t="s">
        <v>94</v>
      </c>
      <c r="F113" s="35" t="s">
        <v>95</v>
      </c>
      <c r="G113" s="35" t="s">
        <v>96</v>
      </c>
      <c r="H113" s="37">
        <v>0.11373657</v>
      </c>
      <c r="I113" s="37">
        <v>1955297.0</v>
      </c>
      <c r="J113" s="37">
        <v>3460875.69</v>
      </c>
      <c r="K113" s="37">
        <v>3460875.69</v>
      </c>
      <c r="L113" s="36"/>
    </row>
    <row r="114">
      <c r="A114" s="35" t="s">
        <v>381</v>
      </c>
      <c r="B114" s="37">
        <v>6465573.0</v>
      </c>
      <c r="C114" s="35" t="s">
        <v>382</v>
      </c>
      <c r="D114" s="35" t="s">
        <v>93</v>
      </c>
      <c r="E114" s="35" t="s">
        <v>127</v>
      </c>
      <c r="F114" s="35" t="s">
        <v>95</v>
      </c>
      <c r="G114" s="35" t="s">
        <v>96</v>
      </c>
      <c r="H114" s="37">
        <v>0.11181799</v>
      </c>
      <c r="I114" s="37">
        <v>904919.0</v>
      </c>
      <c r="J114" s="37">
        <v>3402495.44</v>
      </c>
      <c r="K114" s="37">
        <v>3402495.44</v>
      </c>
      <c r="L114" s="36"/>
    </row>
    <row r="115">
      <c r="A115" s="35" t="s">
        <v>383</v>
      </c>
      <c r="B115" s="35" t="s">
        <v>384</v>
      </c>
      <c r="C115" s="35" t="s">
        <v>385</v>
      </c>
      <c r="D115" s="35" t="s">
        <v>93</v>
      </c>
      <c r="E115" s="35" t="s">
        <v>94</v>
      </c>
      <c r="F115" s="35" t="s">
        <v>95</v>
      </c>
      <c r="G115" s="35" t="s">
        <v>96</v>
      </c>
      <c r="H115" s="37">
        <v>0.11065096</v>
      </c>
      <c r="I115" s="37">
        <v>474892.0</v>
      </c>
      <c r="J115" s="37">
        <v>3366984.28</v>
      </c>
      <c r="K115" s="37">
        <v>3366984.28</v>
      </c>
      <c r="L115" s="36"/>
    </row>
    <row r="116">
      <c r="A116" s="35" t="s">
        <v>386</v>
      </c>
      <c r="B116" s="37">
        <v>6238645.0</v>
      </c>
      <c r="C116" s="35" t="s">
        <v>387</v>
      </c>
      <c r="D116" s="35" t="s">
        <v>93</v>
      </c>
      <c r="E116" s="35" t="s">
        <v>94</v>
      </c>
      <c r="F116" s="35" t="s">
        <v>95</v>
      </c>
      <c r="G116" s="35" t="s">
        <v>96</v>
      </c>
      <c r="H116" s="37">
        <v>0.10958369</v>
      </c>
      <c r="I116" s="37">
        <v>648737.0</v>
      </c>
      <c r="J116" s="37">
        <v>3334508.18</v>
      </c>
      <c r="K116" s="37">
        <v>3334508.18</v>
      </c>
      <c r="L116" s="36"/>
    </row>
    <row r="117">
      <c r="A117" s="35" t="s">
        <v>388</v>
      </c>
      <c r="B117" s="35" t="s">
        <v>389</v>
      </c>
      <c r="C117" s="35" t="s">
        <v>390</v>
      </c>
      <c r="D117" s="35" t="s">
        <v>93</v>
      </c>
      <c r="E117" s="35" t="s">
        <v>121</v>
      </c>
      <c r="F117" s="35" t="s">
        <v>95</v>
      </c>
      <c r="G117" s="35" t="s">
        <v>96</v>
      </c>
      <c r="H117" s="37">
        <v>0.10885324</v>
      </c>
      <c r="I117" s="37">
        <v>602233.0</v>
      </c>
      <c r="J117" s="37">
        <v>3312281.5</v>
      </c>
      <c r="K117" s="37">
        <v>3312281.5</v>
      </c>
      <c r="L117" s="36"/>
    </row>
    <row r="118">
      <c r="A118" s="35" t="s">
        <v>391</v>
      </c>
      <c r="B118" s="35" t="s">
        <v>392</v>
      </c>
      <c r="C118" s="35" t="s">
        <v>393</v>
      </c>
      <c r="D118" s="35" t="s">
        <v>93</v>
      </c>
      <c r="E118" s="35" t="s">
        <v>124</v>
      </c>
      <c r="F118" s="35" t="s">
        <v>95</v>
      </c>
      <c r="G118" s="35" t="s">
        <v>96</v>
      </c>
      <c r="H118" s="37">
        <v>0.10317964</v>
      </c>
      <c r="I118" s="37">
        <v>613211.0</v>
      </c>
      <c r="J118" s="37">
        <v>3139640.32</v>
      </c>
      <c r="K118" s="37">
        <v>3139640.32</v>
      </c>
      <c r="L118" s="36"/>
    </row>
    <row r="119">
      <c r="A119" s="35" t="s">
        <v>394</v>
      </c>
      <c r="B119" s="37">
        <v>6315593.0</v>
      </c>
      <c r="C119" s="35" t="s">
        <v>395</v>
      </c>
      <c r="D119" s="35" t="s">
        <v>93</v>
      </c>
      <c r="E119" s="35" t="s">
        <v>94</v>
      </c>
      <c r="F119" s="35" t="s">
        <v>95</v>
      </c>
      <c r="G119" s="35" t="s">
        <v>96</v>
      </c>
      <c r="H119" s="37">
        <v>0.10181141</v>
      </c>
      <c r="I119" s="37">
        <v>115468.0</v>
      </c>
      <c r="J119" s="37">
        <v>3098006.44</v>
      </c>
      <c r="K119" s="37">
        <v>3098006.44</v>
      </c>
      <c r="L119" s="36"/>
    </row>
    <row r="120">
      <c r="A120" s="35" t="s">
        <v>396</v>
      </c>
      <c r="B120" s="35" t="s">
        <v>397</v>
      </c>
      <c r="C120" s="35" t="s">
        <v>398</v>
      </c>
      <c r="D120" s="35" t="s">
        <v>93</v>
      </c>
      <c r="E120" s="35" t="s">
        <v>118</v>
      </c>
      <c r="F120" s="35" t="s">
        <v>95</v>
      </c>
      <c r="G120" s="35" t="s">
        <v>96</v>
      </c>
      <c r="H120" s="37">
        <v>0.10145985</v>
      </c>
      <c r="I120" s="37">
        <v>70358.0</v>
      </c>
      <c r="J120" s="37">
        <v>3087309.04</v>
      </c>
      <c r="K120" s="37">
        <v>3087309.04</v>
      </c>
      <c r="L120" s="36"/>
    </row>
    <row r="121">
      <c r="A121" s="35" t="s">
        <v>399</v>
      </c>
      <c r="B121" s="35" t="s">
        <v>400</v>
      </c>
      <c r="C121" s="35" t="s">
        <v>401</v>
      </c>
      <c r="D121" s="35" t="s">
        <v>93</v>
      </c>
      <c r="E121" s="35" t="s">
        <v>99</v>
      </c>
      <c r="F121" s="35" t="s">
        <v>95</v>
      </c>
      <c r="G121" s="35" t="s">
        <v>96</v>
      </c>
      <c r="H121" s="37">
        <v>0.09997941</v>
      </c>
      <c r="I121" s="37">
        <v>1014087.0</v>
      </c>
      <c r="J121" s="37">
        <v>3042261.0</v>
      </c>
      <c r="K121" s="37">
        <v>3042261.0</v>
      </c>
      <c r="L121" s="36"/>
    </row>
    <row r="122">
      <c r="A122" s="35" t="s">
        <v>402</v>
      </c>
      <c r="B122" s="37">
        <v>6088204.0</v>
      </c>
      <c r="C122" s="35" t="s">
        <v>403</v>
      </c>
      <c r="D122" s="35" t="s">
        <v>93</v>
      </c>
      <c r="E122" s="35" t="s">
        <v>115</v>
      </c>
      <c r="F122" s="35" t="s">
        <v>95</v>
      </c>
      <c r="G122" s="35" t="s">
        <v>96</v>
      </c>
      <c r="H122" s="37">
        <v>0.09951741</v>
      </c>
      <c r="I122" s="37">
        <v>2234836.0</v>
      </c>
      <c r="J122" s="37">
        <v>3028202.78</v>
      </c>
      <c r="K122" s="37">
        <v>3028202.78</v>
      </c>
      <c r="L122" s="36"/>
    </row>
    <row r="123">
      <c r="A123" s="35" t="s">
        <v>404</v>
      </c>
      <c r="B123" s="35" t="s">
        <v>405</v>
      </c>
      <c r="C123" s="35" t="s">
        <v>406</v>
      </c>
      <c r="D123" s="35" t="s">
        <v>93</v>
      </c>
      <c r="E123" s="35" t="s">
        <v>118</v>
      </c>
      <c r="F123" s="35" t="s">
        <v>95</v>
      </c>
      <c r="G123" s="35" t="s">
        <v>96</v>
      </c>
      <c r="H123" s="37">
        <v>0.09882832</v>
      </c>
      <c r="I123" s="37">
        <v>105517.0</v>
      </c>
      <c r="J123" s="37">
        <v>3007234.5</v>
      </c>
      <c r="K123" s="37">
        <v>3007234.5</v>
      </c>
      <c r="L123" s="36"/>
    </row>
    <row r="124">
      <c r="A124" s="35" t="s">
        <v>407</v>
      </c>
      <c r="B124" s="37">
        <v>6668468.0</v>
      </c>
      <c r="C124" s="35" t="s">
        <v>408</v>
      </c>
      <c r="D124" s="35" t="s">
        <v>93</v>
      </c>
      <c r="E124" s="35" t="s">
        <v>115</v>
      </c>
      <c r="F124" s="35" t="s">
        <v>95</v>
      </c>
      <c r="G124" s="35" t="s">
        <v>96</v>
      </c>
      <c r="H124" s="37">
        <v>0.09507414</v>
      </c>
      <c r="I124" s="37">
        <v>3909458.0</v>
      </c>
      <c r="J124" s="37">
        <v>2892998.92</v>
      </c>
      <c r="K124" s="37">
        <v>2892998.92</v>
      </c>
      <c r="L124" s="36"/>
    </row>
    <row r="125">
      <c r="A125" s="35" t="s">
        <v>409</v>
      </c>
      <c r="B125" s="37">
        <v>6699781.0</v>
      </c>
      <c r="C125" s="35" t="s">
        <v>410</v>
      </c>
      <c r="D125" s="35" t="s">
        <v>93</v>
      </c>
      <c r="E125" s="35" t="s">
        <v>118</v>
      </c>
      <c r="F125" s="35" t="s">
        <v>95</v>
      </c>
      <c r="G125" s="35" t="s">
        <v>96</v>
      </c>
      <c r="H125" s="37">
        <v>0.09332331</v>
      </c>
      <c r="I125" s="37">
        <v>129905.0</v>
      </c>
      <c r="J125" s="37">
        <v>2839723.3</v>
      </c>
      <c r="K125" s="37">
        <v>2839723.3</v>
      </c>
      <c r="L125" s="36"/>
    </row>
    <row r="126">
      <c r="A126" s="35" t="s">
        <v>411</v>
      </c>
      <c r="B126" s="37">
        <v>6297497.0</v>
      </c>
      <c r="C126" s="35" t="s">
        <v>412</v>
      </c>
      <c r="D126" s="35" t="s">
        <v>93</v>
      </c>
      <c r="E126" s="35" t="s">
        <v>167</v>
      </c>
      <c r="F126" s="35" t="s">
        <v>95</v>
      </c>
      <c r="G126" s="35" t="s">
        <v>96</v>
      </c>
      <c r="H126" s="37">
        <v>0.09161789</v>
      </c>
      <c r="I126" s="37">
        <v>267546.0</v>
      </c>
      <c r="J126" s="37">
        <v>2787829.32</v>
      </c>
      <c r="K126" s="37">
        <v>2787829.32</v>
      </c>
      <c r="L126" s="36"/>
    </row>
    <row r="127">
      <c r="A127" s="35" t="s">
        <v>413</v>
      </c>
      <c r="B127" s="35" t="s">
        <v>414</v>
      </c>
      <c r="C127" s="35" t="s">
        <v>415</v>
      </c>
      <c r="D127" s="35" t="s">
        <v>93</v>
      </c>
      <c r="E127" s="35" t="s">
        <v>118</v>
      </c>
      <c r="F127" s="35" t="s">
        <v>95</v>
      </c>
      <c r="G127" s="35" t="s">
        <v>96</v>
      </c>
      <c r="H127" s="37">
        <v>0.08828923</v>
      </c>
      <c r="I127" s="37">
        <v>447757.0</v>
      </c>
      <c r="J127" s="37">
        <v>2686542.0</v>
      </c>
      <c r="K127" s="37">
        <v>2686542.0</v>
      </c>
      <c r="L127" s="36"/>
    </row>
    <row r="128">
      <c r="A128" s="35" t="s">
        <v>416</v>
      </c>
      <c r="B128" s="37">
        <v>6173508.0</v>
      </c>
      <c r="C128" s="35" t="s">
        <v>417</v>
      </c>
      <c r="D128" s="35" t="s">
        <v>93</v>
      </c>
      <c r="E128" s="35" t="s">
        <v>118</v>
      </c>
      <c r="F128" s="35" t="s">
        <v>95</v>
      </c>
      <c r="G128" s="35" t="s">
        <v>96</v>
      </c>
      <c r="H128" s="37">
        <v>0.08808661</v>
      </c>
      <c r="I128" s="37">
        <v>819687.0</v>
      </c>
      <c r="J128" s="37">
        <v>2680376.49</v>
      </c>
      <c r="K128" s="37">
        <v>2680376.49</v>
      </c>
      <c r="L128" s="36"/>
    </row>
    <row r="129">
      <c r="A129" s="35" t="s">
        <v>418</v>
      </c>
      <c r="B129" s="37">
        <v>6225595.0</v>
      </c>
      <c r="C129" s="35" t="s">
        <v>419</v>
      </c>
      <c r="D129" s="35" t="s">
        <v>93</v>
      </c>
      <c r="E129" s="35" t="s">
        <v>133</v>
      </c>
      <c r="F129" s="35" t="s">
        <v>95</v>
      </c>
      <c r="G129" s="35" t="s">
        <v>96</v>
      </c>
      <c r="H129" s="37">
        <v>0.0867478</v>
      </c>
      <c r="I129" s="37">
        <v>727173.0</v>
      </c>
      <c r="J129" s="37">
        <v>2639637.99</v>
      </c>
      <c r="K129" s="37">
        <v>2639637.99</v>
      </c>
      <c r="L129" s="36"/>
    </row>
    <row r="130">
      <c r="A130" s="35" t="s">
        <v>420</v>
      </c>
      <c r="B130" s="35" t="s">
        <v>421</v>
      </c>
      <c r="C130" s="35" t="s">
        <v>422</v>
      </c>
      <c r="D130" s="35" t="s">
        <v>93</v>
      </c>
      <c r="E130" s="35" t="s">
        <v>127</v>
      </c>
      <c r="F130" s="35" t="s">
        <v>95</v>
      </c>
      <c r="G130" s="35" t="s">
        <v>96</v>
      </c>
      <c r="H130" s="37">
        <v>0.08636888</v>
      </c>
      <c r="I130" s="37">
        <v>343095.0</v>
      </c>
      <c r="J130" s="37">
        <v>2628107.7</v>
      </c>
      <c r="K130" s="37">
        <v>2628107.7</v>
      </c>
      <c r="L130" s="36"/>
    </row>
    <row r="131">
      <c r="A131" s="35" t="s">
        <v>423</v>
      </c>
      <c r="B131" s="37">
        <v>6296201.0</v>
      </c>
      <c r="C131" s="35" t="s">
        <v>424</v>
      </c>
      <c r="D131" s="35" t="s">
        <v>93</v>
      </c>
      <c r="E131" s="35" t="s">
        <v>118</v>
      </c>
      <c r="F131" s="35" t="s">
        <v>95</v>
      </c>
      <c r="G131" s="35" t="s">
        <v>96</v>
      </c>
      <c r="H131" s="37">
        <v>0.08592735</v>
      </c>
      <c r="I131" s="37">
        <v>204431.0</v>
      </c>
      <c r="J131" s="37">
        <v>2614672.49</v>
      </c>
      <c r="K131" s="37">
        <v>2614672.49</v>
      </c>
      <c r="L131" s="36"/>
    </row>
    <row r="132">
      <c r="A132" s="35" t="s">
        <v>425</v>
      </c>
      <c r="B132" s="35" t="s">
        <v>426</v>
      </c>
      <c r="C132" s="35" t="s">
        <v>427</v>
      </c>
      <c r="D132" s="35" t="s">
        <v>93</v>
      </c>
      <c r="E132" s="35" t="s">
        <v>94</v>
      </c>
      <c r="F132" s="35" t="s">
        <v>95</v>
      </c>
      <c r="G132" s="35" t="s">
        <v>96</v>
      </c>
      <c r="H132" s="37">
        <v>0.08572153</v>
      </c>
      <c r="I132" s="37">
        <v>568281.0</v>
      </c>
      <c r="J132" s="37">
        <v>2608409.79</v>
      </c>
      <c r="K132" s="37">
        <v>2608409.79</v>
      </c>
      <c r="L132" s="36"/>
    </row>
    <row r="133">
      <c r="A133" s="35" t="s">
        <v>428</v>
      </c>
      <c r="B133" s="35" t="s">
        <v>429</v>
      </c>
      <c r="C133" s="35" t="s">
        <v>430</v>
      </c>
      <c r="D133" s="35" t="s">
        <v>93</v>
      </c>
      <c r="E133" s="35" t="s">
        <v>133</v>
      </c>
      <c r="F133" s="35" t="s">
        <v>95</v>
      </c>
      <c r="G133" s="35" t="s">
        <v>96</v>
      </c>
      <c r="H133" s="37">
        <v>0.08564507</v>
      </c>
      <c r="I133" s="37">
        <v>965216.0</v>
      </c>
      <c r="J133" s="37">
        <v>2606083.2</v>
      </c>
      <c r="K133" s="37">
        <v>2606083.2</v>
      </c>
      <c r="L133" s="36"/>
    </row>
    <row r="134">
      <c r="A134" s="35" t="s">
        <v>431</v>
      </c>
      <c r="B134" s="35" t="s">
        <v>432</v>
      </c>
      <c r="C134" s="35" t="s">
        <v>433</v>
      </c>
      <c r="D134" s="35" t="s">
        <v>93</v>
      </c>
      <c r="E134" s="35" t="s">
        <v>99</v>
      </c>
      <c r="F134" s="35" t="s">
        <v>95</v>
      </c>
      <c r="G134" s="35" t="s">
        <v>96</v>
      </c>
      <c r="H134" s="37">
        <v>0.08535592</v>
      </c>
      <c r="I134" s="37">
        <v>99133.0</v>
      </c>
      <c r="J134" s="37">
        <v>2597284.6</v>
      </c>
      <c r="K134" s="37">
        <v>2597284.6</v>
      </c>
      <c r="L134" s="36"/>
    </row>
    <row r="135">
      <c r="A135" s="35" t="s">
        <v>434</v>
      </c>
      <c r="B135" s="35" t="s">
        <v>435</v>
      </c>
      <c r="C135" s="35" t="s">
        <v>436</v>
      </c>
      <c r="D135" s="35" t="s">
        <v>93</v>
      </c>
      <c r="E135" s="35" t="s">
        <v>118</v>
      </c>
      <c r="F135" s="35" t="s">
        <v>95</v>
      </c>
      <c r="G135" s="35" t="s">
        <v>96</v>
      </c>
      <c r="H135" s="37">
        <v>0.08492218</v>
      </c>
      <c r="I135" s="37">
        <v>228478.0</v>
      </c>
      <c r="J135" s="37">
        <v>2584086.18</v>
      </c>
      <c r="K135" s="37">
        <v>2584086.18</v>
      </c>
      <c r="L135" s="36"/>
    </row>
    <row r="136">
      <c r="A136" s="35" t="s">
        <v>437</v>
      </c>
      <c r="B136" s="35" t="s">
        <v>438</v>
      </c>
      <c r="C136" s="35" t="s">
        <v>439</v>
      </c>
      <c r="D136" s="35" t="s">
        <v>93</v>
      </c>
      <c r="E136" s="35" t="s">
        <v>127</v>
      </c>
      <c r="F136" s="35" t="s">
        <v>95</v>
      </c>
      <c r="G136" s="35" t="s">
        <v>96</v>
      </c>
      <c r="H136" s="37">
        <v>0.08362714</v>
      </c>
      <c r="I136" s="37">
        <v>326241.0</v>
      </c>
      <c r="J136" s="37">
        <v>2544679.8</v>
      </c>
      <c r="K136" s="37">
        <v>2544679.8</v>
      </c>
      <c r="L136" s="36"/>
    </row>
    <row r="137">
      <c r="A137" s="35" t="s">
        <v>440</v>
      </c>
      <c r="B137" s="35" t="s">
        <v>441</v>
      </c>
      <c r="C137" s="35" t="s">
        <v>442</v>
      </c>
      <c r="D137" s="35" t="s">
        <v>93</v>
      </c>
      <c r="E137" s="35" t="s">
        <v>94</v>
      </c>
      <c r="F137" s="35" t="s">
        <v>95</v>
      </c>
      <c r="G137" s="35" t="s">
        <v>96</v>
      </c>
      <c r="H137" s="37">
        <v>0.08174121</v>
      </c>
      <c r="I137" s="37">
        <v>1417261.0</v>
      </c>
      <c r="J137" s="37">
        <v>2487293.05</v>
      </c>
      <c r="K137" s="37">
        <v>2487293.05</v>
      </c>
      <c r="L137" s="36"/>
    </row>
    <row r="138">
      <c r="A138" s="35" t="s">
        <v>443</v>
      </c>
      <c r="B138" s="37">
        <v>6127453.0</v>
      </c>
      <c r="C138" s="35" t="s">
        <v>444</v>
      </c>
      <c r="D138" s="35" t="s">
        <v>93</v>
      </c>
      <c r="E138" s="35" t="s">
        <v>133</v>
      </c>
      <c r="F138" s="35" t="s">
        <v>95</v>
      </c>
      <c r="G138" s="35" t="s">
        <v>96</v>
      </c>
      <c r="H138" s="37">
        <v>0.08135485</v>
      </c>
      <c r="I138" s="37">
        <v>687649.0</v>
      </c>
      <c r="J138" s="37">
        <v>2475536.4</v>
      </c>
      <c r="K138" s="37">
        <v>2475536.4</v>
      </c>
      <c r="L138" s="36"/>
    </row>
    <row r="139">
      <c r="A139" s="35" t="s">
        <v>445</v>
      </c>
      <c r="B139" s="37">
        <v>6158709.0</v>
      </c>
      <c r="C139" s="35" t="s">
        <v>446</v>
      </c>
      <c r="D139" s="35" t="s">
        <v>93</v>
      </c>
      <c r="E139" s="35" t="s">
        <v>118</v>
      </c>
      <c r="F139" s="35" t="s">
        <v>95</v>
      </c>
      <c r="G139" s="35" t="s">
        <v>96</v>
      </c>
      <c r="H139" s="37">
        <v>0.07903334</v>
      </c>
      <c r="I139" s="37">
        <v>123518.0</v>
      </c>
      <c r="J139" s="37">
        <v>2404895.46</v>
      </c>
      <c r="K139" s="37">
        <v>2404895.46</v>
      </c>
      <c r="L139" s="36"/>
    </row>
    <row r="140">
      <c r="A140" s="35" t="s">
        <v>447</v>
      </c>
      <c r="B140" s="35" t="s">
        <v>448</v>
      </c>
      <c r="C140" s="35" t="s">
        <v>449</v>
      </c>
      <c r="D140" s="35" t="s">
        <v>93</v>
      </c>
      <c r="E140" s="35" t="s">
        <v>94</v>
      </c>
      <c r="F140" s="35" t="s">
        <v>95</v>
      </c>
      <c r="G140" s="35" t="s">
        <v>96</v>
      </c>
      <c r="H140" s="37">
        <v>0.07894022</v>
      </c>
      <c r="I140" s="37">
        <v>2298624.0</v>
      </c>
      <c r="J140" s="37">
        <v>2402062.08</v>
      </c>
      <c r="K140" s="37">
        <v>2402062.08</v>
      </c>
      <c r="L140" s="36"/>
    </row>
    <row r="141">
      <c r="A141" s="35" t="s">
        <v>450</v>
      </c>
      <c r="B141" s="35" t="s">
        <v>451</v>
      </c>
      <c r="C141" s="35" t="s">
        <v>452</v>
      </c>
      <c r="D141" s="35" t="s">
        <v>93</v>
      </c>
      <c r="E141" s="35" t="s">
        <v>133</v>
      </c>
      <c r="F141" s="35" t="s">
        <v>95</v>
      </c>
      <c r="G141" s="35" t="s">
        <v>96</v>
      </c>
      <c r="H141" s="37">
        <v>0.07774276</v>
      </c>
      <c r="I141" s="37">
        <v>760651.0</v>
      </c>
      <c r="J141" s="37">
        <v>2365624.61</v>
      </c>
      <c r="K141" s="37">
        <v>2365624.61</v>
      </c>
      <c r="L141" s="36"/>
    </row>
    <row r="142">
      <c r="A142" s="35" t="s">
        <v>453</v>
      </c>
      <c r="B142" s="37">
        <v>6534837.0</v>
      </c>
      <c r="C142" s="35" t="s">
        <v>454</v>
      </c>
      <c r="D142" s="35" t="s">
        <v>93</v>
      </c>
      <c r="E142" s="35" t="s">
        <v>94</v>
      </c>
      <c r="F142" s="35" t="s">
        <v>95</v>
      </c>
      <c r="G142" s="35" t="s">
        <v>96</v>
      </c>
      <c r="H142" s="37">
        <v>0.07768882</v>
      </c>
      <c r="I142" s="37">
        <v>1738223.0</v>
      </c>
      <c r="J142" s="37">
        <v>2363983.28</v>
      </c>
      <c r="K142" s="37">
        <v>2363983.28</v>
      </c>
      <c r="L142" s="36"/>
    </row>
    <row r="143">
      <c r="A143" s="35" t="s">
        <v>455</v>
      </c>
      <c r="B143" s="35" t="s">
        <v>456</v>
      </c>
      <c r="C143" s="35" t="s">
        <v>457</v>
      </c>
      <c r="D143" s="35" t="s">
        <v>93</v>
      </c>
      <c r="E143" s="35" t="s">
        <v>94</v>
      </c>
      <c r="F143" s="35" t="s">
        <v>95</v>
      </c>
      <c r="G143" s="35" t="s">
        <v>96</v>
      </c>
      <c r="H143" s="37">
        <v>0.07745898</v>
      </c>
      <c r="I143" s="37">
        <v>2494169.0</v>
      </c>
      <c r="J143" s="37">
        <v>2356989.7</v>
      </c>
      <c r="K143" s="37">
        <v>2356989.7</v>
      </c>
      <c r="L143" s="36"/>
    </row>
    <row r="144">
      <c r="A144" s="35" t="s">
        <v>458</v>
      </c>
      <c r="B144" s="37">
        <v>6335331.0</v>
      </c>
      <c r="C144" s="35" t="s">
        <v>459</v>
      </c>
      <c r="D144" s="35" t="s">
        <v>93</v>
      </c>
      <c r="E144" s="35" t="s">
        <v>94</v>
      </c>
      <c r="F144" s="35" t="s">
        <v>95</v>
      </c>
      <c r="G144" s="35" t="s">
        <v>96</v>
      </c>
      <c r="H144" s="37">
        <v>0.07512818</v>
      </c>
      <c r="I144" s="37">
        <v>450013.0</v>
      </c>
      <c r="J144" s="37">
        <v>2286066.04</v>
      </c>
      <c r="K144" s="37">
        <v>2286066.04</v>
      </c>
      <c r="L144" s="36"/>
    </row>
    <row r="145">
      <c r="A145" s="35" t="s">
        <v>460</v>
      </c>
      <c r="B145" s="35" t="s">
        <v>461</v>
      </c>
      <c r="C145" s="35" t="s">
        <v>462</v>
      </c>
      <c r="D145" s="35" t="s">
        <v>93</v>
      </c>
      <c r="E145" s="35" t="s">
        <v>133</v>
      </c>
      <c r="F145" s="35" t="s">
        <v>95</v>
      </c>
      <c r="G145" s="35" t="s">
        <v>96</v>
      </c>
      <c r="H145" s="37">
        <v>0.07512013</v>
      </c>
      <c r="I145" s="37">
        <v>1962078.0</v>
      </c>
      <c r="J145" s="37">
        <v>2285820.87</v>
      </c>
      <c r="K145" s="37">
        <v>2285820.87</v>
      </c>
      <c r="L145" s="36"/>
    </row>
    <row r="146">
      <c r="A146" s="35" t="s">
        <v>463</v>
      </c>
      <c r="B146" s="37">
        <v>6714394.0</v>
      </c>
      <c r="C146" s="35" t="s">
        <v>464</v>
      </c>
      <c r="D146" s="35" t="s">
        <v>93</v>
      </c>
      <c r="E146" s="35" t="s">
        <v>99</v>
      </c>
      <c r="F146" s="35" t="s">
        <v>95</v>
      </c>
      <c r="G146" s="35" t="s">
        <v>96</v>
      </c>
      <c r="H146" s="37">
        <v>0.07444041</v>
      </c>
      <c r="I146" s="37">
        <v>781082.0</v>
      </c>
      <c r="J146" s="37">
        <v>2265137.8</v>
      </c>
      <c r="K146" s="37">
        <v>2265137.8</v>
      </c>
      <c r="L146" s="36"/>
    </row>
    <row r="147">
      <c r="A147" s="35" t="s">
        <v>465</v>
      </c>
      <c r="B147" s="35" t="s">
        <v>466</v>
      </c>
      <c r="C147" s="35" t="s">
        <v>467</v>
      </c>
      <c r="D147" s="35" t="s">
        <v>93</v>
      </c>
      <c r="E147" s="35" t="s">
        <v>127</v>
      </c>
      <c r="F147" s="35" t="s">
        <v>95</v>
      </c>
      <c r="G147" s="35" t="s">
        <v>96</v>
      </c>
      <c r="H147" s="37">
        <v>0.07434161</v>
      </c>
      <c r="I147" s="37">
        <v>816654.0</v>
      </c>
      <c r="J147" s="37">
        <v>2262131.58</v>
      </c>
      <c r="K147" s="37">
        <v>2262131.58</v>
      </c>
      <c r="L147" s="36"/>
    </row>
    <row r="148">
      <c r="A148" s="35" t="s">
        <v>468</v>
      </c>
      <c r="B148" s="35" t="s">
        <v>469</v>
      </c>
      <c r="C148" s="35" t="s">
        <v>470</v>
      </c>
      <c r="D148" s="35" t="s">
        <v>93</v>
      </c>
      <c r="E148" s="35" t="s">
        <v>99</v>
      </c>
      <c r="F148" s="35" t="s">
        <v>95</v>
      </c>
      <c r="G148" s="35" t="s">
        <v>96</v>
      </c>
      <c r="H148" s="37">
        <v>0.07401941</v>
      </c>
      <c r="I148" s="37">
        <v>163449.0</v>
      </c>
      <c r="J148" s="37">
        <v>2252327.22</v>
      </c>
      <c r="K148" s="37">
        <v>2252327.22</v>
      </c>
      <c r="L148" s="36"/>
    </row>
    <row r="149">
      <c r="A149" s="35" t="s">
        <v>471</v>
      </c>
      <c r="B149" s="35" t="s">
        <v>472</v>
      </c>
      <c r="C149" s="35" t="s">
        <v>473</v>
      </c>
      <c r="D149" s="35" t="s">
        <v>93</v>
      </c>
      <c r="E149" s="35" t="s">
        <v>133</v>
      </c>
      <c r="F149" s="35" t="s">
        <v>95</v>
      </c>
      <c r="G149" s="35" t="s">
        <v>96</v>
      </c>
      <c r="H149" s="37">
        <v>0.07374683</v>
      </c>
      <c r="I149" s="37">
        <v>169617.0</v>
      </c>
      <c r="J149" s="37">
        <v>2244032.91</v>
      </c>
      <c r="K149" s="37">
        <v>2244032.91</v>
      </c>
      <c r="L149" s="36"/>
    </row>
    <row r="150">
      <c r="A150" s="35" t="s">
        <v>474</v>
      </c>
      <c r="B150" s="35" t="s">
        <v>475</v>
      </c>
      <c r="C150" s="35" t="s">
        <v>476</v>
      </c>
      <c r="D150" s="35" t="s">
        <v>93</v>
      </c>
      <c r="E150" s="35" t="s">
        <v>121</v>
      </c>
      <c r="F150" s="35" t="s">
        <v>95</v>
      </c>
      <c r="G150" s="35" t="s">
        <v>96</v>
      </c>
      <c r="H150" s="37">
        <v>0.07359589</v>
      </c>
      <c r="I150" s="37">
        <v>288960.0</v>
      </c>
      <c r="J150" s="37">
        <v>2239440.0</v>
      </c>
      <c r="K150" s="37">
        <v>2239440.0</v>
      </c>
      <c r="L150" s="36"/>
    </row>
    <row r="151">
      <c r="A151" s="35" t="s">
        <v>477</v>
      </c>
      <c r="B151" s="37">
        <v>6102331.0</v>
      </c>
      <c r="C151" s="35" t="s">
        <v>478</v>
      </c>
      <c r="D151" s="35" t="s">
        <v>93</v>
      </c>
      <c r="E151" s="35" t="s">
        <v>124</v>
      </c>
      <c r="F151" s="35" t="s">
        <v>95</v>
      </c>
      <c r="G151" s="35" t="s">
        <v>96</v>
      </c>
      <c r="H151" s="37">
        <v>0.07314279</v>
      </c>
      <c r="I151" s="37">
        <v>300358.0</v>
      </c>
      <c r="J151" s="37">
        <v>2225652.78</v>
      </c>
      <c r="K151" s="37">
        <v>2225652.78</v>
      </c>
      <c r="L151" s="36"/>
    </row>
    <row r="152">
      <c r="A152" s="35" t="s">
        <v>479</v>
      </c>
      <c r="B152" s="37">
        <v>6715267.0</v>
      </c>
      <c r="C152" s="35" t="s">
        <v>480</v>
      </c>
      <c r="D152" s="35" t="s">
        <v>93</v>
      </c>
      <c r="E152" s="35" t="s">
        <v>118</v>
      </c>
      <c r="F152" s="35" t="s">
        <v>95</v>
      </c>
      <c r="G152" s="35" t="s">
        <v>96</v>
      </c>
      <c r="H152" s="37">
        <v>0.06995602</v>
      </c>
      <c r="I152" s="37">
        <v>171116.0</v>
      </c>
      <c r="J152" s="37">
        <v>2128683.04</v>
      </c>
      <c r="K152" s="37">
        <v>2128683.04</v>
      </c>
      <c r="L152" s="36"/>
    </row>
    <row r="153">
      <c r="A153" s="35" t="s">
        <v>481</v>
      </c>
      <c r="B153" s="37">
        <v>6476542.0</v>
      </c>
      <c r="C153" s="35" t="s">
        <v>482</v>
      </c>
      <c r="D153" s="35" t="s">
        <v>93</v>
      </c>
      <c r="E153" s="35" t="s">
        <v>94</v>
      </c>
      <c r="F153" s="35" t="s">
        <v>95</v>
      </c>
      <c r="G153" s="35" t="s">
        <v>96</v>
      </c>
      <c r="H153" s="37">
        <v>0.06888318</v>
      </c>
      <c r="I153" s="37">
        <v>1072142.0</v>
      </c>
      <c r="J153" s="37">
        <v>2096037.61</v>
      </c>
      <c r="K153" s="37">
        <v>2096037.61</v>
      </c>
      <c r="L153" s="36"/>
    </row>
    <row r="154">
      <c r="A154" s="35" t="s">
        <v>483</v>
      </c>
      <c r="B154" s="35" t="s">
        <v>484</v>
      </c>
      <c r="C154" s="35" t="s">
        <v>485</v>
      </c>
      <c r="D154" s="35" t="s">
        <v>93</v>
      </c>
      <c r="E154" s="35" t="s">
        <v>102</v>
      </c>
      <c r="F154" s="35" t="s">
        <v>95</v>
      </c>
      <c r="G154" s="35" t="s">
        <v>96</v>
      </c>
      <c r="H154" s="37">
        <v>0.06883125</v>
      </c>
      <c r="I154" s="37">
        <v>673459.0</v>
      </c>
      <c r="J154" s="37">
        <v>2094457.49</v>
      </c>
      <c r="K154" s="37">
        <v>2094457.49</v>
      </c>
      <c r="L154" s="36"/>
    </row>
    <row r="155">
      <c r="A155" s="35" t="s">
        <v>486</v>
      </c>
      <c r="B155" s="37">
        <v>6102267.0</v>
      </c>
      <c r="C155" s="35" t="s">
        <v>487</v>
      </c>
      <c r="D155" s="35" t="s">
        <v>93</v>
      </c>
      <c r="E155" s="35" t="s">
        <v>124</v>
      </c>
      <c r="F155" s="35" t="s">
        <v>95</v>
      </c>
      <c r="G155" s="35" t="s">
        <v>96</v>
      </c>
      <c r="H155" s="37">
        <v>0.06768943</v>
      </c>
      <c r="I155" s="37">
        <v>21863.0</v>
      </c>
      <c r="J155" s="37">
        <v>2059713.23</v>
      </c>
      <c r="K155" s="37">
        <v>2059713.23</v>
      </c>
      <c r="L155" s="36"/>
    </row>
    <row r="156">
      <c r="A156" s="35" t="s">
        <v>488</v>
      </c>
      <c r="B156" s="35" t="s">
        <v>489</v>
      </c>
      <c r="C156" s="35" t="s">
        <v>490</v>
      </c>
      <c r="D156" s="35" t="s">
        <v>93</v>
      </c>
      <c r="E156" s="35" t="s">
        <v>121</v>
      </c>
      <c r="F156" s="35" t="s">
        <v>95</v>
      </c>
      <c r="G156" s="35" t="s">
        <v>96</v>
      </c>
      <c r="H156" s="37">
        <v>0.06722741</v>
      </c>
      <c r="I156" s="37">
        <v>166720.0</v>
      </c>
      <c r="J156" s="37">
        <v>2045654.4</v>
      </c>
      <c r="K156" s="37">
        <v>2045654.4</v>
      </c>
      <c r="L156" s="36"/>
    </row>
    <row r="157">
      <c r="A157" s="35" t="s">
        <v>491</v>
      </c>
      <c r="B157" s="37">
        <v>6586872.0</v>
      </c>
      <c r="C157" s="35" t="s">
        <v>492</v>
      </c>
      <c r="D157" s="35" t="s">
        <v>93</v>
      </c>
      <c r="E157" s="35" t="s">
        <v>94</v>
      </c>
      <c r="F157" s="35" t="s">
        <v>95</v>
      </c>
      <c r="G157" s="35" t="s">
        <v>96</v>
      </c>
      <c r="H157" s="37">
        <v>0.06643423</v>
      </c>
      <c r="I157" s="37">
        <v>1394151.0</v>
      </c>
      <c r="J157" s="37">
        <v>2021518.95</v>
      </c>
      <c r="K157" s="37">
        <v>2021518.95</v>
      </c>
      <c r="L157" s="36"/>
    </row>
    <row r="158">
      <c r="A158" s="35" t="s">
        <v>493</v>
      </c>
      <c r="B158" s="35" t="s">
        <v>494</v>
      </c>
      <c r="C158" s="35" t="s">
        <v>495</v>
      </c>
      <c r="D158" s="35" t="s">
        <v>93</v>
      </c>
      <c r="E158" s="35" t="s">
        <v>133</v>
      </c>
      <c r="F158" s="35" t="s">
        <v>95</v>
      </c>
      <c r="G158" s="35" t="s">
        <v>96</v>
      </c>
      <c r="H158" s="37">
        <v>0.06568967</v>
      </c>
      <c r="I158" s="37">
        <v>494768.0</v>
      </c>
      <c r="J158" s="37">
        <v>1998862.72</v>
      </c>
      <c r="K158" s="37">
        <v>1998862.72</v>
      </c>
      <c r="L158" s="36"/>
    </row>
    <row r="159">
      <c r="A159" s="35" t="s">
        <v>496</v>
      </c>
      <c r="B159" s="35" t="s">
        <v>497</v>
      </c>
      <c r="C159" s="35" t="s">
        <v>498</v>
      </c>
      <c r="D159" s="35" t="s">
        <v>93</v>
      </c>
      <c r="E159" s="35" t="s">
        <v>118</v>
      </c>
      <c r="F159" s="35" t="s">
        <v>95</v>
      </c>
      <c r="G159" s="35" t="s">
        <v>96</v>
      </c>
      <c r="H159" s="37">
        <v>0.06406483</v>
      </c>
      <c r="I159" s="37">
        <v>1856591.0</v>
      </c>
      <c r="J159" s="37">
        <v>1949420.55</v>
      </c>
      <c r="K159" s="37">
        <v>1949420.55</v>
      </c>
      <c r="L159" s="36"/>
    </row>
    <row r="160">
      <c r="A160" s="35" t="s">
        <v>499</v>
      </c>
      <c r="B160" s="35" t="s">
        <v>500</v>
      </c>
      <c r="C160" s="35" t="s">
        <v>501</v>
      </c>
      <c r="D160" s="35" t="s">
        <v>93</v>
      </c>
      <c r="E160" s="35" t="s">
        <v>94</v>
      </c>
      <c r="F160" s="35" t="s">
        <v>95</v>
      </c>
      <c r="G160" s="35" t="s">
        <v>96</v>
      </c>
      <c r="H160" s="37">
        <v>0.06405179</v>
      </c>
      <c r="I160" s="37">
        <v>1559219.0</v>
      </c>
      <c r="J160" s="37">
        <v>1949023.75</v>
      </c>
      <c r="K160" s="37">
        <v>1949023.75</v>
      </c>
      <c r="L160" s="36"/>
    </row>
    <row r="161">
      <c r="A161" s="35" t="s">
        <v>502</v>
      </c>
      <c r="B161" s="35" t="s">
        <v>503</v>
      </c>
      <c r="C161" s="35" t="s">
        <v>504</v>
      </c>
      <c r="D161" s="35" t="s">
        <v>93</v>
      </c>
      <c r="E161" s="35" t="s">
        <v>94</v>
      </c>
      <c r="F161" s="35" t="s">
        <v>95</v>
      </c>
      <c r="G161" s="35" t="s">
        <v>96</v>
      </c>
      <c r="H161" s="37">
        <v>0.06344868</v>
      </c>
      <c r="I161" s="37">
        <v>1295753.0</v>
      </c>
      <c r="J161" s="37">
        <v>1930671.97</v>
      </c>
      <c r="K161" s="37">
        <v>1930671.97</v>
      </c>
      <c r="L161" s="36"/>
    </row>
    <row r="162">
      <c r="A162" s="35" t="s">
        <v>505</v>
      </c>
      <c r="B162" s="35" t="s">
        <v>506</v>
      </c>
      <c r="C162" s="35" t="s">
        <v>507</v>
      </c>
      <c r="D162" s="35" t="s">
        <v>93</v>
      </c>
      <c r="E162" s="35" t="s">
        <v>94</v>
      </c>
      <c r="F162" s="35" t="s">
        <v>95</v>
      </c>
      <c r="G162" s="35" t="s">
        <v>96</v>
      </c>
      <c r="H162" s="37">
        <v>0.06249013</v>
      </c>
      <c r="I162" s="37">
        <v>1.0278401E7</v>
      </c>
      <c r="J162" s="37">
        <v>1901504.18</v>
      </c>
      <c r="K162" s="37">
        <v>1901504.18</v>
      </c>
      <c r="L162" s="36"/>
    </row>
    <row r="163">
      <c r="A163" s="35" t="s">
        <v>508</v>
      </c>
      <c r="B163" s="35" t="s">
        <v>509</v>
      </c>
      <c r="C163" s="35" t="s">
        <v>510</v>
      </c>
      <c r="D163" s="35" t="s">
        <v>93</v>
      </c>
      <c r="E163" s="35" t="s">
        <v>133</v>
      </c>
      <c r="F163" s="35" t="s">
        <v>95</v>
      </c>
      <c r="G163" s="35" t="s">
        <v>96</v>
      </c>
      <c r="H163" s="37">
        <v>0.0621471</v>
      </c>
      <c r="I163" s="37">
        <v>493751.0</v>
      </c>
      <c r="J163" s="37">
        <v>1891066.33</v>
      </c>
      <c r="K163" s="37">
        <v>1891066.33</v>
      </c>
      <c r="L163" s="36"/>
    </row>
    <row r="164">
      <c r="A164" s="35" t="s">
        <v>511</v>
      </c>
      <c r="B164" s="35" t="s">
        <v>512</v>
      </c>
      <c r="C164" s="35" t="s">
        <v>513</v>
      </c>
      <c r="D164" s="35" t="s">
        <v>93</v>
      </c>
      <c r="E164" s="35" t="s">
        <v>99</v>
      </c>
      <c r="F164" s="35" t="s">
        <v>95</v>
      </c>
      <c r="G164" s="35" t="s">
        <v>96</v>
      </c>
      <c r="H164" s="37">
        <v>0.05989456</v>
      </c>
      <c r="I164" s="37">
        <v>193064.0</v>
      </c>
      <c r="J164" s="37">
        <v>1822524.16</v>
      </c>
      <c r="K164" s="37">
        <v>1822524.16</v>
      </c>
      <c r="L164" s="36"/>
    </row>
    <row r="165">
      <c r="A165" s="35" t="s">
        <v>514</v>
      </c>
      <c r="B165" s="37">
        <v>6287658.0</v>
      </c>
      <c r="C165" s="35" t="s">
        <v>515</v>
      </c>
      <c r="D165" s="35" t="s">
        <v>93</v>
      </c>
      <c r="E165" s="35" t="s">
        <v>99</v>
      </c>
      <c r="F165" s="35" t="s">
        <v>95</v>
      </c>
      <c r="G165" s="35" t="s">
        <v>96</v>
      </c>
      <c r="H165" s="37">
        <v>0.05885566</v>
      </c>
      <c r="I165" s="37">
        <v>93765.0</v>
      </c>
      <c r="J165" s="37">
        <v>1790911.5</v>
      </c>
      <c r="K165" s="37">
        <v>1790911.5</v>
      </c>
      <c r="L165" s="36"/>
    </row>
    <row r="166">
      <c r="A166" s="35" t="s">
        <v>516</v>
      </c>
      <c r="B166" s="37">
        <v>6358004.0</v>
      </c>
      <c r="C166" s="35" t="s">
        <v>517</v>
      </c>
      <c r="D166" s="35" t="s">
        <v>93</v>
      </c>
      <c r="E166" s="35" t="s">
        <v>118</v>
      </c>
      <c r="F166" s="35" t="s">
        <v>95</v>
      </c>
      <c r="G166" s="35" t="s">
        <v>96</v>
      </c>
      <c r="H166" s="37">
        <v>0.05823242</v>
      </c>
      <c r="I166" s="37">
        <v>200220.0</v>
      </c>
      <c r="J166" s="37">
        <v>1771947.0</v>
      </c>
      <c r="K166" s="37">
        <v>1771947.0</v>
      </c>
      <c r="L166" s="36"/>
    </row>
    <row r="167">
      <c r="A167" s="35" t="s">
        <v>518</v>
      </c>
      <c r="B167" s="37">
        <v>6218670.0</v>
      </c>
      <c r="C167" s="35" t="s">
        <v>519</v>
      </c>
      <c r="D167" s="35" t="s">
        <v>93</v>
      </c>
      <c r="E167" s="35" t="s">
        <v>94</v>
      </c>
      <c r="F167" s="35" t="s">
        <v>95</v>
      </c>
      <c r="G167" s="35" t="s">
        <v>96</v>
      </c>
      <c r="H167" s="37">
        <v>0.05777578</v>
      </c>
      <c r="I167" s="37">
        <v>423627.0</v>
      </c>
      <c r="J167" s="37">
        <v>1758052.05</v>
      </c>
      <c r="K167" s="37">
        <v>1758052.05</v>
      </c>
      <c r="L167" s="36"/>
    </row>
    <row r="168">
      <c r="A168" s="35" t="s">
        <v>520</v>
      </c>
      <c r="B168" s="37">
        <v>6341617.0</v>
      </c>
      <c r="C168" s="35" t="s">
        <v>521</v>
      </c>
      <c r="D168" s="35" t="s">
        <v>93</v>
      </c>
      <c r="E168" s="35" t="s">
        <v>127</v>
      </c>
      <c r="F168" s="35" t="s">
        <v>95</v>
      </c>
      <c r="G168" s="35" t="s">
        <v>96</v>
      </c>
      <c r="H168" s="37">
        <v>0.05762596</v>
      </c>
      <c r="I168" s="37">
        <v>374678.0</v>
      </c>
      <c r="J168" s="37">
        <v>1753493.04</v>
      </c>
      <c r="K168" s="37">
        <v>1753493.04</v>
      </c>
      <c r="L168" s="36"/>
    </row>
    <row r="169">
      <c r="A169" s="35" t="s">
        <v>522</v>
      </c>
      <c r="B169" s="35" t="s">
        <v>523</v>
      </c>
      <c r="C169" s="35" t="s">
        <v>524</v>
      </c>
      <c r="D169" s="35" t="s">
        <v>93</v>
      </c>
      <c r="E169" s="35" t="s">
        <v>94</v>
      </c>
      <c r="F169" s="35" t="s">
        <v>95</v>
      </c>
      <c r="G169" s="35" t="s">
        <v>96</v>
      </c>
      <c r="H169" s="37">
        <v>0.05715486</v>
      </c>
      <c r="I169" s="37">
        <v>407297.0</v>
      </c>
      <c r="J169" s="37">
        <v>1739158.19</v>
      </c>
      <c r="K169" s="37">
        <v>1739158.19</v>
      </c>
      <c r="L169" s="36"/>
    </row>
    <row r="170">
      <c r="A170" s="35" t="s">
        <v>525</v>
      </c>
      <c r="B170" s="37">
        <v>6881500.0</v>
      </c>
      <c r="C170" s="35" t="s">
        <v>526</v>
      </c>
      <c r="D170" s="35" t="s">
        <v>93</v>
      </c>
      <c r="E170" s="35" t="s">
        <v>121</v>
      </c>
      <c r="F170" s="35" t="s">
        <v>95</v>
      </c>
      <c r="G170" s="35" t="s">
        <v>96</v>
      </c>
      <c r="H170" s="37">
        <v>0.05427904</v>
      </c>
      <c r="I170" s="37">
        <v>357500.0</v>
      </c>
      <c r="J170" s="37">
        <v>1651650.0</v>
      </c>
      <c r="K170" s="37">
        <v>1651650.0</v>
      </c>
      <c r="L170" s="36"/>
    </row>
    <row r="171">
      <c r="A171" s="35" t="s">
        <v>527</v>
      </c>
      <c r="B171" s="35" t="s">
        <v>528</v>
      </c>
      <c r="C171" s="35" t="s">
        <v>529</v>
      </c>
      <c r="D171" s="35" t="s">
        <v>93</v>
      </c>
      <c r="E171" s="35" t="s">
        <v>99</v>
      </c>
      <c r="F171" s="35" t="s">
        <v>95</v>
      </c>
      <c r="G171" s="35" t="s">
        <v>96</v>
      </c>
      <c r="H171" s="37">
        <v>0.05328987</v>
      </c>
      <c r="I171" s="37">
        <v>1088289.0</v>
      </c>
      <c r="J171" s="37">
        <v>1621550.61</v>
      </c>
      <c r="K171" s="37">
        <v>1621550.61</v>
      </c>
      <c r="L171" s="36"/>
    </row>
    <row r="172">
      <c r="A172" s="35" t="s">
        <v>530</v>
      </c>
      <c r="B172" s="35" t="s">
        <v>531</v>
      </c>
      <c r="C172" s="35" t="s">
        <v>532</v>
      </c>
      <c r="D172" s="35" t="s">
        <v>93</v>
      </c>
      <c r="E172" s="35" t="s">
        <v>99</v>
      </c>
      <c r="F172" s="35" t="s">
        <v>95</v>
      </c>
      <c r="G172" s="35" t="s">
        <v>96</v>
      </c>
      <c r="H172" s="37">
        <v>0.05313663</v>
      </c>
      <c r="I172" s="37">
        <v>187574.0</v>
      </c>
      <c r="J172" s="37">
        <v>1616887.88</v>
      </c>
      <c r="K172" s="37">
        <v>1616887.88</v>
      </c>
      <c r="L172" s="36"/>
    </row>
    <row r="173">
      <c r="A173" s="35" t="s">
        <v>533</v>
      </c>
      <c r="B173" s="35" t="s">
        <v>534</v>
      </c>
      <c r="C173" s="35" t="s">
        <v>535</v>
      </c>
      <c r="D173" s="35" t="s">
        <v>93</v>
      </c>
      <c r="E173" s="35" t="s">
        <v>167</v>
      </c>
      <c r="F173" s="35" t="s">
        <v>95</v>
      </c>
      <c r="G173" s="35" t="s">
        <v>96</v>
      </c>
      <c r="H173" s="37">
        <v>0.05265052</v>
      </c>
      <c r="I173" s="37">
        <v>213898.0</v>
      </c>
      <c r="J173" s="37">
        <v>1602096.02</v>
      </c>
      <c r="K173" s="37">
        <v>1602096.02</v>
      </c>
      <c r="L173" s="36"/>
    </row>
    <row r="174">
      <c r="A174" s="35" t="s">
        <v>536</v>
      </c>
      <c r="B174" s="37">
        <v>6600471.0</v>
      </c>
      <c r="C174" s="35" t="s">
        <v>537</v>
      </c>
      <c r="D174" s="35" t="s">
        <v>93</v>
      </c>
      <c r="E174" s="35" t="s">
        <v>127</v>
      </c>
      <c r="F174" s="35" t="s">
        <v>95</v>
      </c>
      <c r="G174" s="35" t="s">
        <v>96</v>
      </c>
      <c r="H174" s="37">
        <v>0.05223693</v>
      </c>
      <c r="I174" s="37">
        <v>129439.0</v>
      </c>
      <c r="J174" s="37">
        <v>1589510.92</v>
      </c>
      <c r="K174" s="37">
        <v>1589510.92</v>
      </c>
      <c r="L174" s="36"/>
    </row>
    <row r="175">
      <c r="A175" s="35" t="s">
        <v>538</v>
      </c>
      <c r="B175" s="35" t="s">
        <v>539</v>
      </c>
      <c r="C175" s="35" t="s">
        <v>540</v>
      </c>
      <c r="D175" s="35" t="s">
        <v>93</v>
      </c>
      <c r="E175" s="35" t="s">
        <v>102</v>
      </c>
      <c r="F175" s="35" t="s">
        <v>95</v>
      </c>
      <c r="G175" s="35" t="s">
        <v>96</v>
      </c>
      <c r="H175" s="37">
        <v>0.05190204</v>
      </c>
      <c r="I175" s="37">
        <v>341106.0</v>
      </c>
      <c r="J175" s="37">
        <v>1579320.78</v>
      </c>
      <c r="K175" s="37">
        <v>1579320.78</v>
      </c>
      <c r="L175" s="36"/>
    </row>
    <row r="176">
      <c r="A176" s="35" t="s">
        <v>541</v>
      </c>
      <c r="B176" s="35" t="s">
        <v>542</v>
      </c>
      <c r="C176" s="35" t="s">
        <v>543</v>
      </c>
      <c r="D176" s="35" t="s">
        <v>93</v>
      </c>
      <c r="E176" s="35" t="s">
        <v>124</v>
      </c>
      <c r="F176" s="35" t="s">
        <v>95</v>
      </c>
      <c r="G176" s="35" t="s">
        <v>96</v>
      </c>
      <c r="H176" s="37">
        <v>0.05125511</v>
      </c>
      <c r="I176" s="37">
        <v>545327.0</v>
      </c>
      <c r="J176" s="37">
        <v>1559635.22</v>
      </c>
      <c r="K176" s="37">
        <v>1559635.22</v>
      </c>
      <c r="L176" s="36"/>
    </row>
    <row r="177">
      <c r="A177" s="35" t="s">
        <v>544</v>
      </c>
      <c r="B177" s="35" t="s">
        <v>545</v>
      </c>
      <c r="C177" s="35" t="s">
        <v>546</v>
      </c>
      <c r="D177" s="35" t="s">
        <v>93</v>
      </c>
      <c r="E177" s="35" t="s">
        <v>118</v>
      </c>
      <c r="F177" s="35" t="s">
        <v>95</v>
      </c>
      <c r="G177" s="35" t="s">
        <v>96</v>
      </c>
      <c r="H177" s="37">
        <v>0.05087048</v>
      </c>
      <c r="I177" s="37">
        <v>82293.0</v>
      </c>
      <c r="J177" s="37">
        <v>1547931.33</v>
      </c>
      <c r="K177" s="37">
        <v>1547931.33</v>
      </c>
      <c r="L177" s="36"/>
    </row>
    <row r="178">
      <c r="A178" s="35" t="s">
        <v>547</v>
      </c>
      <c r="B178" s="37">
        <v>6565707.0</v>
      </c>
      <c r="C178" s="35" t="s">
        <v>548</v>
      </c>
      <c r="D178" s="35" t="s">
        <v>93</v>
      </c>
      <c r="E178" s="35" t="s">
        <v>133</v>
      </c>
      <c r="F178" s="35" t="s">
        <v>95</v>
      </c>
      <c r="G178" s="35" t="s">
        <v>96</v>
      </c>
      <c r="H178" s="37">
        <v>0.05060506</v>
      </c>
      <c r="I178" s="37">
        <v>596843.0</v>
      </c>
      <c r="J178" s="37">
        <v>1539854.94</v>
      </c>
      <c r="K178" s="37">
        <v>1539854.94</v>
      </c>
      <c r="L178" s="36"/>
    </row>
    <row r="179">
      <c r="A179" s="35" t="s">
        <v>549</v>
      </c>
      <c r="B179" s="37">
        <v>6518745.0</v>
      </c>
      <c r="C179" s="35" t="s">
        <v>550</v>
      </c>
      <c r="D179" s="35" t="s">
        <v>93</v>
      </c>
      <c r="E179" s="35" t="s">
        <v>133</v>
      </c>
      <c r="F179" s="35" t="s">
        <v>95</v>
      </c>
      <c r="G179" s="35" t="s">
        <v>96</v>
      </c>
      <c r="H179" s="37">
        <v>0.05035544</v>
      </c>
      <c r="I179" s="37">
        <v>928642.0</v>
      </c>
      <c r="J179" s="37">
        <v>1532259.3</v>
      </c>
      <c r="K179" s="37">
        <v>1532259.3</v>
      </c>
      <c r="L179" s="36"/>
    </row>
    <row r="180">
      <c r="A180" s="35" t="s">
        <v>551</v>
      </c>
      <c r="B180" s="35" t="s">
        <v>552</v>
      </c>
      <c r="C180" s="35" t="s">
        <v>553</v>
      </c>
      <c r="D180" s="35" t="s">
        <v>93</v>
      </c>
      <c r="E180" s="35" t="s">
        <v>115</v>
      </c>
      <c r="F180" s="35" t="s">
        <v>95</v>
      </c>
      <c r="G180" s="35" t="s">
        <v>96</v>
      </c>
      <c r="H180" s="37">
        <v>0.04934084</v>
      </c>
      <c r="I180" s="37">
        <v>321496.0</v>
      </c>
      <c r="J180" s="37">
        <v>1501386.32</v>
      </c>
      <c r="K180" s="37">
        <v>1501386.32</v>
      </c>
      <c r="L180" s="36"/>
    </row>
    <row r="181">
      <c r="A181" s="35" t="s">
        <v>554</v>
      </c>
      <c r="B181" s="35" t="s">
        <v>555</v>
      </c>
      <c r="C181" s="35" t="s">
        <v>556</v>
      </c>
      <c r="D181" s="35" t="s">
        <v>93</v>
      </c>
      <c r="E181" s="35" t="s">
        <v>115</v>
      </c>
      <c r="F181" s="35" t="s">
        <v>95</v>
      </c>
      <c r="G181" s="35" t="s">
        <v>96</v>
      </c>
      <c r="H181" s="37">
        <v>0.04909929</v>
      </c>
      <c r="I181" s="37">
        <v>747018.0</v>
      </c>
      <c r="J181" s="37">
        <v>1494036.0</v>
      </c>
      <c r="K181" s="37">
        <v>1494036.0</v>
      </c>
      <c r="L181" s="36"/>
    </row>
    <row r="182">
      <c r="A182" s="35" t="s">
        <v>557</v>
      </c>
      <c r="B182" s="37">
        <v>6137195.0</v>
      </c>
      <c r="C182" s="35" t="s">
        <v>558</v>
      </c>
      <c r="D182" s="35" t="s">
        <v>93</v>
      </c>
      <c r="E182" s="35" t="s">
        <v>133</v>
      </c>
      <c r="F182" s="35" t="s">
        <v>95</v>
      </c>
      <c r="G182" s="35" t="s">
        <v>96</v>
      </c>
      <c r="H182" s="37">
        <v>0.04864459</v>
      </c>
      <c r="I182" s="37">
        <v>102436.0</v>
      </c>
      <c r="J182" s="37">
        <v>1480200.2</v>
      </c>
      <c r="K182" s="37">
        <v>1480200.2</v>
      </c>
      <c r="L182" s="36"/>
    </row>
    <row r="183">
      <c r="A183" s="35" t="s">
        <v>559</v>
      </c>
      <c r="B183" s="35" t="s">
        <v>560</v>
      </c>
      <c r="C183" s="35" t="s">
        <v>561</v>
      </c>
      <c r="D183" s="35" t="s">
        <v>93</v>
      </c>
      <c r="E183" s="35" t="s">
        <v>127</v>
      </c>
      <c r="F183" s="35" t="s">
        <v>95</v>
      </c>
      <c r="G183" s="35" t="s">
        <v>96</v>
      </c>
      <c r="H183" s="37">
        <v>0.04699119</v>
      </c>
      <c r="I183" s="37">
        <v>731401.0</v>
      </c>
      <c r="J183" s="37">
        <v>1429888.96</v>
      </c>
      <c r="K183" s="37">
        <v>1429888.96</v>
      </c>
      <c r="L183" s="36"/>
    </row>
    <row r="184">
      <c r="A184" s="35" t="s">
        <v>562</v>
      </c>
      <c r="B184" s="35" t="s">
        <v>563</v>
      </c>
      <c r="C184" s="35" t="s">
        <v>564</v>
      </c>
      <c r="D184" s="35" t="s">
        <v>93</v>
      </c>
      <c r="E184" s="35" t="s">
        <v>99</v>
      </c>
      <c r="F184" s="35" t="s">
        <v>95</v>
      </c>
      <c r="G184" s="35" t="s">
        <v>96</v>
      </c>
      <c r="H184" s="37">
        <v>0.04695543</v>
      </c>
      <c r="I184" s="37">
        <v>1200673.0</v>
      </c>
      <c r="J184" s="37">
        <v>1428800.87</v>
      </c>
      <c r="K184" s="37">
        <v>1428800.87</v>
      </c>
      <c r="L184" s="36"/>
    </row>
    <row r="185">
      <c r="A185" s="35" t="s">
        <v>565</v>
      </c>
      <c r="B185" s="35" t="s">
        <v>566</v>
      </c>
      <c r="C185" s="35" t="s">
        <v>567</v>
      </c>
      <c r="D185" s="35" t="s">
        <v>93</v>
      </c>
      <c r="E185" s="35" t="s">
        <v>121</v>
      </c>
      <c r="F185" s="35" t="s">
        <v>95</v>
      </c>
      <c r="G185" s="35" t="s">
        <v>96</v>
      </c>
      <c r="H185" s="37">
        <v>0.04666728</v>
      </c>
      <c r="I185" s="37">
        <v>49513.0</v>
      </c>
      <c r="J185" s="37">
        <v>1420032.84</v>
      </c>
      <c r="K185" s="37">
        <v>1420032.84</v>
      </c>
      <c r="L185" s="36"/>
    </row>
    <row r="186">
      <c r="A186" s="35" t="s">
        <v>568</v>
      </c>
      <c r="B186" s="35" t="s">
        <v>569</v>
      </c>
      <c r="C186" s="35" t="s">
        <v>570</v>
      </c>
      <c r="D186" s="35" t="s">
        <v>93</v>
      </c>
      <c r="E186" s="35" t="s">
        <v>127</v>
      </c>
      <c r="F186" s="35" t="s">
        <v>95</v>
      </c>
      <c r="G186" s="35" t="s">
        <v>96</v>
      </c>
      <c r="H186" s="37">
        <v>0.04634215</v>
      </c>
      <c r="I186" s="37">
        <v>242292.0</v>
      </c>
      <c r="J186" s="37">
        <v>1410139.44</v>
      </c>
      <c r="K186" s="37">
        <v>1410139.44</v>
      </c>
      <c r="L186" s="36"/>
    </row>
    <row r="187">
      <c r="A187" s="35" t="s">
        <v>571</v>
      </c>
      <c r="B187" s="35" t="s">
        <v>572</v>
      </c>
      <c r="C187" s="35" t="s">
        <v>573</v>
      </c>
      <c r="D187" s="35" t="s">
        <v>93</v>
      </c>
      <c r="E187" s="35" t="s">
        <v>133</v>
      </c>
      <c r="F187" s="35" t="s">
        <v>95</v>
      </c>
      <c r="G187" s="35" t="s">
        <v>96</v>
      </c>
      <c r="H187" s="37">
        <v>0.04601572</v>
      </c>
      <c r="I187" s="37">
        <v>469868.0</v>
      </c>
      <c r="J187" s="37">
        <v>1400206.64</v>
      </c>
      <c r="K187" s="37">
        <v>1400206.64</v>
      </c>
      <c r="L187" s="36"/>
    </row>
    <row r="188">
      <c r="A188" s="35" t="s">
        <v>574</v>
      </c>
      <c r="B188" s="35" t="s">
        <v>575</v>
      </c>
      <c r="C188" s="35" t="s">
        <v>576</v>
      </c>
      <c r="D188" s="35" t="s">
        <v>93</v>
      </c>
      <c r="E188" s="35" t="s">
        <v>99</v>
      </c>
      <c r="F188" s="35" t="s">
        <v>95</v>
      </c>
      <c r="G188" s="35" t="s">
        <v>96</v>
      </c>
      <c r="H188" s="37">
        <v>0.04546973</v>
      </c>
      <c r="I188" s="37">
        <v>421827.0</v>
      </c>
      <c r="J188" s="37">
        <v>1383592.56</v>
      </c>
      <c r="K188" s="37">
        <v>1383592.56</v>
      </c>
      <c r="L188" s="36"/>
    </row>
    <row r="189">
      <c r="A189" s="35" t="s">
        <v>577</v>
      </c>
      <c r="B189" s="35" t="s">
        <v>578</v>
      </c>
      <c r="C189" s="35" t="s">
        <v>579</v>
      </c>
      <c r="D189" s="35" t="s">
        <v>93</v>
      </c>
      <c r="E189" s="35" t="s">
        <v>94</v>
      </c>
      <c r="F189" s="35" t="s">
        <v>95</v>
      </c>
      <c r="G189" s="35" t="s">
        <v>96</v>
      </c>
      <c r="H189" s="37">
        <v>0.04477771</v>
      </c>
      <c r="I189" s="37">
        <v>1310130.0</v>
      </c>
      <c r="J189" s="37">
        <v>1362535.2</v>
      </c>
      <c r="K189" s="37">
        <v>1362535.2</v>
      </c>
      <c r="L189" s="36"/>
    </row>
    <row r="190">
      <c r="A190" s="35" t="s">
        <v>580</v>
      </c>
      <c r="B190" s="37">
        <v>6462154.0</v>
      </c>
      <c r="C190" s="35" t="s">
        <v>581</v>
      </c>
      <c r="D190" s="35" t="s">
        <v>93</v>
      </c>
      <c r="E190" s="35" t="s">
        <v>94</v>
      </c>
      <c r="F190" s="35" t="s">
        <v>95</v>
      </c>
      <c r="G190" s="35" t="s">
        <v>96</v>
      </c>
      <c r="H190" s="37">
        <v>0.04441069</v>
      </c>
      <c r="I190" s="37">
        <v>711246.0</v>
      </c>
      <c r="J190" s="37">
        <v>1351367.4</v>
      </c>
      <c r="K190" s="37">
        <v>1351367.4</v>
      </c>
      <c r="L190" s="36"/>
    </row>
    <row r="191">
      <c r="A191" s="35" t="s">
        <v>582</v>
      </c>
      <c r="B191" s="37">
        <v>6357852.0</v>
      </c>
      <c r="C191" s="35" t="s">
        <v>583</v>
      </c>
      <c r="D191" s="35" t="s">
        <v>93</v>
      </c>
      <c r="E191" s="35" t="s">
        <v>124</v>
      </c>
      <c r="F191" s="35" t="s">
        <v>95</v>
      </c>
      <c r="G191" s="35" t="s">
        <v>96</v>
      </c>
      <c r="H191" s="37">
        <v>0.0437318</v>
      </c>
      <c r="I191" s="37">
        <v>219589.0</v>
      </c>
      <c r="J191" s="37">
        <v>1330709.34</v>
      </c>
      <c r="K191" s="37">
        <v>1330709.34</v>
      </c>
      <c r="L191" s="36"/>
    </row>
    <row r="192">
      <c r="A192" s="35" t="s">
        <v>584</v>
      </c>
      <c r="B192" s="35" t="s">
        <v>585</v>
      </c>
      <c r="C192" s="35" t="s">
        <v>586</v>
      </c>
      <c r="D192" s="35" t="s">
        <v>93</v>
      </c>
      <c r="E192" s="35" t="s">
        <v>102</v>
      </c>
      <c r="F192" s="35" t="s">
        <v>95</v>
      </c>
      <c r="G192" s="35" t="s">
        <v>96</v>
      </c>
      <c r="H192" s="37">
        <v>0.0436616</v>
      </c>
      <c r="I192" s="37">
        <v>882773.0</v>
      </c>
      <c r="J192" s="37">
        <v>1328573.36</v>
      </c>
      <c r="K192" s="37">
        <v>1328573.36</v>
      </c>
      <c r="L192" s="36"/>
    </row>
    <row r="193">
      <c r="A193" s="35" t="s">
        <v>587</v>
      </c>
      <c r="B193" s="35" t="s">
        <v>588</v>
      </c>
      <c r="C193" s="35" t="s">
        <v>589</v>
      </c>
      <c r="D193" s="35" t="s">
        <v>93</v>
      </c>
      <c r="E193" s="35" t="s">
        <v>124</v>
      </c>
      <c r="F193" s="35" t="s">
        <v>95</v>
      </c>
      <c r="G193" s="35" t="s">
        <v>96</v>
      </c>
      <c r="H193" s="37">
        <v>0.04176104</v>
      </c>
      <c r="I193" s="37">
        <v>470645.0</v>
      </c>
      <c r="J193" s="37">
        <v>1270741.5</v>
      </c>
      <c r="K193" s="37">
        <v>1270741.5</v>
      </c>
      <c r="L193" s="36"/>
    </row>
    <row r="194">
      <c r="A194" s="35" t="s">
        <v>590</v>
      </c>
      <c r="B194" s="35" t="s">
        <v>591</v>
      </c>
      <c r="C194" s="35" t="s">
        <v>592</v>
      </c>
      <c r="D194" s="35" t="s">
        <v>93</v>
      </c>
      <c r="E194" s="35" t="s">
        <v>121</v>
      </c>
      <c r="F194" s="35" t="s">
        <v>95</v>
      </c>
      <c r="G194" s="35" t="s">
        <v>96</v>
      </c>
      <c r="H194" s="37">
        <v>0.04100628</v>
      </c>
      <c r="I194" s="37">
        <v>358556.0</v>
      </c>
      <c r="J194" s="37">
        <v>1247774.88</v>
      </c>
      <c r="K194" s="37">
        <v>1247774.88</v>
      </c>
      <c r="L194" s="36"/>
    </row>
    <row r="195">
      <c r="A195" s="35" t="s">
        <v>593</v>
      </c>
      <c r="B195" s="35" t="s">
        <v>594</v>
      </c>
      <c r="C195" s="35" t="s">
        <v>595</v>
      </c>
      <c r="D195" s="35" t="s">
        <v>93</v>
      </c>
      <c r="E195" s="35" t="s">
        <v>118</v>
      </c>
      <c r="F195" s="35" t="s">
        <v>95</v>
      </c>
      <c r="G195" s="35" t="s">
        <v>96</v>
      </c>
      <c r="H195" s="37">
        <v>0.03917926</v>
      </c>
      <c r="I195" s="37">
        <v>155030.0</v>
      </c>
      <c r="J195" s="37">
        <v>1192180.7</v>
      </c>
      <c r="K195" s="37">
        <v>1192180.7</v>
      </c>
      <c r="L195" s="36"/>
    </row>
    <row r="196">
      <c r="A196" s="35" t="s">
        <v>596</v>
      </c>
      <c r="B196" s="35" t="s">
        <v>597</v>
      </c>
      <c r="C196" s="35" t="s">
        <v>598</v>
      </c>
      <c r="D196" s="35" t="s">
        <v>93</v>
      </c>
      <c r="E196" s="35" t="s">
        <v>124</v>
      </c>
      <c r="F196" s="35" t="s">
        <v>95</v>
      </c>
      <c r="G196" s="35" t="s">
        <v>96</v>
      </c>
      <c r="H196" s="37">
        <v>0.03794653</v>
      </c>
      <c r="I196" s="37">
        <v>327102.0</v>
      </c>
      <c r="J196" s="37">
        <v>1154670.06</v>
      </c>
      <c r="K196" s="37">
        <v>1154670.06</v>
      </c>
      <c r="L196" s="36"/>
    </row>
    <row r="197">
      <c r="A197" s="35" t="s">
        <v>599</v>
      </c>
      <c r="B197" s="35" t="s">
        <v>600</v>
      </c>
      <c r="C197" s="35" t="s">
        <v>601</v>
      </c>
      <c r="D197" s="35" t="s">
        <v>93</v>
      </c>
      <c r="E197" s="35" t="s">
        <v>133</v>
      </c>
      <c r="F197" s="35" t="s">
        <v>95</v>
      </c>
      <c r="G197" s="35" t="s">
        <v>96</v>
      </c>
      <c r="H197" s="37">
        <v>0.03678126</v>
      </c>
      <c r="I197" s="37">
        <v>384609.0</v>
      </c>
      <c r="J197" s="37">
        <v>1119212.19</v>
      </c>
      <c r="K197" s="37">
        <v>1119212.19</v>
      </c>
      <c r="L197" s="36"/>
    </row>
    <row r="198">
      <c r="A198" s="35" t="s">
        <v>602</v>
      </c>
      <c r="B198" s="35" t="s">
        <v>603</v>
      </c>
      <c r="C198" s="35" t="s">
        <v>604</v>
      </c>
      <c r="D198" s="35" t="s">
        <v>93</v>
      </c>
      <c r="E198" s="35" t="s">
        <v>94</v>
      </c>
      <c r="F198" s="35" t="s">
        <v>95</v>
      </c>
      <c r="G198" s="35" t="s">
        <v>96</v>
      </c>
      <c r="H198" s="37">
        <v>0.03616184</v>
      </c>
      <c r="I198" s="37">
        <v>1279493.0</v>
      </c>
      <c r="J198" s="37">
        <v>1100363.98</v>
      </c>
      <c r="K198" s="37">
        <v>1100363.98</v>
      </c>
      <c r="L198" s="36"/>
    </row>
    <row r="199">
      <c r="A199" s="35" t="s">
        <v>605</v>
      </c>
      <c r="B199" s="35" t="s">
        <v>606</v>
      </c>
      <c r="C199" s="35" t="s">
        <v>607</v>
      </c>
      <c r="D199" s="35" t="s">
        <v>93</v>
      </c>
      <c r="E199" s="35" t="s">
        <v>99</v>
      </c>
      <c r="F199" s="35" t="s">
        <v>95</v>
      </c>
      <c r="G199" s="35" t="s">
        <v>96</v>
      </c>
      <c r="H199" s="37">
        <v>0.03304102</v>
      </c>
      <c r="I199" s="37">
        <v>589678.0</v>
      </c>
      <c r="J199" s="37">
        <v>1005400.99</v>
      </c>
      <c r="K199" s="37">
        <v>1005400.99</v>
      </c>
      <c r="L199" s="36"/>
    </row>
    <row r="200">
      <c r="A200" s="35" t="s">
        <v>608</v>
      </c>
      <c r="B200" s="37">
        <v>6397267.0</v>
      </c>
      <c r="C200" s="35" t="s">
        <v>609</v>
      </c>
      <c r="D200" s="35" t="s">
        <v>93</v>
      </c>
      <c r="E200" s="35" t="s">
        <v>94</v>
      </c>
      <c r="F200" s="35" t="s">
        <v>95</v>
      </c>
      <c r="G200" s="35" t="s">
        <v>96</v>
      </c>
      <c r="H200" s="37">
        <v>0.02914323</v>
      </c>
      <c r="I200" s="37">
        <v>1866938.0</v>
      </c>
      <c r="J200" s="37">
        <v>886795.55</v>
      </c>
      <c r="K200" s="37">
        <v>886795.55</v>
      </c>
      <c r="L200" s="36"/>
    </row>
    <row r="201">
      <c r="A201" s="35" t="s">
        <v>610</v>
      </c>
      <c r="B201" s="35" t="s">
        <v>611</v>
      </c>
      <c r="C201" s="35" t="s">
        <v>612</v>
      </c>
      <c r="D201" s="35" t="s">
        <v>93</v>
      </c>
      <c r="E201" s="35" t="s">
        <v>102</v>
      </c>
      <c r="F201" s="35" t="s">
        <v>95</v>
      </c>
      <c r="G201" s="35" t="s">
        <v>96</v>
      </c>
      <c r="H201" s="37">
        <v>2.4486E-4</v>
      </c>
      <c r="I201" s="37">
        <v>158526.0</v>
      </c>
      <c r="J201" s="37">
        <v>7450.72</v>
      </c>
      <c r="K201" s="37">
        <v>7450.72</v>
      </c>
      <c r="L201" s="36"/>
    </row>
    <row r="202">
      <c r="A202" s="35" t="s">
        <v>613</v>
      </c>
      <c r="B202" s="36"/>
      <c r="C202" s="35" t="s">
        <v>614</v>
      </c>
      <c r="D202" s="35" t="s">
        <v>615</v>
      </c>
      <c r="E202" s="36"/>
      <c r="F202" s="36"/>
      <c r="G202" s="35" t="s">
        <v>96</v>
      </c>
      <c r="H202" s="36"/>
      <c r="I202" s="37">
        <v>84.0</v>
      </c>
      <c r="J202" s="36"/>
      <c r="K202" s="37">
        <v>1.51809E7</v>
      </c>
      <c r="L202" s="36"/>
    </row>
    <row r="203">
      <c r="A203" s="35" t="s">
        <v>96</v>
      </c>
      <c r="B203" s="36"/>
      <c r="C203" s="35" t="s">
        <v>616</v>
      </c>
      <c r="D203" s="35" t="s">
        <v>617</v>
      </c>
      <c r="E203" s="36"/>
      <c r="F203" s="36"/>
      <c r="G203" s="35" t="s">
        <v>96</v>
      </c>
      <c r="H203" s="37">
        <v>0.5173428</v>
      </c>
      <c r="I203" s="37">
        <v>1.57421591E7</v>
      </c>
      <c r="J203" s="37">
        <v>1.57421591E7</v>
      </c>
      <c r="K203" s="37">
        <v>1.57421591E7</v>
      </c>
      <c r="L203" s="36"/>
    </row>
    <row r="204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</row>
    <row r="205">
      <c r="A205" s="35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</row>
    <row r="206">
      <c r="A206" s="35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</row>
    <row r="207">
      <c r="A207" s="35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</row>
    <row r="208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</row>
    <row r="209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</row>
    <row r="210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</row>
    <row r="21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</row>
    <row r="212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</row>
    <row r="213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</row>
    <row r="214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</row>
    <row r="21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</row>
    <row r="216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</row>
    <row r="217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</row>
    <row r="218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</row>
    <row r="219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</row>
    <row r="220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</row>
    <row r="22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</row>
    <row r="222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</row>
    <row r="223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</row>
    <row r="224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</row>
    <row r="2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</row>
    <row r="226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</row>
    <row r="227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</row>
    <row r="228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</row>
    <row r="229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</row>
    <row r="230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</row>
    <row r="23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</row>
    <row r="232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</row>
    <row r="233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</row>
    <row r="234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</row>
    <row r="2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</row>
    <row r="236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</row>
    <row r="237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</row>
    <row r="238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</row>
    <row r="239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</row>
    <row r="240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</row>
    <row r="24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</row>
    <row r="242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</row>
    <row r="243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</row>
    <row r="244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</row>
    <row r="24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</row>
    <row r="246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</row>
    <row r="247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</row>
    <row r="248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</row>
    <row r="249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</row>
    <row r="250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</row>
    <row r="25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</row>
    <row r="252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</row>
    <row r="253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</row>
    <row r="254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</row>
    <row r="25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</row>
    <row r="256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</row>
    <row r="257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</row>
    <row r="258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</row>
    <row r="259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</row>
    <row r="260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</row>
    <row r="26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</row>
    <row r="262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</row>
    <row r="263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</row>
    <row r="264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</row>
    <row r="26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</row>
    <row r="266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</row>
    <row r="267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</row>
    <row r="268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</row>
    <row r="269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</row>
    <row r="270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</row>
    <row r="27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</row>
    <row r="272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</row>
    <row r="273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</row>
    <row r="274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</row>
    <row r="2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</row>
    <row r="276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</row>
    <row r="277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</row>
    <row r="278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</row>
    <row r="279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</row>
    <row r="280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</row>
    <row r="28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</row>
    <row r="282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</row>
    <row r="283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</row>
    <row r="284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</row>
    <row r="28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</row>
    <row r="286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</row>
    <row r="287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</row>
    <row r="288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</row>
    <row r="289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</row>
    <row r="290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</row>
    <row r="29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</row>
    <row r="29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</row>
    <row r="293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</row>
    <row r="294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</row>
    <row r="29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</row>
    <row r="296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</row>
    <row r="297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</row>
    <row r="298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</row>
    <row r="299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</row>
    <row r="300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</row>
    <row r="30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</row>
    <row r="302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</row>
    <row r="303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  <row r="313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</row>
    <row r="314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</row>
    <row r="31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</row>
    <row r="316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</row>
    <row r="317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</row>
    <row r="318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</row>
    <row r="319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</row>
    <row r="320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</row>
    <row r="32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</row>
    <row r="322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</row>
    <row r="323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</row>
    <row r="324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</row>
    <row r="3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</row>
    <row r="326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</row>
    <row r="327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</row>
    <row r="328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</row>
    <row r="329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</row>
    <row r="330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</row>
    <row r="33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</row>
    <row r="332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</row>
    <row r="333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</row>
    <row r="334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</row>
    <row r="3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</row>
    <row r="336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</row>
    <row r="337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</row>
    <row r="338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</row>
    <row r="339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</row>
    <row r="340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</row>
    <row r="34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</row>
    <row r="342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</row>
    <row r="343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</row>
    <row r="344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</row>
    <row r="34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</row>
    <row r="346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</row>
    <row r="347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</row>
    <row r="348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</row>
    <row r="349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</row>
    <row r="350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</row>
    <row r="35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</row>
    <row r="352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</row>
    <row r="353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</row>
    <row r="354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</row>
    <row r="35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</row>
    <row r="356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</row>
    <row r="357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</row>
    <row r="358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</row>
    <row r="359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</row>
    <row r="360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</row>
    <row r="36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</row>
    <row r="362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</row>
    <row r="363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</row>
    <row r="364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</row>
    <row r="36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</row>
    <row r="366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</row>
    <row r="367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</row>
    <row r="368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</row>
    <row r="369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</row>
    <row r="370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</row>
    <row r="37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</row>
    <row r="372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</row>
    <row r="373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</row>
    <row r="374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</row>
    <row r="3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</row>
    <row r="376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</row>
    <row r="377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</row>
    <row r="378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</row>
    <row r="379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</row>
    <row r="380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</row>
    <row r="38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</row>
    <row r="382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</row>
    <row r="383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</row>
    <row r="384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</row>
    <row r="38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</row>
    <row r="386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</row>
    <row r="387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</row>
    <row r="388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</row>
    <row r="389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</row>
    <row r="390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</row>
    <row r="39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</row>
    <row r="392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</row>
    <row r="393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</row>
    <row r="394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</row>
    <row r="39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</row>
    <row r="396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</row>
    <row r="397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</row>
    <row r="398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</row>
    <row r="399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</row>
    <row r="400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</row>
    <row r="40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</row>
    <row r="402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</row>
    <row r="403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</row>
    <row r="404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</row>
    <row r="40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</row>
    <row r="406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</row>
    <row r="407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</row>
    <row r="408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</row>
    <row r="409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</row>
    <row r="410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</row>
    <row r="41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</row>
    <row r="412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</row>
    <row r="413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</row>
    <row r="414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</row>
    <row r="41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</row>
    <row r="416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</row>
    <row r="417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</row>
    <row r="418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</row>
    <row r="419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</row>
    <row r="420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</row>
    <row r="42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</row>
    <row r="422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</row>
    <row r="423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</row>
    <row r="424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</row>
    <row r="4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</row>
    <row r="426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</row>
    <row r="427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</row>
    <row r="428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</row>
    <row r="429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</row>
    <row r="430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</row>
    <row r="43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</row>
    <row r="432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</row>
    <row r="433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</row>
    <row r="434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</row>
    <row r="4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</row>
    <row r="436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</row>
    <row r="437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</row>
    <row r="438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</row>
    <row r="439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</row>
    <row r="440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</row>
    <row r="44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</row>
    <row r="442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</row>
    <row r="443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</row>
    <row r="444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</row>
    <row r="44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</row>
    <row r="446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</row>
    <row r="447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</row>
    <row r="448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</row>
    <row r="449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</row>
    <row r="450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</row>
    <row r="45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</row>
    <row r="452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</row>
    <row r="453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</row>
    <row r="454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</row>
    <row r="45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</row>
    <row r="456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</row>
    <row r="457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</row>
    <row r="458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</row>
    <row r="459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</row>
    <row r="460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</row>
    <row r="46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</row>
    <row r="462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</row>
    <row r="463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</row>
    <row r="464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</row>
    <row r="46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</row>
    <row r="466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</row>
    <row r="467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</row>
    <row r="468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</row>
    <row r="469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</row>
    <row r="470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</row>
    <row r="47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</row>
    <row r="472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</row>
    <row r="473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</row>
    <row r="474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</row>
    <row r="4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</row>
    <row r="476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</row>
    <row r="477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</row>
    <row r="478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</row>
    <row r="479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</row>
    <row r="480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</row>
    <row r="48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</row>
    <row r="482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</row>
    <row r="483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</row>
    <row r="484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</row>
    <row r="48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</row>
    <row r="486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</row>
    <row r="487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</row>
    <row r="488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</row>
    <row r="489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</row>
    <row r="490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</row>
    <row r="49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</row>
    <row r="492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</row>
    <row r="493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</row>
    <row r="494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</row>
    <row r="49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</row>
    <row r="496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</row>
    <row r="497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</row>
    <row r="498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</row>
    <row r="499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</row>
    <row r="500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</row>
    <row r="50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</row>
    <row r="502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</row>
    <row r="503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</row>
    <row r="504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</row>
    <row r="50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</row>
    <row r="506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</row>
    <row r="507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</row>
    <row r="508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</row>
    <row r="509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</row>
    <row r="510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</row>
    <row r="51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</row>
    <row r="512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</row>
    <row r="513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</row>
    <row r="514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</row>
    <row r="51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</row>
    <row r="516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</row>
    <row r="517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</row>
    <row r="518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</row>
    <row r="519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</row>
    <row r="520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</row>
    <row r="52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</row>
    <row r="522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</row>
    <row r="523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</row>
    <row r="524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</row>
    <row r="5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</row>
    <row r="526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</row>
    <row r="527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</row>
    <row r="528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</row>
    <row r="529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</row>
    <row r="530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</row>
    <row r="53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</row>
    <row r="532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</row>
    <row r="533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</row>
    <row r="534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</row>
    <row r="5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</row>
    <row r="536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</row>
    <row r="537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</row>
    <row r="538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</row>
    <row r="539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</row>
    <row r="540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</row>
    <row r="54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</row>
    <row r="542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</row>
    <row r="543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</row>
    <row r="544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</row>
    <row r="54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</row>
    <row r="546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</row>
    <row r="547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</row>
    <row r="548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</row>
    <row r="549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</row>
    <row r="550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</row>
    <row r="55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</row>
    <row r="552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</row>
    <row r="553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</row>
    <row r="554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</row>
    <row r="55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</row>
    <row r="556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</row>
    <row r="557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</row>
    <row r="558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</row>
    <row r="559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</row>
    <row r="560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</row>
    <row r="56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</row>
    <row r="562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</row>
    <row r="563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</row>
    <row r="564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</row>
    <row r="56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</row>
    <row r="566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</row>
    <row r="567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</row>
    <row r="568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</row>
    <row r="569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</row>
    <row r="570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</row>
    <row r="57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</row>
    <row r="572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</row>
    <row r="573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</row>
    <row r="574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</row>
    <row r="5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</row>
    <row r="576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</row>
    <row r="577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</row>
    <row r="578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</row>
    <row r="579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</row>
    <row r="580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</row>
    <row r="58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</row>
    <row r="582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</row>
    <row r="583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</row>
    <row r="584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</row>
    <row r="58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</row>
    <row r="586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</row>
    <row r="587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</row>
    <row r="588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</row>
    <row r="589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</row>
    <row r="590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</row>
    <row r="59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</row>
    <row r="592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</row>
    <row r="593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</row>
    <row r="594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</row>
    <row r="59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</row>
    <row r="596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</row>
    <row r="597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</row>
    <row r="598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</row>
    <row r="599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</row>
    <row r="600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</row>
    <row r="60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</row>
    <row r="602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</row>
    <row r="603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</row>
    <row r="604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</row>
    <row r="60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</row>
    <row r="606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</row>
    <row r="607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</row>
    <row r="608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</row>
    <row r="609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</row>
    <row r="610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</row>
    <row r="61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</row>
    <row r="612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</row>
    <row r="613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</row>
    <row r="614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</row>
    <row r="61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</row>
    <row r="616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</row>
    <row r="617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</row>
    <row r="618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</row>
    <row r="619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</row>
    <row r="620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</row>
    <row r="62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</row>
    <row r="622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</row>
    <row r="623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</row>
    <row r="624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</row>
    <row r="6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</row>
    <row r="626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</row>
    <row r="627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</row>
    <row r="628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</row>
    <row r="629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</row>
    <row r="630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</row>
    <row r="63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</row>
    <row r="632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</row>
    <row r="633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</row>
    <row r="634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</row>
    <row r="6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</row>
    <row r="636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</row>
    <row r="637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</row>
    <row r="638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</row>
    <row r="639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</row>
    <row r="640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</row>
    <row r="64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</row>
    <row r="642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</row>
    <row r="643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</row>
    <row r="644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</row>
    <row r="64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</row>
    <row r="646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</row>
    <row r="647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</row>
    <row r="648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</row>
    <row r="649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</row>
    <row r="650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</row>
    <row r="65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</row>
    <row r="652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</row>
    <row r="653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</row>
    <row r="654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</row>
    <row r="65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</row>
    <row r="656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</row>
    <row r="657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</row>
    <row r="658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</row>
    <row r="659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</row>
    <row r="660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</row>
    <row r="66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</row>
    <row r="662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</row>
    <row r="663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</row>
    <row r="664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</row>
    <row r="66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</row>
    <row r="666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</row>
    <row r="667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</row>
    <row r="668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</row>
    <row r="669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</row>
    <row r="670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</row>
    <row r="67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</row>
    <row r="672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</row>
    <row r="673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</row>
    <row r="674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</row>
    <row r="6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</row>
    <row r="676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</row>
    <row r="677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</row>
    <row r="678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</row>
    <row r="679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</row>
    <row r="680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</row>
    <row r="68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</row>
    <row r="682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</row>
    <row r="683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</row>
    <row r="684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</row>
    <row r="68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</row>
    <row r="686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</row>
    <row r="687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</row>
    <row r="688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</row>
    <row r="689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</row>
    <row r="690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</row>
    <row r="69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</row>
    <row r="692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</row>
    <row r="693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</row>
    <row r="694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</row>
    <row r="69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</row>
    <row r="696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</row>
    <row r="697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</row>
    <row r="698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</row>
    <row r="699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</row>
    <row r="700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</row>
    <row r="70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</row>
    <row r="702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</row>
    <row r="703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</row>
    <row r="704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</row>
    <row r="70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</row>
    <row r="706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</row>
    <row r="707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</row>
    <row r="708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</row>
    <row r="709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</row>
    <row r="710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</row>
    <row r="71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</row>
    <row r="712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</row>
    <row r="713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</row>
    <row r="714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</row>
    <row r="71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</row>
    <row r="716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</row>
    <row r="717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</row>
    <row r="718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</row>
    <row r="719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</row>
    <row r="720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</row>
    <row r="72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</row>
    <row r="722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</row>
    <row r="723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</row>
    <row r="724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</row>
    <row r="7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</row>
    <row r="726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</row>
    <row r="727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</row>
    <row r="728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</row>
    <row r="729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</row>
    <row r="730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</row>
    <row r="73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</row>
    <row r="732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</row>
    <row r="733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</row>
    <row r="734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</row>
    <row r="7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</row>
    <row r="736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</row>
    <row r="737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</row>
    <row r="738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</row>
    <row r="739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</row>
    <row r="740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</row>
    <row r="74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</row>
    <row r="742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</row>
    <row r="743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</row>
    <row r="744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</row>
    <row r="74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</row>
    <row r="746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</row>
    <row r="747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</row>
    <row r="748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</row>
    <row r="749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</row>
    <row r="750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</row>
    <row r="75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</row>
    <row r="752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</row>
    <row r="753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</row>
    <row r="754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</row>
    <row r="75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</row>
    <row r="756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</row>
    <row r="757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</row>
    <row r="758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</row>
    <row r="759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</row>
    <row r="760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</row>
    <row r="76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</row>
    <row r="762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</row>
    <row r="763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</row>
    <row r="764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</row>
    <row r="76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</row>
    <row r="766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</row>
    <row r="767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</row>
    <row r="768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</row>
    <row r="769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</row>
    <row r="770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</row>
    <row r="77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</row>
    <row r="772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</row>
    <row r="773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</row>
    <row r="774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</row>
    <row r="7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</row>
    <row r="776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</row>
    <row r="777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</row>
    <row r="778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</row>
    <row r="779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</row>
    <row r="780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</row>
    <row r="78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</row>
    <row r="782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</row>
    <row r="783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</row>
    <row r="784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</row>
    <row r="78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</row>
    <row r="786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</row>
    <row r="787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</row>
    <row r="788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</row>
    <row r="789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</row>
    <row r="790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</row>
    <row r="79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</row>
    <row r="792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</row>
    <row r="793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</row>
    <row r="794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</row>
    <row r="79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</row>
    <row r="796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</row>
    <row r="797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</row>
    <row r="798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</row>
    <row r="799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</row>
    <row r="800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</row>
    <row r="80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</row>
    <row r="802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</row>
    <row r="803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</row>
    <row r="804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</row>
    <row r="80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</row>
    <row r="806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</row>
    <row r="807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</row>
    <row r="808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</row>
    <row r="809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</row>
    <row r="810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</row>
    <row r="81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</row>
    <row r="812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</row>
    <row r="813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</row>
    <row r="814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</row>
    <row r="81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</row>
    <row r="816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</row>
    <row r="817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</row>
    <row r="818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</row>
    <row r="819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</row>
    <row r="820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</row>
    <row r="82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</row>
    <row r="822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</row>
    <row r="823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</row>
    <row r="824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</row>
    <row r="8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</row>
    <row r="826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</row>
    <row r="827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</row>
    <row r="828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</row>
    <row r="829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</row>
    <row r="830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</row>
    <row r="83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</row>
    <row r="832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</row>
    <row r="833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</row>
    <row r="834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</row>
    <row r="83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</row>
    <row r="836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</row>
    <row r="837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</row>
    <row r="838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</row>
    <row r="839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</row>
    <row r="840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</row>
    <row r="84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</row>
    <row r="842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</row>
    <row r="843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</row>
    <row r="844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</row>
    <row r="84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</row>
    <row r="846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</row>
    <row r="847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</row>
    <row r="848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</row>
    <row r="849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</row>
    <row r="850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</row>
    <row r="85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</row>
    <row r="852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</row>
    <row r="853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</row>
    <row r="854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</row>
    <row r="85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</row>
    <row r="856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</row>
    <row r="857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</row>
    <row r="858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</row>
    <row r="859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</row>
    <row r="860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</row>
    <row r="86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</row>
    <row r="862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</row>
    <row r="863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</row>
    <row r="864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</row>
    <row r="86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</row>
    <row r="866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</row>
    <row r="867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</row>
    <row r="868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</row>
    <row r="869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</row>
    <row r="870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</row>
    <row r="87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</row>
    <row r="872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</row>
    <row r="873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</row>
    <row r="874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</row>
    <row r="8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</row>
    <row r="876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</row>
    <row r="877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</row>
    <row r="878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</row>
    <row r="879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</row>
    <row r="880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</row>
    <row r="88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</row>
    <row r="882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</row>
    <row r="883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</row>
    <row r="884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</row>
    <row r="88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</row>
    <row r="886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</row>
    <row r="887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</row>
    <row r="888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</row>
    <row r="889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</row>
    <row r="890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</row>
    <row r="89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</row>
    <row r="892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</row>
    <row r="893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</row>
    <row r="894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</row>
    <row r="89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</row>
    <row r="896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</row>
    <row r="897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</row>
    <row r="898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</row>
    <row r="899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</row>
    <row r="900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</row>
    <row r="90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</row>
    <row r="902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</row>
    <row r="903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</row>
    <row r="904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</row>
    <row r="90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</row>
    <row r="906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</row>
    <row r="907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</row>
    <row r="908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</row>
    <row r="909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</row>
    <row r="910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</row>
    <row r="91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</row>
    <row r="912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</row>
    <row r="913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</row>
    <row r="914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</row>
    <row r="91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</row>
    <row r="916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</row>
    <row r="917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</row>
    <row r="918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</row>
    <row r="919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</row>
    <row r="920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</row>
    <row r="92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</row>
    <row r="922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</row>
    <row r="923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</row>
    <row r="924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</row>
    <row r="9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</row>
    <row r="926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</row>
    <row r="927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</row>
    <row r="928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</row>
    <row r="929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</row>
    <row r="930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</row>
    <row r="93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</row>
    <row r="932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</row>
    <row r="933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</row>
    <row r="934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</row>
    <row r="93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</row>
    <row r="936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</row>
    <row r="937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</row>
    <row r="938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</row>
    <row r="939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</row>
    <row r="940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</row>
    <row r="94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</row>
    <row r="942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</row>
    <row r="943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</row>
    <row r="944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</row>
    <row r="94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</row>
    <row r="946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</row>
    <row r="947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</row>
    <row r="948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</row>
    <row r="949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</row>
    <row r="950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</row>
    <row r="95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</row>
    <row r="952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</row>
    <row r="953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</row>
    <row r="954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</row>
    <row r="95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</row>
    <row r="956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</row>
    <row r="957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</row>
    <row r="958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</row>
    <row r="959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</row>
    <row r="960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</row>
    <row r="96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</row>
    <row r="962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</row>
    <row r="963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</row>
    <row r="964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</row>
    <row r="96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</row>
    <row r="966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</row>
    <row r="967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</row>
    <row r="968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</row>
    <row r="969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</row>
    <row r="970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</row>
    <row r="97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</row>
    <row r="972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</row>
    <row r="973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</row>
    <row r="974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</row>
    <row r="9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</row>
    <row r="976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</row>
    <row r="977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</row>
    <row r="978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</row>
    <row r="979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</row>
    <row r="980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</row>
    <row r="98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</row>
    <row r="982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</row>
    <row r="983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</row>
    <row r="984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</row>
    <row r="98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</row>
    <row r="986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</row>
    <row r="987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</row>
    <row r="988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</row>
    <row r="989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</row>
    <row r="990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</row>
    <row r="99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</row>
    <row r="992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</row>
    <row r="993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</row>
    <row r="994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2.25"/>
    <col customWidth="1" min="2" max="2" width="5.5"/>
    <col customWidth="1" min="3" max="3" width="15.38"/>
    <col customWidth="1" min="4" max="4" width="8.0"/>
    <col customWidth="1" min="5" max="5" width="16.88"/>
    <col customWidth="1" min="6" max="6" width="9.5"/>
    <col customWidth="1" min="7" max="7" width="6.38"/>
    <col customWidth="1" min="8" max="8" width="7.63"/>
    <col customWidth="1" min="9" max="9" width="10.63"/>
    <col customWidth="1" min="10" max="10" width="15.38"/>
    <col customWidth="1" min="11" max="11" width="13.63"/>
  </cols>
  <sheetData>
    <row r="1">
      <c r="A1" s="35" t="s">
        <v>618</v>
      </c>
      <c r="B1" s="35" t="s">
        <v>81</v>
      </c>
      <c r="C1" s="35" t="s">
        <v>82</v>
      </c>
      <c r="D1" s="35" t="s">
        <v>83</v>
      </c>
      <c r="E1" s="35" t="s">
        <v>84</v>
      </c>
      <c r="F1" s="35" t="s">
        <v>85</v>
      </c>
      <c r="G1" s="35" t="s">
        <v>86</v>
      </c>
      <c r="H1" s="37" t="s">
        <v>87</v>
      </c>
      <c r="I1" s="37" t="s">
        <v>88</v>
      </c>
      <c r="J1" s="37" t="s">
        <v>619</v>
      </c>
      <c r="K1" s="35" t="s">
        <v>90</v>
      </c>
      <c r="L1" s="38"/>
    </row>
    <row r="2">
      <c r="A2" s="39" t="s">
        <v>620</v>
      </c>
      <c r="B2" s="38"/>
      <c r="C2" s="40" t="s">
        <v>621</v>
      </c>
      <c r="D2" s="35" t="s">
        <v>93</v>
      </c>
      <c r="E2" s="39" t="s">
        <v>118</v>
      </c>
      <c r="F2" s="39" t="s">
        <v>622</v>
      </c>
      <c r="G2" s="39" t="s">
        <v>623</v>
      </c>
      <c r="H2" s="41">
        <v>5.31</v>
      </c>
      <c r="I2" s="41">
        <v>83141.0</v>
      </c>
      <c r="J2" s="42">
        <v>3.3521776E7</v>
      </c>
      <c r="K2" s="38"/>
      <c r="L2" s="38"/>
    </row>
    <row r="3">
      <c r="A3" s="39" t="s">
        <v>624</v>
      </c>
      <c r="B3" s="38"/>
      <c r="C3" s="40" t="s">
        <v>211</v>
      </c>
      <c r="D3" s="35" t="s">
        <v>93</v>
      </c>
      <c r="E3" s="39" t="s">
        <v>94</v>
      </c>
      <c r="F3" s="39" t="s">
        <v>95</v>
      </c>
      <c r="G3" s="39" t="s">
        <v>96</v>
      </c>
      <c r="H3" s="41">
        <v>4.41</v>
      </c>
      <c r="I3" s="41">
        <v>1685802.0</v>
      </c>
      <c r="J3" s="42">
        <v>2.8203467E7</v>
      </c>
      <c r="K3" s="38"/>
      <c r="L3" s="38"/>
    </row>
    <row r="4">
      <c r="A4" s="39" t="s">
        <v>625</v>
      </c>
      <c r="B4" s="38"/>
      <c r="C4" s="40" t="s">
        <v>626</v>
      </c>
      <c r="D4" s="35" t="s">
        <v>93</v>
      </c>
      <c r="E4" s="39" t="s">
        <v>127</v>
      </c>
      <c r="F4" s="39" t="s">
        <v>622</v>
      </c>
      <c r="G4" s="39" t="s">
        <v>623</v>
      </c>
      <c r="H4" s="41">
        <v>4.27</v>
      </c>
      <c r="I4" s="41">
        <v>167543.0</v>
      </c>
      <c r="J4" s="42">
        <v>2.6979467E7</v>
      </c>
      <c r="K4" s="38"/>
      <c r="L4" s="38"/>
    </row>
    <row r="5">
      <c r="A5" s="39" t="s">
        <v>627</v>
      </c>
      <c r="B5" s="38"/>
      <c r="C5" s="40" t="s">
        <v>628</v>
      </c>
      <c r="D5" s="35" t="s">
        <v>93</v>
      </c>
      <c r="E5" s="39" t="s">
        <v>118</v>
      </c>
      <c r="F5" s="39" t="s">
        <v>629</v>
      </c>
      <c r="G5" s="39" t="s">
        <v>630</v>
      </c>
      <c r="H5" s="41">
        <v>3.89</v>
      </c>
      <c r="I5" s="41">
        <v>1430300.0</v>
      </c>
      <c r="J5" s="42">
        <v>2.5140872E7</v>
      </c>
      <c r="K5" s="38"/>
      <c r="L5" s="38"/>
    </row>
    <row r="6">
      <c r="A6" s="39" t="s">
        <v>631</v>
      </c>
      <c r="B6" s="38"/>
      <c r="C6" s="40" t="s">
        <v>632</v>
      </c>
      <c r="D6" s="35" t="s">
        <v>93</v>
      </c>
      <c r="E6" s="39" t="s">
        <v>94</v>
      </c>
      <c r="F6" s="39" t="s">
        <v>622</v>
      </c>
      <c r="G6" s="39" t="s">
        <v>623</v>
      </c>
      <c r="H6" s="41">
        <v>3.98</v>
      </c>
      <c r="I6" s="41">
        <v>609699.0</v>
      </c>
      <c r="J6" s="42">
        <v>2.5113318E7</v>
      </c>
      <c r="K6" s="38"/>
      <c r="L6" s="38"/>
    </row>
    <row r="7">
      <c r="A7" s="39" t="s">
        <v>633</v>
      </c>
      <c r="B7" s="38"/>
      <c r="C7" s="40" t="s">
        <v>634</v>
      </c>
      <c r="D7" s="35" t="s">
        <v>93</v>
      </c>
      <c r="E7" s="39" t="s">
        <v>167</v>
      </c>
      <c r="F7" s="39" t="s">
        <v>635</v>
      </c>
      <c r="G7" s="39" t="s">
        <v>636</v>
      </c>
      <c r="H7" s="41">
        <v>3.91</v>
      </c>
      <c r="I7" s="41">
        <v>1429875.0</v>
      </c>
      <c r="J7" s="42">
        <v>2.4718717E7</v>
      </c>
      <c r="K7" s="38"/>
      <c r="L7" s="38"/>
    </row>
    <row r="8">
      <c r="A8" s="39" t="s">
        <v>637</v>
      </c>
      <c r="B8" s="38"/>
      <c r="C8" s="40" t="s">
        <v>638</v>
      </c>
      <c r="D8" s="35" t="s">
        <v>93</v>
      </c>
      <c r="E8" s="39" t="s">
        <v>118</v>
      </c>
      <c r="F8" s="39" t="s">
        <v>639</v>
      </c>
      <c r="G8" s="39" t="s">
        <v>640</v>
      </c>
      <c r="H8" s="41">
        <v>3.89</v>
      </c>
      <c r="I8" s="41">
        <v>391645.0</v>
      </c>
      <c r="J8" s="42">
        <v>2.4562725E7</v>
      </c>
      <c r="K8" s="38"/>
      <c r="L8" s="38"/>
    </row>
    <row r="9">
      <c r="A9" s="39" t="s">
        <v>641</v>
      </c>
      <c r="B9" s="38"/>
      <c r="C9" s="40" t="s">
        <v>642</v>
      </c>
      <c r="D9" s="35" t="s">
        <v>93</v>
      </c>
      <c r="E9" s="39" t="s">
        <v>94</v>
      </c>
      <c r="F9" s="39" t="s">
        <v>95</v>
      </c>
      <c r="G9" s="39" t="s">
        <v>96</v>
      </c>
      <c r="H9" s="41">
        <v>3.82</v>
      </c>
      <c r="I9" s="41">
        <v>4766238.0</v>
      </c>
      <c r="J9" s="42">
        <v>2.4260151E7</v>
      </c>
      <c r="K9" s="38"/>
      <c r="L9" s="38"/>
    </row>
    <row r="10">
      <c r="A10" s="39" t="s">
        <v>643</v>
      </c>
      <c r="B10" s="38"/>
      <c r="C10" s="40" t="s">
        <v>644</v>
      </c>
      <c r="D10" s="35" t="s">
        <v>93</v>
      </c>
      <c r="E10" s="39" t="s">
        <v>118</v>
      </c>
      <c r="F10" s="39" t="s">
        <v>645</v>
      </c>
      <c r="G10" s="39" t="s">
        <v>646</v>
      </c>
      <c r="H10" s="41">
        <v>3.66</v>
      </c>
      <c r="I10" s="41">
        <v>471965.0</v>
      </c>
      <c r="J10" s="42">
        <v>2.3112498E7</v>
      </c>
      <c r="K10" s="38"/>
      <c r="L10" s="38"/>
    </row>
    <row r="11">
      <c r="A11" s="39" t="s">
        <v>647</v>
      </c>
      <c r="B11" s="38"/>
      <c r="C11" s="40" t="s">
        <v>648</v>
      </c>
      <c r="D11" s="35" t="s">
        <v>93</v>
      </c>
      <c r="E11" s="39" t="s">
        <v>118</v>
      </c>
      <c r="F11" s="39" t="s">
        <v>649</v>
      </c>
      <c r="G11" s="39" t="s">
        <v>640</v>
      </c>
      <c r="H11" s="41">
        <v>3.61</v>
      </c>
      <c r="I11" s="41">
        <v>192651.0</v>
      </c>
      <c r="J11" s="42">
        <v>2.2778786E7</v>
      </c>
      <c r="K11" s="38"/>
      <c r="L11" s="38"/>
    </row>
    <row r="12">
      <c r="A12" s="39" t="s">
        <v>650</v>
      </c>
      <c r="B12" s="38"/>
      <c r="C12" s="40" t="s">
        <v>651</v>
      </c>
      <c r="D12" s="35" t="s">
        <v>93</v>
      </c>
      <c r="E12" s="39" t="s">
        <v>118</v>
      </c>
      <c r="F12" s="39" t="s">
        <v>629</v>
      </c>
      <c r="G12" s="39" t="s">
        <v>630</v>
      </c>
      <c r="H12" s="41">
        <v>3.52</v>
      </c>
      <c r="I12" s="41">
        <v>3812000.0</v>
      </c>
      <c r="J12" s="42">
        <v>2.2740426E7</v>
      </c>
      <c r="K12" s="38"/>
      <c r="L12" s="38"/>
    </row>
    <row r="13">
      <c r="A13" s="39" t="s">
        <v>652</v>
      </c>
      <c r="B13" s="38"/>
      <c r="C13" s="40" t="s">
        <v>653</v>
      </c>
      <c r="D13" s="35" t="s">
        <v>93</v>
      </c>
      <c r="E13" s="39" t="s">
        <v>127</v>
      </c>
      <c r="F13" s="39" t="s">
        <v>654</v>
      </c>
      <c r="G13" s="39" t="s">
        <v>655</v>
      </c>
      <c r="H13" s="41">
        <v>3.58</v>
      </c>
      <c r="I13" s="41">
        <v>393917.0</v>
      </c>
      <c r="J13" s="42">
        <v>2.2623802E7</v>
      </c>
      <c r="K13" s="38"/>
      <c r="L13" s="38"/>
    </row>
    <row r="14">
      <c r="A14" s="39" t="s">
        <v>656</v>
      </c>
      <c r="B14" s="38"/>
      <c r="C14" s="40" t="s">
        <v>657</v>
      </c>
      <c r="D14" s="35" t="s">
        <v>93</v>
      </c>
      <c r="E14" s="39" t="s">
        <v>167</v>
      </c>
      <c r="F14" s="39" t="s">
        <v>658</v>
      </c>
      <c r="G14" s="39" t="s">
        <v>659</v>
      </c>
      <c r="H14" s="41">
        <v>3.52</v>
      </c>
      <c r="I14" s="41">
        <v>27344.0</v>
      </c>
      <c r="J14" s="42">
        <v>2.2264084E7</v>
      </c>
      <c r="K14" s="38"/>
      <c r="L14" s="38"/>
    </row>
    <row r="15">
      <c r="A15" s="39" t="s">
        <v>660</v>
      </c>
      <c r="B15" s="38"/>
      <c r="C15" s="40" t="s">
        <v>661</v>
      </c>
      <c r="D15" s="35" t="s">
        <v>93</v>
      </c>
      <c r="E15" s="39" t="s">
        <v>167</v>
      </c>
      <c r="F15" s="39" t="s">
        <v>629</v>
      </c>
      <c r="G15" s="39" t="s">
        <v>630</v>
      </c>
      <c r="H15" s="41">
        <v>3.49</v>
      </c>
      <c r="I15" s="41">
        <v>390500.0</v>
      </c>
      <c r="J15" s="42">
        <v>2.2016295E7</v>
      </c>
      <c r="K15" s="38"/>
      <c r="L15" s="38"/>
    </row>
    <row r="16">
      <c r="A16" s="39" t="s">
        <v>662</v>
      </c>
      <c r="B16" s="38"/>
      <c r="C16" s="40" t="s">
        <v>663</v>
      </c>
      <c r="D16" s="35" t="s">
        <v>93</v>
      </c>
      <c r="E16" s="39" t="s">
        <v>94</v>
      </c>
      <c r="F16" s="39" t="s">
        <v>95</v>
      </c>
      <c r="G16" s="39" t="s">
        <v>96</v>
      </c>
      <c r="H16" s="41">
        <v>3.4</v>
      </c>
      <c r="I16" s="41">
        <v>297881.0</v>
      </c>
      <c r="J16" s="42">
        <v>2.1355089E7</v>
      </c>
      <c r="K16" s="38"/>
      <c r="L16" s="38"/>
    </row>
    <row r="17">
      <c r="A17" s="39" t="s">
        <v>664</v>
      </c>
      <c r="B17" s="38"/>
      <c r="C17" s="40" t="s">
        <v>665</v>
      </c>
      <c r="D17" s="35" t="s">
        <v>93</v>
      </c>
      <c r="E17" s="39" t="s">
        <v>118</v>
      </c>
      <c r="F17" s="39" t="s">
        <v>649</v>
      </c>
      <c r="G17" s="39" t="s">
        <v>640</v>
      </c>
      <c r="H17" s="41">
        <v>3.29</v>
      </c>
      <c r="I17" s="41">
        <v>119453.0</v>
      </c>
      <c r="J17" s="42">
        <v>2.0759112E7</v>
      </c>
      <c r="K17" s="38"/>
      <c r="L17" s="38"/>
    </row>
    <row r="18">
      <c r="A18" s="39" t="s">
        <v>666</v>
      </c>
      <c r="B18" s="38"/>
      <c r="C18" s="40" t="s">
        <v>667</v>
      </c>
      <c r="D18" s="35" t="s">
        <v>93</v>
      </c>
      <c r="E18" s="39" t="s">
        <v>94</v>
      </c>
      <c r="F18" s="39" t="s">
        <v>668</v>
      </c>
      <c r="G18" s="39" t="s">
        <v>640</v>
      </c>
      <c r="H18" s="41">
        <v>3.24</v>
      </c>
      <c r="I18" s="41">
        <v>255335.0</v>
      </c>
      <c r="J18" s="42">
        <v>2.048638E7</v>
      </c>
      <c r="K18" s="38"/>
      <c r="L18" s="38"/>
    </row>
    <row r="19">
      <c r="A19" s="39" t="s">
        <v>669</v>
      </c>
      <c r="B19" s="38"/>
      <c r="C19" s="40" t="s">
        <v>670</v>
      </c>
      <c r="D19" s="35" t="s">
        <v>93</v>
      </c>
      <c r="E19" s="39" t="s">
        <v>127</v>
      </c>
      <c r="F19" s="39" t="s">
        <v>658</v>
      </c>
      <c r="G19" s="39" t="s">
        <v>659</v>
      </c>
      <c r="H19" s="41">
        <v>3.23</v>
      </c>
      <c r="I19" s="41">
        <v>33160.0</v>
      </c>
      <c r="J19" s="42">
        <v>2.0466829E7</v>
      </c>
      <c r="K19" s="38"/>
      <c r="L19" s="38"/>
    </row>
    <row r="20">
      <c r="A20" s="39" t="s">
        <v>671</v>
      </c>
      <c r="B20" s="38"/>
      <c r="C20" s="40" t="s">
        <v>672</v>
      </c>
      <c r="D20" s="35" t="s">
        <v>93</v>
      </c>
      <c r="E20" s="39" t="s">
        <v>127</v>
      </c>
      <c r="F20" s="39" t="s">
        <v>629</v>
      </c>
      <c r="G20" s="39" t="s">
        <v>630</v>
      </c>
      <c r="H20" s="41">
        <v>3.24</v>
      </c>
      <c r="I20" s="41">
        <v>432000.0</v>
      </c>
      <c r="J20" s="42">
        <v>2.0406302E7</v>
      </c>
      <c r="K20" s="38"/>
      <c r="L20" s="38"/>
    </row>
    <row r="21">
      <c r="A21" s="39" t="s">
        <v>673</v>
      </c>
      <c r="B21" s="38"/>
      <c r="C21" s="40" t="s">
        <v>674</v>
      </c>
      <c r="D21" s="35" t="s">
        <v>93</v>
      </c>
      <c r="E21" s="39" t="s">
        <v>118</v>
      </c>
      <c r="F21" s="39" t="s">
        <v>649</v>
      </c>
      <c r="G21" s="39" t="s">
        <v>640</v>
      </c>
      <c r="H21" s="41">
        <v>3.22</v>
      </c>
      <c r="I21" s="41">
        <v>101023.0</v>
      </c>
      <c r="J21" s="42">
        <v>2.0329163E7</v>
      </c>
      <c r="K21" s="38"/>
      <c r="L21" s="38"/>
    </row>
    <row r="22">
      <c r="A22" s="39" t="s">
        <v>675</v>
      </c>
      <c r="B22" s="38"/>
      <c r="C22" s="40" t="s">
        <v>676</v>
      </c>
      <c r="D22" s="35" t="s">
        <v>93</v>
      </c>
      <c r="E22" s="39" t="s">
        <v>118</v>
      </c>
      <c r="F22" s="39" t="s">
        <v>629</v>
      </c>
      <c r="G22" s="39" t="s">
        <v>630</v>
      </c>
      <c r="H22" s="41">
        <v>3.08</v>
      </c>
      <c r="I22" s="41">
        <v>1102400.0</v>
      </c>
      <c r="J22" s="42">
        <v>1.9429336E7</v>
      </c>
      <c r="K22" s="38"/>
      <c r="L22" s="38"/>
    </row>
    <row r="23">
      <c r="A23" s="39" t="s">
        <v>677</v>
      </c>
      <c r="B23" s="38"/>
      <c r="C23" s="40" t="s">
        <v>678</v>
      </c>
      <c r="D23" s="35" t="s">
        <v>93</v>
      </c>
      <c r="E23" s="39" t="s">
        <v>167</v>
      </c>
      <c r="F23" s="39" t="s">
        <v>679</v>
      </c>
      <c r="G23" s="39" t="s">
        <v>623</v>
      </c>
      <c r="H23" s="41">
        <v>3.01</v>
      </c>
      <c r="I23" s="41">
        <v>48191.0</v>
      </c>
      <c r="J23" s="42">
        <v>1.9018402E7</v>
      </c>
      <c r="K23" s="38"/>
      <c r="L23" s="38"/>
    </row>
    <row r="24">
      <c r="A24" s="39" t="s">
        <v>680</v>
      </c>
      <c r="B24" s="38"/>
      <c r="C24" s="40" t="s">
        <v>681</v>
      </c>
      <c r="D24" s="35" t="s">
        <v>93</v>
      </c>
      <c r="E24" s="39" t="s">
        <v>127</v>
      </c>
      <c r="F24" s="39" t="s">
        <v>622</v>
      </c>
      <c r="G24" s="39" t="s">
        <v>623</v>
      </c>
      <c r="H24" s="41">
        <v>2.93</v>
      </c>
      <c r="I24" s="41">
        <v>3297308.0</v>
      </c>
      <c r="J24" s="42">
        <v>1.8513721E7</v>
      </c>
      <c r="K24" s="38"/>
      <c r="L24" s="38"/>
    </row>
    <row r="25">
      <c r="A25" s="39" t="s">
        <v>682</v>
      </c>
      <c r="B25" s="38"/>
      <c r="C25" s="40" t="s">
        <v>683</v>
      </c>
      <c r="D25" s="35" t="s">
        <v>93</v>
      </c>
      <c r="E25" s="39" t="s">
        <v>127</v>
      </c>
      <c r="F25" s="39" t="s">
        <v>658</v>
      </c>
      <c r="G25" s="39" t="s">
        <v>659</v>
      </c>
      <c r="H25" s="41">
        <v>2.78</v>
      </c>
      <c r="I25" s="41">
        <v>225981.0</v>
      </c>
      <c r="J25" s="42">
        <v>1.7833719E7</v>
      </c>
      <c r="K25" s="38"/>
      <c r="L25" s="38"/>
    </row>
    <row r="26">
      <c r="A26" s="39" t="s">
        <v>684</v>
      </c>
      <c r="B26" s="38"/>
      <c r="C26" s="40" t="s">
        <v>685</v>
      </c>
      <c r="D26" s="35" t="s">
        <v>93</v>
      </c>
      <c r="E26" s="39" t="s">
        <v>127</v>
      </c>
      <c r="F26" s="39" t="s">
        <v>686</v>
      </c>
      <c r="G26" s="39" t="s">
        <v>640</v>
      </c>
      <c r="H26" s="41">
        <v>2.63</v>
      </c>
      <c r="I26" s="41">
        <v>995880.0</v>
      </c>
      <c r="J26" s="42">
        <v>1.6595193E7</v>
      </c>
      <c r="K26" s="38"/>
      <c r="L26" s="38"/>
    </row>
    <row r="27">
      <c r="A27" s="39" t="s">
        <v>687</v>
      </c>
      <c r="B27" s="38"/>
      <c r="C27" s="40" t="s">
        <v>688</v>
      </c>
      <c r="D27" s="35" t="s">
        <v>93</v>
      </c>
      <c r="E27" s="39" t="s">
        <v>127</v>
      </c>
      <c r="F27" s="39" t="s">
        <v>629</v>
      </c>
      <c r="G27" s="39" t="s">
        <v>630</v>
      </c>
      <c r="H27" s="41">
        <v>2.48</v>
      </c>
      <c r="I27" s="41">
        <v>880300.0</v>
      </c>
      <c r="J27" s="42">
        <v>1.5685867E7</v>
      </c>
      <c r="K27" s="38"/>
      <c r="L27" s="38"/>
    </row>
    <row r="28">
      <c r="A28" s="39" t="s">
        <v>689</v>
      </c>
      <c r="B28" s="38"/>
      <c r="C28" s="40" t="s">
        <v>449</v>
      </c>
      <c r="D28" s="35" t="s">
        <v>93</v>
      </c>
      <c r="E28" s="39" t="s">
        <v>94</v>
      </c>
      <c r="F28" s="39" t="s">
        <v>95</v>
      </c>
      <c r="G28" s="39" t="s">
        <v>96</v>
      </c>
      <c r="H28" s="41">
        <v>1.89</v>
      </c>
      <c r="I28" s="41">
        <v>1.2410408E7</v>
      </c>
      <c r="J28" s="42">
        <v>1.1976044E7</v>
      </c>
      <c r="K28" s="38"/>
      <c r="L28" s="38"/>
    </row>
    <row r="29">
      <c r="A29" s="39" t="s">
        <v>690</v>
      </c>
      <c r="B29" s="38"/>
      <c r="C29" s="40" t="s">
        <v>691</v>
      </c>
      <c r="D29" s="35" t="s">
        <v>93</v>
      </c>
      <c r="E29" s="39" t="s">
        <v>121</v>
      </c>
      <c r="F29" s="39" t="s">
        <v>639</v>
      </c>
      <c r="G29" s="39" t="s">
        <v>640</v>
      </c>
      <c r="H29" s="41">
        <v>1.57</v>
      </c>
      <c r="I29" s="41">
        <v>1040017.0</v>
      </c>
      <c r="J29" s="42">
        <v>9915314.0</v>
      </c>
      <c r="K29" s="38"/>
      <c r="L29" s="38"/>
    </row>
    <row r="30">
      <c r="A30" s="39" t="s">
        <v>692</v>
      </c>
      <c r="B30" s="38"/>
      <c r="C30" s="40" t="s">
        <v>693</v>
      </c>
      <c r="D30" s="35" t="s">
        <v>93</v>
      </c>
      <c r="E30" s="39" t="s">
        <v>94</v>
      </c>
      <c r="F30" s="39" t="s">
        <v>694</v>
      </c>
      <c r="G30" s="39" t="s">
        <v>623</v>
      </c>
      <c r="H30" s="41">
        <v>1.52</v>
      </c>
      <c r="I30" s="41">
        <v>422297.0</v>
      </c>
      <c r="J30" s="42">
        <v>9631496.0</v>
      </c>
      <c r="K30" s="38"/>
      <c r="L30" s="38"/>
    </row>
    <row r="31">
      <c r="A31" s="39" t="s">
        <v>695</v>
      </c>
      <c r="B31" s="38"/>
      <c r="C31" s="40" t="s">
        <v>696</v>
      </c>
      <c r="D31" s="35" t="s">
        <v>93</v>
      </c>
      <c r="E31" s="39" t="s">
        <v>127</v>
      </c>
      <c r="F31" s="39" t="s">
        <v>629</v>
      </c>
      <c r="G31" s="39" t="s">
        <v>630</v>
      </c>
      <c r="H31" s="41">
        <v>1.5</v>
      </c>
      <c r="I31" s="41">
        <v>326400.0</v>
      </c>
      <c r="J31" s="42">
        <v>9554079.0</v>
      </c>
      <c r="K31" s="38"/>
      <c r="L31" s="38"/>
    </row>
    <row r="32">
      <c r="A32" s="39" t="s">
        <v>697</v>
      </c>
      <c r="B32" s="38"/>
      <c r="C32" s="40" t="s">
        <v>698</v>
      </c>
      <c r="D32" s="35" t="s">
        <v>93</v>
      </c>
      <c r="E32" s="39" t="s">
        <v>118</v>
      </c>
      <c r="F32" s="39" t="s">
        <v>658</v>
      </c>
      <c r="G32" s="39" t="s">
        <v>659</v>
      </c>
      <c r="H32" s="41">
        <v>0.99</v>
      </c>
      <c r="I32" s="41">
        <v>114540.0</v>
      </c>
      <c r="J32" s="42">
        <v>6300007.0</v>
      </c>
      <c r="K32" s="38"/>
      <c r="L32" s="38"/>
    </row>
    <row r="33">
      <c r="A33" s="39" t="s">
        <v>699</v>
      </c>
      <c r="B33" s="38"/>
      <c r="C33" s="40" t="s">
        <v>700</v>
      </c>
      <c r="D33" s="35" t="s">
        <v>93</v>
      </c>
      <c r="E33" s="39" t="s">
        <v>118</v>
      </c>
      <c r="F33" s="39" t="s">
        <v>645</v>
      </c>
      <c r="G33" s="39" t="s">
        <v>646</v>
      </c>
      <c r="H33" s="41">
        <v>0.32</v>
      </c>
      <c r="I33" s="41">
        <v>574000.0</v>
      </c>
      <c r="J33" s="42">
        <v>2033660.0</v>
      </c>
      <c r="K33" s="38"/>
      <c r="L33" s="38"/>
    </row>
    <row r="34">
      <c r="A34" s="38"/>
      <c r="B34" s="38"/>
      <c r="C34" s="43"/>
      <c r="D34" s="38"/>
      <c r="E34" s="38"/>
      <c r="F34" s="38"/>
      <c r="G34" s="38"/>
      <c r="H34" s="38"/>
      <c r="I34" s="38"/>
      <c r="J34" s="38"/>
      <c r="K34" s="38"/>
      <c r="L34" s="38"/>
    </row>
    <row r="35">
      <c r="A35" s="38"/>
      <c r="B35" s="38"/>
      <c r="C35" s="43"/>
      <c r="D35" s="38"/>
      <c r="E35" s="38"/>
      <c r="F35" s="38"/>
      <c r="G35" s="38"/>
      <c r="H35" s="38"/>
      <c r="I35" s="38"/>
      <c r="J35" s="38"/>
      <c r="K35" s="38"/>
      <c r="L35" s="38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7.63"/>
    <col customWidth="1" min="3" max="3" width="27.0"/>
    <col customWidth="1" min="4" max="4" width="8.0"/>
    <col customWidth="1" min="5" max="5" width="15.75"/>
    <col customWidth="1" min="6" max="6" width="8.38"/>
    <col customWidth="1" min="7" max="7" width="6.38"/>
  </cols>
  <sheetData>
    <row r="1">
      <c r="A1" s="35" t="s">
        <v>80</v>
      </c>
      <c r="B1" s="35" t="s">
        <v>81</v>
      </c>
      <c r="C1" s="35" t="s">
        <v>82</v>
      </c>
      <c r="D1" s="35" t="s">
        <v>83</v>
      </c>
      <c r="E1" s="35" t="s">
        <v>84</v>
      </c>
      <c r="F1" s="35" t="s">
        <v>85</v>
      </c>
      <c r="G1" s="35" t="s">
        <v>86</v>
      </c>
      <c r="H1" s="35" t="s">
        <v>87</v>
      </c>
      <c r="I1" s="35" t="s">
        <v>88</v>
      </c>
      <c r="J1" s="35" t="s">
        <v>89</v>
      </c>
      <c r="K1" s="35" t="s">
        <v>90</v>
      </c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</row>
    <row r="2">
      <c r="A2" s="35" t="s">
        <v>701</v>
      </c>
      <c r="B2" s="37">
        <v>2113382.0</v>
      </c>
      <c r="C2" s="35" t="s">
        <v>702</v>
      </c>
      <c r="D2" s="35" t="s">
        <v>93</v>
      </c>
      <c r="E2" s="35" t="s">
        <v>167</v>
      </c>
      <c r="F2" s="35" t="s">
        <v>635</v>
      </c>
      <c r="G2" s="35" t="s">
        <v>623</v>
      </c>
      <c r="H2" s="37">
        <v>11.60381696</v>
      </c>
      <c r="I2" s="37">
        <v>360543.0</v>
      </c>
      <c r="J2" s="37">
        <v>5.501227932E7</v>
      </c>
      <c r="K2" s="37">
        <v>5.501227932E7</v>
      </c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>
      <c r="A3" s="35" t="s">
        <v>703</v>
      </c>
      <c r="B3" s="37">
        <v>6771720.0</v>
      </c>
      <c r="C3" s="35" t="s">
        <v>704</v>
      </c>
      <c r="D3" s="35" t="s">
        <v>93</v>
      </c>
      <c r="E3" s="35" t="s">
        <v>167</v>
      </c>
      <c r="F3" s="35" t="s">
        <v>658</v>
      </c>
      <c r="G3" s="35" t="s">
        <v>659</v>
      </c>
      <c r="H3" s="37">
        <v>11.09343361</v>
      </c>
      <c r="I3" s="37">
        <v>645523.0</v>
      </c>
      <c r="J3" s="37">
        <v>5.259261415E7</v>
      </c>
      <c r="K3" s="37">
        <v>5.259261415E7</v>
      </c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</row>
    <row r="4">
      <c r="A4" s="35" t="s">
        <v>705</v>
      </c>
      <c r="B4" s="35" t="s">
        <v>706</v>
      </c>
      <c r="C4" s="35" t="s">
        <v>707</v>
      </c>
      <c r="D4" s="35" t="s">
        <v>93</v>
      </c>
      <c r="E4" s="35" t="s">
        <v>121</v>
      </c>
      <c r="F4" s="35" t="s">
        <v>645</v>
      </c>
      <c r="G4" s="35" t="s">
        <v>646</v>
      </c>
      <c r="H4" s="37">
        <v>9.09868401</v>
      </c>
      <c r="I4" s="37">
        <v>670657.0</v>
      </c>
      <c r="J4" s="37">
        <v>4.313574991E7</v>
      </c>
      <c r="K4" s="37">
        <v>4.313574991E7</v>
      </c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</row>
    <row r="5">
      <c r="A5" s="35" t="s">
        <v>708</v>
      </c>
      <c r="B5" s="35" t="s">
        <v>709</v>
      </c>
      <c r="C5" s="35" t="s">
        <v>710</v>
      </c>
      <c r="D5" s="35" t="s">
        <v>93</v>
      </c>
      <c r="E5" s="35" t="s">
        <v>118</v>
      </c>
      <c r="F5" s="35" t="s">
        <v>645</v>
      </c>
      <c r="G5" s="35" t="s">
        <v>623</v>
      </c>
      <c r="H5" s="37">
        <v>8.74556607</v>
      </c>
      <c r="I5" s="37">
        <v>322522.0</v>
      </c>
      <c r="J5" s="37">
        <v>4.146166087E7</v>
      </c>
      <c r="K5" s="37">
        <v>4.146166087E7</v>
      </c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</row>
    <row r="6">
      <c r="A6" s="35" t="s">
        <v>711</v>
      </c>
      <c r="B6" s="35" t="s">
        <v>712</v>
      </c>
      <c r="C6" s="35" t="s">
        <v>713</v>
      </c>
      <c r="D6" s="35" t="s">
        <v>93</v>
      </c>
      <c r="E6" s="35" t="s">
        <v>118</v>
      </c>
      <c r="F6" s="35" t="s">
        <v>645</v>
      </c>
      <c r="G6" s="35" t="s">
        <v>623</v>
      </c>
      <c r="H6" s="37">
        <v>7.25874774</v>
      </c>
      <c r="I6" s="37">
        <v>319106.0</v>
      </c>
      <c r="J6" s="37">
        <v>3.441283672E7</v>
      </c>
      <c r="K6" s="37">
        <v>3.441283672E7</v>
      </c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</row>
    <row r="7">
      <c r="A7" s="35" t="s">
        <v>714</v>
      </c>
      <c r="B7" s="37">
        <v>2398822.0</v>
      </c>
      <c r="C7" s="35" t="s">
        <v>715</v>
      </c>
      <c r="D7" s="35" t="s">
        <v>93</v>
      </c>
      <c r="E7" s="35" t="s">
        <v>167</v>
      </c>
      <c r="F7" s="35" t="s">
        <v>716</v>
      </c>
      <c r="G7" s="35" t="s">
        <v>623</v>
      </c>
      <c r="H7" s="37">
        <v>5.54810072</v>
      </c>
      <c r="I7" s="37">
        <v>1149199.0</v>
      </c>
      <c r="J7" s="37">
        <v>2.630286807E7</v>
      </c>
      <c r="K7" s="37">
        <v>2.630286807E7</v>
      </c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</row>
    <row r="8">
      <c r="A8" s="35" t="s">
        <v>717</v>
      </c>
      <c r="B8" s="35" t="s">
        <v>718</v>
      </c>
      <c r="C8" s="35" t="s">
        <v>719</v>
      </c>
      <c r="D8" s="35" t="s">
        <v>93</v>
      </c>
      <c r="E8" s="35" t="s">
        <v>118</v>
      </c>
      <c r="F8" s="35" t="s">
        <v>645</v>
      </c>
      <c r="G8" s="35" t="s">
        <v>623</v>
      </c>
      <c r="H8" s="37">
        <v>5.18720412</v>
      </c>
      <c r="I8" s="37">
        <v>454268.0</v>
      </c>
      <c r="J8" s="37">
        <v>2.459190135E7</v>
      </c>
      <c r="K8" s="37">
        <v>2.459190135E7</v>
      </c>
      <c r="L8" s="38"/>
      <c r="M8" s="38"/>
      <c r="N8" s="38"/>
      <c r="O8" s="38"/>
      <c r="P8" s="38"/>
      <c r="Q8" s="38"/>
      <c r="R8" s="38"/>
      <c r="S8" s="38"/>
      <c r="T8" s="38"/>
      <c r="U8" s="38"/>
      <c r="V8" s="38"/>
      <c r="W8" s="38"/>
      <c r="X8" s="38"/>
      <c r="Y8" s="38"/>
      <c r="Z8" s="38"/>
    </row>
    <row r="9">
      <c r="A9" s="35" t="s">
        <v>720</v>
      </c>
      <c r="B9" s="37">
        <v>2606440.0</v>
      </c>
      <c r="C9" s="35" t="s">
        <v>721</v>
      </c>
      <c r="D9" s="35" t="s">
        <v>93</v>
      </c>
      <c r="E9" s="35" t="s">
        <v>121</v>
      </c>
      <c r="F9" s="35" t="s">
        <v>645</v>
      </c>
      <c r="G9" s="35" t="s">
        <v>623</v>
      </c>
      <c r="H9" s="37">
        <v>4.88799557</v>
      </c>
      <c r="I9" s="37">
        <v>165780.0</v>
      </c>
      <c r="J9" s="37">
        <v>2.317339015E7</v>
      </c>
      <c r="K9" s="37">
        <v>2.317339015E7</v>
      </c>
      <c r="L9" s="38"/>
      <c r="M9" s="38"/>
      <c r="N9" s="38"/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38"/>
    </row>
    <row r="10">
      <c r="A10" s="35" t="s">
        <v>722</v>
      </c>
      <c r="B10" s="37">
        <v>6438564.0</v>
      </c>
      <c r="C10" s="35" t="s">
        <v>723</v>
      </c>
      <c r="D10" s="35" t="s">
        <v>93</v>
      </c>
      <c r="E10" s="35" t="s">
        <v>167</v>
      </c>
      <c r="F10" s="35" t="s">
        <v>635</v>
      </c>
      <c r="G10" s="35" t="s">
        <v>636</v>
      </c>
      <c r="H10" s="37">
        <v>3.72293663</v>
      </c>
      <c r="I10" s="37">
        <v>3266716.0</v>
      </c>
      <c r="J10" s="37">
        <v>1.764998795E7</v>
      </c>
      <c r="K10" s="37">
        <v>1.764998795E7</v>
      </c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</row>
    <row r="11">
      <c r="A11" s="35" t="s">
        <v>724</v>
      </c>
      <c r="B11" s="37">
        <v>6450267.0</v>
      </c>
      <c r="C11" s="35" t="s">
        <v>725</v>
      </c>
      <c r="D11" s="35" t="s">
        <v>93</v>
      </c>
      <c r="E11" s="35" t="s">
        <v>167</v>
      </c>
      <c r="F11" s="35" t="s">
        <v>658</v>
      </c>
      <c r="G11" s="35" t="s">
        <v>659</v>
      </c>
      <c r="H11" s="37">
        <v>3.61325527</v>
      </c>
      <c r="I11" s="37">
        <v>131501.0</v>
      </c>
      <c r="J11" s="37">
        <v>1.713000203E7</v>
      </c>
      <c r="K11" s="37">
        <v>1.713000203E7</v>
      </c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</row>
    <row r="12">
      <c r="A12" s="35" t="s">
        <v>726</v>
      </c>
      <c r="B12" s="35" t="s">
        <v>727</v>
      </c>
      <c r="C12" s="35" t="s">
        <v>728</v>
      </c>
      <c r="D12" s="35" t="s">
        <v>93</v>
      </c>
      <c r="E12" s="35" t="s">
        <v>121</v>
      </c>
      <c r="F12" s="35" t="s">
        <v>645</v>
      </c>
      <c r="G12" s="35" t="s">
        <v>623</v>
      </c>
      <c r="H12" s="37">
        <v>2.93357019</v>
      </c>
      <c r="I12" s="37">
        <v>66236.0</v>
      </c>
      <c r="J12" s="37">
        <v>1.390769806E7</v>
      </c>
      <c r="K12" s="37">
        <v>1.390769806E7</v>
      </c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</row>
    <row r="13">
      <c r="A13" s="35" t="s">
        <v>729</v>
      </c>
      <c r="B13" s="37">
        <v>2646123.0</v>
      </c>
      <c r="C13" s="35" t="s">
        <v>730</v>
      </c>
      <c r="D13" s="35" t="s">
        <v>93</v>
      </c>
      <c r="E13" s="35" t="s">
        <v>167</v>
      </c>
      <c r="F13" s="35" t="s">
        <v>716</v>
      </c>
      <c r="G13" s="35" t="s">
        <v>623</v>
      </c>
      <c r="H13" s="37">
        <v>2.31517096</v>
      </c>
      <c r="I13" s="37">
        <v>1602298.0</v>
      </c>
      <c r="J13" s="37">
        <v>1.09759428E7</v>
      </c>
      <c r="K13" s="37">
        <v>1.09759428E7</v>
      </c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</row>
    <row r="14">
      <c r="A14" s="35" t="s">
        <v>731</v>
      </c>
      <c r="B14" s="37">
        <v>6372480.0</v>
      </c>
      <c r="C14" s="35" t="s">
        <v>732</v>
      </c>
      <c r="D14" s="35" t="s">
        <v>93</v>
      </c>
      <c r="E14" s="35" t="s">
        <v>167</v>
      </c>
      <c r="F14" s="35" t="s">
        <v>635</v>
      </c>
      <c r="G14" s="35" t="s">
        <v>636</v>
      </c>
      <c r="H14" s="37">
        <v>2.11930092</v>
      </c>
      <c r="I14" s="37">
        <v>303224.0</v>
      </c>
      <c r="J14" s="37">
        <v>1.00473469E7</v>
      </c>
      <c r="K14" s="37">
        <v>1.00473469E7</v>
      </c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>
      <c r="A15" s="35" t="s">
        <v>733</v>
      </c>
      <c r="B15" s="37">
        <v>6260734.0</v>
      </c>
      <c r="C15" s="35" t="s">
        <v>734</v>
      </c>
      <c r="D15" s="35" t="s">
        <v>93</v>
      </c>
      <c r="E15" s="35" t="s">
        <v>167</v>
      </c>
      <c r="F15" s="35" t="s">
        <v>635</v>
      </c>
      <c r="G15" s="35" t="s">
        <v>636</v>
      </c>
      <c r="H15" s="37">
        <v>1.65968239</v>
      </c>
      <c r="I15" s="37">
        <v>452093.0</v>
      </c>
      <c r="J15" s="37">
        <v>7868351.57</v>
      </c>
      <c r="K15" s="37">
        <v>7868351.57</v>
      </c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</row>
    <row r="16">
      <c r="A16" s="35" t="s">
        <v>735</v>
      </c>
      <c r="B16" s="35" t="s">
        <v>736</v>
      </c>
      <c r="C16" s="35" t="s">
        <v>737</v>
      </c>
      <c r="D16" s="35" t="s">
        <v>93</v>
      </c>
      <c r="E16" s="35" t="s">
        <v>121</v>
      </c>
      <c r="F16" s="35" t="s">
        <v>738</v>
      </c>
      <c r="G16" s="35" t="s">
        <v>623</v>
      </c>
      <c r="H16" s="37">
        <v>1.63562444</v>
      </c>
      <c r="I16" s="37">
        <v>88101.0</v>
      </c>
      <c r="J16" s="37">
        <v>7754295.74</v>
      </c>
      <c r="K16" s="37">
        <v>7754295.74</v>
      </c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</row>
    <row r="17">
      <c r="A17" s="35" t="s">
        <v>739</v>
      </c>
      <c r="B17" s="37">
        <v>6560393.0</v>
      </c>
      <c r="C17" s="35" t="s">
        <v>740</v>
      </c>
      <c r="D17" s="35" t="s">
        <v>93</v>
      </c>
      <c r="E17" s="35" t="s">
        <v>121</v>
      </c>
      <c r="F17" s="35" t="s">
        <v>658</v>
      </c>
      <c r="G17" s="35" t="s">
        <v>659</v>
      </c>
      <c r="H17" s="37">
        <v>1.57132692</v>
      </c>
      <c r="I17" s="37">
        <v>34079.0</v>
      </c>
      <c r="J17" s="37">
        <v>7449469.05</v>
      </c>
      <c r="K17" s="37">
        <v>7449469.05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</row>
    <row r="18">
      <c r="A18" s="35" t="s">
        <v>741</v>
      </c>
      <c r="B18" s="35" t="s">
        <v>742</v>
      </c>
      <c r="C18" s="35" t="s">
        <v>743</v>
      </c>
      <c r="D18" s="35" t="s">
        <v>93</v>
      </c>
      <c r="E18" s="35" t="s">
        <v>133</v>
      </c>
      <c r="F18" s="35" t="s">
        <v>645</v>
      </c>
      <c r="G18" s="35" t="s">
        <v>623</v>
      </c>
      <c r="H18" s="37">
        <v>1.51958669</v>
      </c>
      <c r="I18" s="37">
        <v>322898.0</v>
      </c>
      <c r="J18" s="37">
        <v>7204174.94</v>
      </c>
      <c r="K18" s="37">
        <v>7204174.94</v>
      </c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</row>
    <row r="19">
      <c r="A19" s="35" t="s">
        <v>744</v>
      </c>
      <c r="B19" s="35" t="s">
        <v>745</v>
      </c>
      <c r="C19" s="35" t="s">
        <v>746</v>
      </c>
      <c r="D19" s="35" t="s">
        <v>93</v>
      </c>
      <c r="E19" s="35" t="s">
        <v>121</v>
      </c>
      <c r="F19" s="35" t="s">
        <v>645</v>
      </c>
      <c r="G19" s="35" t="s">
        <v>646</v>
      </c>
      <c r="H19" s="37">
        <v>1.49950741</v>
      </c>
      <c r="I19" s="37">
        <v>685311.0</v>
      </c>
      <c r="J19" s="37">
        <v>7108981.54</v>
      </c>
      <c r="K19" s="37">
        <v>7108981.54</v>
      </c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</row>
    <row r="20">
      <c r="A20" s="35" t="s">
        <v>747</v>
      </c>
      <c r="B20" s="35" t="s">
        <v>748</v>
      </c>
      <c r="C20" s="35" t="s">
        <v>749</v>
      </c>
      <c r="D20" s="35" t="s">
        <v>93</v>
      </c>
      <c r="E20" s="35" t="s">
        <v>167</v>
      </c>
      <c r="F20" s="35" t="s">
        <v>645</v>
      </c>
      <c r="G20" s="35" t="s">
        <v>646</v>
      </c>
      <c r="H20" s="37">
        <v>1.28321415</v>
      </c>
      <c r="I20" s="37">
        <v>3131969.0</v>
      </c>
      <c r="J20" s="37">
        <v>6083561.58</v>
      </c>
      <c r="K20" s="37">
        <v>6083561.58</v>
      </c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</row>
    <row r="21">
      <c r="A21" s="35" t="s">
        <v>750</v>
      </c>
      <c r="B21" s="37">
        <v>6916628.0</v>
      </c>
      <c r="C21" s="35" t="s">
        <v>751</v>
      </c>
      <c r="D21" s="35" t="s">
        <v>93</v>
      </c>
      <c r="E21" s="35" t="s">
        <v>167</v>
      </c>
      <c r="F21" s="35" t="s">
        <v>635</v>
      </c>
      <c r="G21" s="35" t="s">
        <v>636</v>
      </c>
      <c r="H21" s="37">
        <v>1.18259024</v>
      </c>
      <c r="I21" s="37">
        <v>2175453.0</v>
      </c>
      <c r="J21" s="37">
        <v>5606515.93</v>
      </c>
      <c r="K21" s="37">
        <v>5606515.93</v>
      </c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</row>
    <row r="22">
      <c r="A22" s="35" t="s">
        <v>752</v>
      </c>
      <c r="B22" s="35" t="s">
        <v>753</v>
      </c>
      <c r="C22" s="35" t="s">
        <v>754</v>
      </c>
      <c r="D22" s="35" t="s">
        <v>93</v>
      </c>
      <c r="E22" s="35" t="s">
        <v>167</v>
      </c>
      <c r="F22" s="35" t="s">
        <v>635</v>
      </c>
      <c r="G22" s="35" t="s">
        <v>623</v>
      </c>
      <c r="H22" s="37">
        <v>1.15350062</v>
      </c>
      <c r="I22" s="37">
        <v>421463.0</v>
      </c>
      <c r="J22" s="37">
        <v>5468605.58</v>
      </c>
      <c r="K22" s="37">
        <v>5468605.58</v>
      </c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</row>
    <row r="23">
      <c r="A23" s="35" t="s">
        <v>755</v>
      </c>
      <c r="B23" s="37">
        <v>6194037.0</v>
      </c>
      <c r="C23" s="35" t="s">
        <v>756</v>
      </c>
      <c r="D23" s="35" t="s">
        <v>93</v>
      </c>
      <c r="E23" s="35" t="s">
        <v>121</v>
      </c>
      <c r="F23" s="35" t="s">
        <v>658</v>
      </c>
      <c r="G23" s="35" t="s">
        <v>659</v>
      </c>
      <c r="H23" s="37">
        <v>0.86790652</v>
      </c>
      <c r="I23" s="37">
        <v>71588.0</v>
      </c>
      <c r="J23" s="37">
        <v>4114638.85</v>
      </c>
      <c r="K23" s="37">
        <v>4114638.85</v>
      </c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</row>
    <row r="24">
      <c r="A24" s="35" t="s">
        <v>757</v>
      </c>
      <c r="B24" s="37">
        <v>6744283.0</v>
      </c>
      <c r="C24" s="35" t="s">
        <v>758</v>
      </c>
      <c r="D24" s="35" t="s">
        <v>93</v>
      </c>
      <c r="E24" s="35" t="s">
        <v>167</v>
      </c>
      <c r="F24" s="35" t="s">
        <v>635</v>
      </c>
      <c r="G24" s="35" t="s">
        <v>636</v>
      </c>
      <c r="H24" s="37">
        <v>0.58847143</v>
      </c>
      <c r="I24" s="37">
        <v>262831.0</v>
      </c>
      <c r="J24" s="37">
        <v>2789871.19</v>
      </c>
      <c r="K24" s="37">
        <v>2789871.19</v>
      </c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</row>
    <row r="25">
      <c r="A25" s="35" t="s">
        <v>759</v>
      </c>
      <c r="B25" s="35" t="s">
        <v>760</v>
      </c>
      <c r="C25" s="35" t="s">
        <v>761</v>
      </c>
      <c r="D25" s="35" t="s">
        <v>93</v>
      </c>
      <c r="E25" s="35" t="s">
        <v>127</v>
      </c>
      <c r="F25" s="35" t="s">
        <v>658</v>
      </c>
      <c r="G25" s="35" t="s">
        <v>659</v>
      </c>
      <c r="H25" s="37">
        <v>0.55565254</v>
      </c>
      <c r="I25" s="37">
        <v>14319.0</v>
      </c>
      <c r="J25" s="37">
        <v>2634280.84</v>
      </c>
      <c r="K25" s="37">
        <v>2634280.84</v>
      </c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</row>
    <row r="26">
      <c r="A26" s="35" t="s">
        <v>762</v>
      </c>
      <c r="B26" s="37">
        <v>6519481.0</v>
      </c>
      <c r="C26" s="35" t="s">
        <v>763</v>
      </c>
      <c r="D26" s="35" t="s">
        <v>93</v>
      </c>
      <c r="E26" s="35" t="s">
        <v>167</v>
      </c>
      <c r="F26" s="35" t="s">
        <v>635</v>
      </c>
      <c r="G26" s="35" t="s">
        <v>636</v>
      </c>
      <c r="H26" s="37">
        <v>0.50964691</v>
      </c>
      <c r="I26" s="37">
        <v>481265.0</v>
      </c>
      <c r="J26" s="37">
        <v>2416173.78</v>
      </c>
      <c r="K26" s="37">
        <v>2416173.78</v>
      </c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</row>
    <row r="27">
      <c r="A27" s="35" t="s">
        <v>764</v>
      </c>
      <c r="B27" s="35" t="s">
        <v>765</v>
      </c>
      <c r="C27" s="35" t="s">
        <v>766</v>
      </c>
      <c r="D27" s="35" t="s">
        <v>93</v>
      </c>
      <c r="E27" s="35" t="s">
        <v>118</v>
      </c>
      <c r="F27" s="35" t="s">
        <v>645</v>
      </c>
      <c r="G27" s="35" t="s">
        <v>623</v>
      </c>
      <c r="H27" s="37">
        <v>0.46812607</v>
      </c>
      <c r="I27" s="37">
        <v>88446.0</v>
      </c>
      <c r="J27" s="37">
        <v>2219328.54</v>
      </c>
      <c r="K27" s="37">
        <v>2219328.54</v>
      </c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</row>
    <row r="28">
      <c r="A28" s="35" t="s">
        <v>767</v>
      </c>
      <c r="B28" s="35" t="s">
        <v>768</v>
      </c>
      <c r="C28" s="35" t="s">
        <v>769</v>
      </c>
      <c r="D28" s="35" t="s">
        <v>93</v>
      </c>
      <c r="E28" s="35" t="s">
        <v>121</v>
      </c>
      <c r="F28" s="35" t="s">
        <v>645</v>
      </c>
      <c r="G28" s="35" t="s">
        <v>623</v>
      </c>
      <c r="H28" s="37">
        <v>0.43228121</v>
      </c>
      <c r="I28" s="37">
        <v>91371.0</v>
      </c>
      <c r="J28" s="37">
        <v>2049392.45</v>
      </c>
      <c r="K28" s="37">
        <v>2049392.45</v>
      </c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</row>
    <row r="29">
      <c r="A29" s="35" t="s">
        <v>770</v>
      </c>
      <c r="B29" s="37">
        <v>6005214.0</v>
      </c>
      <c r="C29" s="35" t="s">
        <v>771</v>
      </c>
      <c r="D29" s="35" t="s">
        <v>93</v>
      </c>
      <c r="E29" s="35" t="s">
        <v>167</v>
      </c>
      <c r="F29" s="35" t="s">
        <v>635</v>
      </c>
      <c r="G29" s="35" t="s">
        <v>636</v>
      </c>
      <c r="H29" s="37">
        <v>0.4320872</v>
      </c>
      <c r="I29" s="37">
        <v>119672.0</v>
      </c>
      <c r="J29" s="37">
        <v>2048472.63</v>
      </c>
      <c r="K29" s="37">
        <v>2048472.63</v>
      </c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</row>
    <row r="30">
      <c r="A30" s="35" t="s">
        <v>772</v>
      </c>
      <c r="B30" s="35" t="s">
        <v>773</v>
      </c>
      <c r="C30" s="35" t="s">
        <v>774</v>
      </c>
      <c r="D30" s="35" t="s">
        <v>93</v>
      </c>
      <c r="E30" s="35" t="s">
        <v>121</v>
      </c>
      <c r="F30" s="35" t="s">
        <v>658</v>
      </c>
      <c r="G30" s="35" t="s">
        <v>659</v>
      </c>
      <c r="H30" s="37">
        <v>0.41274638</v>
      </c>
      <c r="I30" s="37">
        <v>8415.0</v>
      </c>
      <c r="J30" s="37">
        <v>1956780.18</v>
      </c>
      <c r="K30" s="37">
        <v>1956780.18</v>
      </c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</row>
    <row r="31">
      <c r="A31" s="35" t="s">
        <v>775</v>
      </c>
      <c r="B31" s="35" t="s">
        <v>776</v>
      </c>
      <c r="C31" s="35" t="s">
        <v>777</v>
      </c>
      <c r="D31" s="35" t="s">
        <v>93</v>
      </c>
      <c r="E31" s="35" t="s">
        <v>167</v>
      </c>
      <c r="F31" s="35" t="s">
        <v>645</v>
      </c>
      <c r="G31" s="35" t="s">
        <v>646</v>
      </c>
      <c r="H31" s="37">
        <v>0.4100507</v>
      </c>
      <c r="I31" s="37">
        <v>1178514.0</v>
      </c>
      <c r="J31" s="37">
        <v>1944000.31</v>
      </c>
      <c r="K31" s="37">
        <v>1944000.31</v>
      </c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</row>
    <row r="32">
      <c r="A32" s="35" t="s">
        <v>778</v>
      </c>
      <c r="B32" s="37">
        <v>6771689.0</v>
      </c>
      <c r="C32" s="35" t="s">
        <v>779</v>
      </c>
      <c r="D32" s="35" t="s">
        <v>93</v>
      </c>
      <c r="E32" s="35" t="s">
        <v>167</v>
      </c>
      <c r="F32" s="35" t="s">
        <v>658</v>
      </c>
      <c r="G32" s="35" t="s">
        <v>659</v>
      </c>
      <c r="H32" s="37">
        <v>0.37260923</v>
      </c>
      <c r="I32" s="37">
        <v>10841.0</v>
      </c>
      <c r="J32" s="37">
        <v>1766494.86</v>
      </c>
      <c r="K32" s="37">
        <v>1766494.86</v>
      </c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</row>
    <row r="33">
      <c r="A33" s="35" t="s">
        <v>780</v>
      </c>
      <c r="B33" s="37">
        <v>6346333.0</v>
      </c>
      <c r="C33" s="35" t="s">
        <v>781</v>
      </c>
      <c r="D33" s="35" t="s">
        <v>93</v>
      </c>
      <c r="E33" s="35" t="s">
        <v>167</v>
      </c>
      <c r="F33" s="35" t="s">
        <v>635</v>
      </c>
      <c r="G33" s="35" t="s">
        <v>636</v>
      </c>
      <c r="H33" s="37">
        <v>0.35150812</v>
      </c>
      <c r="I33" s="37">
        <v>77451.0</v>
      </c>
      <c r="J33" s="37">
        <v>1666457.08</v>
      </c>
      <c r="K33" s="37">
        <v>1666457.08</v>
      </c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</row>
    <row r="34">
      <c r="A34" s="35" t="s">
        <v>782</v>
      </c>
      <c r="B34" s="37">
        <v>6051422.0</v>
      </c>
      <c r="C34" s="35" t="s">
        <v>783</v>
      </c>
      <c r="D34" s="35" t="s">
        <v>93</v>
      </c>
      <c r="E34" s="35" t="s">
        <v>167</v>
      </c>
      <c r="F34" s="35" t="s">
        <v>635</v>
      </c>
      <c r="G34" s="35" t="s">
        <v>636</v>
      </c>
      <c r="H34" s="37">
        <v>0.34706003</v>
      </c>
      <c r="I34" s="37">
        <v>88010.0</v>
      </c>
      <c r="J34" s="37">
        <v>1645369.22</v>
      </c>
      <c r="K34" s="37">
        <v>1645369.22</v>
      </c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</row>
    <row r="35">
      <c r="A35" s="35" t="s">
        <v>784</v>
      </c>
      <c r="B35" s="35" t="s">
        <v>785</v>
      </c>
      <c r="C35" s="35" t="s">
        <v>786</v>
      </c>
      <c r="D35" s="35" t="s">
        <v>93</v>
      </c>
      <c r="E35" s="35" t="s">
        <v>99</v>
      </c>
      <c r="F35" s="35" t="s">
        <v>645</v>
      </c>
      <c r="G35" s="35" t="s">
        <v>623</v>
      </c>
      <c r="H35" s="37">
        <v>0.32697005</v>
      </c>
      <c r="I35" s="37">
        <v>732678.0</v>
      </c>
      <c r="J35" s="37">
        <v>1550125.08</v>
      </c>
      <c r="K35" s="37">
        <v>1550125.08</v>
      </c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</row>
    <row r="36">
      <c r="A36" s="35" t="s">
        <v>787</v>
      </c>
      <c r="B36" s="35" t="s">
        <v>788</v>
      </c>
      <c r="C36" s="35" t="s">
        <v>789</v>
      </c>
      <c r="D36" s="35" t="s">
        <v>93</v>
      </c>
      <c r="E36" s="35" t="s">
        <v>121</v>
      </c>
      <c r="F36" s="35" t="s">
        <v>645</v>
      </c>
      <c r="G36" s="35" t="s">
        <v>623</v>
      </c>
      <c r="H36" s="37">
        <v>0.32631724</v>
      </c>
      <c r="I36" s="37">
        <v>35785.0</v>
      </c>
      <c r="J36" s="37">
        <v>1547030.18</v>
      </c>
      <c r="K36" s="37">
        <v>1547030.18</v>
      </c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>
      <c r="A37" s="35" t="s">
        <v>790</v>
      </c>
      <c r="B37" s="35" t="s">
        <v>791</v>
      </c>
      <c r="C37" s="35" t="s">
        <v>792</v>
      </c>
      <c r="D37" s="35" t="s">
        <v>93</v>
      </c>
      <c r="E37" s="35" t="s">
        <v>121</v>
      </c>
      <c r="F37" s="35" t="s">
        <v>645</v>
      </c>
      <c r="G37" s="35" t="s">
        <v>623</v>
      </c>
      <c r="H37" s="37">
        <v>0.31832528</v>
      </c>
      <c r="I37" s="37">
        <v>133163.0</v>
      </c>
      <c r="J37" s="37">
        <v>1509141.26</v>
      </c>
      <c r="K37" s="37">
        <v>1509141.26</v>
      </c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>
      <c r="A38" s="35" t="s">
        <v>793</v>
      </c>
      <c r="B38" s="37">
        <v>6407768.0</v>
      </c>
      <c r="C38" s="35" t="s">
        <v>794</v>
      </c>
      <c r="D38" s="35" t="s">
        <v>93</v>
      </c>
      <c r="E38" s="35" t="s">
        <v>94</v>
      </c>
      <c r="F38" s="35" t="s">
        <v>658</v>
      </c>
      <c r="G38" s="35" t="s">
        <v>659</v>
      </c>
      <c r="H38" s="37">
        <v>0.31214625</v>
      </c>
      <c r="I38" s="37">
        <v>28652.0</v>
      </c>
      <c r="J38" s="37">
        <v>1479847.23</v>
      </c>
      <c r="K38" s="37">
        <v>1479847.23</v>
      </c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</row>
    <row r="39">
      <c r="A39" s="35" t="s">
        <v>795</v>
      </c>
      <c r="B39" s="37">
        <v>6984380.0</v>
      </c>
      <c r="C39" s="35" t="s">
        <v>796</v>
      </c>
      <c r="D39" s="35" t="s">
        <v>93</v>
      </c>
      <c r="E39" s="35" t="s">
        <v>167</v>
      </c>
      <c r="F39" s="35" t="s">
        <v>635</v>
      </c>
      <c r="G39" s="35" t="s">
        <v>636</v>
      </c>
      <c r="H39" s="37">
        <v>0.29298779</v>
      </c>
      <c r="I39" s="37">
        <v>59166.0</v>
      </c>
      <c r="J39" s="37">
        <v>1389019.34</v>
      </c>
      <c r="K39" s="37">
        <v>1389019.34</v>
      </c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</row>
    <row r="40">
      <c r="A40" s="35" t="s">
        <v>797</v>
      </c>
      <c r="B40" s="35" t="s">
        <v>798</v>
      </c>
      <c r="C40" s="35" t="s">
        <v>799</v>
      </c>
      <c r="D40" s="35" t="s">
        <v>93</v>
      </c>
      <c r="E40" s="35" t="s">
        <v>167</v>
      </c>
      <c r="F40" s="35" t="s">
        <v>645</v>
      </c>
      <c r="G40" s="35" t="s">
        <v>636</v>
      </c>
      <c r="H40" s="37">
        <v>0.29009793</v>
      </c>
      <c r="I40" s="37">
        <v>76297.0</v>
      </c>
      <c r="J40" s="37">
        <v>1375318.87</v>
      </c>
      <c r="K40" s="37">
        <v>1375318.87</v>
      </c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</row>
    <row r="41">
      <c r="A41" s="35" t="s">
        <v>800</v>
      </c>
      <c r="B41" s="35" t="s">
        <v>801</v>
      </c>
      <c r="C41" s="35" t="s">
        <v>802</v>
      </c>
      <c r="D41" s="35" t="s">
        <v>93</v>
      </c>
      <c r="E41" s="35" t="s">
        <v>121</v>
      </c>
      <c r="F41" s="35" t="s">
        <v>645</v>
      </c>
      <c r="G41" s="35" t="s">
        <v>623</v>
      </c>
      <c r="H41" s="37">
        <v>0.29001146</v>
      </c>
      <c r="I41" s="37">
        <v>60462.0</v>
      </c>
      <c r="J41" s="37">
        <v>1374908.92</v>
      </c>
      <c r="K41" s="37">
        <v>1374908.92</v>
      </c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</row>
    <row r="42">
      <c r="A42" s="35" t="s">
        <v>803</v>
      </c>
      <c r="B42" s="37">
        <v>6288190.0</v>
      </c>
      <c r="C42" s="35" t="s">
        <v>804</v>
      </c>
      <c r="D42" s="35" t="s">
        <v>93</v>
      </c>
      <c r="E42" s="35" t="s">
        <v>167</v>
      </c>
      <c r="F42" s="35" t="s">
        <v>635</v>
      </c>
      <c r="G42" s="35" t="s">
        <v>636</v>
      </c>
      <c r="H42" s="37">
        <v>0.28854223</v>
      </c>
      <c r="I42" s="37">
        <v>1423369.0</v>
      </c>
      <c r="J42" s="37">
        <v>1367943.47</v>
      </c>
      <c r="K42" s="37">
        <v>1367943.47</v>
      </c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</row>
    <row r="43">
      <c r="A43" s="35" t="s">
        <v>805</v>
      </c>
      <c r="B43" s="35" t="s">
        <v>806</v>
      </c>
      <c r="C43" s="35" t="s">
        <v>807</v>
      </c>
      <c r="D43" s="35" t="s">
        <v>93</v>
      </c>
      <c r="E43" s="35" t="s">
        <v>167</v>
      </c>
      <c r="F43" s="35" t="s">
        <v>658</v>
      </c>
      <c r="G43" s="35" t="s">
        <v>659</v>
      </c>
      <c r="H43" s="37">
        <v>0.27257867</v>
      </c>
      <c r="I43" s="37">
        <v>9172.0</v>
      </c>
      <c r="J43" s="37">
        <v>1292262.17</v>
      </c>
      <c r="K43" s="37">
        <v>1292262.17</v>
      </c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</row>
    <row r="44">
      <c r="A44" s="35" t="s">
        <v>808</v>
      </c>
      <c r="B44" s="37">
        <v>6327587.0</v>
      </c>
      <c r="C44" s="35" t="s">
        <v>809</v>
      </c>
      <c r="D44" s="35" t="s">
        <v>93</v>
      </c>
      <c r="E44" s="35" t="s">
        <v>167</v>
      </c>
      <c r="F44" s="35" t="s">
        <v>645</v>
      </c>
      <c r="G44" s="35" t="s">
        <v>646</v>
      </c>
      <c r="H44" s="37">
        <v>0.25246619</v>
      </c>
      <c r="I44" s="37">
        <v>602142.0</v>
      </c>
      <c r="J44" s="37">
        <v>1196911.39</v>
      </c>
      <c r="K44" s="37">
        <v>1196911.39</v>
      </c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</row>
    <row r="45">
      <c r="A45" s="35" t="s">
        <v>810</v>
      </c>
      <c r="B45" s="37">
        <v>6133450.0</v>
      </c>
      <c r="C45" s="35" t="s">
        <v>811</v>
      </c>
      <c r="D45" s="35" t="s">
        <v>93</v>
      </c>
      <c r="E45" s="35" t="s">
        <v>167</v>
      </c>
      <c r="F45" s="35" t="s">
        <v>635</v>
      </c>
      <c r="G45" s="35" t="s">
        <v>636</v>
      </c>
      <c r="H45" s="37">
        <v>0.23606986</v>
      </c>
      <c r="I45" s="37">
        <v>132994.0</v>
      </c>
      <c r="J45" s="37">
        <v>1119178.37</v>
      </c>
      <c r="K45" s="37">
        <v>1119178.37</v>
      </c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</row>
    <row r="46">
      <c r="A46" s="35" t="s">
        <v>812</v>
      </c>
      <c r="B46" s="37">
        <v>6578608.0</v>
      </c>
      <c r="C46" s="35" t="s">
        <v>813</v>
      </c>
      <c r="D46" s="35" t="s">
        <v>93</v>
      </c>
      <c r="E46" s="35" t="s">
        <v>167</v>
      </c>
      <c r="F46" s="35" t="s">
        <v>658</v>
      </c>
      <c r="G46" s="35" t="s">
        <v>659</v>
      </c>
      <c r="H46" s="37">
        <v>0.22542</v>
      </c>
      <c r="I46" s="37">
        <v>3741.0</v>
      </c>
      <c r="J46" s="37">
        <v>1068688.72</v>
      </c>
      <c r="K46" s="37">
        <v>1068688.72</v>
      </c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</row>
    <row r="47">
      <c r="A47" s="35" t="s">
        <v>814</v>
      </c>
      <c r="B47" s="35" t="s">
        <v>815</v>
      </c>
      <c r="C47" s="35" t="s">
        <v>816</v>
      </c>
      <c r="D47" s="35" t="s">
        <v>93</v>
      </c>
      <c r="E47" s="35" t="s">
        <v>121</v>
      </c>
      <c r="F47" s="35" t="s">
        <v>645</v>
      </c>
      <c r="G47" s="35" t="s">
        <v>646</v>
      </c>
      <c r="H47" s="37">
        <v>0.20290758</v>
      </c>
      <c r="I47" s="37">
        <v>153577.0</v>
      </c>
      <c r="J47" s="37">
        <v>961960.08</v>
      </c>
      <c r="K47" s="37">
        <v>961960.08</v>
      </c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</row>
    <row r="48">
      <c r="A48" s="35" t="s">
        <v>817</v>
      </c>
      <c r="B48" s="35" t="s">
        <v>818</v>
      </c>
      <c r="C48" s="35" t="s">
        <v>819</v>
      </c>
      <c r="D48" s="35" t="s">
        <v>93</v>
      </c>
      <c r="E48" s="35" t="s">
        <v>167</v>
      </c>
      <c r="F48" s="35" t="s">
        <v>645</v>
      </c>
      <c r="G48" s="35" t="s">
        <v>623</v>
      </c>
      <c r="H48" s="37">
        <v>0.18509789</v>
      </c>
      <c r="I48" s="37">
        <v>49968.0</v>
      </c>
      <c r="J48" s="37">
        <v>877526.5</v>
      </c>
      <c r="K48" s="37">
        <v>877526.5</v>
      </c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</row>
    <row r="49">
      <c r="A49" s="35" t="s">
        <v>820</v>
      </c>
      <c r="B49" s="37">
        <v>6002453.0</v>
      </c>
      <c r="C49" s="35" t="s">
        <v>821</v>
      </c>
      <c r="D49" s="35" t="s">
        <v>93</v>
      </c>
      <c r="E49" s="35" t="s">
        <v>167</v>
      </c>
      <c r="F49" s="35" t="s">
        <v>822</v>
      </c>
      <c r="G49" s="35" t="s">
        <v>646</v>
      </c>
      <c r="H49" s="37">
        <v>0.16958348</v>
      </c>
      <c r="I49" s="37">
        <v>54446.0</v>
      </c>
      <c r="J49" s="37">
        <v>803974.55</v>
      </c>
      <c r="K49" s="37">
        <v>803974.55</v>
      </c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</row>
    <row r="50">
      <c r="A50" s="35" t="s">
        <v>823</v>
      </c>
      <c r="B50" s="35" t="s">
        <v>824</v>
      </c>
      <c r="C50" s="35" t="s">
        <v>825</v>
      </c>
      <c r="D50" s="35" t="s">
        <v>93</v>
      </c>
      <c r="E50" s="35" t="s">
        <v>121</v>
      </c>
      <c r="F50" s="35" t="s">
        <v>645</v>
      </c>
      <c r="G50" s="35" t="s">
        <v>623</v>
      </c>
      <c r="H50" s="37">
        <v>0.15624077</v>
      </c>
      <c r="I50" s="37">
        <v>35282.0</v>
      </c>
      <c r="J50" s="37">
        <v>740718.42</v>
      </c>
      <c r="K50" s="37">
        <v>740718.42</v>
      </c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</row>
    <row r="51">
      <c r="A51" s="35" t="s">
        <v>826</v>
      </c>
      <c r="B51" s="35" t="s">
        <v>827</v>
      </c>
      <c r="C51" s="35" t="s">
        <v>828</v>
      </c>
      <c r="D51" s="35" t="s">
        <v>93</v>
      </c>
      <c r="E51" s="35" t="s">
        <v>167</v>
      </c>
      <c r="F51" s="35" t="s">
        <v>645</v>
      </c>
      <c r="G51" s="35" t="s">
        <v>646</v>
      </c>
      <c r="H51" s="37">
        <v>0.12653858</v>
      </c>
      <c r="I51" s="37">
        <v>1504707.0</v>
      </c>
      <c r="J51" s="37">
        <v>599903.97</v>
      </c>
      <c r="K51" s="37">
        <v>599903.97</v>
      </c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</row>
    <row r="52">
      <c r="A52" s="35" t="s">
        <v>636</v>
      </c>
      <c r="B52" s="36"/>
      <c r="C52" s="35" t="s">
        <v>829</v>
      </c>
      <c r="D52" s="35" t="s">
        <v>617</v>
      </c>
      <c r="E52" s="36"/>
      <c r="F52" s="36"/>
      <c r="G52" s="35" t="s">
        <v>636</v>
      </c>
      <c r="H52" s="37">
        <v>0.19369127</v>
      </c>
      <c r="I52" s="37">
        <v>1.920499699E7</v>
      </c>
      <c r="J52" s="37">
        <v>918266.7</v>
      </c>
      <c r="K52" s="37">
        <v>918266.7</v>
      </c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>
      <c r="A53" s="35" t="s">
        <v>623</v>
      </c>
      <c r="B53" s="36"/>
      <c r="C53" s="35" t="s">
        <v>830</v>
      </c>
      <c r="D53" s="35" t="s">
        <v>617</v>
      </c>
      <c r="E53" s="36"/>
      <c r="F53" s="36"/>
      <c r="G53" s="35" t="s">
        <v>623</v>
      </c>
      <c r="H53" s="37">
        <v>0.13297388</v>
      </c>
      <c r="I53" s="37">
        <v>426096.1</v>
      </c>
      <c r="J53" s="37">
        <v>630412.93</v>
      </c>
      <c r="K53" s="37">
        <v>630412.93</v>
      </c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</row>
    <row r="54">
      <c r="A54" s="35" t="s">
        <v>659</v>
      </c>
      <c r="B54" s="36"/>
      <c r="C54" s="35" t="s">
        <v>831</v>
      </c>
      <c r="D54" s="35" t="s">
        <v>617</v>
      </c>
      <c r="E54" s="36"/>
      <c r="F54" s="36"/>
      <c r="G54" s="35" t="s">
        <v>659</v>
      </c>
      <c r="H54" s="37">
        <v>0.10825579</v>
      </c>
      <c r="I54" s="37">
        <v>4.4914480923E8</v>
      </c>
      <c r="J54" s="37">
        <v>513227.47</v>
      </c>
      <c r="K54" s="37">
        <v>513227.47</v>
      </c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</row>
    <row r="55">
      <c r="A55" s="35" t="s">
        <v>646</v>
      </c>
      <c r="B55" s="36"/>
      <c r="C55" s="35" t="s">
        <v>832</v>
      </c>
      <c r="D55" s="35" t="s">
        <v>617</v>
      </c>
      <c r="E55" s="36"/>
      <c r="F55" s="36"/>
      <c r="G55" s="35" t="s">
        <v>646</v>
      </c>
      <c r="H55" s="37">
        <v>0.00806073</v>
      </c>
      <c r="I55" s="37">
        <v>202248.72</v>
      </c>
      <c r="J55" s="37">
        <v>38214.94</v>
      </c>
      <c r="K55" s="37">
        <v>38214.94</v>
      </c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</row>
    <row r="56">
      <c r="A56" s="35" t="s">
        <v>96</v>
      </c>
      <c r="B56" s="36"/>
      <c r="C56" s="35" t="s">
        <v>616</v>
      </c>
      <c r="D56" s="35" t="s">
        <v>617</v>
      </c>
      <c r="E56" s="36"/>
      <c r="F56" s="36"/>
      <c r="G56" s="35" t="s">
        <v>96</v>
      </c>
      <c r="H56" s="37">
        <v>-0.09624488</v>
      </c>
      <c r="I56" s="37">
        <v>-456285.26</v>
      </c>
      <c r="J56" s="37">
        <v>-456285.26</v>
      </c>
      <c r="K56" s="37">
        <v>-456285.26</v>
      </c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</row>
    <row r="57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</row>
    <row r="58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</row>
    <row r="59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</row>
    <row r="60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</row>
    <row r="61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</row>
    <row r="62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</row>
    <row r="63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</row>
    <row r="64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</row>
    <row r="6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</row>
    <row r="66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</row>
    <row r="67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</row>
    <row r="68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</row>
    <row r="69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</row>
    <row r="70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</row>
    <row r="7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</row>
    <row r="72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</row>
    <row r="73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</row>
    <row r="74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</row>
    <row r="7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</row>
    <row r="76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</row>
    <row r="77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</row>
    <row r="78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</row>
    <row r="79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</row>
    <row r="80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</row>
    <row r="8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</row>
    <row r="82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</row>
    <row r="83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</row>
    <row r="84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</row>
    <row r="8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</row>
    <row r="86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</row>
    <row r="87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</row>
    <row r="88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</row>
    <row r="89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</row>
    <row r="90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</row>
    <row r="9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</row>
    <row r="92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</row>
    <row r="93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</row>
    <row r="94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</row>
    <row r="9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</row>
    <row r="96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</row>
    <row r="97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</row>
    <row r="98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</row>
    <row r="99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</row>
    <row r="100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</row>
    <row r="10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</row>
    <row r="102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</row>
    <row r="103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</row>
    <row r="104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</row>
    <row r="10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</row>
    <row r="106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</row>
    <row r="107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</row>
    <row r="108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</row>
    <row r="109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</row>
    <row r="110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</row>
    <row r="11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</row>
    <row r="112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</row>
    <row r="113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</row>
    <row r="114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</row>
    <row r="11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</row>
    <row r="116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</row>
    <row r="117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</row>
    <row r="118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</row>
    <row r="119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</row>
    <row r="120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</row>
    <row r="12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</row>
    <row r="122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</row>
    <row r="123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</row>
    <row r="124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</row>
    <row r="1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</row>
    <row r="126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</row>
    <row r="127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</row>
    <row r="128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</row>
    <row r="129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</row>
    <row r="130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</row>
    <row r="13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</row>
    <row r="132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</row>
    <row r="133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</row>
    <row r="134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</row>
    <row r="1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</row>
    <row r="136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</row>
    <row r="137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</row>
    <row r="138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</row>
    <row r="139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</row>
    <row r="140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</row>
    <row r="14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</row>
    <row r="142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</row>
    <row r="143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</row>
    <row r="144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</row>
    <row r="148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</row>
    <row r="149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</row>
    <row r="150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</row>
    <row r="15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</row>
    <row r="152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</row>
    <row r="153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</row>
    <row r="154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</row>
    <row r="15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</row>
    <row r="156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</row>
    <row r="157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</row>
    <row r="160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</row>
    <row r="161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</row>
    <row r="162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</row>
    <row r="163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</row>
    <row r="164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</row>
    <row r="16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</row>
    <row r="166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</row>
    <row r="167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</row>
    <row r="168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</row>
    <row r="169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</row>
    <row r="170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</row>
    <row r="171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</row>
    <row r="172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</row>
    <row r="173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</row>
    <row r="174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</row>
    <row r="17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</row>
    <row r="176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</row>
    <row r="177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</row>
    <row r="178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</row>
    <row r="179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</row>
    <row r="180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</row>
    <row r="181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</row>
    <row r="182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</row>
    <row r="183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</row>
    <row r="184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</row>
    <row r="18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</row>
    <row r="186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</row>
    <row r="187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</row>
    <row r="188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</row>
    <row r="189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</row>
    <row r="190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</row>
    <row r="191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</row>
    <row r="192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</row>
    <row r="193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</row>
    <row r="194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</row>
    <row r="19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</row>
    <row r="196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</row>
    <row r="197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</row>
    <row r="198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</row>
    <row r="199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</row>
    <row r="200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</row>
    <row r="201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</row>
    <row r="202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</row>
    <row r="203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</row>
    <row r="204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</row>
    <row r="20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</row>
    <row r="206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</row>
    <row r="207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</row>
    <row r="208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</row>
    <row r="209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</row>
    <row r="210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</row>
    <row r="211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</row>
    <row r="212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</row>
    <row r="213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</row>
    <row r="214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</row>
    <row r="21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</row>
    <row r="216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</row>
    <row r="217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</row>
    <row r="218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</row>
    <row r="219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</row>
    <row r="220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</row>
    <row r="221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</row>
    <row r="222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</row>
    <row r="223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</row>
    <row r="224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</row>
    <row r="2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</row>
    <row r="226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</row>
    <row r="227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</row>
    <row r="228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</row>
    <row r="229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</row>
    <row r="230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</row>
    <row r="231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</row>
    <row r="232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</row>
    <row r="233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</row>
    <row r="234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</row>
    <row r="2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</row>
    <row r="236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</row>
    <row r="237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</row>
    <row r="238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</row>
    <row r="239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</row>
    <row r="240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</row>
    <row r="241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</row>
    <row r="242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</row>
    <row r="243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</row>
    <row r="244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</row>
    <row r="24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</row>
    <row r="246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</row>
    <row r="247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</row>
    <row r="248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</row>
    <row r="249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</row>
    <row r="250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</row>
    <row r="251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</row>
    <row r="252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</row>
    <row r="253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</row>
    <row r="254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</row>
    <row r="25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</row>
    <row r="256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</row>
    <row r="257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</row>
    <row r="258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</row>
    <row r="259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</row>
    <row r="260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</row>
    <row r="261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</row>
    <row r="262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</row>
    <row r="263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</row>
    <row r="264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</row>
    <row r="26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</row>
    <row r="266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</row>
    <row r="267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</row>
    <row r="268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</row>
    <row r="269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</row>
    <row r="270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</row>
    <row r="271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</row>
    <row r="272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</row>
    <row r="273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</row>
    <row r="274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</row>
    <row r="27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</row>
    <row r="276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</row>
    <row r="277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</row>
    <row r="278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</row>
    <row r="279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</row>
    <row r="280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</row>
    <row r="281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</row>
    <row r="282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</row>
    <row r="283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</row>
    <row r="284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</row>
    <row r="28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</row>
    <row r="286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</row>
    <row r="287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</row>
    <row r="288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</row>
    <row r="289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</row>
    <row r="290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</row>
    <row r="291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</row>
    <row r="292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</row>
    <row r="293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</row>
    <row r="294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</row>
    <row r="29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</row>
    <row r="296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</row>
    <row r="297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</row>
    <row r="298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</row>
    <row r="299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</row>
    <row r="300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</row>
    <row r="301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</row>
    <row r="302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</row>
    <row r="303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</row>
    <row r="304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</row>
    <row r="30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</row>
    <row r="306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</row>
    <row r="307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</row>
    <row r="308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</row>
    <row r="309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</row>
    <row r="310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</row>
    <row r="311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</row>
    <row r="312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</row>
    <row r="313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</row>
    <row r="314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</row>
    <row r="31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</row>
    <row r="316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</row>
    <row r="317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</row>
    <row r="318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</row>
    <row r="319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</row>
    <row r="320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</row>
    <row r="321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</row>
    <row r="322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</row>
    <row r="323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</row>
    <row r="324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</row>
    <row r="3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</row>
    <row r="326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</row>
    <row r="327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</row>
    <row r="328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</row>
    <row r="329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</row>
    <row r="330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</row>
    <row r="331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</row>
    <row r="332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</row>
    <row r="333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</row>
    <row r="334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</row>
    <row r="3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</row>
    <row r="336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</row>
    <row r="337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</row>
    <row r="338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</row>
    <row r="339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</row>
    <row r="340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</row>
    <row r="341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</row>
    <row r="342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</row>
    <row r="343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</row>
    <row r="344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</row>
    <row r="34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</row>
    <row r="346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</row>
    <row r="347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</row>
    <row r="348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</row>
    <row r="349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</row>
    <row r="350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</row>
    <row r="351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</row>
    <row r="352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</row>
    <row r="353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</row>
    <row r="354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</row>
    <row r="35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</row>
    <row r="356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</row>
    <row r="357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</row>
    <row r="358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</row>
    <row r="359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</row>
    <row r="360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</row>
    <row r="361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</row>
    <row r="362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</row>
    <row r="363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</row>
    <row r="364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</row>
    <row r="36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</row>
    <row r="366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</row>
    <row r="367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</row>
    <row r="368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</row>
    <row r="369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</row>
    <row r="370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</row>
    <row r="371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</row>
    <row r="372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</row>
    <row r="373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</row>
    <row r="374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</row>
    <row r="37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</row>
    <row r="376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</row>
    <row r="377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</row>
    <row r="378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</row>
    <row r="379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</row>
    <row r="380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</row>
    <row r="381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</row>
    <row r="382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</row>
    <row r="383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</row>
    <row r="384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</row>
    <row r="38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</row>
    <row r="386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</row>
    <row r="387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</row>
    <row r="388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</row>
    <row r="389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</row>
    <row r="390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</row>
    <row r="391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</row>
    <row r="392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</row>
    <row r="393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</row>
    <row r="394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</row>
    <row r="39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</row>
    <row r="396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</row>
    <row r="397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</row>
    <row r="398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</row>
    <row r="399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</row>
    <row r="400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</row>
    <row r="401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</row>
    <row r="402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</row>
    <row r="403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</row>
    <row r="404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</row>
    <row r="40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</row>
    <row r="406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</row>
    <row r="407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</row>
    <row r="408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</row>
    <row r="409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</row>
    <row r="410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</row>
    <row r="411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</row>
    <row r="412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</row>
    <row r="413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</row>
    <row r="414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</row>
    <row r="41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</row>
    <row r="416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</row>
    <row r="417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</row>
    <row r="418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</row>
    <row r="419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</row>
    <row r="420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</row>
    <row r="421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</row>
    <row r="422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</row>
    <row r="423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</row>
    <row r="424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</row>
    <row r="4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</row>
    <row r="426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</row>
    <row r="427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</row>
    <row r="428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</row>
    <row r="429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</row>
    <row r="430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</row>
    <row r="431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</row>
    <row r="432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</row>
    <row r="433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</row>
    <row r="434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</row>
    <row r="4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</row>
    <row r="436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</row>
    <row r="437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</row>
    <row r="438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</row>
    <row r="439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</row>
    <row r="440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</row>
    <row r="441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</row>
    <row r="442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</row>
    <row r="443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</row>
    <row r="444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</row>
    <row r="44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</row>
    <row r="446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</row>
    <row r="447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</row>
    <row r="448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</row>
    <row r="449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</row>
    <row r="450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</row>
    <row r="451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</row>
    <row r="452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</row>
    <row r="453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</row>
    <row r="454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</row>
    <row r="45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</row>
    <row r="456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</row>
    <row r="457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</row>
    <row r="458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</row>
    <row r="459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</row>
    <row r="460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</row>
    <row r="461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</row>
    <row r="462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</row>
    <row r="463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</row>
    <row r="464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</row>
    <row r="46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</row>
    <row r="466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</row>
    <row r="467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</row>
    <row r="468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</row>
    <row r="469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</row>
    <row r="470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</row>
    <row r="471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</row>
    <row r="472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</row>
    <row r="473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</row>
    <row r="474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</row>
    <row r="47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</row>
    <row r="476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</row>
    <row r="477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</row>
    <row r="478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</row>
    <row r="479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</row>
    <row r="480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</row>
    <row r="481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</row>
    <row r="482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</row>
    <row r="483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</row>
    <row r="484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</row>
    <row r="48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</row>
    <row r="486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</row>
    <row r="487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</row>
    <row r="488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</row>
    <row r="489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</row>
    <row r="490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</row>
    <row r="491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</row>
    <row r="492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</row>
    <row r="493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</row>
    <row r="494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</row>
    <row r="49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</row>
    <row r="496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</row>
    <row r="497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</row>
    <row r="498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</row>
    <row r="499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</row>
    <row r="500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</row>
    <row r="501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</row>
    <row r="502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</row>
    <row r="503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</row>
    <row r="504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</row>
    <row r="50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</row>
    <row r="506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</row>
    <row r="507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</row>
    <row r="508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</row>
    <row r="509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</row>
    <row r="510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</row>
    <row r="511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</row>
    <row r="512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</row>
    <row r="513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</row>
    <row r="514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</row>
    <row r="51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</row>
    <row r="516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</row>
    <row r="517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</row>
    <row r="518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</row>
    <row r="519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</row>
    <row r="520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</row>
    <row r="521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</row>
    <row r="522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</row>
    <row r="523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</row>
    <row r="524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</row>
    <row r="5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</row>
    <row r="526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</row>
    <row r="527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</row>
    <row r="528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</row>
    <row r="529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</row>
    <row r="530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</row>
    <row r="531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</row>
    <row r="532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</row>
    <row r="533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</row>
    <row r="534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</row>
    <row r="5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</row>
    <row r="536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</row>
    <row r="537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</row>
    <row r="538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</row>
    <row r="539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</row>
    <row r="540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</row>
    <row r="541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</row>
    <row r="542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</row>
    <row r="543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</row>
    <row r="544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</row>
    <row r="54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</row>
    <row r="546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</row>
    <row r="547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</row>
    <row r="548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</row>
    <row r="549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</row>
    <row r="550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</row>
    <row r="551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</row>
    <row r="552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</row>
    <row r="553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</row>
    <row r="554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</row>
    <row r="55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</row>
    <row r="556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</row>
    <row r="557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</row>
    <row r="558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</row>
    <row r="559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</row>
    <row r="560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</row>
    <row r="561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</row>
    <row r="562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</row>
    <row r="563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</row>
    <row r="564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</row>
    <row r="56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</row>
    <row r="566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</row>
    <row r="567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</row>
    <row r="568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</row>
    <row r="569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</row>
    <row r="570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</row>
    <row r="571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</row>
    <row r="572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</row>
    <row r="573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</row>
    <row r="574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</row>
    <row r="57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</row>
    <row r="576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</row>
    <row r="577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</row>
    <row r="578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</row>
    <row r="579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</row>
    <row r="580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</row>
    <row r="581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</row>
    <row r="582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</row>
    <row r="583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</row>
    <row r="584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</row>
    <row r="58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</row>
    <row r="586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</row>
    <row r="587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</row>
    <row r="588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</row>
    <row r="589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</row>
    <row r="590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</row>
    <row r="591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</row>
    <row r="592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</row>
    <row r="593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</row>
    <row r="594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</row>
    <row r="59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</row>
    <row r="596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</row>
    <row r="597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</row>
    <row r="598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</row>
    <row r="599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</row>
    <row r="600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</row>
    <row r="601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</row>
    <row r="602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</row>
    <row r="603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</row>
    <row r="604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</row>
    <row r="60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</row>
    <row r="606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</row>
    <row r="607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</row>
    <row r="608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</row>
    <row r="609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</row>
    <row r="610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</row>
    <row r="611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</row>
    <row r="612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</row>
    <row r="613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</row>
    <row r="614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</row>
    <row r="61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</row>
    <row r="616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</row>
    <row r="617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</row>
    <row r="618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</row>
    <row r="619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</row>
    <row r="620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</row>
    <row r="621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</row>
    <row r="622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</row>
    <row r="623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</row>
    <row r="624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</row>
    <row r="6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</row>
    <row r="626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</row>
    <row r="627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</row>
    <row r="628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</row>
    <row r="629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</row>
    <row r="630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</row>
    <row r="631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</row>
    <row r="632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</row>
    <row r="633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</row>
    <row r="634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</row>
    <row r="6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</row>
    <row r="636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</row>
    <row r="637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</row>
    <row r="638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</row>
    <row r="639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</row>
    <row r="640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</row>
    <row r="641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</row>
    <row r="642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</row>
    <row r="643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</row>
    <row r="644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</row>
    <row r="64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</row>
    <row r="646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</row>
    <row r="647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</row>
    <row r="648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</row>
    <row r="649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</row>
    <row r="650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</row>
    <row r="651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</row>
    <row r="652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</row>
    <row r="653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</row>
    <row r="654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</row>
    <row r="65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</row>
    <row r="656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</row>
    <row r="657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</row>
    <row r="658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</row>
    <row r="659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</row>
    <row r="660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</row>
    <row r="661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</row>
    <row r="662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</row>
    <row r="663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</row>
    <row r="664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</row>
    <row r="66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</row>
    <row r="666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</row>
    <row r="667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</row>
    <row r="668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</row>
    <row r="669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</row>
    <row r="670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</row>
    <row r="671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</row>
    <row r="672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</row>
    <row r="673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</row>
    <row r="674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</row>
    <row r="67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</row>
    <row r="676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</row>
    <row r="677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</row>
    <row r="678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</row>
    <row r="679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</row>
    <row r="680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</row>
    <row r="681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</row>
    <row r="682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</row>
    <row r="683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</row>
    <row r="684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</row>
    <row r="68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</row>
    <row r="686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</row>
    <row r="687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</row>
    <row r="688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</row>
    <row r="689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</row>
    <row r="690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</row>
    <row r="691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</row>
    <row r="692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</row>
    <row r="693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</row>
    <row r="694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</row>
    <row r="69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</row>
    <row r="696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</row>
    <row r="697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</row>
    <row r="698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</row>
    <row r="699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</row>
    <row r="700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</row>
    <row r="701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</row>
    <row r="702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</row>
    <row r="703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</row>
    <row r="704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</row>
    <row r="70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</row>
    <row r="706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</row>
    <row r="707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</row>
    <row r="708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</row>
    <row r="709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</row>
    <row r="710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</row>
    <row r="711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</row>
    <row r="712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</row>
    <row r="713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</row>
    <row r="714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</row>
    <row r="71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</row>
    <row r="716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</row>
    <row r="717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</row>
    <row r="718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</row>
    <row r="719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</row>
    <row r="720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</row>
    <row r="721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</row>
    <row r="722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</row>
    <row r="723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</row>
    <row r="724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</row>
    <row r="7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</row>
    <row r="726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</row>
    <row r="727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</row>
    <row r="728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</row>
    <row r="729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</row>
    <row r="730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</row>
    <row r="731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</row>
    <row r="732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</row>
    <row r="733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</row>
    <row r="734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</row>
    <row r="7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</row>
    <row r="736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</row>
    <row r="737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</row>
    <row r="738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</row>
    <row r="739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</row>
    <row r="740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</row>
    <row r="741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</row>
    <row r="742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</row>
    <row r="743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</row>
    <row r="744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</row>
    <row r="74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</row>
    <row r="746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</row>
    <row r="747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</row>
    <row r="748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</row>
    <row r="749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</row>
    <row r="750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</row>
    <row r="751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</row>
    <row r="752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</row>
    <row r="753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</row>
    <row r="754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</row>
    <row r="75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</row>
    <row r="756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</row>
    <row r="757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</row>
    <row r="758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</row>
    <row r="759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</row>
    <row r="760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</row>
    <row r="761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</row>
    <row r="762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</row>
    <row r="763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</row>
    <row r="764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</row>
    <row r="76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</row>
    <row r="766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</row>
    <row r="767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</row>
    <row r="768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</row>
    <row r="769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</row>
    <row r="770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</row>
    <row r="771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</row>
    <row r="772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</row>
    <row r="773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</row>
    <row r="774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</row>
    <row r="77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</row>
    <row r="776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</row>
    <row r="777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</row>
    <row r="778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</row>
    <row r="779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</row>
    <row r="780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</row>
    <row r="781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</row>
    <row r="782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</row>
    <row r="783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</row>
    <row r="784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</row>
    <row r="78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</row>
    <row r="786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</row>
    <row r="787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</row>
    <row r="788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</row>
    <row r="789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</row>
    <row r="790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</row>
    <row r="791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</row>
    <row r="792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</row>
    <row r="793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</row>
    <row r="794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</row>
    <row r="79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</row>
    <row r="796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</row>
    <row r="797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</row>
    <row r="798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</row>
    <row r="799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</row>
    <row r="800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</row>
    <row r="801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</row>
    <row r="802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</row>
    <row r="803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</row>
    <row r="804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</row>
    <row r="80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</row>
    <row r="806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</row>
    <row r="807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</row>
    <row r="808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</row>
    <row r="809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</row>
    <row r="810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</row>
    <row r="811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</row>
    <row r="812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</row>
    <row r="813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</row>
    <row r="814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</row>
    <row r="81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</row>
    <row r="816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</row>
    <row r="817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</row>
    <row r="818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</row>
    <row r="819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</row>
    <row r="820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</row>
    <row r="821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</row>
    <row r="822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</row>
    <row r="823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</row>
    <row r="824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</row>
    <row r="8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</row>
    <row r="826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</row>
    <row r="827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</row>
    <row r="828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</row>
    <row r="829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</row>
    <row r="830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</row>
    <row r="831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</row>
    <row r="832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</row>
    <row r="833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</row>
    <row r="834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</row>
    <row r="83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</row>
    <row r="836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</row>
    <row r="837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</row>
    <row r="838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</row>
    <row r="839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</row>
    <row r="840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</row>
    <row r="841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</row>
    <row r="842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</row>
    <row r="843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</row>
    <row r="844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</row>
    <row r="84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</row>
    <row r="846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</row>
    <row r="847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</row>
    <row r="848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</row>
    <row r="849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</row>
    <row r="850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</row>
    <row r="851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</row>
    <row r="852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</row>
    <row r="853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</row>
    <row r="854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</row>
    <row r="85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</row>
    <row r="856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</row>
    <row r="857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</row>
    <row r="858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</row>
    <row r="859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</row>
    <row r="860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</row>
    <row r="861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</row>
    <row r="862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</row>
    <row r="863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</row>
    <row r="864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</row>
    <row r="86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</row>
    <row r="866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</row>
    <row r="867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</row>
    <row r="868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</row>
    <row r="869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</row>
    <row r="870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</row>
    <row r="871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</row>
    <row r="872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</row>
    <row r="873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</row>
    <row r="874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</row>
    <row r="87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</row>
    <row r="876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</row>
    <row r="877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</row>
    <row r="878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</row>
    <row r="879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</row>
    <row r="880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</row>
    <row r="881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</row>
    <row r="882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</row>
    <row r="883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</row>
    <row r="884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</row>
    <row r="88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</row>
    <row r="886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</row>
    <row r="887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</row>
    <row r="888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</row>
    <row r="889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</row>
    <row r="890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</row>
    <row r="891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</row>
    <row r="892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</row>
    <row r="893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</row>
    <row r="894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</row>
    <row r="89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</row>
    <row r="896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</row>
    <row r="897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</row>
    <row r="898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</row>
    <row r="899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</row>
    <row r="900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</row>
    <row r="901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</row>
    <row r="902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</row>
    <row r="903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</row>
    <row r="904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</row>
    <row r="90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</row>
    <row r="906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</row>
    <row r="907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</row>
    <row r="908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</row>
    <row r="909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</row>
    <row r="910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</row>
    <row r="911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</row>
    <row r="912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</row>
    <row r="913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</row>
    <row r="914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</row>
    <row r="91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</row>
    <row r="916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</row>
    <row r="917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</row>
    <row r="918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</row>
    <row r="919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</row>
    <row r="920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</row>
    <row r="921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</row>
    <row r="922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</row>
    <row r="923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</row>
    <row r="924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</row>
    <row r="9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</row>
    <row r="926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</row>
    <row r="927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</row>
    <row r="928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</row>
    <row r="929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</row>
    <row r="930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</row>
    <row r="931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</row>
    <row r="932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</row>
    <row r="933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</row>
    <row r="934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</row>
    <row r="93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</row>
    <row r="936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</row>
    <row r="937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</row>
    <row r="938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</row>
    <row r="939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</row>
    <row r="940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</row>
    <row r="941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</row>
    <row r="942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</row>
    <row r="943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</row>
    <row r="944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</row>
    <row r="94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</row>
    <row r="946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</row>
    <row r="947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</row>
    <row r="948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</row>
    <row r="949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</row>
    <row r="950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</row>
    <row r="951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</row>
    <row r="952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</row>
    <row r="953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</row>
    <row r="954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</row>
    <row r="95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</row>
    <row r="956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</row>
    <row r="957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</row>
    <row r="958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</row>
    <row r="959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</row>
    <row r="960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</row>
    <row r="961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</row>
    <row r="962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</row>
    <row r="963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</row>
    <row r="964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</row>
    <row r="96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</row>
    <row r="966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</row>
    <row r="967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</row>
    <row r="968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</row>
    <row r="969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</row>
    <row r="970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</row>
    <row r="971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</row>
    <row r="972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</row>
    <row r="973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</row>
    <row r="974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</row>
    <row r="97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</row>
    <row r="976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</row>
    <row r="977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</row>
    <row r="978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</row>
    <row r="979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</row>
    <row r="980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</row>
    <row r="981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</row>
    <row r="982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</row>
    <row r="983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</row>
    <row r="984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</row>
    <row r="98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</row>
    <row r="986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</row>
    <row r="987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</row>
    <row r="988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</row>
    <row r="989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</row>
    <row r="990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</row>
    <row r="991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</row>
    <row r="992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</row>
    <row r="993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</row>
    <row r="994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</row>
    <row r="99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</row>
    <row r="996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</row>
    <row r="997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</row>
    <row r="998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</row>
    <row r="999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</row>
    <row r="1000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75"/>
    <col customWidth="1" min="2" max="2" width="8.13"/>
    <col customWidth="1" min="3" max="3" width="27.63"/>
    <col customWidth="1" min="4" max="4" width="9.13"/>
    <col customWidth="1" min="5" max="5" width="15.75"/>
    <col customWidth="1" min="6" max="6" width="9.0"/>
    <col customWidth="1" min="7" max="7" width="6.38"/>
    <col customWidth="1" min="8" max="8" width="9.5"/>
    <col customWidth="1" min="9" max="9" width="10.63"/>
    <col customWidth="1" min="10" max="10" width="12.88"/>
    <col customWidth="1" min="11" max="11" width="13.63"/>
  </cols>
  <sheetData>
    <row r="1">
      <c r="A1" s="35" t="s">
        <v>80</v>
      </c>
      <c r="B1" s="35" t="s">
        <v>81</v>
      </c>
      <c r="C1" s="35" t="s">
        <v>82</v>
      </c>
      <c r="D1" s="35" t="s">
        <v>83</v>
      </c>
      <c r="E1" s="35" t="s">
        <v>84</v>
      </c>
      <c r="F1" s="35" t="s">
        <v>85</v>
      </c>
      <c r="G1" s="35" t="s">
        <v>86</v>
      </c>
      <c r="H1" s="35" t="s">
        <v>87</v>
      </c>
      <c r="I1" s="35" t="s">
        <v>88</v>
      </c>
      <c r="J1" s="35" t="s">
        <v>89</v>
      </c>
      <c r="K1" s="35" t="s">
        <v>90</v>
      </c>
      <c r="L1" s="44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>
      <c r="A2" s="46" t="s">
        <v>833</v>
      </c>
      <c r="B2" s="47">
        <v>2046251.0</v>
      </c>
      <c r="C2" s="46" t="s">
        <v>834</v>
      </c>
      <c r="D2" s="46" t="s">
        <v>93</v>
      </c>
      <c r="E2" s="46" t="s">
        <v>167</v>
      </c>
      <c r="F2" s="46" t="s">
        <v>622</v>
      </c>
      <c r="G2" s="46" t="s">
        <v>623</v>
      </c>
      <c r="H2" s="47">
        <v>4.9088222585</v>
      </c>
      <c r="I2" s="47">
        <v>19558.0</v>
      </c>
      <c r="J2" s="47">
        <v>5301937.25</v>
      </c>
      <c r="K2" s="47">
        <v>5301937.25</v>
      </c>
      <c r="L2" s="44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</row>
    <row r="3">
      <c r="A3" s="48" t="s">
        <v>835</v>
      </c>
      <c r="B3" s="49">
        <v>2588173.0</v>
      </c>
      <c r="C3" s="48" t="s">
        <v>836</v>
      </c>
      <c r="D3" s="48" t="s">
        <v>93</v>
      </c>
      <c r="E3" s="48" t="s">
        <v>167</v>
      </c>
      <c r="F3" s="48" t="s">
        <v>622</v>
      </c>
      <c r="G3" s="48" t="s">
        <v>623</v>
      </c>
      <c r="H3" s="49">
        <v>4.4689285724</v>
      </c>
      <c r="I3" s="49">
        <v>9692.0</v>
      </c>
      <c r="J3" s="49">
        <v>4826815.4</v>
      </c>
      <c r="K3" s="49">
        <v>4826815.4</v>
      </c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>
      <c r="A4" s="48" t="s">
        <v>837</v>
      </c>
      <c r="B4" s="47">
        <v>2000019.0</v>
      </c>
      <c r="C4" s="46" t="s">
        <v>838</v>
      </c>
      <c r="D4" s="48" t="s">
        <v>93</v>
      </c>
      <c r="E4" s="48" t="s">
        <v>118</v>
      </c>
      <c r="F4" s="48" t="s">
        <v>622</v>
      </c>
      <c r="G4" s="48" t="s">
        <v>623</v>
      </c>
      <c r="H4" s="49">
        <v>2.219197861</v>
      </c>
      <c r="I4" s="49">
        <v>11891.0</v>
      </c>
      <c r="J4" s="49">
        <v>2396918.69</v>
      </c>
      <c r="K4" s="49">
        <v>2396918.69</v>
      </c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>
      <c r="A5" s="48" t="s">
        <v>839</v>
      </c>
      <c r="B5" s="49">
        <v>2379504.0</v>
      </c>
      <c r="C5" s="48" t="s">
        <v>840</v>
      </c>
      <c r="D5" s="48" t="s">
        <v>93</v>
      </c>
      <c r="E5" s="48" t="s">
        <v>167</v>
      </c>
      <c r="F5" s="48" t="s">
        <v>622</v>
      </c>
      <c r="G5" s="48" t="s">
        <v>623</v>
      </c>
      <c r="H5" s="49">
        <v>1.85913187759999</v>
      </c>
      <c r="I5" s="49">
        <v>3141.0</v>
      </c>
      <c r="J5" s="49">
        <v>2008017.41</v>
      </c>
      <c r="K5" s="49">
        <v>2008017.41</v>
      </c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>
      <c r="A6" s="48" t="s">
        <v>841</v>
      </c>
      <c r="B6" s="48" t="s">
        <v>842</v>
      </c>
      <c r="C6" s="48" t="s">
        <v>843</v>
      </c>
      <c r="D6" s="48" t="s">
        <v>93</v>
      </c>
      <c r="E6" s="48" t="s">
        <v>121</v>
      </c>
      <c r="F6" s="48" t="s">
        <v>622</v>
      </c>
      <c r="G6" s="48" t="s">
        <v>623</v>
      </c>
      <c r="H6" s="49">
        <v>1.4307372722</v>
      </c>
      <c r="I6" s="49">
        <v>7601.0</v>
      </c>
      <c r="J6" s="49">
        <v>1545315.52</v>
      </c>
      <c r="K6" s="49">
        <v>1545315.52</v>
      </c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>
      <c r="A7" s="48" t="s">
        <v>844</v>
      </c>
      <c r="B7" s="48" t="s">
        <v>845</v>
      </c>
      <c r="C7" s="48" t="s">
        <v>621</v>
      </c>
      <c r="D7" s="48" t="s">
        <v>93</v>
      </c>
      <c r="E7" s="48" t="s">
        <v>118</v>
      </c>
      <c r="F7" s="48" t="s">
        <v>622</v>
      </c>
      <c r="G7" s="48" t="s">
        <v>623</v>
      </c>
      <c r="H7" s="49">
        <v>1.3397857225</v>
      </c>
      <c r="I7" s="49">
        <v>3631.0</v>
      </c>
      <c r="J7" s="49">
        <v>1447080.27</v>
      </c>
      <c r="K7" s="49">
        <v>1447080.27</v>
      </c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>
      <c r="A8" s="48" t="s">
        <v>846</v>
      </c>
      <c r="B8" s="48" t="s">
        <v>847</v>
      </c>
      <c r="C8" s="48" t="s">
        <v>843</v>
      </c>
      <c r="D8" s="48" t="s">
        <v>93</v>
      </c>
      <c r="E8" s="48" t="s">
        <v>121</v>
      </c>
      <c r="F8" s="48" t="s">
        <v>622</v>
      </c>
      <c r="G8" s="48" t="s">
        <v>623</v>
      </c>
      <c r="H8" s="49">
        <v>1.3229234249</v>
      </c>
      <c r="I8" s="49">
        <v>6979.0</v>
      </c>
      <c r="J8" s="49">
        <v>1428867.58</v>
      </c>
      <c r="K8" s="49">
        <v>1428867.58</v>
      </c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>
      <c r="A9" s="48" t="s">
        <v>848</v>
      </c>
      <c r="B9" s="48" t="s">
        <v>849</v>
      </c>
      <c r="C9" s="48" t="s">
        <v>850</v>
      </c>
      <c r="D9" s="48" t="s">
        <v>93</v>
      </c>
      <c r="E9" s="48" t="s">
        <v>121</v>
      </c>
      <c r="F9" s="48" t="s">
        <v>622</v>
      </c>
      <c r="G9" s="48" t="s">
        <v>623</v>
      </c>
      <c r="H9" s="49">
        <v>1.2418431346</v>
      </c>
      <c r="I9" s="49">
        <v>2910.0</v>
      </c>
      <c r="J9" s="49">
        <v>1341294.11</v>
      </c>
      <c r="K9" s="49">
        <v>1341294.11</v>
      </c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>
      <c r="A10" s="48" t="s">
        <v>851</v>
      </c>
      <c r="B10" s="49">
        <v>2073390.0</v>
      </c>
      <c r="C10" s="48" t="s">
        <v>852</v>
      </c>
      <c r="D10" s="48" t="s">
        <v>93</v>
      </c>
      <c r="E10" s="48" t="s">
        <v>99</v>
      </c>
      <c r="F10" s="48" t="s">
        <v>622</v>
      </c>
      <c r="G10" s="48" t="s">
        <v>623</v>
      </c>
      <c r="H10" s="49">
        <v>0.8880415033</v>
      </c>
      <c r="I10" s="49">
        <v>1694.0</v>
      </c>
      <c r="J10" s="49">
        <v>959158.85</v>
      </c>
      <c r="K10" s="49">
        <v>959158.85</v>
      </c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>
      <c r="A11" s="48" t="s">
        <v>853</v>
      </c>
      <c r="B11" s="49">
        <v>2917766.0</v>
      </c>
      <c r="C11" s="48" t="s">
        <v>854</v>
      </c>
      <c r="D11" s="48" t="s">
        <v>93</v>
      </c>
      <c r="E11" s="48" t="s">
        <v>102</v>
      </c>
      <c r="F11" s="48" t="s">
        <v>622</v>
      </c>
      <c r="G11" s="48" t="s">
        <v>623</v>
      </c>
      <c r="H11" s="49">
        <v>0.8873235332</v>
      </c>
      <c r="I11" s="49">
        <v>1227.0</v>
      </c>
      <c r="J11" s="49">
        <v>958383.39</v>
      </c>
      <c r="K11" s="49">
        <v>958383.39</v>
      </c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>
      <c r="A12" s="48" t="s">
        <v>855</v>
      </c>
      <c r="B12" s="49">
        <v>2326618.0</v>
      </c>
      <c r="C12" s="48" t="s">
        <v>856</v>
      </c>
      <c r="D12" s="48" t="s">
        <v>93</v>
      </c>
      <c r="E12" s="48" t="s">
        <v>115</v>
      </c>
      <c r="F12" s="48" t="s">
        <v>622</v>
      </c>
      <c r="G12" s="48" t="s">
        <v>623</v>
      </c>
      <c r="H12" s="49">
        <v>0.8856462878</v>
      </c>
      <c r="I12" s="49">
        <v>5348.0</v>
      </c>
      <c r="J12" s="49">
        <v>956571.82</v>
      </c>
      <c r="K12" s="49">
        <v>956571.82</v>
      </c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>
      <c r="A13" s="48" t="s">
        <v>857</v>
      </c>
      <c r="B13" s="49">
        <v>2516152.0</v>
      </c>
      <c r="C13" s="48" t="s">
        <v>858</v>
      </c>
      <c r="D13" s="48" t="s">
        <v>93</v>
      </c>
      <c r="E13" s="48" t="s">
        <v>102</v>
      </c>
      <c r="F13" s="48" t="s">
        <v>622</v>
      </c>
      <c r="G13" s="48" t="s">
        <v>623</v>
      </c>
      <c r="H13" s="49">
        <v>0.8843595867</v>
      </c>
      <c r="I13" s="49">
        <v>1114.0</v>
      </c>
      <c r="J13" s="49">
        <v>955182.08</v>
      </c>
      <c r="K13" s="49">
        <v>955182.08</v>
      </c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>
      <c r="A14" s="48" t="s">
        <v>859</v>
      </c>
      <c r="B14" s="49">
        <v>2475833.0</v>
      </c>
      <c r="C14" s="48" t="s">
        <v>860</v>
      </c>
      <c r="D14" s="48" t="s">
        <v>93</v>
      </c>
      <c r="E14" s="48" t="s">
        <v>102</v>
      </c>
      <c r="F14" s="48" t="s">
        <v>622</v>
      </c>
      <c r="G14" s="48" t="s">
        <v>623</v>
      </c>
      <c r="H14" s="49">
        <v>0.806455340899999</v>
      </c>
      <c r="I14" s="49">
        <v>3457.0</v>
      </c>
      <c r="J14" s="49">
        <v>871039.0</v>
      </c>
      <c r="K14" s="49">
        <v>871039.0</v>
      </c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>
      <c r="A15" s="48" t="s">
        <v>861</v>
      </c>
      <c r="B15" s="49">
        <v>2190385.0</v>
      </c>
      <c r="C15" s="48" t="s">
        <v>862</v>
      </c>
      <c r="D15" s="48" t="s">
        <v>93</v>
      </c>
      <c r="E15" s="48" t="s">
        <v>99</v>
      </c>
      <c r="F15" s="48" t="s">
        <v>622</v>
      </c>
      <c r="G15" s="48" t="s">
        <v>623</v>
      </c>
      <c r="H15" s="49">
        <v>0.8017539454</v>
      </c>
      <c r="I15" s="49">
        <v>3776.0</v>
      </c>
      <c r="J15" s="49">
        <v>865961.1</v>
      </c>
      <c r="K15" s="49">
        <v>865961.1</v>
      </c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>
      <c r="A16" s="48" t="s">
        <v>863</v>
      </c>
      <c r="B16" s="48" t="s">
        <v>864</v>
      </c>
      <c r="C16" s="48" t="s">
        <v>865</v>
      </c>
      <c r="D16" s="48" t="s">
        <v>93</v>
      </c>
      <c r="E16" s="48" t="s">
        <v>99</v>
      </c>
      <c r="F16" s="48" t="s">
        <v>622</v>
      </c>
      <c r="G16" s="48" t="s">
        <v>623</v>
      </c>
      <c r="H16" s="49">
        <v>0.7258965364</v>
      </c>
      <c r="I16" s="49">
        <v>2126.0</v>
      </c>
      <c r="J16" s="49">
        <v>784028.77</v>
      </c>
      <c r="K16" s="49">
        <v>784028.77</v>
      </c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>
      <c r="A17" s="48" t="s">
        <v>866</v>
      </c>
      <c r="B17" s="49">
        <v>2704407.0</v>
      </c>
      <c r="C17" s="48" t="s">
        <v>867</v>
      </c>
      <c r="D17" s="48" t="s">
        <v>93</v>
      </c>
      <c r="E17" s="48" t="s">
        <v>124</v>
      </c>
      <c r="F17" s="48" t="s">
        <v>622</v>
      </c>
      <c r="G17" s="48" t="s">
        <v>623</v>
      </c>
      <c r="H17" s="49">
        <v>0.6812453579</v>
      </c>
      <c r="I17" s="49">
        <v>3103.0</v>
      </c>
      <c r="J17" s="49">
        <v>735801.78</v>
      </c>
      <c r="K17" s="49">
        <v>735801.78</v>
      </c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>
      <c r="A18" s="48" t="s">
        <v>868</v>
      </c>
      <c r="B18" s="48" t="s">
        <v>869</v>
      </c>
      <c r="C18" s="48" t="s">
        <v>870</v>
      </c>
      <c r="D18" s="48" t="s">
        <v>93</v>
      </c>
      <c r="E18" s="48" t="s">
        <v>99</v>
      </c>
      <c r="F18" s="48" t="s">
        <v>622</v>
      </c>
      <c r="G18" s="48" t="s">
        <v>623</v>
      </c>
      <c r="H18" s="49">
        <v>0.6385248803</v>
      </c>
      <c r="I18" s="49">
        <v>1097.0</v>
      </c>
      <c r="J18" s="49">
        <v>689660.1</v>
      </c>
      <c r="K18" s="49">
        <v>689660.1</v>
      </c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>
      <c r="A19" s="48" t="s">
        <v>871</v>
      </c>
      <c r="B19" s="48" t="s">
        <v>872</v>
      </c>
      <c r="C19" s="48" t="s">
        <v>873</v>
      </c>
      <c r="D19" s="48" t="s">
        <v>93</v>
      </c>
      <c r="E19" s="48" t="s">
        <v>167</v>
      </c>
      <c r="F19" s="48" t="s">
        <v>622</v>
      </c>
      <c r="G19" s="48" t="s">
        <v>623</v>
      </c>
      <c r="H19" s="49">
        <v>0.6275747465</v>
      </c>
      <c r="I19" s="49">
        <v>538.0</v>
      </c>
      <c r="J19" s="49">
        <v>677833.04</v>
      </c>
      <c r="K19" s="49">
        <v>677833.04</v>
      </c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>
      <c r="A20" s="48" t="s">
        <v>874</v>
      </c>
      <c r="B20" s="49">
        <v>7123870.0</v>
      </c>
      <c r="C20" s="48" t="s">
        <v>875</v>
      </c>
      <c r="D20" s="48" t="s">
        <v>93</v>
      </c>
      <c r="E20" s="48" t="s">
        <v>124</v>
      </c>
      <c r="F20" s="48" t="s">
        <v>622</v>
      </c>
      <c r="G20" s="48" t="s">
        <v>655</v>
      </c>
      <c r="H20" s="49">
        <v>0.6009898058</v>
      </c>
      <c r="I20" s="49">
        <v>3491.0</v>
      </c>
      <c r="J20" s="49">
        <v>649119.09</v>
      </c>
      <c r="K20" s="49">
        <v>649119.09</v>
      </c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>
      <c r="A21" s="48" t="s">
        <v>876</v>
      </c>
      <c r="B21" s="49">
        <v>2434209.0</v>
      </c>
      <c r="C21" s="48" t="s">
        <v>877</v>
      </c>
      <c r="D21" s="48" t="s">
        <v>93</v>
      </c>
      <c r="E21" s="48" t="s">
        <v>118</v>
      </c>
      <c r="F21" s="48" t="s">
        <v>622</v>
      </c>
      <c r="G21" s="48" t="s">
        <v>623</v>
      </c>
      <c r="H21" s="49">
        <v>0.5962723806</v>
      </c>
      <c r="I21" s="49">
        <v>1347.0</v>
      </c>
      <c r="J21" s="49">
        <v>644023.88</v>
      </c>
      <c r="K21" s="49">
        <v>644023.88</v>
      </c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>
      <c r="A22" s="48" t="s">
        <v>878</v>
      </c>
      <c r="B22" s="49">
        <v>2838555.0</v>
      </c>
      <c r="C22" s="48" t="s">
        <v>879</v>
      </c>
      <c r="D22" s="48" t="s">
        <v>93</v>
      </c>
      <c r="E22" s="48" t="s">
        <v>115</v>
      </c>
      <c r="F22" s="48" t="s">
        <v>622</v>
      </c>
      <c r="G22" s="48" t="s">
        <v>623</v>
      </c>
      <c r="H22" s="49">
        <v>0.5449270262</v>
      </c>
      <c r="I22" s="49">
        <v>2286.0</v>
      </c>
      <c r="J22" s="49">
        <v>588566.61</v>
      </c>
      <c r="K22" s="49">
        <v>588566.61</v>
      </c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>
      <c r="A23" s="48" t="s">
        <v>880</v>
      </c>
      <c r="B23" s="48" t="s">
        <v>881</v>
      </c>
      <c r="C23" s="48" t="s">
        <v>882</v>
      </c>
      <c r="D23" s="48" t="s">
        <v>93</v>
      </c>
      <c r="E23" s="48" t="s">
        <v>102</v>
      </c>
      <c r="F23" s="48" t="s">
        <v>883</v>
      </c>
      <c r="G23" s="48" t="s">
        <v>884</v>
      </c>
      <c r="H23" s="49">
        <v>0.5413137105</v>
      </c>
      <c r="I23" s="49">
        <v>4084.0</v>
      </c>
      <c r="J23" s="49">
        <v>584663.93</v>
      </c>
      <c r="K23" s="49">
        <v>584663.93</v>
      </c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>
      <c r="A24" s="48" t="s">
        <v>885</v>
      </c>
      <c r="B24" s="48" t="s">
        <v>886</v>
      </c>
      <c r="C24" s="48" t="s">
        <v>887</v>
      </c>
      <c r="D24" s="48" t="s">
        <v>93</v>
      </c>
      <c r="E24" s="48" t="s">
        <v>102</v>
      </c>
      <c r="F24" s="48" t="s">
        <v>622</v>
      </c>
      <c r="G24" s="48" t="s">
        <v>623</v>
      </c>
      <c r="H24" s="49">
        <v>0.5205246282</v>
      </c>
      <c r="I24" s="49">
        <v>2351.0</v>
      </c>
      <c r="J24" s="49">
        <v>562209.99</v>
      </c>
      <c r="K24" s="49">
        <v>562209.99</v>
      </c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>
      <c r="A25" s="48" t="s">
        <v>888</v>
      </c>
      <c r="B25" s="49">
        <v>2778844.0</v>
      </c>
      <c r="C25" s="48" t="s">
        <v>889</v>
      </c>
      <c r="D25" s="48" t="s">
        <v>93</v>
      </c>
      <c r="E25" s="48" t="s">
        <v>102</v>
      </c>
      <c r="F25" s="48" t="s">
        <v>622</v>
      </c>
      <c r="G25" s="48" t="s">
        <v>623</v>
      </c>
      <c r="H25" s="49">
        <v>0.5102538776</v>
      </c>
      <c r="I25" s="49">
        <v>3313.0</v>
      </c>
      <c r="J25" s="49">
        <v>551116.72</v>
      </c>
      <c r="K25" s="49">
        <v>551116.72</v>
      </c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>
      <c r="A26" s="48" t="s">
        <v>890</v>
      </c>
      <c r="B26" s="49">
        <v>2701271.0</v>
      </c>
      <c r="C26" s="48" t="s">
        <v>891</v>
      </c>
      <c r="D26" s="48" t="s">
        <v>93</v>
      </c>
      <c r="E26" s="48" t="s">
        <v>124</v>
      </c>
      <c r="F26" s="48" t="s">
        <v>622</v>
      </c>
      <c r="G26" s="48" t="s">
        <v>623</v>
      </c>
      <c r="H26" s="49">
        <v>0.4749945662</v>
      </c>
      <c r="I26" s="49">
        <v>593.0</v>
      </c>
      <c r="J26" s="49">
        <v>513033.73</v>
      </c>
      <c r="K26" s="49">
        <v>513033.73</v>
      </c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>
      <c r="A27" s="48" t="s">
        <v>892</v>
      </c>
      <c r="B27" s="49">
        <v>2681511.0</v>
      </c>
      <c r="C27" s="48" t="s">
        <v>893</v>
      </c>
      <c r="D27" s="48" t="s">
        <v>93</v>
      </c>
      <c r="E27" s="48" t="s">
        <v>124</v>
      </c>
      <c r="F27" s="48" t="s">
        <v>622</v>
      </c>
      <c r="G27" s="48" t="s">
        <v>623</v>
      </c>
      <c r="H27" s="49">
        <v>0.4590877631</v>
      </c>
      <c r="I27" s="49">
        <v>1814.0</v>
      </c>
      <c r="J27" s="49">
        <v>495853.05</v>
      </c>
      <c r="K27" s="49">
        <v>495853.05</v>
      </c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>
      <c r="A28" s="48" t="s">
        <v>894</v>
      </c>
      <c r="B28" s="48" t="s">
        <v>895</v>
      </c>
      <c r="C28" s="48" t="s">
        <v>896</v>
      </c>
      <c r="D28" s="48" t="s">
        <v>93</v>
      </c>
      <c r="E28" s="48" t="s">
        <v>167</v>
      </c>
      <c r="F28" s="48" t="s">
        <v>668</v>
      </c>
      <c r="G28" s="48" t="s">
        <v>640</v>
      </c>
      <c r="H28" s="49">
        <v>0.4534179564</v>
      </c>
      <c r="I28" s="49">
        <v>534.0</v>
      </c>
      <c r="J28" s="49">
        <v>489729.19</v>
      </c>
      <c r="K28" s="49">
        <v>489729.19</v>
      </c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>
      <c r="A29" s="48" t="s">
        <v>897</v>
      </c>
      <c r="B29" s="49">
        <v>2008154.0</v>
      </c>
      <c r="C29" s="48" t="s">
        <v>898</v>
      </c>
      <c r="D29" s="48" t="s">
        <v>93</v>
      </c>
      <c r="E29" s="48" t="s">
        <v>167</v>
      </c>
      <c r="F29" s="48" t="s">
        <v>622</v>
      </c>
      <c r="G29" s="48" t="s">
        <v>623</v>
      </c>
      <c r="H29" s="49">
        <v>0.450120481699999</v>
      </c>
      <c r="I29" s="49">
        <v>607.0</v>
      </c>
      <c r="J29" s="49">
        <v>486167.64</v>
      </c>
      <c r="K29" s="49">
        <v>486167.64</v>
      </c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>
      <c r="A30" s="48" t="s">
        <v>899</v>
      </c>
      <c r="B30" s="49">
        <v>2936921.0</v>
      </c>
      <c r="C30" s="48" t="s">
        <v>900</v>
      </c>
      <c r="D30" s="48" t="s">
        <v>93</v>
      </c>
      <c r="E30" s="48" t="s">
        <v>124</v>
      </c>
      <c r="F30" s="48" t="s">
        <v>622</v>
      </c>
      <c r="G30" s="48" t="s">
        <v>623</v>
      </c>
      <c r="H30" s="49">
        <v>0.433901116199999</v>
      </c>
      <c r="I30" s="49">
        <v>1857.0</v>
      </c>
      <c r="J30" s="49">
        <v>468649.38</v>
      </c>
      <c r="K30" s="49">
        <v>468649.38</v>
      </c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>
      <c r="A31" s="48" t="s">
        <v>901</v>
      </c>
      <c r="B31" s="49">
        <v>2198163.0</v>
      </c>
      <c r="C31" s="48" t="s">
        <v>902</v>
      </c>
      <c r="D31" s="48" t="s">
        <v>93</v>
      </c>
      <c r="E31" s="48" t="s">
        <v>167</v>
      </c>
      <c r="F31" s="48" t="s">
        <v>622</v>
      </c>
      <c r="G31" s="48" t="s">
        <v>623</v>
      </c>
      <c r="H31" s="49">
        <v>0.425730768</v>
      </c>
      <c r="I31" s="49">
        <v>5531.0</v>
      </c>
      <c r="J31" s="49">
        <v>459824.72</v>
      </c>
      <c r="K31" s="49">
        <v>459824.72</v>
      </c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>
      <c r="A32" s="48" t="s">
        <v>903</v>
      </c>
      <c r="B32" s="49">
        <v>2206657.0</v>
      </c>
      <c r="C32" s="48" t="s">
        <v>904</v>
      </c>
      <c r="D32" s="48" t="s">
        <v>93</v>
      </c>
      <c r="E32" s="48" t="s">
        <v>124</v>
      </c>
      <c r="F32" s="48" t="s">
        <v>622</v>
      </c>
      <c r="G32" s="48" t="s">
        <v>623</v>
      </c>
      <c r="H32" s="49">
        <v>0.4237149566</v>
      </c>
      <c r="I32" s="49">
        <v>5103.0</v>
      </c>
      <c r="J32" s="49">
        <v>457647.48</v>
      </c>
      <c r="K32" s="49">
        <v>457647.48</v>
      </c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>
      <c r="A33" s="48" t="s">
        <v>905</v>
      </c>
      <c r="B33" s="48" t="s">
        <v>906</v>
      </c>
      <c r="C33" s="48" t="s">
        <v>907</v>
      </c>
      <c r="D33" s="48" t="s">
        <v>93</v>
      </c>
      <c r="E33" s="48" t="s">
        <v>115</v>
      </c>
      <c r="F33" s="48" t="s">
        <v>668</v>
      </c>
      <c r="G33" s="48" t="s">
        <v>908</v>
      </c>
      <c r="H33" s="49">
        <v>0.4167639195</v>
      </c>
      <c r="I33" s="49">
        <v>9051.0</v>
      </c>
      <c r="J33" s="49">
        <v>450139.78</v>
      </c>
      <c r="K33" s="49">
        <v>450139.78</v>
      </c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>
      <c r="A34" s="48" t="s">
        <v>909</v>
      </c>
      <c r="B34" s="49">
        <v>6900643.0</v>
      </c>
      <c r="C34" s="48" t="s">
        <v>910</v>
      </c>
      <c r="D34" s="48" t="s">
        <v>93</v>
      </c>
      <c r="E34" s="48" t="s">
        <v>118</v>
      </c>
      <c r="F34" s="48" t="s">
        <v>629</v>
      </c>
      <c r="G34" s="48" t="s">
        <v>630</v>
      </c>
      <c r="H34" s="49">
        <v>0.4132133314</v>
      </c>
      <c r="I34" s="49">
        <v>15171.0</v>
      </c>
      <c r="J34" s="49">
        <v>446304.84</v>
      </c>
      <c r="K34" s="49">
        <v>446304.84</v>
      </c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>
      <c r="A35" s="48" t="s">
        <v>911</v>
      </c>
      <c r="B35" s="48" t="s">
        <v>912</v>
      </c>
      <c r="C35" s="48" t="s">
        <v>913</v>
      </c>
      <c r="D35" s="48" t="s">
        <v>93</v>
      </c>
      <c r="E35" s="48" t="s">
        <v>167</v>
      </c>
      <c r="F35" s="48" t="s">
        <v>622</v>
      </c>
      <c r="G35" s="48" t="s">
        <v>623</v>
      </c>
      <c r="H35" s="49">
        <v>0.4038549455</v>
      </c>
      <c r="I35" s="49">
        <v>897.0</v>
      </c>
      <c r="J35" s="49">
        <v>436197.01</v>
      </c>
      <c r="K35" s="49">
        <v>436197.01</v>
      </c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>
      <c r="A36" s="48" t="s">
        <v>914</v>
      </c>
      <c r="B36" s="49">
        <v>7103065.0</v>
      </c>
      <c r="C36" s="48" t="s">
        <v>915</v>
      </c>
      <c r="D36" s="48" t="s">
        <v>93</v>
      </c>
      <c r="E36" s="48" t="s">
        <v>102</v>
      </c>
      <c r="F36" s="48" t="s">
        <v>654</v>
      </c>
      <c r="G36" s="48" t="s">
        <v>655</v>
      </c>
      <c r="H36" s="49">
        <v>0.3927986366</v>
      </c>
      <c r="I36" s="49">
        <v>2656.0</v>
      </c>
      <c r="J36" s="49">
        <v>424255.27</v>
      </c>
      <c r="K36" s="49">
        <v>424255.27</v>
      </c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>
      <c r="A37" s="48" t="s">
        <v>916</v>
      </c>
      <c r="B37" s="49">
        <v>989529.0</v>
      </c>
      <c r="C37" s="48" t="s">
        <v>917</v>
      </c>
      <c r="D37" s="48" t="s">
        <v>93</v>
      </c>
      <c r="E37" s="48" t="s">
        <v>102</v>
      </c>
      <c r="F37" s="48" t="s">
        <v>918</v>
      </c>
      <c r="G37" s="48" t="s">
        <v>908</v>
      </c>
      <c r="H37" s="49">
        <v>0.382895184899999</v>
      </c>
      <c r="I37" s="49">
        <v>1983.0</v>
      </c>
      <c r="J37" s="49">
        <v>413558.72</v>
      </c>
      <c r="K37" s="49">
        <v>413558.72</v>
      </c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>
      <c r="A38" s="48" t="s">
        <v>919</v>
      </c>
      <c r="B38" s="49">
        <v>4061412.0</v>
      </c>
      <c r="C38" s="48" t="s">
        <v>920</v>
      </c>
      <c r="D38" s="48" t="s">
        <v>93</v>
      </c>
      <c r="E38" s="48" t="s">
        <v>118</v>
      </c>
      <c r="F38" s="48" t="s">
        <v>639</v>
      </c>
      <c r="G38" s="48" t="s">
        <v>640</v>
      </c>
      <c r="H38" s="49">
        <v>0.3825418669</v>
      </c>
      <c r="I38" s="49">
        <v>341.0</v>
      </c>
      <c r="J38" s="49">
        <v>413177.11</v>
      </c>
      <c r="K38" s="49">
        <v>413177.11</v>
      </c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>
      <c r="A39" s="48" t="s">
        <v>921</v>
      </c>
      <c r="B39" s="49">
        <v>2550707.0</v>
      </c>
      <c r="C39" s="48" t="s">
        <v>922</v>
      </c>
      <c r="D39" s="48" t="s">
        <v>93</v>
      </c>
      <c r="E39" s="48" t="s">
        <v>118</v>
      </c>
      <c r="F39" s="48" t="s">
        <v>622</v>
      </c>
      <c r="G39" s="48" t="s">
        <v>623</v>
      </c>
      <c r="H39" s="49">
        <v>0.3815967751</v>
      </c>
      <c r="I39" s="49">
        <v>975.0</v>
      </c>
      <c r="J39" s="49">
        <v>412156.33</v>
      </c>
      <c r="K39" s="49">
        <v>412156.33</v>
      </c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>
      <c r="A40" s="48" t="s">
        <v>923</v>
      </c>
      <c r="B40" s="49">
        <v>2310525.0</v>
      </c>
      <c r="C40" s="48" t="s">
        <v>924</v>
      </c>
      <c r="D40" s="48" t="s">
        <v>93</v>
      </c>
      <c r="E40" s="48" t="s">
        <v>167</v>
      </c>
      <c r="F40" s="48" t="s">
        <v>622</v>
      </c>
      <c r="G40" s="48" t="s">
        <v>623</v>
      </c>
      <c r="H40" s="49">
        <v>0.3793010428</v>
      </c>
      <c r="I40" s="49">
        <v>1260.0</v>
      </c>
      <c r="J40" s="49">
        <v>409676.75</v>
      </c>
      <c r="K40" s="49">
        <v>409676.75</v>
      </c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>
      <c r="A41" s="48" t="s">
        <v>925</v>
      </c>
      <c r="B41" s="49">
        <v>2295677.0</v>
      </c>
      <c r="C41" s="48" t="s">
        <v>926</v>
      </c>
      <c r="D41" s="48" t="s">
        <v>93</v>
      </c>
      <c r="E41" s="48" t="s">
        <v>99</v>
      </c>
      <c r="F41" s="48" t="s">
        <v>622</v>
      </c>
      <c r="G41" s="48" t="s">
        <v>623</v>
      </c>
      <c r="H41" s="49">
        <v>0.3697194015</v>
      </c>
      <c r="I41" s="49">
        <v>9134.0</v>
      </c>
      <c r="J41" s="49">
        <v>399327.77</v>
      </c>
      <c r="K41" s="49">
        <v>399327.77</v>
      </c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>
      <c r="A42" s="48" t="s">
        <v>927</v>
      </c>
      <c r="B42" s="49">
        <v>2044545.0</v>
      </c>
      <c r="C42" s="48" t="s">
        <v>928</v>
      </c>
      <c r="D42" s="48" t="s">
        <v>93</v>
      </c>
      <c r="E42" s="48" t="s">
        <v>121</v>
      </c>
      <c r="F42" s="48" t="s">
        <v>622</v>
      </c>
      <c r="G42" s="48" t="s">
        <v>623</v>
      </c>
      <c r="H42" s="49">
        <v>0.368247645</v>
      </c>
      <c r="I42" s="49">
        <v>5584.0</v>
      </c>
      <c r="J42" s="49">
        <v>397738.15</v>
      </c>
      <c r="K42" s="49">
        <v>397738.15</v>
      </c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>
      <c r="A43" s="48" t="s">
        <v>929</v>
      </c>
      <c r="B43" s="49">
        <v>2886907.0</v>
      </c>
      <c r="C43" s="48" t="s">
        <v>930</v>
      </c>
      <c r="D43" s="48" t="s">
        <v>93</v>
      </c>
      <c r="E43" s="48" t="s">
        <v>102</v>
      </c>
      <c r="F43" s="48" t="s">
        <v>622</v>
      </c>
      <c r="G43" s="48" t="s">
        <v>623</v>
      </c>
      <c r="H43" s="49">
        <v>0.3626310303</v>
      </c>
      <c r="I43" s="49">
        <v>501.0</v>
      </c>
      <c r="J43" s="49">
        <v>391671.74</v>
      </c>
      <c r="K43" s="49">
        <v>391671.74</v>
      </c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>
      <c r="A44" s="48" t="s">
        <v>931</v>
      </c>
      <c r="B44" s="49">
        <v>7110388.0</v>
      </c>
      <c r="C44" s="48" t="s">
        <v>932</v>
      </c>
      <c r="D44" s="48" t="s">
        <v>93</v>
      </c>
      <c r="E44" s="48" t="s">
        <v>102</v>
      </c>
      <c r="F44" s="48" t="s">
        <v>622</v>
      </c>
      <c r="G44" s="48" t="s">
        <v>655</v>
      </c>
      <c r="H44" s="49">
        <v>0.3616290379</v>
      </c>
      <c r="I44" s="49">
        <v>903.0</v>
      </c>
      <c r="J44" s="49">
        <v>390589.51</v>
      </c>
      <c r="K44" s="49">
        <v>390589.51</v>
      </c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>
      <c r="A45" s="48" t="s">
        <v>933</v>
      </c>
      <c r="B45" s="49">
        <v>2684703.0</v>
      </c>
      <c r="C45" s="48" t="s">
        <v>934</v>
      </c>
      <c r="D45" s="48" t="s">
        <v>93</v>
      </c>
      <c r="E45" s="48" t="s">
        <v>102</v>
      </c>
      <c r="F45" s="48" t="s">
        <v>622</v>
      </c>
      <c r="G45" s="48" t="s">
        <v>623</v>
      </c>
      <c r="H45" s="49">
        <v>0.3611700389</v>
      </c>
      <c r="I45" s="49">
        <v>7619.0</v>
      </c>
      <c r="J45" s="49">
        <v>390093.75</v>
      </c>
      <c r="K45" s="49">
        <v>390093.75</v>
      </c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>
      <c r="A46" s="48" t="s">
        <v>935</v>
      </c>
      <c r="B46" s="48" t="s">
        <v>936</v>
      </c>
      <c r="C46" s="48" t="s">
        <v>937</v>
      </c>
      <c r="D46" s="48" t="s">
        <v>93</v>
      </c>
      <c r="E46" s="48" t="s">
        <v>94</v>
      </c>
      <c r="F46" s="48" t="s">
        <v>622</v>
      </c>
      <c r="G46" s="48" t="s">
        <v>623</v>
      </c>
      <c r="H46" s="49">
        <v>0.3369785268</v>
      </c>
      <c r="I46" s="49">
        <v>627.0</v>
      </c>
      <c r="J46" s="49">
        <v>363964.9</v>
      </c>
      <c r="K46" s="49">
        <v>363964.9</v>
      </c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>
      <c r="A47" s="48" t="s">
        <v>938</v>
      </c>
      <c r="B47" s="49">
        <v>2002305.0</v>
      </c>
      <c r="C47" s="48" t="s">
        <v>939</v>
      </c>
      <c r="D47" s="48" t="s">
        <v>93</v>
      </c>
      <c r="E47" s="48" t="s">
        <v>102</v>
      </c>
      <c r="F47" s="48" t="s">
        <v>622</v>
      </c>
      <c r="G47" s="48" t="s">
        <v>623</v>
      </c>
      <c r="H47" s="49">
        <v>0.3280623578</v>
      </c>
      <c r="I47" s="49">
        <v>2298.0</v>
      </c>
      <c r="J47" s="49">
        <v>354334.69</v>
      </c>
      <c r="K47" s="49">
        <v>354334.69</v>
      </c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>
      <c r="A48" s="48" t="s">
        <v>940</v>
      </c>
      <c r="B48" s="49">
        <v>2250870.0</v>
      </c>
      <c r="C48" s="48" t="s">
        <v>941</v>
      </c>
      <c r="D48" s="48" t="s">
        <v>93</v>
      </c>
      <c r="E48" s="48" t="s">
        <v>102</v>
      </c>
      <c r="F48" s="48" t="s">
        <v>622</v>
      </c>
      <c r="G48" s="48" t="s">
        <v>623</v>
      </c>
      <c r="H48" s="49">
        <v>0.3242034668</v>
      </c>
      <c r="I48" s="49">
        <v>900.0</v>
      </c>
      <c r="J48" s="49">
        <v>350166.77</v>
      </c>
      <c r="K48" s="49">
        <v>350166.77</v>
      </c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>
      <c r="A49" s="48" t="s">
        <v>942</v>
      </c>
      <c r="B49" s="49">
        <v>2661568.0</v>
      </c>
      <c r="C49" s="48" t="s">
        <v>943</v>
      </c>
      <c r="D49" s="48" t="s">
        <v>93</v>
      </c>
      <c r="E49" s="48" t="s">
        <v>167</v>
      </c>
      <c r="F49" s="48" t="s">
        <v>622</v>
      </c>
      <c r="G49" s="48" t="s">
        <v>623</v>
      </c>
      <c r="H49" s="49">
        <v>0.3229297676</v>
      </c>
      <c r="I49" s="49">
        <v>2045.0</v>
      </c>
      <c r="J49" s="49">
        <v>348791.07</v>
      </c>
      <c r="K49" s="49">
        <v>348791.07</v>
      </c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>
      <c r="A50" s="48" t="s">
        <v>944</v>
      </c>
      <c r="B50" s="49">
        <v>2857817.0</v>
      </c>
      <c r="C50" s="48" t="s">
        <v>945</v>
      </c>
      <c r="D50" s="48" t="s">
        <v>93</v>
      </c>
      <c r="E50" s="48" t="s">
        <v>121</v>
      </c>
      <c r="F50" s="48" t="s">
        <v>622</v>
      </c>
      <c r="G50" s="48" t="s">
        <v>623</v>
      </c>
      <c r="H50" s="49">
        <v>0.313758598999999</v>
      </c>
      <c r="I50" s="49">
        <v>566.0</v>
      </c>
      <c r="J50" s="49">
        <v>338885.44</v>
      </c>
      <c r="K50" s="49">
        <v>338885.44</v>
      </c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>
      <c r="A51" s="48" t="s">
        <v>946</v>
      </c>
      <c r="B51" s="49">
        <v>540528.0</v>
      </c>
      <c r="C51" s="48" t="s">
        <v>947</v>
      </c>
      <c r="D51" s="48" t="s">
        <v>93</v>
      </c>
      <c r="E51" s="48" t="s">
        <v>99</v>
      </c>
      <c r="F51" s="48" t="s">
        <v>918</v>
      </c>
      <c r="G51" s="48" t="s">
        <v>908</v>
      </c>
      <c r="H51" s="49">
        <v>0.303189563</v>
      </c>
      <c r="I51" s="49">
        <v>26872.0</v>
      </c>
      <c r="J51" s="49">
        <v>327470.0</v>
      </c>
      <c r="K51" s="49">
        <v>327470.0</v>
      </c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>
      <c r="A52" s="48" t="s">
        <v>948</v>
      </c>
      <c r="B52" s="49">
        <v>2649100.0</v>
      </c>
      <c r="C52" s="48" t="s">
        <v>949</v>
      </c>
      <c r="D52" s="48" t="s">
        <v>93</v>
      </c>
      <c r="E52" s="48" t="s">
        <v>99</v>
      </c>
      <c r="F52" s="48" t="s">
        <v>622</v>
      </c>
      <c r="G52" s="48" t="s">
        <v>623</v>
      </c>
      <c r="H52" s="49">
        <v>0.3014998877</v>
      </c>
      <c r="I52" s="49">
        <v>4937.0</v>
      </c>
      <c r="J52" s="49">
        <v>325645.01</v>
      </c>
      <c r="K52" s="49">
        <v>325645.01</v>
      </c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>
      <c r="A53" s="48" t="s">
        <v>950</v>
      </c>
      <c r="B53" s="48" t="s">
        <v>951</v>
      </c>
      <c r="C53" s="48" t="s">
        <v>952</v>
      </c>
      <c r="D53" s="48" t="s">
        <v>93</v>
      </c>
      <c r="E53" s="48" t="s">
        <v>115</v>
      </c>
      <c r="F53" s="48" t="s">
        <v>639</v>
      </c>
      <c r="G53" s="48" t="s">
        <v>640</v>
      </c>
      <c r="H53" s="49">
        <v>0.2997376831</v>
      </c>
      <c r="I53" s="49">
        <v>3149.0</v>
      </c>
      <c r="J53" s="49">
        <v>323741.68</v>
      </c>
      <c r="K53" s="49">
        <v>323741.68</v>
      </c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>
      <c r="A54" s="48" t="s">
        <v>953</v>
      </c>
      <c r="B54" s="49">
        <v>2270726.0</v>
      </c>
      <c r="C54" s="48" t="s">
        <v>954</v>
      </c>
      <c r="D54" s="48" t="s">
        <v>93</v>
      </c>
      <c r="E54" s="48" t="s">
        <v>121</v>
      </c>
      <c r="F54" s="48" t="s">
        <v>622</v>
      </c>
      <c r="G54" s="48" t="s">
        <v>623</v>
      </c>
      <c r="H54" s="49">
        <v>0.291413168</v>
      </c>
      <c r="I54" s="49">
        <v>2441.0</v>
      </c>
      <c r="J54" s="49">
        <v>314750.51</v>
      </c>
      <c r="K54" s="49">
        <v>314750.51</v>
      </c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</row>
    <row r="55">
      <c r="A55" s="48" t="s">
        <v>955</v>
      </c>
      <c r="B55" s="49">
        <v>2007849.0</v>
      </c>
      <c r="C55" s="48" t="s">
        <v>956</v>
      </c>
      <c r="D55" s="48" t="s">
        <v>93</v>
      </c>
      <c r="E55" s="48" t="s">
        <v>167</v>
      </c>
      <c r="F55" s="48" t="s">
        <v>622</v>
      </c>
      <c r="G55" s="48" t="s">
        <v>623</v>
      </c>
      <c r="H55" s="49">
        <v>0.2901406809</v>
      </c>
      <c r="I55" s="49">
        <v>2092.0</v>
      </c>
      <c r="J55" s="49">
        <v>313376.12</v>
      </c>
      <c r="K55" s="49">
        <v>313376.12</v>
      </c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>
      <c r="A56" s="48" t="s">
        <v>957</v>
      </c>
      <c r="B56" s="48" t="s">
        <v>958</v>
      </c>
      <c r="C56" s="48" t="s">
        <v>959</v>
      </c>
      <c r="D56" s="48" t="s">
        <v>93</v>
      </c>
      <c r="E56" s="48" t="s">
        <v>124</v>
      </c>
      <c r="F56" s="48" t="s">
        <v>622</v>
      </c>
      <c r="G56" s="48" t="s">
        <v>623</v>
      </c>
      <c r="H56" s="49">
        <v>0.2769712093</v>
      </c>
      <c r="I56" s="49">
        <v>2001.0</v>
      </c>
      <c r="J56" s="49">
        <v>299152.0</v>
      </c>
      <c r="K56" s="49">
        <v>299152.0</v>
      </c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>
      <c r="A57" s="48" t="s">
        <v>960</v>
      </c>
      <c r="B57" s="49">
        <v>2023607.0</v>
      </c>
      <c r="C57" s="48" t="s">
        <v>961</v>
      </c>
      <c r="D57" s="48" t="s">
        <v>93</v>
      </c>
      <c r="E57" s="48" t="s">
        <v>102</v>
      </c>
      <c r="F57" s="48" t="s">
        <v>622</v>
      </c>
      <c r="G57" s="48" t="s">
        <v>623</v>
      </c>
      <c r="H57" s="49">
        <v>0.2768038166</v>
      </c>
      <c r="I57" s="49">
        <v>712.0</v>
      </c>
      <c r="J57" s="49">
        <v>298971.2</v>
      </c>
      <c r="K57" s="49">
        <v>298971.2</v>
      </c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>
      <c r="A58" s="48" t="s">
        <v>962</v>
      </c>
      <c r="B58" s="49">
        <v>2090571.0</v>
      </c>
      <c r="C58" s="48" t="s">
        <v>963</v>
      </c>
      <c r="D58" s="48" t="s">
        <v>93</v>
      </c>
      <c r="E58" s="48" t="s">
        <v>121</v>
      </c>
      <c r="F58" s="48" t="s">
        <v>622</v>
      </c>
      <c r="G58" s="48" t="s">
        <v>623</v>
      </c>
      <c r="H58" s="49">
        <v>0.2760789921</v>
      </c>
      <c r="I58" s="49">
        <v>5747.0</v>
      </c>
      <c r="J58" s="49">
        <v>298188.33</v>
      </c>
      <c r="K58" s="49">
        <v>298188.33</v>
      </c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>
      <c r="A59" s="48" t="s">
        <v>964</v>
      </c>
      <c r="B59" s="49">
        <v>2685717.0</v>
      </c>
      <c r="C59" s="48" t="s">
        <v>965</v>
      </c>
      <c r="D59" s="48" t="s">
        <v>93</v>
      </c>
      <c r="E59" s="48" t="s">
        <v>115</v>
      </c>
      <c r="F59" s="48" t="s">
        <v>622</v>
      </c>
      <c r="G59" s="48" t="s">
        <v>623</v>
      </c>
      <c r="H59" s="49">
        <v>0.2754319041</v>
      </c>
      <c r="I59" s="49">
        <v>1603.0</v>
      </c>
      <c r="J59" s="49">
        <v>297489.42</v>
      </c>
      <c r="K59" s="49">
        <v>297489.42</v>
      </c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>
      <c r="A60" s="48" t="s">
        <v>966</v>
      </c>
      <c r="B60" s="49">
        <v>2463247.0</v>
      </c>
      <c r="C60" s="48" t="s">
        <v>967</v>
      </c>
      <c r="D60" s="48" t="s">
        <v>93</v>
      </c>
      <c r="E60" s="48" t="s">
        <v>167</v>
      </c>
      <c r="F60" s="48" t="s">
        <v>622</v>
      </c>
      <c r="G60" s="48" t="s">
        <v>623</v>
      </c>
      <c r="H60" s="49">
        <v>0.271857263099999</v>
      </c>
      <c r="I60" s="49">
        <v>5437.0</v>
      </c>
      <c r="J60" s="49">
        <v>293628.51</v>
      </c>
      <c r="K60" s="49">
        <v>293628.51</v>
      </c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>
      <c r="A61" s="48" t="s">
        <v>968</v>
      </c>
      <c r="B61" s="49">
        <v>2459020.0</v>
      </c>
      <c r="C61" s="48" t="s">
        <v>969</v>
      </c>
      <c r="D61" s="48" t="s">
        <v>93</v>
      </c>
      <c r="E61" s="48" t="s">
        <v>167</v>
      </c>
      <c r="F61" s="48" t="s">
        <v>622</v>
      </c>
      <c r="G61" s="48" t="s">
        <v>623</v>
      </c>
      <c r="H61" s="49">
        <v>0.2707513028</v>
      </c>
      <c r="I61" s="49">
        <v>372.0</v>
      </c>
      <c r="J61" s="49">
        <v>292433.98</v>
      </c>
      <c r="K61" s="49">
        <v>292433.98</v>
      </c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>
      <c r="A62" s="48" t="s">
        <v>970</v>
      </c>
      <c r="B62" s="49">
        <v>2885409.0</v>
      </c>
      <c r="C62" s="48" t="s">
        <v>971</v>
      </c>
      <c r="D62" s="48" t="s">
        <v>93</v>
      </c>
      <c r="E62" s="48" t="s">
        <v>167</v>
      </c>
      <c r="F62" s="48" t="s">
        <v>622</v>
      </c>
      <c r="G62" s="48" t="s">
        <v>623</v>
      </c>
      <c r="H62" s="49">
        <v>0.2680348666</v>
      </c>
      <c r="I62" s="49">
        <v>1158.0</v>
      </c>
      <c r="J62" s="49">
        <v>289500.0</v>
      </c>
      <c r="K62" s="49">
        <v>289500.0</v>
      </c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>
      <c r="A63" s="48" t="s">
        <v>972</v>
      </c>
      <c r="B63" s="49">
        <v>4846288.0</v>
      </c>
      <c r="C63" s="48" t="s">
        <v>973</v>
      </c>
      <c r="D63" s="48" t="s">
        <v>93</v>
      </c>
      <c r="E63" s="48" t="s">
        <v>167</v>
      </c>
      <c r="F63" s="48" t="s">
        <v>649</v>
      </c>
      <c r="G63" s="48" t="s">
        <v>640</v>
      </c>
      <c r="H63" s="49">
        <v>0.2619694662</v>
      </c>
      <c r="I63" s="49">
        <v>1373.0</v>
      </c>
      <c r="J63" s="49">
        <v>282948.86</v>
      </c>
      <c r="K63" s="49">
        <v>282948.86</v>
      </c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>
      <c r="A64" s="48" t="s">
        <v>974</v>
      </c>
      <c r="B64" s="49">
        <v>2180201.0</v>
      </c>
      <c r="C64" s="48" t="s">
        <v>975</v>
      </c>
      <c r="D64" s="48" t="s">
        <v>93</v>
      </c>
      <c r="E64" s="48" t="s">
        <v>127</v>
      </c>
      <c r="F64" s="48" t="s">
        <v>622</v>
      </c>
      <c r="G64" s="48" t="s">
        <v>623</v>
      </c>
      <c r="H64" s="49">
        <v>0.2571203615</v>
      </c>
      <c r="I64" s="49">
        <v>655.0</v>
      </c>
      <c r="J64" s="49">
        <v>277711.42</v>
      </c>
      <c r="K64" s="49">
        <v>277711.42</v>
      </c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>
      <c r="A65" s="48" t="s">
        <v>976</v>
      </c>
      <c r="B65" s="49">
        <v>2914734.0</v>
      </c>
      <c r="C65" s="48" t="s">
        <v>977</v>
      </c>
      <c r="D65" s="48" t="s">
        <v>93</v>
      </c>
      <c r="E65" s="48" t="s">
        <v>127</v>
      </c>
      <c r="F65" s="48" t="s">
        <v>622</v>
      </c>
      <c r="G65" s="48" t="s">
        <v>623</v>
      </c>
      <c r="H65" s="49">
        <v>0.2553340944</v>
      </c>
      <c r="I65" s="49">
        <v>837.0</v>
      </c>
      <c r="J65" s="49">
        <v>275782.11</v>
      </c>
      <c r="K65" s="49">
        <v>275782.11</v>
      </c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>
      <c r="A66" s="48" t="s">
        <v>978</v>
      </c>
      <c r="B66" s="49">
        <v>2328915.0</v>
      </c>
      <c r="C66" s="48" t="s">
        <v>979</v>
      </c>
      <c r="D66" s="48" t="s">
        <v>93</v>
      </c>
      <c r="E66" s="48" t="s">
        <v>170</v>
      </c>
      <c r="F66" s="48" t="s">
        <v>622</v>
      </c>
      <c r="G66" s="48" t="s">
        <v>623</v>
      </c>
      <c r="H66" s="49">
        <v>0.2469846361</v>
      </c>
      <c r="I66" s="49">
        <v>2558.0</v>
      </c>
      <c r="J66" s="49">
        <v>266764.0</v>
      </c>
      <c r="K66" s="49">
        <v>266764.0</v>
      </c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>
      <c r="A67" s="48" t="s">
        <v>980</v>
      </c>
      <c r="B67" s="48" t="s">
        <v>981</v>
      </c>
      <c r="C67" s="48" t="s">
        <v>982</v>
      </c>
      <c r="D67" s="48" t="s">
        <v>93</v>
      </c>
      <c r="E67" s="48" t="s">
        <v>124</v>
      </c>
      <c r="F67" s="48" t="s">
        <v>918</v>
      </c>
      <c r="G67" s="48" t="s">
        <v>908</v>
      </c>
      <c r="H67" s="49">
        <v>0.2455555893</v>
      </c>
      <c r="I67" s="49">
        <v>3348.0</v>
      </c>
      <c r="J67" s="49">
        <v>265220.51</v>
      </c>
      <c r="K67" s="49">
        <v>265220.51</v>
      </c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>
      <c r="A68" s="48" t="s">
        <v>983</v>
      </c>
      <c r="B68" s="49">
        <v>2005973.0</v>
      </c>
      <c r="C68" s="48" t="s">
        <v>984</v>
      </c>
      <c r="D68" s="48" t="s">
        <v>93</v>
      </c>
      <c r="E68" s="48" t="s">
        <v>167</v>
      </c>
      <c r="F68" s="48" t="s">
        <v>622</v>
      </c>
      <c r="G68" s="48" t="s">
        <v>623</v>
      </c>
      <c r="H68" s="49">
        <v>0.2450018703</v>
      </c>
      <c r="I68" s="49">
        <v>1152.0</v>
      </c>
      <c r="J68" s="49">
        <v>264622.44</v>
      </c>
      <c r="K68" s="49">
        <v>264622.44</v>
      </c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>
      <c r="A69" s="48" t="s">
        <v>985</v>
      </c>
      <c r="B69" s="49">
        <v>2020459.0</v>
      </c>
      <c r="C69" s="48" t="s">
        <v>986</v>
      </c>
      <c r="D69" s="48" t="s">
        <v>93</v>
      </c>
      <c r="E69" s="48" t="s">
        <v>127</v>
      </c>
      <c r="F69" s="48" t="s">
        <v>622</v>
      </c>
      <c r="G69" s="48" t="s">
        <v>623</v>
      </c>
      <c r="H69" s="49">
        <v>0.2411585209</v>
      </c>
      <c r="I69" s="49">
        <v>873.0</v>
      </c>
      <c r="J69" s="49">
        <v>260471.31</v>
      </c>
      <c r="K69" s="49">
        <v>260471.31</v>
      </c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>
      <c r="A70" s="48" t="s">
        <v>987</v>
      </c>
      <c r="B70" s="49">
        <v>2126335.0</v>
      </c>
      <c r="C70" s="48" t="s">
        <v>988</v>
      </c>
      <c r="D70" s="48" t="s">
        <v>93</v>
      </c>
      <c r="E70" s="48" t="s">
        <v>102</v>
      </c>
      <c r="F70" s="48" t="s">
        <v>622</v>
      </c>
      <c r="G70" s="48" t="s">
        <v>623</v>
      </c>
      <c r="H70" s="49">
        <v>0.239992270399999</v>
      </c>
      <c r="I70" s="49">
        <v>2815.0</v>
      </c>
      <c r="J70" s="49">
        <v>259211.66</v>
      </c>
      <c r="K70" s="49">
        <v>259211.66</v>
      </c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>
      <c r="A71" s="48" t="s">
        <v>989</v>
      </c>
      <c r="B71" s="49">
        <v>2536763.0</v>
      </c>
      <c r="C71" s="48" t="s">
        <v>990</v>
      </c>
      <c r="D71" s="48" t="s">
        <v>93</v>
      </c>
      <c r="E71" s="48" t="s">
        <v>118</v>
      </c>
      <c r="F71" s="48" t="s">
        <v>622</v>
      </c>
      <c r="G71" s="48" t="s">
        <v>623</v>
      </c>
      <c r="H71" s="49">
        <v>0.2385761431</v>
      </c>
      <c r="I71" s="49">
        <v>785.0</v>
      </c>
      <c r="J71" s="49">
        <v>257682.12</v>
      </c>
      <c r="K71" s="49">
        <v>257682.12</v>
      </c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>
      <c r="A72" s="48" t="s">
        <v>991</v>
      </c>
      <c r="B72" s="49">
        <v>5671735.0</v>
      </c>
      <c r="C72" s="48" t="s">
        <v>992</v>
      </c>
      <c r="D72" s="48" t="s">
        <v>93</v>
      </c>
      <c r="E72" s="48" t="s">
        <v>102</v>
      </c>
      <c r="F72" s="48" t="s">
        <v>622</v>
      </c>
      <c r="G72" s="48" t="s">
        <v>640</v>
      </c>
      <c r="H72" s="49">
        <v>0.236501285</v>
      </c>
      <c r="I72" s="49">
        <v>1500.0</v>
      </c>
      <c r="J72" s="49">
        <v>255441.1</v>
      </c>
      <c r="K72" s="49">
        <v>255441.1</v>
      </c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>
      <c r="A73" s="48" t="s">
        <v>993</v>
      </c>
      <c r="B73" s="48" t="s">
        <v>994</v>
      </c>
      <c r="C73" s="48" t="s">
        <v>995</v>
      </c>
      <c r="D73" s="48" t="s">
        <v>93</v>
      </c>
      <c r="E73" s="48" t="s">
        <v>99</v>
      </c>
      <c r="F73" s="48" t="s">
        <v>622</v>
      </c>
      <c r="G73" s="48" t="s">
        <v>623</v>
      </c>
      <c r="H73" s="49">
        <v>0.235856359</v>
      </c>
      <c r="I73" s="49">
        <v>439.0</v>
      </c>
      <c r="J73" s="49">
        <v>254744.53</v>
      </c>
      <c r="K73" s="49">
        <v>254744.53</v>
      </c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>
      <c r="A74" s="48" t="s">
        <v>996</v>
      </c>
      <c r="B74" s="48" t="s">
        <v>997</v>
      </c>
      <c r="C74" s="48" t="s">
        <v>998</v>
      </c>
      <c r="D74" s="48" t="s">
        <v>93</v>
      </c>
      <c r="E74" s="48" t="s">
        <v>127</v>
      </c>
      <c r="F74" s="48" t="s">
        <v>622</v>
      </c>
      <c r="G74" s="48" t="s">
        <v>623</v>
      </c>
      <c r="H74" s="49">
        <v>0.2246816449</v>
      </c>
      <c r="I74" s="49">
        <v>1378.0</v>
      </c>
      <c r="J74" s="49">
        <v>242674.91</v>
      </c>
      <c r="K74" s="49">
        <v>242674.91</v>
      </c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>
      <c r="A75" s="48" t="s">
        <v>999</v>
      </c>
      <c r="B75" s="49">
        <v>2714923.0</v>
      </c>
      <c r="C75" s="48" t="s">
        <v>1000</v>
      </c>
      <c r="D75" s="48" t="s">
        <v>93</v>
      </c>
      <c r="E75" s="48" t="s">
        <v>167</v>
      </c>
      <c r="F75" s="48" t="s">
        <v>622</v>
      </c>
      <c r="G75" s="48" t="s">
        <v>623</v>
      </c>
      <c r="H75" s="49">
        <v>0.2223131833</v>
      </c>
      <c r="I75" s="49">
        <v>1427.0</v>
      </c>
      <c r="J75" s="49">
        <v>240116.77</v>
      </c>
      <c r="K75" s="49">
        <v>240116.77</v>
      </c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>
      <c r="A76" s="48" t="s">
        <v>1001</v>
      </c>
      <c r="B76" s="49">
        <v>2754383.0</v>
      </c>
      <c r="C76" s="48" t="s">
        <v>1002</v>
      </c>
      <c r="D76" s="48" t="s">
        <v>93</v>
      </c>
      <c r="E76" s="48" t="s">
        <v>99</v>
      </c>
      <c r="F76" s="48" t="s">
        <v>694</v>
      </c>
      <c r="G76" s="48" t="s">
        <v>1003</v>
      </c>
      <c r="H76" s="49">
        <v>0.2208367161</v>
      </c>
      <c r="I76" s="49">
        <v>1707.0</v>
      </c>
      <c r="J76" s="49">
        <v>238522.06</v>
      </c>
      <c r="K76" s="49">
        <v>238522.06</v>
      </c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>
      <c r="A77" s="48" t="s">
        <v>1004</v>
      </c>
      <c r="B77" s="48" t="s">
        <v>1005</v>
      </c>
      <c r="C77" s="48" t="s">
        <v>1006</v>
      </c>
      <c r="D77" s="48" t="s">
        <v>93</v>
      </c>
      <c r="E77" s="48" t="s">
        <v>167</v>
      </c>
      <c r="F77" s="48" t="s">
        <v>622</v>
      </c>
      <c r="G77" s="48" t="s">
        <v>623</v>
      </c>
      <c r="H77" s="49">
        <v>0.219659274</v>
      </c>
      <c r="I77" s="49">
        <v>277.0</v>
      </c>
      <c r="J77" s="49">
        <v>237250.33</v>
      </c>
      <c r="K77" s="49">
        <v>237250.33</v>
      </c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>
      <c r="A78" s="48" t="s">
        <v>1007</v>
      </c>
      <c r="B78" s="49">
        <v>2046552.0</v>
      </c>
      <c r="C78" s="48" t="s">
        <v>1008</v>
      </c>
      <c r="D78" s="48" t="s">
        <v>93</v>
      </c>
      <c r="E78" s="48" t="s">
        <v>167</v>
      </c>
      <c r="F78" s="48" t="s">
        <v>622</v>
      </c>
      <c r="G78" s="48" t="s">
        <v>623</v>
      </c>
      <c r="H78" s="49">
        <v>0.217714387999999</v>
      </c>
      <c r="I78" s="49">
        <v>1116.0</v>
      </c>
      <c r="J78" s="49">
        <v>235149.69</v>
      </c>
      <c r="K78" s="49">
        <v>235149.69</v>
      </c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>
      <c r="A79" s="48" t="s">
        <v>1009</v>
      </c>
      <c r="B79" s="49">
        <v>2831811.0</v>
      </c>
      <c r="C79" s="48" t="s">
        <v>1010</v>
      </c>
      <c r="D79" s="48" t="s">
        <v>93</v>
      </c>
      <c r="E79" s="48" t="s">
        <v>121</v>
      </c>
      <c r="F79" s="48" t="s">
        <v>622</v>
      </c>
      <c r="G79" s="48" t="s">
        <v>623</v>
      </c>
      <c r="H79" s="49">
        <v>0.216510835</v>
      </c>
      <c r="I79" s="49">
        <v>9800.0</v>
      </c>
      <c r="J79" s="49">
        <v>233849.75</v>
      </c>
      <c r="K79" s="49">
        <v>233849.75</v>
      </c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>
      <c r="A80" s="48" t="s">
        <v>1011</v>
      </c>
      <c r="B80" s="48" t="s">
        <v>1012</v>
      </c>
      <c r="C80" s="48" t="s">
        <v>1013</v>
      </c>
      <c r="D80" s="48" t="s">
        <v>93</v>
      </c>
      <c r="E80" s="48" t="s">
        <v>102</v>
      </c>
      <c r="F80" s="48" t="s">
        <v>622</v>
      </c>
      <c r="G80" s="48" t="s">
        <v>623</v>
      </c>
      <c r="H80" s="49">
        <v>0.2153372538</v>
      </c>
      <c r="I80" s="49">
        <v>331.0</v>
      </c>
      <c r="J80" s="49">
        <v>232582.19</v>
      </c>
      <c r="K80" s="49">
        <v>232582.19</v>
      </c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>
      <c r="A81" s="48" t="s">
        <v>1014</v>
      </c>
      <c r="B81" s="48" t="s">
        <v>1015</v>
      </c>
      <c r="C81" s="48" t="s">
        <v>1016</v>
      </c>
      <c r="D81" s="48" t="s">
        <v>93</v>
      </c>
      <c r="E81" s="48" t="s">
        <v>127</v>
      </c>
      <c r="F81" s="48" t="s">
        <v>622</v>
      </c>
      <c r="G81" s="48" t="s">
        <v>623</v>
      </c>
      <c r="H81" s="49">
        <v>0.2146763271</v>
      </c>
      <c r="I81" s="49">
        <v>2048.0</v>
      </c>
      <c r="J81" s="49">
        <v>231868.33</v>
      </c>
      <c r="K81" s="49">
        <v>231868.33</v>
      </c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>
      <c r="A82" s="48" t="s">
        <v>1017</v>
      </c>
      <c r="B82" s="49">
        <v>2640147.0</v>
      </c>
      <c r="C82" s="48" t="s">
        <v>1018</v>
      </c>
      <c r="D82" s="48" t="s">
        <v>93</v>
      </c>
      <c r="E82" s="48" t="s">
        <v>118</v>
      </c>
      <c r="F82" s="48" t="s">
        <v>622</v>
      </c>
      <c r="G82" s="48" t="s">
        <v>623</v>
      </c>
      <c r="H82" s="49">
        <v>0.210543676999999</v>
      </c>
      <c r="I82" s="49">
        <v>1593.0</v>
      </c>
      <c r="J82" s="49">
        <v>227404.72</v>
      </c>
      <c r="K82" s="49">
        <v>227404.72</v>
      </c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>
      <c r="A83" s="48" t="s">
        <v>1019</v>
      </c>
      <c r="B83" s="49">
        <v>2108601.0</v>
      </c>
      <c r="C83" s="48" t="s">
        <v>1020</v>
      </c>
      <c r="D83" s="48" t="s">
        <v>93</v>
      </c>
      <c r="E83" s="48" t="s">
        <v>127</v>
      </c>
      <c r="F83" s="48" t="s">
        <v>622</v>
      </c>
      <c r="G83" s="48" t="s">
        <v>623</v>
      </c>
      <c r="H83" s="49">
        <v>0.2094770251</v>
      </c>
      <c r="I83" s="49">
        <v>726.0</v>
      </c>
      <c r="J83" s="49">
        <v>226252.65</v>
      </c>
      <c r="K83" s="49">
        <v>226252.65</v>
      </c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>
      <c r="A84" s="48" t="s">
        <v>1021</v>
      </c>
      <c r="B84" s="49">
        <v>5727973.0</v>
      </c>
      <c r="C84" s="48" t="s">
        <v>1022</v>
      </c>
      <c r="D84" s="48" t="s">
        <v>93</v>
      </c>
      <c r="E84" s="48" t="s">
        <v>127</v>
      </c>
      <c r="F84" s="48" t="s">
        <v>649</v>
      </c>
      <c r="G84" s="48" t="s">
        <v>640</v>
      </c>
      <c r="H84" s="49">
        <v>0.2078911362</v>
      </c>
      <c r="I84" s="49">
        <v>1011.0</v>
      </c>
      <c r="J84" s="49">
        <v>224539.76</v>
      </c>
      <c r="K84" s="49">
        <v>224539.76</v>
      </c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>
      <c r="A85" s="48" t="s">
        <v>1023</v>
      </c>
      <c r="B85" s="49">
        <v>6821506.0</v>
      </c>
      <c r="C85" s="48" t="s">
        <v>1024</v>
      </c>
      <c r="D85" s="48" t="s">
        <v>93</v>
      </c>
      <c r="E85" s="48" t="s">
        <v>118</v>
      </c>
      <c r="F85" s="48" t="s">
        <v>629</v>
      </c>
      <c r="G85" s="48" t="s">
        <v>630</v>
      </c>
      <c r="H85" s="49">
        <v>0.2073234999</v>
      </c>
      <c r="I85" s="49">
        <v>1721.0</v>
      </c>
      <c r="J85" s="49">
        <v>223926.66</v>
      </c>
      <c r="K85" s="49">
        <v>223926.66</v>
      </c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>
      <c r="A86" s="48" t="s">
        <v>1025</v>
      </c>
      <c r="B86" s="49">
        <v>2517382.0</v>
      </c>
      <c r="C86" s="48" t="s">
        <v>1026</v>
      </c>
      <c r="D86" s="48" t="s">
        <v>93</v>
      </c>
      <c r="E86" s="48" t="s">
        <v>127</v>
      </c>
      <c r="F86" s="48" t="s">
        <v>622</v>
      </c>
      <c r="G86" s="48" t="s">
        <v>623</v>
      </c>
      <c r="H86" s="49">
        <v>0.207245536899999</v>
      </c>
      <c r="I86" s="49">
        <v>924.0</v>
      </c>
      <c r="J86" s="49">
        <v>223842.46</v>
      </c>
      <c r="K86" s="49">
        <v>223842.46</v>
      </c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>
      <c r="A87" s="48" t="s">
        <v>1027</v>
      </c>
      <c r="B87" s="48" t="s">
        <v>1028</v>
      </c>
      <c r="C87" s="48" t="s">
        <v>1029</v>
      </c>
      <c r="D87" s="48" t="s">
        <v>93</v>
      </c>
      <c r="E87" s="48" t="s">
        <v>118</v>
      </c>
      <c r="F87" s="48" t="s">
        <v>622</v>
      </c>
      <c r="G87" s="48" t="s">
        <v>623</v>
      </c>
      <c r="H87" s="49">
        <v>0.2059285753</v>
      </c>
      <c r="I87" s="49">
        <v>47.0</v>
      </c>
      <c r="J87" s="49">
        <v>222420.03</v>
      </c>
      <c r="K87" s="49">
        <v>222420.03</v>
      </c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>
      <c r="A88" s="48" t="s">
        <v>1030</v>
      </c>
      <c r="B88" s="49">
        <v>2842255.0</v>
      </c>
      <c r="C88" s="48" t="s">
        <v>1031</v>
      </c>
      <c r="D88" s="48" t="s">
        <v>93</v>
      </c>
      <c r="E88" s="48" t="s">
        <v>118</v>
      </c>
      <c r="F88" s="48" t="s">
        <v>622</v>
      </c>
      <c r="G88" s="48" t="s">
        <v>623</v>
      </c>
      <c r="H88" s="49">
        <v>0.2042074759</v>
      </c>
      <c r="I88" s="49">
        <v>1520.0</v>
      </c>
      <c r="J88" s="49">
        <v>220561.1</v>
      </c>
      <c r="K88" s="49">
        <v>220561.1</v>
      </c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>
      <c r="A89" s="48" t="s">
        <v>1032</v>
      </c>
      <c r="B89" s="49">
        <v>2989301.0</v>
      </c>
      <c r="C89" s="48" t="s">
        <v>1033</v>
      </c>
      <c r="D89" s="48" t="s">
        <v>93</v>
      </c>
      <c r="E89" s="48" t="s">
        <v>118</v>
      </c>
      <c r="F89" s="48" t="s">
        <v>622</v>
      </c>
      <c r="G89" s="48" t="s">
        <v>623</v>
      </c>
      <c r="H89" s="49">
        <v>0.203822588299999</v>
      </c>
      <c r="I89" s="49">
        <v>1584.0</v>
      </c>
      <c r="J89" s="49">
        <v>220145.39</v>
      </c>
      <c r="K89" s="49">
        <v>220145.39</v>
      </c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>
      <c r="A90" s="48" t="s">
        <v>1034</v>
      </c>
      <c r="B90" s="49">
        <v>2897222.0</v>
      </c>
      <c r="C90" s="48" t="s">
        <v>1035</v>
      </c>
      <c r="D90" s="48" t="s">
        <v>93</v>
      </c>
      <c r="E90" s="48" t="s">
        <v>99</v>
      </c>
      <c r="F90" s="48" t="s">
        <v>694</v>
      </c>
      <c r="G90" s="48" t="s">
        <v>1003</v>
      </c>
      <c r="H90" s="49">
        <v>0.1995934951</v>
      </c>
      <c r="I90" s="49">
        <v>2278.0</v>
      </c>
      <c r="J90" s="49">
        <v>215577.61</v>
      </c>
      <c r="K90" s="49">
        <v>215577.61</v>
      </c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>
      <c r="A91" s="48" t="s">
        <v>1036</v>
      </c>
      <c r="B91" s="49">
        <v>2407966.0</v>
      </c>
      <c r="C91" s="48" t="s">
        <v>1037</v>
      </c>
      <c r="D91" s="48" t="s">
        <v>93</v>
      </c>
      <c r="E91" s="48" t="s">
        <v>99</v>
      </c>
      <c r="F91" s="48" t="s">
        <v>622</v>
      </c>
      <c r="G91" s="48" t="s">
        <v>623</v>
      </c>
      <c r="H91" s="49">
        <v>0.1991977029</v>
      </c>
      <c r="I91" s="49">
        <v>418.0</v>
      </c>
      <c r="J91" s="49">
        <v>215150.12</v>
      </c>
      <c r="K91" s="49">
        <v>215150.12</v>
      </c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>
      <c r="A92" s="48" t="s">
        <v>1038</v>
      </c>
      <c r="B92" s="49">
        <v>2262314.0</v>
      </c>
      <c r="C92" s="48" t="s">
        <v>1039</v>
      </c>
      <c r="D92" s="48" t="s">
        <v>93</v>
      </c>
      <c r="E92" s="48" t="s">
        <v>99</v>
      </c>
      <c r="F92" s="48" t="s">
        <v>622</v>
      </c>
      <c r="G92" s="48" t="s">
        <v>623</v>
      </c>
      <c r="H92" s="49">
        <v>0.198548565699999</v>
      </c>
      <c r="I92" s="49">
        <v>1621.0</v>
      </c>
      <c r="J92" s="49">
        <v>214449.0</v>
      </c>
      <c r="K92" s="49">
        <v>214449.0</v>
      </c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>
      <c r="A93" s="48" t="s">
        <v>1040</v>
      </c>
      <c r="B93" s="49">
        <v>6335171.0</v>
      </c>
      <c r="C93" s="48" t="s">
        <v>1041</v>
      </c>
      <c r="D93" s="48" t="s">
        <v>93</v>
      </c>
      <c r="E93" s="48" t="s">
        <v>99</v>
      </c>
      <c r="F93" s="48" t="s">
        <v>629</v>
      </c>
      <c r="G93" s="48" t="s">
        <v>630</v>
      </c>
      <c r="H93" s="49">
        <v>0.1984176338</v>
      </c>
      <c r="I93" s="49">
        <v>15396.0</v>
      </c>
      <c r="J93" s="49">
        <v>214307.59</v>
      </c>
      <c r="K93" s="49">
        <v>214307.59</v>
      </c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>
      <c r="A94" s="48" t="s">
        <v>1042</v>
      </c>
      <c r="B94" s="48" t="s">
        <v>1043</v>
      </c>
      <c r="C94" s="48" t="s">
        <v>1044</v>
      </c>
      <c r="D94" s="48" t="s">
        <v>93</v>
      </c>
      <c r="E94" s="48" t="s">
        <v>133</v>
      </c>
      <c r="F94" s="48" t="s">
        <v>622</v>
      </c>
      <c r="G94" s="48" t="s">
        <v>623</v>
      </c>
      <c r="H94" s="49">
        <v>0.1947236728</v>
      </c>
      <c r="I94" s="49">
        <v>1178.0</v>
      </c>
      <c r="J94" s="49">
        <v>210317.8</v>
      </c>
      <c r="K94" s="49">
        <v>210317.8</v>
      </c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>
      <c r="A95" s="48" t="s">
        <v>1045</v>
      </c>
      <c r="B95" s="48" t="s">
        <v>1046</v>
      </c>
      <c r="C95" s="48" t="s">
        <v>1047</v>
      </c>
      <c r="D95" s="48" t="s">
        <v>93</v>
      </c>
      <c r="E95" s="48" t="s">
        <v>102</v>
      </c>
      <c r="F95" s="48" t="s">
        <v>622</v>
      </c>
      <c r="G95" s="48" t="s">
        <v>623</v>
      </c>
      <c r="H95" s="49">
        <v>0.1943631148</v>
      </c>
      <c r="I95" s="49">
        <v>1674.0</v>
      </c>
      <c r="J95" s="49">
        <v>209928.37</v>
      </c>
      <c r="K95" s="49">
        <v>209928.37</v>
      </c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>
      <c r="A96" s="48" t="s">
        <v>1048</v>
      </c>
      <c r="B96" s="49">
        <v>2261203.0</v>
      </c>
      <c r="C96" s="48" t="s">
        <v>1049</v>
      </c>
      <c r="D96" s="48" t="s">
        <v>93</v>
      </c>
      <c r="E96" s="48" t="s">
        <v>127</v>
      </c>
      <c r="F96" s="48" t="s">
        <v>622</v>
      </c>
      <c r="G96" s="48" t="s">
        <v>623</v>
      </c>
      <c r="H96" s="49">
        <v>0.1941048684</v>
      </c>
      <c r="I96" s="49">
        <v>347.0</v>
      </c>
      <c r="J96" s="49">
        <v>209649.44</v>
      </c>
      <c r="K96" s="49">
        <v>209649.44</v>
      </c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>
      <c r="A97" s="48" t="s">
        <v>1050</v>
      </c>
      <c r="B97" s="48" t="s">
        <v>1051</v>
      </c>
      <c r="C97" s="48" t="s">
        <v>1052</v>
      </c>
      <c r="D97" s="48" t="s">
        <v>93</v>
      </c>
      <c r="E97" s="48" t="s">
        <v>99</v>
      </c>
      <c r="F97" s="48" t="s">
        <v>822</v>
      </c>
      <c r="G97" s="48" t="s">
        <v>646</v>
      </c>
      <c r="H97" s="49">
        <v>0.193480955</v>
      </c>
      <c r="I97" s="49">
        <v>16247.0</v>
      </c>
      <c r="J97" s="49">
        <v>208975.56</v>
      </c>
      <c r="K97" s="49">
        <v>208975.56</v>
      </c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>
      <c r="A98" s="48" t="s">
        <v>1053</v>
      </c>
      <c r="B98" s="49">
        <v>2522096.0</v>
      </c>
      <c r="C98" s="48" t="s">
        <v>1054</v>
      </c>
      <c r="D98" s="48" t="s">
        <v>93</v>
      </c>
      <c r="E98" s="48" t="s">
        <v>127</v>
      </c>
      <c r="F98" s="48" t="s">
        <v>622</v>
      </c>
      <c r="G98" s="48" t="s">
        <v>623</v>
      </c>
      <c r="H98" s="49">
        <v>0.192206087499999</v>
      </c>
      <c r="I98" s="49">
        <v>319.0</v>
      </c>
      <c r="J98" s="49">
        <v>207598.6</v>
      </c>
      <c r="K98" s="49">
        <v>207598.6</v>
      </c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>
      <c r="A99" s="48" t="s">
        <v>1055</v>
      </c>
      <c r="B99" s="49">
        <v>2577609.0</v>
      </c>
      <c r="C99" s="48" t="s">
        <v>1056</v>
      </c>
      <c r="D99" s="48" t="s">
        <v>93</v>
      </c>
      <c r="E99" s="48" t="s">
        <v>102</v>
      </c>
      <c r="F99" s="48" t="s">
        <v>622</v>
      </c>
      <c r="G99" s="48" t="s">
        <v>623</v>
      </c>
      <c r="H99" s="49">
        <v>0.1915043083</v>
      </c>
      <c r="I99" s="49">
        <v>1846.0</v>
      </c>
      <c r="J99" s="49">
        <v>206840.62</v>
      </c>
      <c r="K99" s="49">
        <v>206840.62</v>
      </c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>
      <c r="A100" s="48" t="s">
        <v>1057</v>
      </c>
      <c r="B100" s="49">
        <v>798059.0</v>
      </c>
      <c r="C100" s="48" t="s">
        <v>1058</v>
      </c>
      <c r="D100" s="48" t="s">
        <v>93</v>
      </c>
      <c r="E100" s="48" t="s">
        <v>115</v>
      </c>
      <c r="F100" s="48" t="s">
        <v>918</v>
      </c>
      <c r="G100" s="48" t="s">
        <v>908</v>
      </c>
      <c r="H100" s="49">
        <v>0.186087275</v>
      </c>
      <c r="I100" s="49">
        <v>20160.0</v>
      </c>
      <c r="J100" s="49">
        <v>200989.77</v>
      </c>
      <c r="K100" s="49">
        <v>200989.77</v>
      </c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>
      <c r="A101" s="48" t="s">
        <v>1059</v>
      </c>
      <c r="B101" s="49">
        <v>2931034.0</v>
      </c>
      <c r="C101" s="48" t="s">
        <v>1060</v>
      </c>
      <c r="D101" s="48" t="s">
        <v>93</v>
      </c>
      <c r="E101" s="48" t="s">
        <v>102</v>
      </c>
      <c r="F101" s="48" t="s">
        <v>622</v>
      </c>
      <c r="G101" s="48" t="s">
        <v>623</v>
      </c>
      <c r="H101" s="49">
        <v>0.1840464756</v>
      </c>
      <c r="I101" s="49">
        <v>360.0</v>
      </c>
      <c r="J101" s="49">
        <v>198785.54</v>
      </c>
      <c r="K101" s="49">
        <v>198785.54</v>
      </c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>
      <c r="A102" s="48" t="s">
        <v>1061</v>
      </c>
      <c r="B102" s="49">
        <v>2032067.0</v>
      </c>
      <c r="C102" s="48" t="s">
        <v>1062</v>
      </c>
      <c r="D102" s="48" t="s">
        <v>93</v>
      </c>
      <c r="E102" s="48" t="s">
        <v>167</v>
      </c>
      <c r="F102" s="48" t="s">
        <v>622</v>
      </c>
      <c r="G102" s="48" t="s">
        <v>623</v>
      </c>
      <c r="H102" s="49">
        <v>0.1833772513</v>
      </c>
      <c r="I102" s="49">
        <v>731.0</v>
      </c>
      <c r="J102" s="49">
        <v>198062.72</v>
      </c>
      <c r="K102" s="49">
        <v>198062.72</v>
      </c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>
      <c r="A103" s="48" t="s">
        <v>1063</v>
      </c>
      <c r="B103" s="49">
        <v>2494504.0</v>
      </c>
      <c r="C103" s="48" t="s">
        <v>1064</v>
      </c>
      <c r="D103" s="48" t="s">
        <v>93</v>
      </c>
      <c r="E103" s="48" t="s">
        <v>99</v>
      </c>
      <c r="F103" s="48" t="s">
        <v>622</v>
      </c>
      <c r="G103" s="48" t="s">
        <v>623</v>
      </c>
      <c r="H103" s="49">
        <v>0.1824130553</v>
      </c>
      <c r="I103" s="49">
        <v>189.0</v>
      </c>
      <c r="J103" s="49">
        <v>197021.31</v>
      </c>
      <c r="K103" s="49">
        <v>197021.31</v>
      </c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>
      <c r="A104" s="48" t="s">
        <v>1065</v>
      </c>
      <c r="B104" s="49">
        <v>2871301.0</v>
      </c>
      <c r="C104" s="48" t="s">
        <v>1066</v>
      </c>
      <c r="D104" s="48" t="s">
        <v>93</v>
      </c>
      <c r="E104" s="48" t="s">
        <v>102</v>
      </c>
      <c r="F104" s="48" t="s">
        <v>622</v>
      </c>
      <c r="G104" s="48" t="s">
        <v>623</v>
      </c>
      <c r="H104" s="49">
        <v>0.1821858198</v>
      </c>
      <c r="I104" s="49">
        <v>444.0</v>
      </c>
      <c r="J104" s="49">
        <v>196775.87</v>
      </c>
      <c r="K104" s="49">
        <v>196775.87</v>
      </c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>
      <c r="A105" s="48" t="s">
        <v>1067</v>
      </c>
      <c r="B105" s="49">
        <v>2065308.0</v>
      </c>
      <c r="C105" s="48" t="s">
        <v>1068</v>
      </c>
      <c r="D105" s="48" t="s">
        <v>93</v>
      </c>
      <c r="E105" s="48" t="s">
        <v>127</v>
      </c>
      <c r="F105" s="48" t="s">
        <v>622</v>
      </c>
      <c r="G105" s="48" t="s">
        <v>623</v>
      </c>
      <c r="H105" s="49">
        <v>0.1794753866</v>
      </c>
      <c r="I105" s="49">
        <v>521.0</v>
      </c>
      <c r="J105" s="49">
        <v>193848.38</v>
      </c>
      <c r="K105" s="49">
        <v>193848.38</v>
      </c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>
      <c r="A106" s="48" t="s">
        <v>1069</v>
      </c>
      <c r="B106" s="49">
        <v>4834108.0</v>
      </c>
      <c r="C106" s="48" t="s">
        <v>1070</v>
      </c>
      <c r="D106" s="48" t="s">
        <v>93</v>
      </c>
      <c r="E106" s="48" t="s">
        <v>127</v>
      </c>
      <c r="F106" s="48" t="s">
        <v>622</v>
      </c>
      <c r="G106" s="48" t="s">
        <v>640</v>
      </c>
      <c r="H106" s="49">
        <v>0.1764338042</v>
      </c>
      <c r="I106" s="49">
        <v>740.0</v>
      </c>
      <c r="J106" s="49">
        <v>190563.22</v>
      </c>
      <c r="K106" s="49">
        <v>190563.22</v>
      </c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>
      <c r="A107" s="48" t="s">
        <v>1071</v>
      </c>
      <c r="B107" s="49">
        <v>5231485.0</v>
      </c>
      <c r="C107" s="48" t="s">
        <v>1072</v>
      </c>
      <c r="D107" s="48" t="s">
        <v>93</v>
      </c>
      <c r="E107" s="48" t="s">
        <v>99</v>
      </c>
      <c r="F107" s="48" t="s">
        <v>649</v>
      </c>
      <c r="G107" s="48" t="s">
        <v>640</v>
      </c>
      <c r="H107" s="49">
        <v>0.1761493874</v>
      </c>
      <c r="I107" s="49">
        <v>498.0</v>
      </c>
      <c r="J107" s="49">
        <v>190256.02</v>
      </c>
      <c r="K107" s="49">
        <v>190256.02</v>
      </c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>
      <c r="A108" s="48" t="s">
        <v>1073</v>
      </c>
      <c r="B108" s="48" t="s">
        <v>1074</v>
      </c>
      <c r="C108" s="48" t="s">
        <v>1075</v>
      </c>
      <c r="D108" s="48" t="s">
        <v>93</v>
      </c>
      <c r="E108" s="48" t="s">
        <v>124</v>
      </c>
      <c r="F108" s="48" t="s">
        <v>622</v>
      </c>
      <c r="G108" s="48" t="s">
        <v>623</v>
      </c>
      <c r="H108" s="49">
        <v>0.1756062933</v>
      </c>
      <c r="I108" s="49">
        <v>1721.0</v>
      </c>
      <c r="J108" s="49">
        <v>189669.44</v>
      </c>
      <c r="K108" s="49">
        <v>189669.44</v>
      </c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>
      <c r="A109" s="48" t="s">
        <v>1076</v>
      </c>
      <c r="B109" s="49">
        <v>2567741.0</v>
      </c>
      <c r="C109" s="48" t="s">
        <v>1077</v>
      </c>
      <c r="D109" s="48" t="s">
        <v>93</v>
      </c>
      <c r="E109" s="48" t="s">
        <v>99</v>
      </c>
      <c r="F109" s="48" t="s">
        <v>622</v>
      </c>
      <c r="G109" s="48" t="s">
        <v>623</v>
      </c>
      <c r="H109" s="49">
        <v>0.175214811</v>
      </c>
      <c r="I109" s="49">
        <v>622.0</v>
      </c>
      <c r="J109" s="49">
        <v>189246.6</v>
      </c>
      <c r="K109" s="49">
        <v>189246.6</v>
      </c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>
      <c r="A110" s="48" t="s">
        <v>1078</v>
      </c>
      <c r="B110" s="49">
        <v>2853688.0</v>
      </c>
      <c r="C110" s="48" t="s">
        <v>1079</v>
      </c>
      <c r="D110" s="48" t="s">
        <v>93</v>
      </c>
      <c r="E110" s="48" t="s">
        <v>102</v>
      </c>
      <c r="F110" s="48" t="s">
        <v>622</v>
      </c>
      <c r="G110" s="48" t="s">
        <v>623</v>
      </c>
      <c r="H110" s="49">
        <v>0.174861381699999</v>
      </c>
      <c r="I110" s="49">
        <v>426.0</v>
      </c>
      <c r="J110" s="49">
        <v>188864.87</v>
      </c>
      <c r="K110" s="49">
        <v>188864.87</v>
      </c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>
      <c r="A111" s="48" t="s">
        <v>1080</v>
      </c>
      <c r="B111" s="49">
        <v>4057808.0</v>
      </c>
      <c r="C111" s="48" t="s">
        <v>1081</v>
      </c>
      <c r="D111" s="48" t="s">
        <v>93</v>
      </c>
      <c r="E111" s="48" t="s">
        <v>124</v>
      </c>
      <c r="F111" s="48" t="s">
        <v>639</v>
      </c>
      <c r="G111" s="48" t="s">
        <v>640</v>
      </c>
      <c r="H111" s="49">
        <v>0.1727662269</v>
      </c>
      <c r="I111" s="49">
        <v>281.0</v>
      </c>
      <c r="J111" s="49">
        <v>186601.93</v>
      </c>
      <c r="K111" s="49">
        <v>186601.93</v>
      </c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>
      <c r="A112" s="48" t="s">
        <v>1082</v>
      </c>
      <c r="B112" s="49">
        <v>2369174.0</v>
      </c>
      <c r="C112" s="48" t="s">
        <v>1083</v>
      </c>
      <c r="D112" s="48" t="s">
        <v>93</v>
      </c>
      <c r="E112" s="48" t="s">
        <v>102</v>
      </c>
      <c r="F112" s="48" t="s">
        <v>622</v>
      </c>
      <c r="G112" s="48" t="s">
        <v>623</v>
      </c>
      <c r="H112" s="49">
        <v>0.1712899876</v>
      </c>
      <c r="I112" s="49">
        <v>1577.0</v>
      </c>
      <c r="J112" s="49">
        <v>185007.47</v>
      </c>
      <c r="K112" s="49">
        <v>185007.47</v>
      </c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>
      <c r="A113" s="48" t="s">
        <v>1084</v>
      </c>
      <c r="B113" s="49">
        <v>237400.0</v>
      </c>
      <c r="C113" s="48" t="s">
        <v>1085</v>
      </c>
      <c r="D113" s="48" t="s">
        <v>93</v>
      </c>
      <c r="E113" s="48" t="s">
        <v>124</v>
      </c>
      <c r="F113" s="48" t="s">
        <v>918</v>
      </c>
      <c r="G113" s="48" t="s">
        <v>908</v>
      </c>
      <c r="H113" s="49">
        <v>0.1688412447</v>
      </c>
      <c r="I113" s="49">
        <v>3032.0</v>
      </c>
      <c r="J113" s="49">
        <v>182362.62</v>
      </c>
      <c r="K113" s="49">
        <v>182362.62</v>
      </c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>
      <c r="A114" s="48" t="s">
        <v>1086</v>
      </c>
      <c r="B114" s="49">
        <v>2730190.0</v>
      </c>
      <c r="C114" s="48" t="s">
        <v>1087</v>
      </c>
      <c r="D114" s="48" t="s">
        <v>93</v>
      </c>
      <c r="E114" s="48" t="s">
        <v>102</v>
      </c>
      <c r="F114" s="48" t="s">
        <v>622</v>
      </c>
      <c r="G114" s="48" t="s">
        <v>623</v>
      </c>
      <c r="H114" s="49">
        <v>0.1675320084</v>
      </c>
      <c r="I114" s="49">
        <v>141.0</v>
      </c>
      <c r="J114" s="49">
        <v>180948.53</v>
      </c>
      <c r="K114" s="49">
        <v>180948.53</v>
      </c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>
      <c r="A115" s="48" t="s">
        <v>1088</v>
      </c>
      <c r="B115" s="49">
        <v>2026082.0</v>
      </c>
      <c r="C115" s="48" t="s">
        <v>1089</v>
      </c>
      <c r="D115" s="48" t="s">
        <v>93</v>
      </c>
      <c r="E115" s="48" t="s">
        <v>99</v>
      </c>
      <c r="F115" s="48" t="s">
        <v>622</v>
      </c>
      <c r="G115" s="48" t="s">
        <v>623</v>
      </c>
      <c r="H115" s="49">
        <v>0.1656535166</v>
      </c>
      <c r="I115" s="49">
        <v>742.0</v>
      </c>
      <c r="J115" s="49">
        <v>178919.61</v>
      </c>
      <c r="K115" s="49">
        <v>178919.61</v>
      </c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>
      <c r="A116" s="48" t="s">
        <v>1090</v>
      </c>
      <c r="B116" s="48" t="s">
        <v>1091</v>
      </c>
      <c r="C116" s="48" t="s">
        <v>1092</v>
      </c>
      <c r="D116" s="48" t="s">
        <v>93</v>
      </c>
      <c r="E116" s="48" t="s">
        <v>94</v>
      </c>
      <c r="F116" s="48" t="s">
        <v>639</v>
      </c>
      <c r="G116" s="48" t="s">
        <v>640</v>
      </c>
      <c r="H116" s="49">
        <v>0.1632921777</v>
      </c>
      <c r="I116" s="49">
        <v>661.0</v>
      </c>
      <c r="J116" s="49">
        <v>176369.16</v>
      </c>
      <c r="K116" s="49">
        <v>176369.16</v>
      </c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>
      <c r="A117" s="48" t="s">
        <v>1093</v>
      </c>
      <c r="B117" s="49">
        <v>7309681.0</v>
      </c>
      <c r="C117" s="48" t="s">
        <v>1094</v>
      </c>
      <c r="D117" s="48" t="s">
        <v>93</v>
      </c>
      <c r="E117" s="48" t="s">
        <v>99</v>
      </c>
      <c r="F117" s="48" t="s">
        <v>639</v>
      </c>
      <c r="G117" s="48" t="s">
        <v>640</v>
      </c>
      <c r="H117" s="49">
        <v>0.1616872761</v>
      </c>
      <c r="I117" s="49">
        <v>1705.0</v>
      </c>
      <c r="J117" s="49">
        <v>174635.74</v>
      </c>
      <c r="K117" s="49">
        <v>174635.74</v>
      </c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>
      <c r="A118" s="48" t="s">
        <v>1095</v>
      </c>
      <c r="B118" s="48" t="s">
        <v>1096</v>
      </c>
      <c r="C118" s="48" t="s">
        <v>1097</v>
      </c>
      <c r="D118" s="48" t="s">
        <v>93</v>
      </c>
      <c r="E118" s="48" t="s">
        <v>127</v>
      </c>
      <c r="F118" s="48" t="s">
        <v>622</v>
      </c>
      <c r="G118" s="48" t="s">
        <v>623</v>
      </c>
      <c r="H118" s="49">
        <v>0.1610920383</v>
      </c>
      <c r="I118" s="49">
        <v>2503.0</v>
      </c>
      <c r="J118" s="49">
        <v>173992.83</v>
      </c>
      <c r="K118" s="49">
        <v>173992.83</v>
      </c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>
      <c r="A119" s="48" t="s">
        <v>1098</v>
      </c>
      <c r="B119" s="48" t="s">
        <v>1099</v>
      </c>
      <c r="C119" s="48" t="s">
        <v>1100</v>
      </c>
      <c r="D119" s="48" t="s">
        <v>93</v>
      </c>
      <c r="E119" s="48" t="s">
        <v>99</v>
      </c>
      <c r="F119" s="48" t="s">
        <v>622</v>
      </c>
      <c r="G119" s="48" t="s">
        <v>623</v>
      </c>
      <c r="H119" s="49">
        <v>0.1597550473</v>
      </c>
      <c r="I119" s="49">
        <v>521.0</v>
      </c>
      <c r="J119" s="49">
        <v>172548.77</v>
      </c>
      <c r="K119" s="49">
        <v>172548.77</v>
      </c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>
      <c r="A120" s="48" t="s">
        <v>1101</v>
      </c>
      <c r="B120" s="49">
        <v>2113434.0</v>
      </c>
      <c r="C120" s="48" t="s">
        <v>1102</v>
      </c>
      <c r="D120" s="48" t="s">
        <v>93</v>
      </c>
      <c r="E120" s="48" t="s">
        <v>102</v>
      </c>
      <c r="F120" s="48" t="s">
        <v>622</v>
      </c>
      <c r="G120" s="48" t="s">
        <v>623</v>
      </c>
      <c r="H120" s="49">
        <v>0.1593442571</v>
      </c>
      <c r="I120" s="49">
        <v>2046.0</v>
      </c>
      <c r="J120" s="49">
        <v>172105.08</v>
      </c>
      <c r="K120" s="49">
        <v>172105.08</v>
      </c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>
      <c r="A121" s="48" t="s">
        <v>1103</v>
      </c>
      <c r="B121" s="49">
        <v>2779201.0</v>
      </c>
      <c r="C121" s="48" t="s">
        <v>1104</v>
      </c>
      <c r="D121" s="48" t="s">
        <v>93</v>
      </c>
      <c r="E121" s="48" t="s">
        <v>115</v>
      </c>
      <c r="F121" s="48" t="s">
        <v>622</v>
      </c>
      <c r="G121" s="48" t="s">
        <v>623</v>
      </c>
      <c r="H121" s="49">
        <v>0.1567726444</v>
      </c>
      <c r="I121" s="49">
        <v>1847.0</v>
      </c>
      <c r="J121" s="49">
        <v>169327.52</v>
      </c>
      <c r="K121" s="49">
        <v>169327.52</v>
      </c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>
      <c r="A122" s="48" t="s">
        <v>1105</v>
      </c>
      <c r="B122" s="49">
        <v>2087807.0</v>
      </c>
      <c r="C122" s="48" t="s">
        <v>1106</v>
      </c>
      <c r="D122" s="48" t="s">
        <v>93</v>
      </c>
      <c r="E122" s="48" t="s">
        <v>102</v>
      </c>
      <c r="F122" s="48" t="s">
        <v>622</v>
      </c>
      <c r="G122" s="48" t="s">
        <v>623</v>
      </c>
      <c r="H122" s="49">
        <v>0.1564274981</v>
      </c>
      <c r="I122" s="49">
        <v>409.0</v>
      </c>
      <c r="J122" s="49">
        <v>168954.74</v>
      </c>
      <c r="K122" s="49">
        <v>168954.74</v>
      </c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>
      <c r="A123" s="48" t="s">
        <v>1107</v>
      </c>
      <c r="B123" s="48" t="s">
        <v>1108</v>
      </c>
      <c r="C123" s="48" t="s">
        <v>1109</v>
      </c>
      <c r="D123" s="48" t="s">
        <v>93</v>
      </c>
      <c r="E123" s="48" t="s">
        <v>102</v>
      </c>
      <c r="F123" s="48" t="s">
        <v>622</v>
      </c>
      <c r="G123" s="48" t="s">
        <v>623</v>
      </c>
      <c r="H123" s="49">
        <v>0.1561260759</v>
      </c>
      <c r="I123" s="49">
        <v>372.0</v>
      </c>
      <c r="J123" s="49">
        <v>168629.18</v>
      </c>
      <c r="K123" s="49">
        <v>168629.18</v>
      </c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>
      <c r="A124" s="48" t="s">
        <v>1110</v>
      </c>
      <c r="B124" s="48" t="s">
        <v>1111</v>
      </c>
      <c r="C124" s="48" t="s">
        <v>1112</v>
      </c>
      <c r="D124" s="48" t="s">
        <v>93</v>
      </c>
      <c r="E124" s="48" t="s">
        <v>127</v>
      </c>
      <c r="F124" s="48" t="s">
        <v>622</v>
      </c>
      <c r="G124" s="48" t="s">
        <v>623</v>
      </c>
      <c r="H124" s="49">
        <v>0.1544199986</v>
      </c>
      <c r="I124" s="49">
        <v>508.0</v>
      </c>
      <c r="J124" s="49">
        <v>166786.47</v>
      </c>
      <c r="K124" s="49">
        <v>166786.47</v>
      </c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>
      <c r="A125" s="48" t="s">
        <v>1113</v>
      </c>
      <c r="B125" s="49">
        <v>2705024.0</v>
      </c>
      <c r="C125" s="48" t="s">
        <v>1114</v>
      </c>
      <c r="D125" s="48" t="s">
        <v>93</v>
      </c>
      <c r="E125" s="48" t="s">
        <v>99</v>
      </c>
      <c r="F125" s="48" t="s">
        <v>622</v>
      </c>
      <c r="G125" s="48" t="s">
        <v>623</v>
      </c>
      <c r="H125" s="49">
        <v>0.151034338199999</v>
      </c>
      <c r="I125" s="49">
        <v>735.0</v>
      </c>
      <c r="J125" s="49">
        <v>163129.68</v>
      </c>
      <c r="K125" s="49">
        <v>163129.68</v>
      </c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>
      <c r="A126" s="48" t="s">
        <v>1115</v>
      </c>
      <c r="B126" s="49">
        <v>4012250.0</v>
      </c>
      <c r="C126" s="48" t="s">
        <v>1116</v>
      </c>
      <c r="D126" s="48" t="s">
        <v>93</v>
      </c>
      <c r="E126" s="48" t="s">
        <v>127</v>
      </c>
      <c r="F126" s="48" t="s">
        <v>639</v>
      </c>
      <c r="G126" s="48" t="s">
        <v>640</v>
      </c>
      <c r="H126" s="49">
        <v>0.1509864813</v>
      </c>
      <c r="I126" s="49">
        <v>782.0</v>
      </c>
      <c r="J126" s="49">
        <v>163077.99</v>
      </c>
      <c r="K126" s="49">
        <v>163077.99</v>
      </c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>
      <c r="A127" s="48" t="s">
        <v>1117</v>
      </c>
      <c r="B127" s="48" t="s">
        <v>1118</v>
      </c>
      <c r="C127" s="48" t="s">
        <v>1119</v>
      </c>
      <c r="D127" s="48" t="s">
        <v>93</v>
      </c>
      <c r="E127" s="48" t="s">
        <v>127</v>
      </c>
      <c r="F127" s="48" t="s">
        <v>694</v>
      </c>
      <c r="G127" s="48" t="s">
        <v>1003</v>
      </c>
      <c r="H127" s="49">
        <v>0.1507122123</v>
      </c>
      <c r="I127" s="49">
        <v>1367.0</v>
      </c>
      <c r="J127" s="49">
        <v>162781.75</v>
      </c>
      <c r="K127" s="49">
        <v>162781.75</v>
      </c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>
      <c r="A128" s="48" t="s">
        <v>1120</v>
      </c>
      <c r="B128" s="49">
        <v>2502247.0</v>
      </c>
      <c r="C128" s="48" t="s">
        <v>1121</v>
      </c>
      <c r="D128" s="48" t="s">
        <v>93</v>
      </c>
      <c r="E128" s="48" t="s">
        <v>167</v>
      </c>
      <c r="F128" s="48" t="s">
        <v>622</v>
      </c>
      <c r="G128" s="48" t="s">
        <v>623</v>
      </c>
      <c r="H128" s="49">
        <v>0.1506197383</v>
      </c>
      <c r="I128" s="49">
        <v>171.0</v>
      </c>
      <c r="J128" s="49">
        <v>162681.87</v>
      </c>
      <c r="K128" s="49">
        <v>162681.87</v>
      </c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>
      <c r="A129" s="48" t="s">
        <v>1122</v>
      </c>
      <c r="B129" s="48" t="s">
        <v>1123</v>
      </c>
      <c r="C129" s="48" t="s">
        <v>1124</v>
      </c>
      <c r="D129" s="48" t="s">
        <v>93</v>
      </c>
      <c r="E129" s="48" t="s">
        <v>102</v>
      </c>
      <c r="F129" s="48" t="s">
        <v>622</v>
      </c>
      <c r="G129" s="48" t="s">
        <v>623</v>
      </c>
      <c r="H129" s="49">
        <v>0.150126767</v>
      </c>
      <c r="I129" s="49">
        <v>589.0</v>
      </c>
      <c r="J129" s="49">
        <v>162149.42</v>
      </c>
      <c r="K129" s="49">
        <v>162149.42</v>
      </c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>
      <c r="A130" s="48" t="s">
        <v>1125</v>
      </c>
      <c r="B130" s="48" t="s">
        <v>1126</v>
      </c>
      <c r="C130" s="48" t="s">
        <v>1127</v>
      </c>
      <c r="D130" s="48" t="s">
        <v>93</v>
      </c>
      <c r="E130" s="48" t="s">
        <v>133</v>
      </c>
      <c r="F130" s="48" t="s">
        <v>622</v>
      </c>
      <c r="G130" s="48" t="s">
        <v>623</v>
      </c>
      <c r="H130" s="49">
        <v>0.1453796416</v>
      </c>
      <c r="I130" s="49">
        <v>595.0</v>
      </c>
      <c r="J130" s="49">
        <v>157022.13</v>
      </c>
      <c r="K130" s="49">
        <v>157022.13</v>
      </c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>
      <c r="A131" s="48" t="s">
        <v>1128</v>
      </c>
      <c r="B131" s="49">
        <v>2779397.0</v>
      </c>
      <c r="C131" s="48" t="s">
        <v>1129</v>
      </c>
      <c r="D131" s="48" t="s">
        <v>93</v>
      </c>
      <c r="E131" s="48" t="s">
        <v>99</v>
      </c>
      <c r="F131" s="48" t="s">
        <v>622</v>
      </c>
      <c r="G131" s="48" t="s">
        <v>623</v>
      </c>
      <c r="H131" s="49">
        <v>0.144514510299999</v>
      </c>
      <c r="I131" s="49">
        <v>1788.0</v>
      </c>
      <c r="J131" s="49">
        <v>156087.72</v>
      </c>
      <c r="K131" s="49">
        <v>156087.72</v>
      </c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>
      <c r="A132" s="48" t="s">
        <v>1130</v>
      </c>
      <c r="B132" s="48" t="s">
        <v>1131</v>
      </c>
      <c r="C132" s="48" t="s">
        <v>1132</v>
      </c>
      <c r="D132" s="48" t="s">
        <v>93</v>
      </c>
      <c r="E132" s="48" t="s">
        <v>99</v>
      </c>
      <c r="F132" s="48" t="s">
        <v>622</v>
      </c>
      <c r="G132" s="48" t="s">
        <v>623</v>
      </c>
      <c r="H132" s="49">
        <v>0.1438474362</v>
      </c>
      <c r="I132" s="49">
        <v>897.0</v>
      </c>
      <c r="J132" s="49">
        <v>155367.22</v>
      </c>
      <c r="K132" s="49">
        <v>155367.22</v>
      </c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>
      <c r="A133" s="48" t="s">
        <v>1133</v>
      </c>
      <c r="B133" s="49">
        <v>2342034.0</v>
      </c>
      <c r="C133" s="48" t="s">
        <v>1134</v>
      </c>
      <c r="D133" s="48" t="s">
        <v>93</v>
      </c>
      <c r="E133" s="48" t="s">
        <v>99</v>
      </c>
      <c r="F133" s="48" t="s">
        <v>622</v>
      </c>
      <c r="G133" s="48" t="s">
        <v>623</v>
      </c>
      <c r="H133" s="49">
        <v>0.1434094591</v>
      </c>
      <c r="I133" s="49">
        <v>870.0</v>
      </c>
      <c r="J133" s="49">
        <v>154894.17</v>
      </c>
      <c r="K133" s="49">
        <v>154894.17</v>
      </c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>
      <c r="A134" s="48" t="s">
        <v>1135</v>
      </c>
      <c r="B134" s="49">
        <v>2318024.0</v>
      </c>
      <c r="C134" s="48" t="s">
        <v>1136</v>
      </c>
      <c r="D134" s="48" t="s">
        <v>93</v>
      </c>
      <c r="E134" s="48" t="s">
        <v>115</v>
      </c>
      <c r="F134" s="48" t="s">
        <v>622</v>
      </c>
      <c r="G134" s="48" t="s">
        <v>623</v>
      </c>
      <c r="H134" s="49">
        <v>0.1432908412</v>
      </c>
      <c r="I134" s="49">
        <v>810.0</v>
      </c>
      <c r="J134" s="49">
        <v>154766.05</v>
      </c>
      <c r="K134" s="49">
        <v>154766.05</v>
      </c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>
      <c r="A135" s="48" t="s">
        <v>1137</v>
      </c>
      <c r="B135" s="49">
        <v>2297907.0</v>
      </c>
      <c r="C135" s="48" t="s">
        <v>1138</v>
      </c>
      <c r="D135" s="48" t="s">
        <v>93</v>
      </c>
      <c r="E135" s="48" t="s">
        <v>99</v>
      </c>
      <c r="F135" s="48" t="s">
        <v>622</v>
      </c>
      <c r="G135" s="48" t="s">
        <v>623</v>
      </c>
      <c r="H135" s="49">
        <v>0.1432502918</v>
      </c>
      <c r="I135" s="49">
        <v>2380.0</v>
      </c>
      <c r="J135" s="49">
        <v>154722.26</v>
      </c>
      <c r="K135" s="49">
        <v>154722.26</v>
      </c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>
      <c r="A136" s="48" t="s">
        <v>1139</v>
      </c>
      <c r="B136" s="49">
        <v>6596785.0</v>
      </c>
      <c r="C136" s="48" t="s">
        <v>1140</v>
      </c>
      <c r="D136" s="48" t="s">
        <v>93</v>
      </c>
      <c r="E136" s="48" t="s">
        <v>127</v>
      </c>
      <c r="F136" s="48" t="s">
        <v>629</v>
      </c>
      <c r="G136" s="48" t="s">
        <v>630</v>
      </c>
      <c r="H136" s="49">
        <v>0.1422918799</v>
      </c>
      <c r="I136" s="49">
        <v>1931.0</v>
      </c>
      <c r="J136" s="49">
        <v>153687.09</v>
      </c>
      <c r="K136" s="49">
        <v>153687.09</v>
      </c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>
      <c r="A137" s="48" t="s">
        <v>1141</v>
      </c>
      <c r="B137" s="48" t="s">
        <v>1142</v>
      </c>
      <c r="C137" s="48" t="s">
        <v>1143</v>
      </c>
      <c r="D137" s="48" t="s">
        <v>93</v>
      </c>
      <c r="E137" s="48" t="s">
        <v>121</v>
      </c>
      <c r="F137" s="48" t="s">
        <v>622</v>
      </c>
      <c r="G137" s="48" t="s">
        <v>623</v>
      </c>
      <c r="H137" s="49">
        <v>0.1414078184</v>
      </c>
      <c r="I137" s="49">
        <v>700.0</v>
      </c>
      <c r="J137" s="49">
        <v>152732.23</v>
      </c>
      <c r="K137" s="49">
        <v>152732.23</v>
      </c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>
      <c r="A138" s="48" t="s">
        <v>1144</v>
      </c>
      <c r="B138" s="48" t="s">
        <v>1145</v>
      </c>
      <c r="C138" s="48" t="s">
        <v>1146</v>
      </c>
      <c r="D138" s="48" t="s">
        <v>93</v>
      </c>
      <c r="E138" s="48" t="s">
        <v>99</v>
      </c>
      <c r="F138" s="48" t="s">
        <v>654</v>
      </c>
      <c r="G138" s="48" t="s">
        <v>655</v>
      </c>
      <c r="H138" s="49">
        <v>0.141252753</v>
      </c>
      <c r="I138" s="49">
        <v>3802.0</v>
      </c>
      <c r="J138" s="49">
        <v>152564.75</v>
      </c>
      <c r="K138" s="49">
        <v>152564.75</v>
      </c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>
      <c r="A139" s="48" t="s">
        <v>1147</v>
      </c>
      <c r="B139" s="49">
        <v>2692632.0</v>
      </c>
      <c r="C139" s="48" t="s">
        <v>1148</v>
      </c>
      <c r="D139" s="48" t="s">
        <v>93</v>
      </c>
      <c r="E139" s="48" t="s">
        <v>124</v>
      </c>
      <c r="F139" s="48" t="s">
        <v>622</v>
      </c>
      <c r="G139" s="48" t="s">
        <v>623</v>
      </c>
      <c r="H139" s="49">
        <v>0.1396934291</v>
      </c>
      <c r="I139" s="49">
        <v>2256.0</v>
      </c>
      <c r="J139" s="49">
        <v>150880.55</v>
      </c>
      <c r="K139" s="49">
        <v>150880.55</v>
      </c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>
      <c r="A140" s="48" t="s">
        <v>1149</v>
      </c>
      <c r="B140" s="48" t="s">
        <v>1150</v>
      </c>
      <c r="C140" s="48" t="s">
        <v>1151</v>
      </c>
      <c r="D140" s="48" t="s">
        <v>93</v>
      </c>
      <c r="E140" s="48" t="s">
        <v>102</v>
      </c>
      <c r="F140" s="48" t="s">
        <v>622</v>
      </c>
      <c r="G140" s="48" t="s">
        <v>908</v>
      </c>
      <c r="H140" s="49">
        <v>0.1396262564</v>
      </c>
      <c r="I140" s="49">
        <v>5143.0</v>
      </c>
      <c r="J140" s="49">
        <v>150808.0</v>
      </c>
      <c r="K140" s="49">
        <v>150808.0</v>
      </c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>
      <c r="A141" s="48" t="s">
        <v>1152</v>
      </c>
      <c r="B141" s="49">
        <v>2588184.0</v>
      </c>
      <c r="C141" s="48" t="s">
        <v>1153</v>
      </c>
      <c r="D141" s="48" t="s">
        <v>93</v>
      </c>
      <c r="E141" s="48" t="s">
        <v>167</v>
      </c>
      <c r="F141" s="48" t="s">
        <v>622</v>
      </c>
      <c r="G141" s="48" t="s">
        <v>623</v>
      </c>
      <c r="H141" s="49">
        <v>0.1390370479</v>
      </c>
      <c r="I141" s="49">
        <v>1419.0</v>
      </c>
      <c r="J141" s="49">
        <v>150171.6</v>
      </c>
      <c r="K141" s="49">
        <v>150171.6</v>
      </c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>
      <c r="A142" s="48" t="s">
        <v>1154</v>
      </c>
      <c r="B142" s="49">
        <v>2575818.0</v>
      </c>
      <c r="C142" s="48" t="s">
        <v>1155</v>
      </c>
      <c r="D142" s="48" t="s">
        <v>93</v>
      </c>
      <c r="E142" s="48" t="s">
        <v>121</v>
      </c>
      <c r="F142" s="48" t="s">
        <v>622</v>
      </c>
      <c r="G142" s="48" t="s">
        <v>623</v>
      </c>
      <c r="H142" s="49">
        <v>0.136729627</v>
      </c>
      <c r="I142" s="49">
        <v>1026.0</v>
      </c>
      <c r="J142" s="49">
        <v>147679.4</v>
      </c>
      <c r="K142" s="49">
        <v>147679.4</v>
      </c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>
      <c r="A143" s="48" t="s">
        <v>1156</v>
      </c>
      <c r="B143" s="49">
        <v>2829601.0</v>
      </c>
      <c r="C143" s="48" t="s">
        <v>1157</v>
      </c>
      <c r="D143" s="48" t="s">
        <v>93</v>
      </c>
      <c r="E143" s="48" t="s">
        <v>170</v>
      </c>
      <c r="F143" s="48" t="s">
        <v>622</v>
      </c>
      <c r="G143" s="48" t="s">
        <v>623</v>
      </c>
      <c r="H143" s="49">
        <v>0.1365759432</v>
      </c>
      <c r="I143" s="49">
        <v>1354.0</v>
      </c>
      <c r="J143" s="49">
        <v>147513.4</v>
      </c>
      <c r="K143" s="49">
        <v>147513.4</v>
      </c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>
      <c r="A144" s="48" t="s">
        <v>1158</v>
      </c>
      <c r="B144" s="48" t="s">
        <v>1159</v>
      </c>
      <c r="C144" s="48" t="s">
        <v>1160</v>
      </c>
      <c r="D144" s="48" t="s">
        <v>93</v>
      </c>
      <c r="E144" s="48" t="s">
        <v>118</v>
      </c>
      <c r="F144" s="48" t="s">
        <v>654</v>
      </c>
      <c r="G144" s="48" t="s">
        <v>655</v>
      </c>
      <c r="H144" s="49">
        <v>0.1339662274</v>
      </c>
      <c r="I144" s="49">
        <v>729.0</v>
      </c>
      <c r="J144" s="49">
        <v>144694.69</v>
      </c>
      <c r="K144" s="49">
        <v>144694.69</v>
      </c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>
      <c r="A145" s="48" t="s">
        <v>1161</v>
      </c>
      <c r="B145" s="49">
        <v>2965839.0</v>
      </c>
      <c r="C145" s="48" t="s">
        <v>1162</v>
      </c>
      <c r="D145" s="48" t="s">
        <v>93</v>
      </c>
      <c r="E145" s="48" t="s">
        <v>99</v>
      </c>
      <c r="F145" s="48" t="s">
        <v>622</v>
      </c>
      <c r="G145" s="48" t="s">
        <v>623</v>
      </c>
      <c r="H145" s="49">
        <v>0.1318922972</v>
      </c>
      <c r="I145" s="49">
        <v>452.0</v>
      </c>
      <c r="J145" s="49">
        <v>142454.68</v>
      </c>
      <c r="K145" s="49">
        <v>142454.68</v>
      </c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>
      <c r="A146" s="48" t="s">
        <v>1163</v>
      </c>
      <c r="B146" s="48" t="s">
        <v>1164</v>
      </c>
      <c r="C146" s="48" t="s">
        <v>1165</v>
      </c>
      <c r="D146" s="48" t="s">
        <v>93</v>
      </c>
      <c r="E146" s="48" t="s">
        <v>170</v>
      </c>
      <c r="F146" s="48" t="s">
        <v>622</v>
      </c>
      <c r="G146" s="48" t="s">
        <v>623</v>
      </c>
      <c r="H146" s="49">
        <v>0.1312897125</v>
      </c>
      <c r="I146" s="49">
        <v>974.0</v>
      </c>
      <c r="J146" s="49">
        <v>141803.83</v>
      </c>
      <c r="K146" s="49">
        <v>141803.83</v>
      </c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>
      <c r="A147" s="48" t="s">
        <v>1166</v>
      </c>
      <c r="B147" s="49">
        <v>2457552.0</v>
      </c>
      <c r="C147" s="48" t="s">
        <v>1167</v>
      </c>
      <c r="D147" s="48" t="s">
        <v>93</v>
      </c>
      <c r="E147" s="48" t="s">
        <v>127</v>
      </c>
      <c r="F147" s="48" t="s">
        <v>622</v>
      </c>
      <c r="G147" s="48" t="s">
        <v>623</v>
      </c>
      <c r="H147" s="49">
        <v>0.1292883892</v>
      </c>
      <c r="I147" s="49">
        <v>386.0</v>
      </c>
      <c r="J147" s="49">
        <v>139642.24</v>
      </c>
      <c r="K147" s="49">
        <v>139642.24</v>
      </c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>
      <c r="A148" s="48" t="s">
        <v>1168</v>
      </c>
      <c r="B148" s="49">
        <v>5842359.0</v>
      </c>
      <c r="C148" s="48" t="s">
        <v>1169</v>
      </c>
      <c r="D148" s="48" t="s">
        <v>93</v>
      </c>
      <c r="E148" s="48" t="s">
        <v>121</v>
      </c>
      <c r="F148" s="48" t="s">
        <v>649</v>
      </c>
      <c r="G148" s="48" t="s">
        <v>640</v>
      </c>
      <c r="H148" s="49">
        <v>0.127950779299999</v>
      </c>
      <c r="I148" s="49">
        <v>4034.0</v>
      </c>
      <c r="J148" s="49">
        <v>138197.51</v>
      </c>
      <c r="K148" s="49">
        <v>138197.51</v>
      </c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>
      <c r="A149" s="48" t="s">
        <v>1170</v>
      </c>
      <c r="B149" s="49">
        <v>6490995.0</v>
      </c>
      <c r="C149" s="48" t="s">
        <v>1171</v>
      </c>
      <c r="D149" s="48" t="s">
        <v>93</v>
      </c>
      <c r="E149" s="48" t="s">
        <v>167</v>
      </c>
      <c r="F149" s="48" t="s">
        <v>629</v>
      </c>
      <c r="G149" s="48" t="s">
        <v>630</v>
      </c>
      <c r="H149" s="49">
        <v>0.1274234508</v>
      </c>
      <c r="I149" s="49">
        <v>232.0</v>
      </c>
      <c r="J149" s="49">
        <v>137627.95</v>
      </c>
      <c r="K149" s="49">
        <v>137627.95</v>
      </c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>
      <c r="A150" s="48" t="s">
        <v>1172</v>
      </c>
      <c r="B150" s="48" t="s">
        <v>1173</v>
      </c>
      <c r="C150" s="48" t="s">
        <v>1174</v>
      </c>
      <c r="D150" s="48" t="s">
        <v>93</v>
      </c>
      <c r="E150" s="48" t="s">
        <v>99</v>
      </c>
      <c r="F150" s="48" t="s">
        <v>622</v>
      </c>
      <c r="G150" s="48" t="s">
        <v>623</v>
      </c>
      <c r="H150" s="49">
        <v>0.127023393599999</v>
      </c>
      <c r="I150" s="49">
        <v>783.0</v>
      </c>
      <c r="J150" s="49">
        <v>137195.85</v>
      </c>
      <c r="K150" s="49">
        <v>137195.85</v>
      </c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>
      <c r="A151" s="48" t="s">
        <v>1175</v>
      </c>
      <c r="B151" s="49">
        <v>5983816.0</v>
      </c>
      <c r="C151" s="48" t="s">
        <v>1176</v>
      </c>
      <c r="D151" s="48" t="s">
        <v>93</v>
      </c>
      <c r="E151" s="48" t="s">
        <v>99</v>
      </c>
      <c r="F151" s="48" t="s">
        <v>654</v>
      </c>
      <c r="G151" s="48" t="s">
        <v>655</v>
      </c>
      <c r="H151" s="49">
        <v>0.1269867459</v>
      </c>
      <c r="I151" s="49">
        <v>185.0</v>
      </c>
      <c r="J151" s="49">
        <v>137156.27</v>
      </c>
      <c r="K151" s="49">
        <v>137156.27</v>
      </c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>
      <c r="A152" s="48" t="s">
        <v>1177</v>
      </c>
      <c r="B152" s="49">
        <v>2867719.0</v>
      </c>
      <c r="C152" s="48" t="s">
        <v>1178</v>
      </c>
      <c r="D152" s="48" t="s">
        <v>93</v>
      </c>
      <c r="E152" s="48" t="s">
        <v>167</v>
      </c>
      <c r="F152" s="48" t="s">
        <v>622</v>
      </c>
      <c r="G152" s="48" t="s">
        <v>623</v>
      </c>
      <c r="H152" s="49">
        <v>0.125655478299999</v>
      </c>
      <c r="I152" s="49">
        <v>196.0</v>
      </c>
      <c r="J152" s="49">
        <v>135718.39</v>
      </c>
      <c r="K152" s="49">
        <v>135718.39</v>
      </c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>
      <c r="A153" s="48" t="s">
        <v>1179</v>
      </c>
      <c r="B153" s="49">
        <v>287580.0</v>
      </c>
      <c r="C153" s="48" t="s">
        <v>1180</v>
      </c>
      <c r="D153" s="48" t="s">
        <v>93</v>
      </c>
      <c r="E153" s="48" t="s">
        <v>124</v>
      </c>
      <c r="F153" s="48" t="s">
        <v>918</v>
      </c>
      <c r="G153" s="48" t="s">
        <v>908</v>
      </c>
      <c r="H153" s="49">
        <v>0.125498846799999</v>
      </c>
      <c r="I153" s="49">
        <v>2596.0</v>
      </c>
      <c r="J153" s="49">
        <v>135549.22</v>
      </c>
      <c r="K153" s="49">
        <v>135549.22</v>
      </c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>
      <c r="A154" s="48" t="s">
        <v>1181</v>
      </c>
      <c r="B154" s="48" t="s">
        <v>1182</v>
      </c>
      <c r="C154" s="48" t="s">
        <v>1183</v>
      </c>
      <c r="D154" s="48" t="s">
        <v>93</v>
      </c>
      <c r="E154" s="48" t="s">
        <v>167</v>
      </c>
      <c r="F154" s="48" t="s">
        <v>622</v>
      </c>
      <c r="G154" s="48" t="s">
        <v>623</v>
      </c>
      <c r="H154" s="49">
        <v>0.1253743164</v>
      </c>
      <c r="I154" s="49">
        <v>382.0</v>
      </c>
      <c r="J154" s="49">
        <v>135414.71</v>
      </c>
      <c r="K154" s="49">
        <v>135414.71</v>
      </c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>
      <c r="A155" s="48" t="s">
        <v>1184</v>
      </c>
      <c r="B155" s="48" t="s">
        <v>1185</v>
      </c>
      <c r="C155" s="48" t="s">
        <v>1186</v>
      </c>
      <c r="D155" s="48" t="s">
        <v>93</v>
      </c>
      <c r="E155" s="48" t="s">
        <v>133</v>
      </c>
      <c r="F155" s="48" t="s">
        <v>622</v>
      </c>
      <c r="G155" s="48" t="s">
        <v>623</v>
      </c>
      <c r="H155" s="49">
        <v>0.1249011436</v>
      </c>
      <c r="I155" s="49">
        <v>118.0</v>
      </c>
      <c r="J155" s="49">
        <v>134903.65</v>
      </c>
      <c r="K155" s="49">
        <v>134903.65</v>
      </c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>
      <c r="A156" s="48" t="s">
        <v>1187</v>
      </c>
      <c r="B156" s="49">
        <v>6895675.0</v>
      </c>
      <c r="C156" s="48" t="s">
        <v>1188</v>
      </c>
      <c r="D156" s="48" t="s">
        <v>93</v>
      </c>
      <c r="E156" s="48" t="s">
        <v>167</v>
      </c>
      <c r="F156" s="48" t="s">
        <v>629</v>
      </c>
      <c r="G156" s="48" t="s">
        <v>630</v>
      </c>
      <c r="H156" s="49">
        <v>0.1242803604</v>
      </c>
      <c r="I156" s="49">
        <v>620.0</v>
      </c>
      <c r="J156" s="49">
        <v>134233.15</v>
      </c>
      <c r="K156" s="49">
        <v>134233.15</v>
      </c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>
      <c r="A157" s="48" t="s">
        <v>1189</v>
      </c>
      <c r="B157" s="48" t="s">
        <v>1190</v>
      </c>
      <c r="C157" s="48" t="s">
        <v>1191</v>
      </c>
      <c r="D157" s="48" t="s">
        <v>93</v>
      </c>
      <c r="E157" s="48" t="s">
        <v>99</v>
      </c>
      <c r="F157" s="48" t="s">
        <v>622</v>
      </c>
      <c r="G157" s="48" t="s">
        <v>623</v>
      </c>
      <c r="H157" s="49">
        <v>0.123964841499999</v>
      </c>
      <c r="I157" s="49">
        <v>254.0</v>
      </c>
      <c r="J157" s="49">
        <v>133892.36</v>
      </c>
      <c r="K157" s="49">
        <v>133892.36</v>
      </c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>
      <c r="A158" s="48" t="s">
        <v>1192</v>
      </c>
      <c r="B158" s="49">
        <v>718875.0</v>
      </c>
      <c r="C158" s="48" t="s">
        <v>1193</v>
      </c>
      <c r="D158" s="48" t="s">
        <v>93</v>
      </c>
      <c r="E158" s="48" t="s">
        <v>94</v>
      </c>
      <c r="F158" s="48" t="s">
        <v>95</v>
      </c>
      <c r="G158" s="48" t="s">
        <v>908</v>
      </c>
      <c r="H158" s="49">
        <v>0.1238088671</v>
      </c>
      <c r="I158" s="49">
        <v>1358.0</v>
      </c>
      <c r="J158" s="49">
        <v>133723.9</v>
      </c>
      <c r="K158" s="49">
        <v>133723.9</v>
      </c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>
      <c r="A159" s="48" t="s">
        <v>1194</v>
      </c>
      <c r="B159" s="49">
        <v>2466149.0</v>
      </c>
      <c r="C159" s="48" t="s">
        <v>1195</v>
      </c>
      <c r="D159" s="48" t="s">
        <v>93</v>
      </c>
      <c r="E159" s="48" t="s">
        <v>115</v>
      </c>
      <c r="F159" s="48" t="s">
        <v>694</v>
      </c>
      <c r="G159" s="48" t="s">
        <v>1003</v>
      </c>
      <c r="H159" s="49">
        <v>0.1237920624</v>
      </c>
      <c r="I159" s="49">
        <v>2499.0</v>
      </c>
      <c r="J159" s="49">
        <v>133705.75</v>
      </c>
      <c r="K159" s="49">
        <v>133705.75</v>
      </c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>
      <c r="A160" s="48" t="s">
        <v>1196</v>
      </c>
      <c r="B160" s="49">
        <v>6429104.0</v>
      </c>
      <c r="C160" s="48" t="s">
        <v>1197</v>
      </c>
      <c r="D160" s="48" t="s">
        <v>93</v>
      </c>
      <c r="E160" s="48" t="s">
        <v>127</v>
      </c>
      <c r="F160" s="48" t="s">
        <v>629</v>
      </c>
      <c r="G160" s="48" t="s">
        <v>630</v>
      </c>
      <c r="H160" s="49">
        <v>0.1232089874</v>
      </c>
      <c r="I160" s="49">
        <v>1272.0</v>
      </c>
      <c r="J160" s="49">
        <v>133075.98</v>
      </c>
      <c r="K160" s="49">
        <v>133075.98</v>
      </c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>
      <c r="A161" s="48" t="s">
        <v>1198</v>
      </c>
      <c r="B161" s="48" t="s">
        <v>1199</v>
      </c>
      <c r="C161" s="48" t="s">
        <v>1200</v>
      </c>
      <c r="D161" s="48" t="s">
        <v>93</v>
      </c>
      <c r="E161" s="48" t="s">
        <v>170</v>
      </c>
      <c r="F161" s="48" t="s">
        <v>1201</v>
      </c>
      <c r="G161" s="48" t="s">
        <v>640</v>
      </c>
      <c r="H161" s="49">
        <v>0.1219716268</v>
      </c>
      <c r="I161" s="49">
        <v>7202.0</v>
      </c>
      <c r="J161" s="49">
        <v>131739.52</v>
      </c>
      <c r="K161" s="49">
        <v>131739.52</v>
      </c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>
      <c r="A162" s="48" t="s">
        <v>1202</v>
      </c>
      <c r="B162" s="48" t="s">
        <v>1203</v>
      </c>
      <c r="C162" s="48" t="s">
        <v>1204</v>
      </c>
      <c r="D162" s="48" t="s">
        <v>93</v>
      </c>
      <c r="E162" s="48" t="s">
        <v>127</v>
      </c>
      <c r="F162" s="48" t="s">
        <v>639</v>
      </c>
      <c r="G162" s="48" t="s">
        <v>640</v>
      </c>
      <c r="H162" s="49">
        <v>0.121842816299999</v>
      </c>
      <c r="I162" s="49">
        <v>746.0</v>
      </c>
      <c r="J162" s="49">
        <v>131600.4</v>
      </c>
      <c r="K162" s="49">
        <v>131600.4</v>
      </c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>
      <c r="A163" s="48" t="s">
        <v>1205</v>
      </c>
      <c r="B163" s="48" t="s">
        <v>1206</v>
      </c>
      <c r="C163" s="48" t="s">
        <v>1207</v>
      </c>
      <c r="D163" s="48" t="s">
        <v>93</v>
      </c>
      <c r="E163" s="48" t="s">
        <v>99</v>
      </c>
      <c r="F163" s="48" t="s">
        <v>622</v>
      </c>
      <c r="G163" s="48" t="s">
        <v>623</v>
      </c>
      <c r="H163" s="49">
        <v>0.1208805455</v>
      </c>
      <c r="I163" s="49">
        <v>1429.0</v>
      </c>
      <c r="J163" s="49">
        <v>130561.07</v>
      </c>
      <c r="K163" s="49">
        <v>130561.07</v>
      </c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>
      <c r="A164" s="48" t="s">
        <v>1208</v>
      </c>
      <c r="B164" s="48" t="s">
        <v>1209</v>
      </c>
      <c r="C164" s="48" t="s">
        <v>1210</v>
      </c>
      <c r="D164" s="48" t="s">
        <v>93</v>
      </c>
      <c r="E164" s="48" t="s">
        <v>115</v>
      </c>
      <c r="F164" s="48" t="s">
        <v>622</v>
      </c>
      <c r="G164" s="48" t="s">
        <v>623</v>
      </c>
      <c r="H164" s="49">
        <v>0.1194865256</v>
      </c>
      <c r="I164" s="49">
        <v>535.0</v>
      </c>
      <c r="J164" s="49">
        <v>129055.41</v>
      </c>
      <c r="K164" s="49">
        <v>129055.41</v>
      </c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>
      <c r="A165" s="48" t="s">
        <v>1211</v>
      </c>
      <c r="B165" s="49">
        <v>2648806.0</v>
      </c>
      <c r="C165" s="48" t="s">
        <v>1212</v>
      </c>
      <c r="D165" s="48" t="s">
        <v>93</v>
      </c>
      <c r="E165" s="48" t="s">
        <v>127</v>
      </c>
      <c r="F165" s="48" t="s">
        <v>622</v>
      </c>
      <c r="G165" s="48" t="s">
        <v>623</v>
      </c>
      <c r="H165" s="49">
        <v>0.1192150032</v>
      </c>
      <c r="I165" s="49">
        <v>189.0</v>
      </c>
      <c r="J165" s="49">
        <v>128762.14</v>
      </c>
      <c r="K165" s="49">
        <v>128762.14</v>
      </c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>
      <c r="A166" s="48" t="s">
        <v>1213</v>
      </c>
      <c r="B166" s="48" t="s">
        <v>1214</v>
      </c>
      <c r="C166" s="48" t="s">
        <v>1215</v>
      </c>
      <c r="D166" s="48" t="s">
        <v>93</v>
      </c>
      <c r="E166" s="48" t="s">
        <v>167</v>
      </c>
      <c r="F166" s="48" t="s">
        <v>694</v>
      </c>
      <c r="G166" s="48" t="s">
        <v>1003</v>
      </c>
      <c r="H166" s="49">
        <v>0.1189964403</v>
      </c>
      <c r="I166" s="49">
        <v>1535.0</v>
      </c>
      <c r="J166" s="49">
        <v>128526.08</v>
      </c>
      <c r="K166" s="49">
        <v>128526.08</v>
      </c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>
      <c r="A167" s="48" t="s">
        <v>1216</v>
      </c>
      <c r="B167" s="49">
        <v>2171573.0</v>
      </c>
      <c r="C167" s="48" t="s">
        <v>1217</v>
      </c>
      <c r="D167" s="48" t="s">
        <v>93</v>
      </c>
      <c r="E167" s="48" t="s">
        <v>115</v>
      </c>
      <c r="F167" s="48" t="s">
        <v>694</v>
      </c>
      <c r="G167" s="48" t="s">
        <v>1003</v>
      </c>
      <c r="H167" s="49">
        <v>0.1189915798</v>
      </c>
      <c r="I167" s="49">
        <v>1337.0</v>
      </c>
      <c r="J167" s="49">
        <v>128520.83</v>
      </c>
      <c r="K167" s="49">
        <v>128520.83</v>
      </c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>
      <c r="A168" s="48" t="s">
        <v>1218</v>
      </c>
      <c r="B168" s="48" t="s">
        <v>1219</v>
      </c>
      <c r="C168" s="48" t="s">
        <v>1220</v>
      </c>
      <c r="D168" s="48" t="s">
        <v>93</v>
      </c>
      <c r="E168" s="48" t="s">
        <v>127</v>
      </c>
      <c r="F168" s="48" t="s">
        <v>918</v>
      </c>
      <c r="G168" s="48" t="s">
        <v>908</v>
      </c>
      <c r="H168" s="49">
        <v>0.1180765087</v>
      </c>
      <c r="I168" s="49">
        <v>2386.0</v>
      </c>
      <c r="J168" s="49">
        <v>127532.47</v>
      </c>
      <c r="K168" s="49">
        <v>127532.47</v>
      </c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>
      <c r="A169" s="48" t="s">
        <v>1221</v>
      </c>
      <c r="B169" s="49">
        <v>6641373.0</v>
      </c>
      <c r="C169" s="48" t="s">
        <v>1222</v>
      </c>
      <c r="D169" s="48" t="s">
        <v>93</v>
      </c>
      <c r="E169" s="48" t="s">
        <v>121</v>
      </c>
      <c r="F169" s="48" t="s">
        <v>629</v>
      </c>
      <c r="G169" s="48" t="s">
        <v>630</v>
      </c>
      <c r="H169" s="49">
        <v>0.1175514247</v>
      </c>
      <c r="I169" s="49">
        <v>66788.0</v>
      </c>
      <c r="J169" s="49">
        <v>126965.34</v>
      </c>
      <c r="K169" s="49">
        <v>126965.34</v>
      </c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>
      <c r="A170" s="48" t="s">
        <v>1223</v>
      </c>
      <c r="B170" s="49">
        <v>6563024.0</v>
      </c>
      <c r="C170" s="48" t="s">
        <v>1224</v>
      </c>
      <c r="D170" s="48" t="s">
        <v>93</v>
      </c>
      <c r="E170" s="48" t="s">
        <v>99</v>
      </c>
      <c r="F170" s="48" t="s">
        <v>629</v>
      </c>
      <c r="G170" s="48" t="s">
        <v>630</v>
      </c>
      <c r="H170" s="49">
        <v>0.1168993195</v>
      </c>
      <c r="I170" s="49">
        <v>1550.0</v>
      </c>
      <c r="J170" s="49">
        <v>126261.01</v>
      </c>
      <c r="K170" s="49">
        <v>126261.01</v>
      </c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>
      <c r="A171" s="48" t="s">
        <v>1225</v>
      </c>
      <c r="B171" s="49">
        <v>2937667.0</v>
      </c>
      <c r="C171" s="48" t="s">
        <v>1226</v>
      </c>
      <c r="D171" s="48" t="s">
        <v>93</v>
      </c>
      <c r="E171" s="48" t="s">
        <v>127</v>
      </c>
      <c r="F171" s="48" t="s">
        <v>622</v>
      </c>
      <c r="G171" s="48" t="s">
        <v>623</v>
      </c>
      <c r="H171" s="49">
        <v>0.1165866213</v>
      </c>
      <c r="I171" s="49">
        <v>513.0</v>
      </c>
      <c r="J171" s="49">
        <v>125923.27</v>
      </c>
      <c r="K171" s="49">
        <v>125923.27</v>
      </c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>
      <c r="A172" s="48" t="s">
        <v>1227</v>
      </c>
      <c r="B172" s="49">
        <v>2302232.0</v>
      </c>
      <c r="C172" s="48" t="s">
        <v>1228</v>
      </c>
      <c r="D172" s="48" t="s">
        <v>93</v>
      </c>
      <c r="E172" s="48" t="s">
        <v>167</v>
      </c>
      <c r="F172" s="48" t="s">
        <v>622</v>
      </c>
      <c r="G172" s="48" t="s">
        <v>623</v>
      </c>
      <c r="H172" s="49">
        <v>0.1164370791</v>
      </c>
      <c r="I172" s="49">
        <v>353.0</v>
      </c>
      <c r="J172" s="49">
        <v>125761.75</v>
      </c>
      <c r="K172" s="49">
        <v>125761.75</v>
      </c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>
      <c r="A173" s="48" t="s">
        <v>1229</v>
      </c>
      <c r="B173" s="49">
        <v>2180632.0</v>
      </c>
      <c r="C173" s="48" t="s">
        <v>1230</v>
      </c>
      <c r="D173" s="48" t="s">
        <v>93</v>
      </c>
      <c r="E173" s="48" t="s">
        <v>127</v>
      </c>
      <c r="F173" s="48" t="s">
        <v>694</v>
      </c>
      <c r="G173" s="48" t="s">
        <v>1003</v>
      </c>
      <c r="H173" s="49">
        <v>0.1158027242</v>
      </c>
      <c r="I173" s="49">
        <v>728.0</v>
      </c>
      <c r="J173" s="49">
        <v>125076.6</v>
      </c>
      <c r="K173" s="49">
        <v>125076.6</v>
      </c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>
      <c r="A174" s="48" t="s">
        <v>1231</v>
      </c>
      <c r="B174" s="49">
        <v>2160753.0</v>
      </c>
      <c r="C174" s="48" t="s">
        <v>1232</v>
      </c>
      <c r="D174" s="48" t="s">
        <v>93</v>
      </c>
      <c r="E174" s="48" t="s">
        <v>127</v>
      </c>
      <c r="F174" s="48" t="s">
        <v>622</v>
      </c>
      <c r="G174" s="48" t="s">
        <v>623</v>
      </c>
      <c r="H174" s="49">
        <v>0.1149516426</v>
      </c>
      <c r="I174" s="49">
        <v>2568.0</v>
      </c>
      <c r="J174" s="49">
        <v>124157.36</v>
      </c>
      <c r="K174" s="49">
        <v>124157.36</v>
      </c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>
      <c r="A175" s="48" t="s">
        <v>1233</v>
      </c>
      <c r="B175" s="49">
        <v>2011602.0</v>
      </c>
      <c r="C175" s="48" t="s">
        <v>1234</v>
      </c>
      <c r="D175" s="48" t="s">
        <v>93</v>
      </c>
      <c r="E175" s="48" t="s">
        <v>94</v>
      </c>
      <c r="F175" s="48" t="s">
        <v>622</v>
      </c>
      <c r="G175" s="48" t="s">
        <v>623</v>
      </c>
      <c r="H175" s="49">
        <v>0.1143339637</v>
      </c>
      <c r="I175" s="49">
        <v>276.0</v>
      </c>
      <c r="J175" s="49">
        <v>123490.21</v>
      </c>
      <c r="K175" s="49">
        <v>123490.21</v>
      </c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>
      <c r="A176" s="48" t="s">
        <v>1235</v>
      </c>
      <c r="B176" s="49">
        <v>2352118.0</v>
      </c>
      <c r="C176" s="48" t="s">
        <v>1236</v>
      </c>
      <c r="D176" s="48" t="s">
        <v>93</v>
      </c>
      <c r="E176" s="48" t="s">
        <v>94</v>
      </c>
      <c r="F176" s="48" t="s">
        <v>622</v>
      </c>
      <c r="G176" s="48" t="s">
        <v>623</v>
      </c>
      <c r="H176" s="49">
        <v>0.113627061699999</v>
      </c>
      <c r="I176" s="49">
        <v>2115.0</v>
      </c>
      <c r="J176" s="49">
        <v>122726.7</v>
      </c>
      <c r="K176" s="49">
        <v>122726.7</v>
      </c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>
      <c r="A177" s="48" t="s">
        <v>1237</v>
      </c>
      <c r="B177" s="48" t="s">
        <v>1238</v>
      </c>
      <c r="C177" s="48" t="s">
        <v>1239</v>
      </c>
      <c r="D177" s="48" t="s">
        <v>93</v>
      </c>
      <c r="E177" s="48" t="s">
        <v>115</v>
      </c>
      <c r="F177" s="48" t="s">
        <v>622</v>
      </c>
      <c r="G177" s="48" t="s">
        <v>623</v>
      </c>
      <c r="H177" s="49">
        <v>0.1135393104</v>
      </c>
      <c r="I177" s="49">
        <v>656.0</v>
      </c>
      <c r="J177" s="49">
        <v>122631.92</v>
      </c>
      <c r="K177" s="49">
        <v>122631.92</v>
      </c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>
      <c r="A178" s="48" t="s">
        <v>1240</v>
      </c>
      <c r="B178" s="49">
        <v>2690830.0</v>
      </c>
      <c r="C178" s="48" t="s">
        <v>1241</v>
      </c>
      <c r="D178" s="48" t="s">
        <v>93</v>
      </c>
      <c r="E178" s="48" t="s">
        <v>115</v>
      </c>
      <c r="F178" s="48" t="s">
        <v>622</v>
      </c>
      <c r="G178" s="48" t="s">
        <v>623</v>
      </c>
      <c r="H178" s="49">
        <v>0.113257629</v>
      </c>
      <c r="I178" s="49">
        <v>352.0</v>
      </c>
      <c r="J178" s="49">
        <v>122327.68</v>
      </c>
      <c r="K178" s="49">
        <v>122327.68</v>
      </c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>
      <c r="A179" s="48" t="s">
        <v>1242</v>
      </c>
      <c r="B179" s="49">
        <v>5501906.0</v>
      </c>
      <c r="C179" s="48" t="s">
        <v>1243</v>
      </c>
      <c r="D179" s="48" t="s">
        <v>93</v>
      </c>
      <c r="E179" s="48" t="s">
        <v>99</v>
      </c>
      <c r="F179" s="48" t="s">
        <v>1201</v>
      </c>
      <c r="G179" s="48" t="s">
        <v>640</v>
      </c>
      <c r="H179" s="49">
        <v>0.1129385545</v>
      </c>
      <c r="I179" s="49">
        <v>9800.0</v>
      </c>
      <c r="J179" s="49">
        <v>121983.05</v>
      </c>
      <c r="K179" s="49">
        <v>121983.05</v>
      </c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>
      <c r="A180" s="48" t="s">
        <v>1244</v>
      </c>
      <c r="B180" s="49">
        <v>2480138.0</v>
      </c>
      <c r="C180" s="48" t="s">
        <v>1245</v>
      </c>
      <c r="D180" s="48" t="s">
        <v>93</v>
      </c>
      <c r="E180" s="48" t="s">
        <v>167</v>
      </c>
      <c r="F180" s="48" t="s">
        <v>622</v>
      </c>
      <c r="G180" s="48" t="s">
        <v>623</v>
      </c>
      <c r="H180" s="49">
        <v>0.112216677699999</v>
      </c>
      <c r="I180" s="49">
        <v>174.0</v>
      </c>
      <c r="J180" s="49">
        <v>121203.37</v>
      </c>
      <c r="K180" s="49">
        <v>121203.37</v>
      </c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>
      <c r="A181" s="48" t="s">
        <v>1246</v>
      </c>
      <c r="B181" s="49">
        <v>2445063.0</v>
      </c>
      <c r="C181" s="48" t="s">
        <v>1247</v>
      </c>
      <c r="D181" s="48" t="s">
        <v>93</v>
      </c>
      <c r="E181" s="48" t="s">
        <v>102</v>
      </c>
      <c r="F181" s="48" t="s">
        <v>622</v>
      </c>
      <c r="G181" s="48" t="s">
        <v>623</v>
      </c>
      <c r="H181" s="49">
        <v>0.1119328895</v>
      </c>
      <c r="I181" s="49">
        <v>157.0</v>
      </c>
      <c r="J181" s="49">
        <v>120896.85</v>
      </c>
      <c r="K181" s="49">
        <v>120896.85</v>
      </c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>
      <c r="A182" s="48" t="s">
        <v>1248</v>
      </c>
      <c r="B182" s="49">
        <v>2259101.0</v>
      </c>
      <c r="C182" s="48" t="s">
        <v>1249</v>
      </c>
      <c r="D182" s="48" t="s">
        <v>93</v>
      </c>
      <c r="E182" s="48" t="s">
        <v>124</v>
      </c>
      <c r="F182" s="48" t="s">
        <v>622</v>
      </c>
      <c r="G182" s="48" t="s">
        <v>623</v>
      </c>
      <c r="H182" s="49">
        <v>0.1117363186</v>
      </c>
      <c r="I182" s="49">
        <v>660.0</v>
      </c>
      <c r="J182" s="49">
        <v>120684.54</v>
      </c>
      <c r="K182" s="49">
        <v>120684.54</v>
      </c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>
      <c r="A183" s="48" t="s">
        <v>1250</v>
      </c>
      <c r="B183" s="49">
        <v>5253973.0</v>
      </c>
      <c r="C183" s="48" t="s">
        <v>1251</v>
      </c>
      <c r="D183" s="48" t="s">
        <v>93</v>
      </c>
      <c r="E183" s="48" t="s">
        <v>118</v>
      </c>
      <c r="F183" s="48" t="s">
        <v>639</v>
      </c>
      <c r="G183" s="48" t="s">
        <v>640</v>
      </c>
      <c r="H183" s="49">
        <v>0.1114141787</v>
      </c>
      <c r="I183" s="49">
        <v>41.0</v>
      </c>
      <c r="J183" s="49">
        <v>120336.6</v>
      </c>
      <c r="K183" s="49">
        <v>120336.6</v>
      </c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>
      <c r="A184" s="48" t="s">
        <v>1252</v>
      </c>
      <c r="B184" s="49">
        <v>6435145.0</v>
      </c>
      <c r="C184" s="48" t="s">
        <v>1253</v>
      </c>
      <c r="D184" s="48" t="s">
        <v>93</v>
      </c>
      <c r="E184" s="48" t="s">
        <v>118</v>
      </c>
      <c r="F184" s="48" t="s">
        <v>629</v>
      </c>
      <c r="G184" s="48" t="s">
        <v>630</v>
      </c>
      <c r="H184" s="49">
        <v>0.1108313285</v>
      </c>
      <c r="I184" s="49">
        <v>2152.0</v>
      </c>
      <c r="J184" s="49">
        <v>119707.07</v>
      </c>
      <c r="K184" s="49">
        <v>119707.07</v>
      </c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>
      <c r="A185" s="48" t="s">
        <v>1254</v>
      </c>
      <c r="B185" s="49">
        <v>6804585.0</v>
      </c>
      <c r="C185" s="48" t="s">
        <v>1255</v>
      </c>
      <c r="D185" s="48" t="s">
        <v>93</v>
      </c>
      <c r="E185" s="48" t="s">
        <v>94</v>
      </c>
      <c r="F185" s="48" t="s">
        <v>629</v>
      </c>
      <c r="G185" s="48" t="s">
        <v>630</v>
      </c>
      <c r="H185" s="49">
        <v>0.1105792085</v>
      </c>
      <c r="I185" s="49">
        <v>2480.0</v>
      </c>
      <c r="J185" s="49">
        <v>119434.76</v>
      </c>
      <c r="K185" s="49">
        <v>119434.76</v>
      </c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>
      <c r="A186" s="48" t="s">
        <v>1256</v>
      </c>
      <c r="B186" s="49">
        <v>2076009.0</v>
      </c>
      <c r="C186" s="48" t="s">
        <v>1257</v>
      </c>
      <c r="D186" s="48" t="s">
        <v>93</v>
      </c>
      <c r="E186" s="48" t="s">
        <v>99</v>
      </c>
      <c r="F186" s="48" t="s">
        <v>694</v>
      </c>
      <c r="G186" s="48" t="s">
        <v>1003</v>
      </c>
      <c r="H186" s="49">
        <v>0.1104572851</v>
      </c>
      <c r="I186" s="49">
        <v>885.0</v>
      </c>
      <c r="J186" s="49">
        <v>119303.08</v>
      </c>
      <c r="K186" s="49">
        <v>119303.08</v>
      </c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>
      <c r="A187" s="48" t="s">
        <v>1258</v>
      </c>
      <c r="B187" s="49">
        <v>2142784.0</v>
      </c>
      <c r="C187" s="48" t="s">
        <v>1259</v>
      </c>
      <c r="D187" s="48" t="s">
        <v>93</v>
      </c>
      <c r="E187" s="48" t="s">
        <v>127</v>
      </c>
      <c r="F187" s="48" t="s">
        <v>622</v>
      </c>
      <c r="G187" s="48" t="s">
        <v>623</v>
      </c>
      <c r="H187" s="49">
        <v>0.1103351267</v>
      </c>
      <c r="I187" s="49">
        <v>292.0</v>
      </c>
      <c r="J187" s="49">
        <v>119171.13</v>
      </c>
      <c r="K187" s="49">
        <v>119171.13</v>
      </c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>
      <c r="A188" s="48" t="s">
        <v>1260</v>
      </c>
      <c r="B188" s="49">
        <v>2804211.0</v>
      </c>
      <c r="C188" s="48" t="s">
        <v>1261</v>
      </c>
      <c r="D188" s="48" t="s">
        <v>93</v>
      </c>
      <c r="E188" s="48" t="s">
        <v>94</v>
      </c>
      <c r="F188" s="48" t="s">
        <v>622</v>
      </c>
      <c r="G188" s="48" t="s">
        <v>623</v>
      </c>
      <c r="H188" s="49">
        <v>0.1097570738</v>
      </c>
      <c r="I188" s="49">
        <v>299.0</v>
      </c>
      <c r="J188" s="49">
        <v>118546.79</v>
      </c>
      <c r="K188" s="49">
        <v>118546.79</v>
      </c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>
      <c r="A189" s="48" t="s">
        <v>1262</v>
      </c>
      <c r="B189" s="49">
        <v>2692665.0</v>
      </c>
      <c r="C189" s="48" t="s">
        <v>1263</v>
      </c>
      <c r="D189" s="48" t="s">
        <v>93</v>
      </c>
      <c r="E189" s="48" t="s">
        <v>99</v>
      </c>
      <c r="F189" s="48" t="s">
        <v>622</v>
      </c>
      <c r="G189" s="48" t="s">
        <v>623</v>
      </c>
      <c r="H189" s="49">
        <v>0.1094799379</v>
      </c>
      <c r="I189" s="49">
        <v>621.0</v>
      </c>
      <c r="J189" s="49">
        <v>118247.46</v>
      </c>
      <c r="K189" s="49">
        <v>118247.46</v>
      </c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>
      <c r="A190" s="48" t="s">
        <v>1264</v>
      </c>
      <c r="B190" s="49">
        <v>2209106.0</v>
      </c>
      <c r="C190" s="48" t="s">
        <v>1265</v>
      </c>
      <c r="D190" s="48" t="s">
        <v>93</v>
      </c>
      <c r="E190" s="48" t="s">
        <v>124</v>
      </c>
      <c r="F190" s="48" t="s">
        <v>622</v>
      </c>
      <c r="G190" s="48" t="s">
        <v>623</v>
      </c>
      <c r="H190" s="49">
        <v>0.1084065326</v>
      </c>
      <c r="I190" s="49">
        <v>1026.0</v>
      </c>
      <c r="J190" s="49">
        <v>117088.09</v>
      </c>
      <c r="K190" s="49">
        <v>117088.09</v>
      </c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>
      <c r="A191" s="48" t="s">
        <v>1266</v>
      </c>
      <c r="B191" s="49">
        <v>2378534.0</v>
      </c>
      <c r="C191" s="48" t="s">
        <v>1267</v>
      </c>
      <c r="D191" s="48" t="s">
        <v>93</v>
      </c>
      <c r="E191" s="48" t="s">
        <v>102</v>
      </c>
      <c r="F191" s="48" t="s">
        <v>622</v>
      </c>
      <c r="G191" s="48" t="s">
        <v>623</v>
      </c>
      <c r="H191" s="49">
        <v>0.1075076342</v>
      </c>
      <c r="I191" s="49">
        <v>170.0</v>
      </c>
      <c r="J191" s="49">
        <v>116117.21</v>
      </c>
      <c r="K191" s="49">
        <v>116117.21</v>
      </c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>
      <c r="A192" s="48" t="s">
        <v>1268</v>
      </c>
      <c r="B192" s="49">
        <v>5705946.0</v>
      </c>
      <c r="C192" s="48" t="s">
        <v>1269</v>
      </c>
      <c r="D192" s="48" t="s">
        <v>93</v>
      </c>
      <c r="E192" s="48" t="s">
        <v>99</v>
      </c>
      <c r="F192" s="48" t="s">
        <v>1201</v>
      </c>
      <c r="G192" s="48" t="s">
        <v>640</v>
      </c>
      <c r="H192" s="49">
        <v>0.1067588405</v>
      </c>
      <c r="I192" s="49">
        <v>19793.0</v>
      </c>
      <c r="J192" s="49">
        <v>115308.45</v>
      </c>
      <c r="K192" s="49">
        <v>115308.45</v>
      </c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>
      <c r="A193" s="48" t="s">
        <v>1270</v>
      </c>
      <c r="B193" s="48" t="s">
        <v>1271</v>
      </c>
      <c r="C193" s="48" t="s">
        <v>1272</v>
      </c>
      <c r="D193" s="48" t="s">
        <v>93</v>
      </c>
      <c r="E193" s="48" t="s">
        <v>118</v>
      </c>
      <c r="F193" s="48" t="s">
        <v>1273</v>
      </c>
      <c r="G193" s="48" t="s">
        <v>623</v>
      </c>
      <c r="H193" s="49">
        <v>0.106376521699999</v>
      </c>
      <c r="I193" s="49">
        <v>57.0</v>
      </c>
      <c r="J193" s="49">
        <v>114895.51</v>
      </c>
      <c r="K193" s="49">
        <v>114895.51</v>
      </c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>
      <c r="A194" s="48" t="s">
        <v>1274</v>
      </c>
      <c r="B194" s="49">
        <v>6597302.0</v>
      </c>
      <c r="C194" s="48" t="s">
        <v>1275</v>
      </c>
      <c r="D194" s="48" t="s">
        <v>93</v>
      </c>
      <c r="E194" s="48" t="s">
        <v>127</v>
      </c>
      <c r="F194" s="48" t="s">
        <v>629</v>
      </c>
      <c r="G194" s="48" t="s">
        <v>630</v>
      </c>
      <c r="H194" s="49">
        <v>0.1060935773</v>
      </c>
      <c r="I194" s="49">
        <v>1885.0</v>
      </c>
      <c r="J194" s="49">
        <v>114589.91</v>
      </c>
      <c r="K194" s="49">
        <v>114589.91</v>
      </c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>
      <c r="A195" s="48" t="s">
        <v>1276</v>
      </c>
      <c r="B195" s="49">
        <v>7108899.0</v>
      </c>
      <c r="C195" s="48" t="s">
        <v>1277</v>
      </c>
      <c r="D195" s="48" t="s">
        <v>93</v>
      </c>
      <c r="E195" s="48" t="s">
        <v>127</v>
      </c>
      <c r="F195" s="48" t="s">
        <v>654</v>
      </c>
      <c r="G195" s="48" t="s">
        <v>655</v>
      </c>
      <c r="H195" s="49">
        <v>0.1032903592</v>
      </c>
      <c r="I195" s="49">
        <v>1985.0</v>
      </c>
      <c r="J195" s="49">
        <v>111562.2</v>
      </c>
      <c r="K195" s="49">
        <v>111562.2</v>
      </c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>
      <c r="A196" s="48" t="s">
        <v>1278</v>
      </c>
      <c r="B196" s="49">
        <v>2736035.0</v>
      </c>
      <c r="C196" s="48" t="s">
        <v>1279</v>
      </c>
      <c r="D196" s="48" t="s">
        <v>93</v>
      </c>
      <c r="E196" s="48" t="s">
        <v>99</v>
      </c>
      <c r="F196" s="48" t="s">
        <v>622</v>
      </c>
      <c r="G196" s="48" t="s">
        <v>623</v>
      </c>
      <c r="H196" s="49">
        <v>0.1032005927</v>
      </c>
      <c r="I196" s="49">
        <v>2138.0</v>
      </c>
      <c r="J196" s="49">
        <v>111465.24</v>
      </c>
      <c r="K196" s="49">
        <v>111465.24</v>
      </c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>
      <c r="A197" s="48" t="s">
        <v>1280</v>
      </c>
      <c r="B197" s="48" t="s">
        <v>1281</v>
      </c>
      <c r="C197" s="48" t="s">
        <v>1282</v>
      </c>
      <c r="D197" s="48" t="s">
        <v>93</v>
      </c>
      <c r="E197" s="48" t="s">
        <v>118</v>
      </c>
      <c r="F197" s="48" t="s">
        <v>622</v>
      </c>
      <c r="G197" s="48" t="s">
        <v>623</v>
      </c>
      <c r="H197" s="49">
        <v>0.1029438614</v>
      </c>
      <c r="I197" s="49">
        <v>77.0</v>
      </c>
      <c r="J197" s="49">
        <v>111187.95</v>
      </c>
      <c r="K197" s="49">
        <v>111187.95</v>
      </c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>
      <c r="A198" s="48" t="s">
        <v>1283</v>
      </c>
      <c r="B198" s="49">
        <v>5529027.0</v>
      </c>
      <c r="C198" s="48" t="s">
        <v>1284</v>
      </c>
      <c r="D198" s="48" t="s">
        <v>93</v>
      </c>
      <c r="E198" s="48" t="s">
        <v>118</v>
      </c>
      <c r="F198" s="48" t="s">
        <v>649</v>
      </c>
      <c r="G198" s="48" t="s">
        <v>640</v>
      </c>
      <c r="H198" s="49">
        <v>0.1020626026</v>
      </c>
      <c r="I198" s="49">
        <v>984.0</v>
      </c>
      <c r="J198" s="49">
        <v>110236.12</v>
      </c>
      <c r="K198" s="49">
        <v>110236.12</v>
      </c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>
      <c r="A199" s="48" t="s">
        <v>1285</v>
      </c>
      <c r="B199" s="49">
        <v>2145084.0</v>
      </c>
      <c r="C199" s="48" t="s">
        <v>1286</v>
      </c>
      <c r="D199" s="48" t="s">
        <v>93</v>
      </c>
      <c r="E199" s="48" t="s">
        <v>167</v>
      </c>
      <c r="F199" s="48" t="s">
        <v>622</v>
      </c>
      <c r="G199" s="48" t="s">
        <v>623</v>
      </c>
      <c r="H199" s="49">
        <v>0.1017424585</v>
      </c>
      <c r="I199" s="49">
        <v>846.0</v>
      </c>
      <c r="J199" s="49">
        <v>109890.34</v>
      </c>
      <c r="K199" s="49">
        <v>109890.34</v>
      </c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>
      <c r="A200" s="48" t="s">
        <v>1287</v>
      </c>
      <c r="B200" s="49">
        <v>2076281.0</v>
      </c>
      <c r="C200" s="48" t="s">
        <v>1288</v>
      </c>
      <c r="D200" s="48" t="s">
        <v>93</v>
      </c>
      <c r="E200" s="48" t="s">
        <v>99</v>
      </c>
      <c r="F200" s="48" t="s">
        <v>694</v>
      </c>
      <c r="G200" s="48" t="s">
        <v>1003</v>
      </c>
      <c r="H200" s="49">
        <v>0.1011152016</v>
      </c>
      <c r="I200" s="49">
        <v>1489.0</v>
      </c>
      <c r="J200" s="49">
        <v>109212.85</v>
      </c>
      <c r="K200" s="49">
        <v>109212.85</v>
      </c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>
      <c r="A201" s="48" t="s">
        <v>1289</v>
      </c>
      <c r="B201" s="48" t="s">
        <v>1290</v>
      </c>
      <c r="C201" s="48" t="s">
        <v>1291</v>
      </c>
      <c r="D201" s="48" t="s">
        <v>93</v>
      </c>
      <c r="E201" s="48" t="s">
        <v>127</v>
      </c>
      <c r="F201" s="48" t="s">
        <v>639</v>
      </c>
      <c r="G201" s="48" t="s">
        <v>640</v>
      </c>
      <c r="H201" s="49">
        <v>0.1011068143</v>
      </c>
      <c r="I201" s="49">
        <v>444.0</v>
      </c>
      <c r="J201" s="49">
        <v>109203.79</v>
      </c>
      <c r="K201" s="49">
        <v>109203.79</v>
      </c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>
      <c r="A202" s="48" t="s">
        <v>1292</v>
      </c>
      <c r="B202" s="49">
        <v>2313405.0</v>
      </c>
      <c r="C202" s="48" t="s">
        <v>1293</v>
      </c>
      <c r="D202" s="48" t="s">
        <v>93</v>
      </c>
      <c r="E202" s="48" t="s">
        <v>127</v>
      </c>
      <c r="F202" s="48" t="s">
        <v>622</v>
      </c>
      <c r="G202" s="48" t="s">
        <v>623</v>
      </c>
      <c r="H202" s="49">
        <v>0.1002520291</v>
      </c>
      <c r="I202" s="49">
        <v>720.0</v>
      </c>
      <c r="J202" s="49">
        <v>108280.55</v>
      </c>
      <c r="K202" s="49">
        <v>108280.55</v>
      </c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>
      <c r="A203" s="48" t="s">
        <v>1294</v>
      </c>
      <c r="B203" s="49">
        <v>7088429.0</v>
      </c>
      <c r="C203" s="48" t="s">
        <v>1295</v>
      </c>
      <c r="D203" s="48" t="s">
        <v>93</v>
      </c>
      <c r="E203" s="48" t="s">
        <v>99</v>
      </c>
      <c r="F203" s="48" t="s">
        <v>639</v>
      </c>
      <c r="G203" s="48" t="s">
        <v>640</v>
      </c>
      <c r="H203" s="49">
        <v>0.0989877628</v>
      </c>
      <c r="I203" s="49">
        <v>2208.0</v>
      </c>
      <c r="J203" s="49">
        <v>106915.04</v>
      </c>
      <c r="K203" s="49">
        <v>106915.04</v>
      </c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>
      <c r="A204" s="48" t="s">
        <v>1296</v>
      </c>
      <c r="B204" s="49">
        <v>6250724.0</v>
      </c>
      <c r="C204" s="48" t="s">
        <v>1297</v>
      </c>
      <c r="D204" s="48" t="s">
        <v>93</v>
      </c>
      <c r="E204" s="48" t="s">
        <v>127</v>
      </c>
      <c r="F204" s="48" t="s">
        <v>629</v>
      </c>
      <c r="G204" s="48" t="s">
        <v>630</v>
      </c>
      <c r="H204" s="49">
        <v>0.0988218562</v>
      </c>
      <c r="I204" s="49">
        <v>409.0</v>
      </c>
      <c r="J204" s="49">
        <v>106735.84</v>
      </c>
      <c r="K204" s="49">
        <v>106735.84</v>
      </c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>
      <c r="A205" s="48" t="s">
        <v>1298</v>
      </c>
      <c r="B205" s="49">
        <v>2359506.0</v>
      </c>
      <c r="C205" s="48" t="s">
        <v>1299</v>
      </c>
      <c r="D205" s="48" t="s">
        <v>93</v>
      </c>
      <c r="E205" s="48" t="s">
        <v>99</v>
      </c>
      <c r="F205" s="48" t="s">
        <v>622</v>
      </c>
      <c r="G205" s="48" t="s">
        <v>623</v>
      </c>
      <c r="H205" s="49">
        <v>0.0984895289</v>
      </c>
      <c r="I205" s="49">
        <v>293.0</v>
      </c>
      <c r="J205" s="49">
        <v>106376.9</v>
      </c>
      <c r="K205" s="49">
        <v>106376.9</v>
      </c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>
      <c r="A206" s="48" t="s">
        <v>1300</v>
      </c>
      <c r="B206" s="49">
        <v>5294121.0</v>
      </c>
      <c r="C206" s="48" t="s">
        <v>1301</v>
      </c>
      <c r="D206" s="48" t="s">
        <v>93</v>
      </c>
      <c r="E206" s="48" t="s">
        <v>99</v>
      </c>
      <c r="F206" s="48" t="s">
        <v>649</v>
      </c>
      <c r="G206" s="48" t="s">
        <v>640</v>
      </c>
      <c r="H206" s="49">
        <v>0.0983945329999999</v>
      </c>
      <c r="I206" s="49">
        <v>169.0</v>
      </c>
      <c r="J206" s="49">
        <v>106274.3</v>
      </c>
      <c r="K206" s="49">
        <v>106274.3</v>
      </c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>
      <c r="A207" s="48" t="s">
        <v>1302</v>
      </c>
      <c r="B207" s="49">
        <v>4617859.0</v>
      </c>
      <c r="C207" s="48" t="s">
        <v>1303</v>
      </c>
      <c r="D207" s="48" t="s">
        <v>93</v>
      </c>
      <c r="E207" s="48" t="s">
        <v>127</v>
      </c>
      <c r="F207" s="48" t="s">
        <v>649</v>
      </c>
      <c r="G207" s="48" t="s">
        <v>640</v>
      </c>
      <c r="H207" s="49">
        <v>0.0983354576999999</v>
      </c>
      <c r="I207" s="49">
        <v>1617.0</v>
      </c>
      <c r="J207" s="49">
        <v>106210.49</v>
      </c>
      <c r="K207" s="49">
        <v>106210.49</v>
      </c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>
      <c r="A208" s="48" t="s">
        <v>1304</v>
      </c>
      <c r="B208" s="48" t="s">
        <v>1305</v>
      </c>
      <c r="C208" s="48" t="s">
        <v>1306</v>
      </c>
      <c r="D208" s="48" t="s">
        <v>93</v>
      </c>
      <c r="E208" s="48" t="s">
        <v>118</v>
      </c>
      <c r="F208" s="48" t="s">
        <v>622</v>
      </c>
      <c r="G208" s="48" t="s">
        <v>623</v>
      </c>
      <c r="H208" s="49">
        <v>0.0980805425</v>
      </c>
      <c r="I208" s="49">
        <v>512.0</v>
      </c>
      <c r="J208" s="49">
        <v>105935.16</v>
      </c>
      <c r="K208" s="49">
        <v>105935.16</v>
      </c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>
      <c r="A209" s="48" t="s">
        <v>1307</v>
      </c>
      <c r="B209" s="49">
        <v>2595708.0</v>
      </c>
      <c r="C209" s="48" t="s">
        <v>1308</v>
      </c>
      <c r="D209" s="48" t="s">
        <v>93</v>
      </c>
      <c r="E209" s="48" t="s">
        <v>127</v>
      </c>
      <c r="F209" s="48" t="s">
        <v>622</v>
      </c>
      <c r="G209" s="48" t="s">
        <v>623</v>
      </c>
      <c r="H209" s="49">
        <v>0.0973519227</v>
      </c>
      <c r="I209" s="49">
        <v>692.0</v>
      </c>
      <c r="J209" s="49">
        <v>105148.19</v>
      </c>
      <c r="K209" s="49">
        <v>105148.19</v>
      </c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>
      <c r="A210" s="48" t="s">
        <v>1309</v>
      </c>
      <c r="B210" s="49">
        <v>5889505.0</v>
      </c>
      <c r="C210" s="48" t="s">
        <v>1310</v>
      </c>
      <c r="D210" s="48" t="s">
        <v>93</v>
      </c>
      <c r="E210" s="48" t="s">
        <v>167</v>
      </c>
      <c r="F210" s="48" t="s">
        <v>649</v>
      </c>
      <c r="G210" s="48" t="s">
        <v>640</v>
      </c>
      <c r="H210" s="49">
        <v>0.0970772247</v>
      </c>
      <c r="I210" s="49">
        <v>2007.0</v>
      </c>
      <c r="J210" s="49">
        <v>104851.5</v>
      </c>
      <c r="K210" s="49">
        <v>104851.5</v>
      </c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>
      <c r="A211" s="48" t="s">
        <v>1311</v>
      </c>
      <c r="B211" s="48" t="s">
        <v>1312</v>
      </c>
      <c r="C211" s="48" t="s">
        <v>1313</v>
      </c>
      <c r="D211" s="48" t="s">
        <v>93</v>
      </c>
      <c r="E211" s="48" t="s">
        <v>118</v>
      </c>
      <c r="F211" s="48" t="s">
        <v>645</v>
      </c>
      <c r="G211" s="48" t="s">
        <v>640</v>
      </c>
      <c r="H211" s="49">
        <v>0.0958466335</v>
      </c>
      <c r="I211" s="49">
        <v>2277.0</v>
      </c>
      <c r="J211" s="49">
        <v>103522.35</v>
      </c>
      <c r="K211" s="49">
        <v>103522.35</v>
      </c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>
      <c r="A212" s="48" t="s">
        <v>1314</v>
      </c>
      <c r="B212" s="48" t="s">
        <v>1315</v>
      </c>
      <c r="C212" s="48" t="s">
        <v>1316</v>
      </c>
      <c r="D212" s="48" t="s">
        <v>93</v>
      </c>
      <c r="E212" s="48" t="s">
        <v>102</v>
      </c>
      <c r="F212" s="48" t="s">
        <v>622</v>
      </c>
      <c r="G212" s="48" t="s">
        <v>623</v>
      </c>
      <c r="H212" s="49">
        <v>0.0954539788</v>
      </c>
      <c r="I212" s="49">
        <v>261.0</v>
      </c>
      <c r="J212" s="49">
        <v>103098.25</v>
      </c>
      <c r="K212" s="49">
        <v>103098.25</v>
      </c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>
      <c r="A213" s="48" t="s">
        <v>1317</v>
      </c>
      <c r="B213" s="49">
        <v>2749602.0</v>
      </c>
      <c r="C213" s="48" t="s">
        <v>1318</v>
      </c>
      <c r="D213" s="48" t="s">
        <v>93</v>
      </c>
      <c r="E213" s="48" t="s">
        <v>167</v>
      </c>
      <c r="F213" s="48" t="s">
        <v>622</v>
      </c>
      <c r="G213" s="48" t="s">
        <v>623</v>
      </c>
      <c r="H213" s="49">
        <v>0.0951234505</v>
      </c>
      <c r="I213" s="49">
        <v>133.0</v>
      </c>
      <c r="J213" s="49">
        <v>102741.26</v>
      </c>
      <c r="K213" s="49">
        <v>102741.26</v>
      </c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>
      <c r="A214" s="48" t="s">
        <v>1319</v>
      </c>
      <c r="B214" s="49">
        <v>2041364.0</v>
      </c>
      <c r="C214" s="48" t="s">
        <v>1320</v>
      </c>
      <c r="D214" s="48" t="s">
        <v>93</v>
      </c>
      <c r="E214" s="48" t="s">
        <v>115</v>
      </c>
      <c r="F214" s="48" t="s">
        <v>622</v>
      </c>
      <c r="G214" s="48" t="s">
        <v>623</v>
      </c>
      <c r="H214" s="49">
        <v>0.0950025382</v>
      </c>
      <c r="I214" s="49">
        <v>450.0</v>
      </c>
      <c r="J214" s="49">
        <v>102610.66</v>
      </c>
      <c r="K214" s="49">
        <v>102610.66</v>
      </c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>
      <c r="A215" s="48" t="s">
        <v>1321</v>
      </c>
      <c r="B215" s="48" t="s">
        <v>1322</v>
      </c>
      <c r="C215" s="48" t="s">
        <v>1323</v>
      </c>
      <c r="D215" s="48" t="s">
        <v>93</v>
      </c>
      <c r="E215" s="48" t="s">
        <v>94</v>
      </c>
      <c r="F215" s="48" t="s">
        <v>95</v>
      </c>
      <c r="G215" s="48" t="s">
        <v>908</v>
      </c>
      <c r="H215" s="49">
        <v>0.0947507311</v>
      </c>
      <c r="I215" s="49">
        <v>11817.0</v>
      </c>
      <c r="J215" s="49">
        <v>102338.69</v>
      </c>
      <c r="K215" s="49">
        <v>102338.69</v>
      </c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>
      <c r="A216" s="48" t="s">
        <v>1324</v>
      </c>
      <c r="B216" s="49">
        <v>7212477.0</v>
      </c>
      <c r="C216" s="48" t="s">
        <v>1325</v>
      </c>
      <c r="D216" s="48" t="s">
        <v>93</v>
      </c>
      <c r="E216" s="48" t="s">
        <v>102</v>
      </c>
      <c r="F216" s="48" t="s">
        <v>639</v>
      </c>
      <c r="G216" s="48" t="s">
        <v>640</v>
      </c>
      <c r="H216" s="49">
        <v>0.0943390782</v>
      </c>
      <c r="I216" s="49">
        <v>362.0</v>
      </c>
      <c r="J216" s="49">
        <v>101894.07</v>
      </c>
      <c r="K216" s="49">
        <v>101894.07</v>
      </c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>
      <c r="A217" s="48" t="s">
        <v>1326</v>
      </c>
      <c r="B217" s="48" t="s">
        <v>1327</v>
      </c>
      <c r="C217" s="48" t="s">
        <v>1328</v>
      </c>
      <c r="D217" s="48" t="s">
        <v>93</v>
      </c>
      <c r="E217" s="48" t="s">
        <v>118</v>
      </c>
      <c r="F217" s="48" t="s">
        <v>622</v>
      </c>
      <c r="G217" s="48" t="s">
        <v>623</v>
      </c>
      <c r="H217" s="49">
        <v>0.0942454472</v>
      </c>
      <c r="I217" s="49">
        <v>35.0</v>
      </c>
      <c r="J217" s="49">
        <v>101792.94</v>
      </c>
      <c r="K217" s="49">
        <v>101792.94</v>
      </c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>
      <c r="A218" s="48" t="s">
        <v>1329</v>
      </c>
      <c r="B218" s="49">
        <v>2252058.0</v>
      </c>
      <c r="C218" s="48" t="s">
        <v>1330</v>
      </c>
      <c r="D218" s="48" t="s">
        <v>93</v>
      </c>
      <c r="E218" s="48" t="s">
        <v>99</v>
      </c>
      <c r="F218" s="48" t="s">
        <v>622</v>
      </c>
      <c r="G218" s="48" t="s">
        <v>623</v>
      </c>
      <c r="H218" s="49">
        <v>0.0940548505</v>
      </c>
      <c r="I218" s="49">
        <v>201.0</v>
      </c>
      <c r="J218" s="49">
        <v>101587.08</v>
      </c>
      <c r="K218" s="49">
        <v>101587.08</v>
      </c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>
      <c r="A219" s="48" t="s">
        <v>1331</v>
      </c>
      <c r="B219" s="48" t="s">
        <v>1332</v>
      </c>
      <c r="C219" s="48" t="s">
        <v>1333</v>
      </c>
      <c r="D219" s="48" t="s">
        <v>93</v>
      </c>
      <c r="E219" s="48" t="s">
        <v>118</v>
      </c>
      <c r="F219" s="48" t="s">
        <v>622</v>
      </c>
      <c r="G219" s="48" t="s">
        <v>623</v>
      </c>
      <c r="H219" s="49">
        <v>0.0939997841</v>
      </c>
      <c r="I219" s="49">
        <v>441.0</v>
      </c>
      <c r="J219" s="49">
        <v>101527.6</v>
      </c>
      <c r="K219" s="49">
        <v>101527.6</v>
      </c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>
      <c r="A220" s="48" t="s">
        <v>1334</v>
      </c>
      <c r="B220" s="49">
        <v>2210614.0</v>
      </c>
      <c r="C220" s="48" t="s">
        <v>1335</v>
      </c>
      <c r="D220" s="48" t="s">
        <v>93</v>
      </c>
      <c r="E220" s="48" t="s">
        <v>118</v>
      </c>
      <c r="F220" s="48" t="s">
        <v>622</v>
      </c>
      <c r="G220" s="48" t="s">
        <v>623</v>
      </c>
      <c r="H220" s="49">
        <v>0.0935038545</v>
      </c>
      <c r="I220" s="49">
        <v>332.0</v>
      </c>
      <c r="J220" s="49">
        <v>100991.96</v>
      </c>
      <c r="K220" s="49">
        <v>100991.96</v>
      </c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>
      <c r="A221" s="48" t="s">
        <v>1336</v>
      </c>
      <c r="B221" s="48" t="s">
        <v>1337</v>
      </c>
      <c r="C221" s="48" t="s">
        <v>1338</v>
      </c>
      <c r="D221" s="48" t="s">
        <v>93</v>
      </c>
      <c r="E221" s="48" t="s">
        <v>124</v>
      </c>
      <c r="F221" s="48" t="s">
        <v>918</v>
      </c>
      <c r="G221" s="48" t="s">
        <v>908</v>
      </c>
      <c r="H221" s="49">
        <v>0.0932760678</v>
      </c>
      <c r="I221" s="49">
        <v>888.0</v>
      </c>
      <c r="J221" s="49">
        <v>100745.93</v>
      </c>
      <c r="K221" s="49">
        <v>100745.93</v>
      </c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>
      <c r="A222" s="48" t="s">
        <v>1339</v>
      </c>
      <c r="B222" s="48" t="s">
        <v>1340</v>
      </c>
      <c r="C222" s="48" t="s">
        <v>1341</v>
      </c>
      <c r="D222" s="48" t="s">
        <v>93</v>
      </c>
      <c r="E222" s="48" t="s">
        <v>167</v>
      </c>
      <c r="F222" s="48" t="s">
        <v>645</v>
      </c>
      <c r="G222" s="48" t="s">
        <v>623</v>
      </c>
      <c r="H222" s="49">
        <v>0.0926633702999999</v>
      </c>
      <c r="I222" s="49">
        <v>331.0</v>
      </c>
      <c r="J222" s="49">
        <v>100084.16</v>
      </c>
      <c r="K222" s="49">
        <v>100084.16</v>
      </c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>
      <c r="A223" s="48" t="s">
        <v>1342</v>
      </c>
      <c r="B223" s="48" t="s">
        <v>1343</v>
      </c>
      <c r="C223" s="48" t="s">
        <v>1344</v>
      </c>
      <c r="D223" s="48" t="s">
        <v>93</v>
      </c>
      <c r="E223" s="48" t="s">
        <v>102</v>
      </c>
      <c r="F223" s="48" t="s">
        <v>629</v>
      </c>
      <c r="G223" s="48" t="s">
        <v>630</v>
      </c>
      <c r="H223" s="49">
        <v>0.0926520941</v>
      </c>
      <c r="I223" s="49">
        <v>2424.0</v>
      </c>
      <c r="J223" s="49">
        <v>100071.99</v>
      </c>
      <c r="K223" s="49">
        <v>100071.99</v>
      </c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>
      <c r="A224" s="48" t="s">
        <v>1345</v>
      </c>
      <c r="B224" s="49">
        <v>5069211.0</v>
      </c>
      <c r="C224" s="48" t="s">
        <v>1346</v>
      </c>
      <c r="D224" s="48" t="s">
        <v>93</v>
      </c>
      <c r="E224" s="48" t="s">
        <v>102</v>
      </c>
      <c r="F224" s="48" t="s">
        <v>649</v>
      </c>
      <c r="G224" s="48" t="s">
        <v>640</v>
      </c>
      <c r="H224" s="49">
        <v>0.0907487349</v>
      </c>
      <c r="I224" s="49">
        <v>1235.0</v>
      </c>
      <c r="J224" s="49">
        <v>98016.2</v>
      </c>
      <c r="K224" s="49">
        <v>98016.2</v>
      </c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>
      <c r="A225" s="48" t="s">
        <v>1347</v>
      </c>
      <c r="B225" s="48" t="s">
        <v>1348</v>
      </c>
      <c r="C225" s="48" t="s">
        <v>1349</v>
      </c>
      <c r="D225" s="48" t="s">
        <v>93</v>
      </c>
      <c r="E225" s="48" t="s">
        <v>99</v>
      </c>
      <c r="F225" s="48" t="s">
        <v>694</v>
      </c>
      <c r="G225" s="48" t="s">
        <v>1003</v>
      </c>
      <c r="H225" s="49">
        <v>0.0903752791</v>
      </c>
      <c r="I225" s="49">
        <v>1894.0</v>
      </c>
      <c r="J225" s="49">
        <v>97612.84</v>
      </c>
      <c r="K225" s="49">
        <v>97612.84</v>
      </c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>
      <c r="A226" s="48" t="s">
        <v>1350</v>
      </c>
      <c r="B226" s="49">
        <v>7144569.0</v>
      </c>
      <c r="C226" s="48" t="s">
        <v>1351</v>
      </c>
      <c r="D226" s="48" t="s">
        <v>93</v>
      </c>
      <c r="E226" s="48" t="s">
        <v>170</v>
      </c>
      <c r="F226" s="48" t="s">
        <v>1352</v>
      </c>
      <c r="G226" s="48" t="s">
        <v>640</v>
      </c>
      <c r="H226" s="49">
        <v>0.0902232513</v>
      </c>
      <c r="I226" s="49">
        <v>9636.0</v>
      </c>
      <c r="J226" s="49">
        <v>97448.63</v>
      </c>
      <c r="K226" s="49">
        <v>97448.63</v>
      </c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>
      <c r="A227" s="48" t="s">
        <v>1353</v>
      </c>
      <c r="B227" s="49">
        <v>2365161.0</v>
      </c>
      <c r="C227" s="48" t="s">
        <v>1354</v>
      </c>
      <c r="D227" s="48" t="s">
        <v>93</v>
      </c>
      <c r="E227" s="48" t="s">
        <v>127</v>
      </c>
      <c r="F227" s="48" t="s">
        <v>622</v>
      </c>
      <c r="G227" s="48" t="s">
        <v>623</v>
      </c>
      <c r="H227" s="49">
        <v>0.0899710617</v>
      </c>
      <c r="I227" s="49">
        <v>281.0</v>
      </c>
      <c r="J227" s="49">
        <v>97176.25</v>
      </c>
      <c r="K227" s="49">
        <v>97176.25</v>
      </c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>
      <c r="A228" s="48" t="s">
        <v>1355</v>
      </c>
      <c r="B228" s="49">
        <v>2671501.0</v>
      </c>
      <c r="C228" s="48" t="s">
        <v>1356</v>
      </c>
      <c r="D228" s="48" t="s">
        <v>93</v>
      </c>
      <c r="E228" s="48" t="s">
        <v>127</v>
      </c>
      <c r="F228" s="48" t="s">
        <v>622</v>
      </c>
      <c r="G228" s="48" t="s">
        <v>623</v>
      </c>
      <c r="H228" s="49">
        <v>0.0897605944</v>
      </c>
      <c r="I228" s="49">
        <v>163.0</v>
      </c>
      <c r="J228" s="49">
        <v>96948.92</v>
      </c>
      <c r="K228" s="49">
        <v>96948.92</v>
      </c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>
      <c r="A229" s="48" t="s">
        <v>1357</v>
      </c>
      <c r="B229" s="49">
        <v>6870445.0</v>
      </c>
      <c r="C229" s="48" t="s">
        <v>1358</v>
      </c>
      <c r="D229" s="48" t="s">
        <v>93</v>
      </c>
      <c r="E229" s="48" t="s">
        <v>102</v>
      </c>
      <c r="F229" s="48" t="s">
        <v>629</v>
      </c>
      <c r="G229" s="48" t="s">
        <v>630</v>
      </c>
      <c r="H229" s="49">
        <v>0.0884708764</v>
      </c>
      <c r="I229" s="49">
        <v>1904.0</v>
      </c>
      <c r="J229" s="49">
        <v>95555.92</v>
      </c>
      <c r="K229" s="49">
        <v>95555.92</v>
      </c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>
      <c r="A230" s="48" t="s">
        <v>1359</v>
      </c>
      <c r="B230" s="48" t="s">
        <v>1360</v>
      </c>
      <c r="C230" s="48" t="s">
        <v>1361</v>
      </c>
      <c r="D230" s="48" t="s">
        <v>93</v>
      </c>
      <c r="E230" s="48" t="s">
        <v>99</v>
      </c>
      <c r="F230" s="48" t="s">
        <v>668</v>
      </c>
      <c r="G230" s="48" t="s">
        <v>640</v>
      </c>
      <c r="H230" s="49">
        <v>0.088454797</v>
      </c>
      <c r="I230" s="49">
        <v>4367.0</v>
      </c>
      <c r="J230" s="49">
        <v>95538.55</v>
      </c>
      <c r="K230" s="49">
        <v>95538.55</v>
      </c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>
      <c r="A231" s="48" t="s">
        <v>1362</v>
      </c>
      <c r="B231" s="49">
        <v>2615468.0</v>
      </c>
      <c r="C231" s="48" t="s">
        <v>1363</v>
      </c>
      <c r="D231" s="48" t="s">
        <v>93</v>
      </c>
      <c r="E231" s="48" t="s">
        <v>118</v>
      </c>
      <c r="F231" s="48" t="s">
        <v>622</v>
      </c>
      <c r="G231" s="48" t="s">
        <v>623</v>
      </c>
      <c r="H231" s="49">
        <v>0.0878493888999999</v>
      </c>
      <c r="I231" s="49">
        <v>4990.0</v>
      </c>
      <c r="J231" s="49">
        <v>94884.66</v>
      </c>
      <c r="K231" s="49">
        <v>94884.66</v>
      </c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>
      <c r="A232" s="48" t="s">
        <v>1364</v>
      </c>
      <c r="B232" s="49">
        <v>2170525.0</v>
      </c>
      <c r="C232" s="48" t="s">
        <v>1365</v>
      </c>
      <c r="D232" s="48" t="s">
        <v>93</v>
      </c>
      <c r="E232" s="48" t="s">
        <v>99</v>
      </c>
      <c r="F232" s="48" t="s">
        <v>694</v>
      </c>
      <c r="G232" s="48" t="s">
        <v>1003</v>
      </c>
      <c r="H232" s="49">
        <v>0.0877909803</v>
      </c>
      <c r="I232" s="49">
        <v>1506.0</v>
      </c>
      <c r="J232" s="49">
        <v>94821.58</v>
      </c>
      <c r="K232" s="49">
        <v>94821.58</v>
      </c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>
      <c r="A233" s="48" t="s">
        <v>1366</v>
      </c>
      <c r="B233" s="49">
        <v>6248990.0</v>
      </c>
      <c r="C233" s="48" t="s">
        <v>1367</v>
      </c>
      <c r="D233" s="48" t="s">
        <v>93</v>
      </c>
      <c r="E233" s="48" t="s">
        <v>121</v>
      </c>
      <c r="F233" s="48" t="s">
        <v>629</v>
      </c>
      <c r="G233" s="48" t="s">
        <v>630</v>
      </c>
      <c r="H233" s="49">
        <v>0.0875673455</v>
      </c>
      <c r="I233" s="49">
        <v>1905.0</v>
      </c>
      <c r="J233" s="49">
        <v>94580.03</v>
      </c>
      <c r="K233" s="49">
        <v>94580.03</v>
      </c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>
      <c r="A234" s="48" t="s">
        <v>1368</v>
      </c>
      <c r="B234" s="48" t="s">
        <v>1369</v>
      </c>
      <c r="C234" s="48" t="s">
        <v>1370</v>
      </c>
      <c r="D234" s="48" t="s">
        <v>93</v>
      </c>
      <c r="E234" s="48" t="s">
        <v>133</v>
      </c>
      <c r="F234" s="48" t="s">
        <v>622</v>
      </c>
      <c r="G234" s="48" t="s">
        <v>623</v>
      </c>
      <c r="H234" s="49">
        <v>0.0875225403</v>
      </c>
      <c r="I234" s="49">
        <v>2015.0</v>
      </c>
      <c r="J234" s="49">
        <v>94531.64</v>
      </c>
      <c r="K234" s="49">
        <v>94531.64</v>
      </c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>
      <c r="A235" s="48" t="s">
        <v>1371</v>
      </c>
      <c r="B235" s="48" t="s">
        <v>1372</v>
      </c>
      <c r="C235" s="48" t="s">
        <v>1373</v>
      </c>
      <c r="D235" s="48" t="s">
        <v>93</v>
      </c>
      <c r="E235" s="48" t="s">
        <v>124</v>
      </c>
      <c r="F235" s="48" t="s">
        <v>1374</v>
      </c>
      <c r="G235" s="48" t="s">
        <v>640</v>
      </c>
      <c r="H235" s="49">
        <v>0.0875130743</v>
      </c>
      <c r="I235" s="49">
        <v>1067.0</v>
      </c>
      <c r="J235" s="49">
        <v>94521.42</v>
      </c>
      <c r="K235" s="49">
        <v>94521.42</v>
      </c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>
      <c r="A236" s="48" t="s">
        <v>1375</v>
      </c>
      <c r="B236" s="48" t="s">
        <v>1376</v>
      </c>
      <c r="C236" s="48" t="s">
        <v>1377</v>
      </c>
      <c r="D236" s="48" t="s">
        <v>93</v>
      </c>
      <c r="E236" s="48" t="s">
        <v>167</v>
      </c>
      <c r="F236" s="48" t="s">
        <v>622</v>
      </c>
      <c r="G236" s="48" t="s">
        <v>623</v>
      </c>
      <c r="H236" s="49">
        <v>0.0873540077</v>
      </c>
      <c r="I236" s="49">
        <v>263.0</v>
      </c>
      <c r="J236" s="49">
        <v>94349.61</v>
      </c>
      <c r="K236" s="49">
        <v>94349.61</v>
      </c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>
      <c r="A237" s="48" t="s">
        <v>1378</v>
      </c>
      <c r="B237" s="49">
        <v>6639550.0</v>
      </c>
      <c r="C237" s="48" t="s">
        <v>1379</v>
      </c>
      <c r="D237" s="48" t="s">
        <v>93</v>
      </c>
      <c r="E237" s="48" t="s">
        <v>121</v>
      </c>
      <c r="F237" s="48" t="s">
        <v>629</v>
      </c>
      <c r="G237" s="48" t="s">
        <v>630</v>
      </c>
      <c r="H237" s="49">
        <v>0.0872392395</v>
      </c>
      <c r="I237" s="49">
        <v>1450.0</v>
      </c>
      <c r="J237" s="49">
        <v>94225.65</v>
      </c>
      <c r="K237" s="49">
        <v>94225.65</v>
      </c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>
      <c r="A238" s="48" t="s">
        <v>1380</v>
      </c>
      <c r="B238" s="48" t="s">
        <v>1381</v>
      </c>
      <c r="C238" s="48" t="s">
        <v>1382</v>
      </c>
      <c r="D238" s="48" t="s">
        <v>93</v>
      </c>
      <c r="E238" s="48" t="s">
        <v>127</v>
      </c>
      <c r="F238" s="48" t="s">
        <v>629</v>
      </c>
      <c r="G238" s="48" t="s">
        <v>630</v>
      </c>
      <c r="H238" s="49">
        <v>0.0870705663</v>
      </c>
      <c r="I238" s="49">
        <v>1836.0</v>
      </c>
      <c r="J238" s="49">
        <v>94043.47</v>
      </c>
      <c r="K238" s="49">
        <v>94043.47</v>
      </c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>
      <c r="A239" s="48" t="s">
        <v>1383</v>
      </c>
      <c r="B239" s="49">
        <v>6467803.0</v>
      </c>
      <c r="C239" s="48" t="s">
        <v>1384</v>
      </c>
      <c r="D239" s="48" t="s">
        <v>93</v>
      </c>
      <c r="E239" s="48" t="s">
        <v>127</v>
      </c>
      <c r="F239" s="48" t="s">
        <v>629</v>
      </c>
      <c r="G239" s="48" t="s">
        <v>630</v>
      </c>
      <c r="H239" s="49">
        <v>0.0866818846</v>
      </c>
      <c r="I239" s="49">
        <v>1569.0</v>
      </c>
      <c r="J239" s="49">
        <v>93623.66</v>
      </c>
      <c r="K239" s="49">
        <v>93623.66</v>
      </c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>
      <c r="A240" s="48" t="s">
        <v>1385</v>
      </c>
      <c r="B240" s="48" t="s">
        <v>1386</v>
      </c>
      <c r="C240" s="48" t="s">
        <v>1387</v>
      </c>
      <c r="D240" s="48" t="s">
        <v>93</v>
      </c>
      <c r="E240" s="48" t="s">
        <v>118</v>
      </c>
      <c r="F240" s="48" t="s">
        <v>1201</v>
      </c>
      <c r="G240" s="48" t="s">
        <v>640</v>
      </c>
      <c r="H240" s="49">
        <v>0.0857389532</v>
      </c>
      <c r="I240" s="49">
        <v>1571.0</v>
      </c>
      <c r="J240" s="49">
        <v>92605.22</v>
      </c>
      <c r="K240" s="49">
        <v>92605.22</v>
      </c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>
      <c r="A241" s="48" t="s">
        <v>1388</v>
      </c>
      <c r="B241" s="48" t="s">
        <v>1389</v>
      </c>
      <c r="C241" s="48" t="s">
        <v>1390</v>
      </c>
      <c r="D241" s="48" t="s">
        <v>93</v>
      </c>
      <c r="E241" s="48" t="s">
        <v>170</v>
      </c>
      <c r="F241" s="48" t="s">
        <v>918</v>
      </c>
      <c r="G241" s="48" t="s">
        <v>908</v>
      </c>
      <c r="H241" s="49">
        <v>0.085326877</v>
      </c>
      <c r="I241" s="49">
        <v>4675.0</v>
      </c>
      <c r="J241" s="49">
        <v>92160.14</v>
      </c>
      <c r="K241" s="49">
        <v>92160.14</v>
      </c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>
      <c r="A242" s="48" t="s">
        <v>1391</v>
      </c>
      <c r="B242" s="49">
        <v>6513126.0</v>
      </c>
      <c r="C242" s="48" t="s">
        <v>1392</v>
      </c>
      <c r="D242" s="48" t="s">
        <v>93</v>
      </c>
      <c r="E242" s="48" t="s">
        <v>99</v>
      </c>
      <c r="F242" s="48" t="s">
        <v>629</v>
      </c>
      <c r="G242" s="48" t="s">
        <v>630</v>
      </c>
      <c r="H242" s="49">
        <v>0.0849909285</v>
      </c>
      <c r="I242" s="49">
        <v>2382.0</v>
      </c>
      <c r="J242" s="49">
        <v>91797.29</v>
      </c>
      <c r="K242" s="49">
        <v>91797.29</v>
      </c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>
      <c r="A243" s="48" t="s">
        <v>1393</v>
      </c>
      <c r="B243" s="48" t="s">
        <v>1394</v>
      </c>
      <c r="C243" s="48" t="s">
        <v>1395</v>
      </c>
      <c r="D243" s="48" t="s">
        <v>93</v>
      </c>
      <c r="E243" s="48" t="s">
        <v>167</v>
      </c>
      <c r="F243" s="48" t="s">
        <v>622</v>
      </c>
      <c r="G243" s="48" t="s">
        <v>623</v>
      </c>
      <c r="H243" s="49">
        <v>0.0845992299</v>
      </c>
      <c r="I243" s="49">
        <v>210.0</v>
      </c>
      <c r="J243" s="49">
        <v>91374.22</v>
      </c>
      <c r="K243" s="49">
        <v>91374.22</v>
      </c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>
      <c r="A244" s="48" t="s">
        <v>1396</v>
      </c>
      <c r="B244" s="48" t="s">
        <v>1397</v>
      </c>
      <c r="C244" s="48" t="s">
        <v>1398</v>
      </c>
      <c r="D244" s="48" t="s">
        <v>93</v>
      </c>
      <c r="E244" s="48" t="s">
        <v>118</v>
      </c>
      <c r="F244" s="48" t="s">
        <v>622</v>
      </c>
      <c r="G244" s="48" t="s">
        <v>623</v>
      </c>
      <c r="H244" s="49">
        <v>0.0842080795</v>
      </c>
      <c r="I244" s="49">
        <v>1784.0</v>
      </c>
      <c r="J244" s="49">
        <v>90951.75</v>
      </c>
      <c r="K244" s="49">
        <v>90951.75</v>
      </c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>
      <c r="A245" s="48" t="s">
        <v>1399</v>
      </c>
      <c r="B245" s="48" t="s">
        <v>1400</v>
      </c>
      <c r="C245" s="48" t="s">
        <v>1401</v>
      </c>
      <c r="D245" s="48" t="s">
        <v>93</v>
      </c>
      <c r="E245" s="48" t="s">
        <v>167</v>
      </c>
      <c r="F245" s="48" t="s">
        <v>622</v>
      </c>
      <c r="G245" s="48" t="s">
        <v>623</v>
      </c>
      <c r="H245" s="49">
        <v>0.0841580926</v>
      </c>
      <c r="I245" s="49">
        <v>1125.0</v>
      </c>
      <c r="J245" s="49">
        <v>90897.76</v>
      </c>
      <c r="K245" s="49">
        <v>90897.76</v>
      </c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>
      <c r="A246" s="48" t="s">
        <v>1402</v>
      </c>
      <c r="B246" s="49">
        <v>2065955.0</v>
      </c>
      <c r="C246" s="48" t="s">
        <v>1403</v>
      </c>
      <c r="D246" s="48" t="s">
        <v>93</v>
      </c>
      <c r="E246" s="48" t="s">
        <v>118</v>
      </c>
      <c r="F246" s="48" t="s">
        <v>622</v>
      </c>
      <c r="G246" s="48" t="s">
        <v>623</v>
      </c>
      <c r="H246" s="49">
        <v>0.0839957217</v>
      </c>
      <c r="I246" s="49">
        <v>23.0</v>
      </c>
      <c r="J246" s="49">
        <v>90722.38</v>
      </c>
      <c r="K246" s="49">
        <v>90722.38</v>
      </c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>
      <c r="A247" s="48" t="s">
        <v>1404</v>
      </c>
      <c r="B247" s="48" t="s">
        <v>1405</v>
      </c>
      <c r="C247" s="48" t="s">
        <v>1406</v>
      </c>
      <c r="D247" s="48" t="s">
        <v>93</v>
      </c>
      <c r="E247" s="48" t="s">
        <v>127</v>
      </c>
      <c r="F247" s="48" t="s">
        <v>622</v>
      </c>
      <c r="G247" s="48" t="s">
        <v>623</v>
      </c>
      <c r="H247" s="49">
        <v>0.0834392278</v>
      </c>
      <c r="I247" s="49">
        <v>292.0</v>
      </c>
      <c r="J247" s="49">
        <v>90121.32</v>
      </c>
      <c r="K247" s="49">
        <v>90121.32</v>
      </c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>
      <c r="A248" s="48" t="s">
        <v>1407</v>
      </c>
      <c r="B248" s="48" t="s">
        <v>1408</v>
      </c>
      <c r="C248" s="48" t="s">
        <v>1409</v>
      </c>
      <c r="D248" s="48" t="s">
        <v>93</v>
      </c>
      <c r="E248" s="48" t="s">
        <v>127</v>
      </c>
      <c r="F248" s="48" t="s">
        <v>622</v>
      </c>
      <c r="G248" s="48" t="s">
        <v>623</v>
      </c>
      <c r="H248" s="49">
        <v>0.0830817868</v>
      </c>
      <c r="I248" s="49">
        <v>331.0</v>
      </c>
      <c r="J248" s="49">
        <v>89735.26</v>
      </c>
      <c r="K248" s="49">
        <v>89735.26</v>
      </c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>
      <c r="A249" s="48" t="s">
        <v>1410</v>
      </c>
      <c r="B249" s="49">
        <v>2641894.0</v>
      </c>
      <c r="C249" s="48" t="s">
        <v>1411</v>
      </c>
      <c r="D249" s="48" t="s">
        <v>93</v>
      </c>
      <c r="E249" s="48" t="s">
        <v>127</v>
      </c>
      <c r="F249" s="48" t="s">
        <v>622</v>
      </c>
      <c r="G249" s="48" t="s">
        <v>623</v>
      </c>
      <c r="H249" s="49">
        <v>0.0830701559</v>
      </c>
      <c r="I249" s="49">
        <v>286.0</v>
      </c>
      <c r="J249" s="49">
        <v>89722.69</v>
      </c>
      <c r="K249" s="49">
        <v>89722.69</v>
      </c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>
      <c r="A250" s="48" t="s">
        <v>1412</v>
      </c>
      <c r="B250" s="48" t="s">
        <v>1413</v>
      </c>
      <c r="C250" s="48" t="s">
        <v>1414</v>
      </c>
      <c r="D250" s="48" t="s">
        <v>93</v>
      </c>
      <c r="E250" s="48" t="s">
        <v>94</v>
      </c>
      <c r="F250" s="48" t="s">
        <v>654</v>
      </c>
      <c r="G250" s="48" t="s">
        <v>655</v>
      </c>
      <c r="H250" s="49">
        <v>0.0830434344</v>
      </c>
      <c r="I250" s="49">
        <v>217.0</v>
      </c>
      <c r="J250" s="49">
        <v>89693.83</v>
      </c>
      <c r="K250" s="49">
        <v>89693.83</v>
      </c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>
      <c r="A251" s="48" t="s">
        <v>1415</v>
      </c>
      <c r="B251" s="48" t="s">
        <v>1416</v>
      </c>
      <c r="C251" s="48" t="s">
        <v>1417</v>
      </c>
      <c r="D251" s="48" t="s">
        <v>93</v>
      </c>
      <c r="E251" s="48" t="s">
        <v>99</v>
      </c>
      <c r="F251" s="48" t="s">
        <v>1352</v>
      </c>
      <c r="G251" s="48" t="s">
        <v>640</v>
      </c>
      <c r="H251" s="49">
        <v>0.082923688</v>
      </c>
      <c r="I251" s="49">
        <v>2278.0</v>
      </c>
      <c r="J251" s="49">
        <v>89564.5</v>
      </c>
      <c r="K251" s="49">
        <v>89564.5</v>
      </c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>
      <c r="A252" s="48" t="s">
        <v>1418</v>
      </c>
      <c r="B252" s="48" t="s">
        <v>1419</v>
      </c>
      <c r="C252" s="48" t="s">
        <v>1420</v>
      </c>
      <c r="D252" s="48" t="s">
        <v>93</v>
      </c>
      <c r="E252" s="48" t="s">
        <v>121</v>
      </c>
      <c r="F252" s="48" t="s">
        <v>622</v>
      </c>
      <c r="G252" s="48" t="s">
        <v>623</v>
      </c>
      <c r="H252" s="49">
        <v>0.0825317288</v>
      </c>
      <c r="I252" s="49">
        <v>128.0</v>
      </c>
      <c r="J252" s="49">
        <v>89141.15</v>
      </c>
      <c r="K252" s="49">
        <v>89141.15</v>
      </c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>
      <c r="A253" s="48" t="s">
        <v>1421</v>
      </c>
      <c r="B253" s="48" t="s">
        <v>1422</v>
      </c>
      <c r="C253" s="48" t="s">
        <v>1423</v>
      </c>
      <c r="D253" s="48" t="s">
        <v>93</v>
      </c>
      <c r="E253" s="48" t="s">
        <v>115</v>
      </c>
      <c r="F253" s="48" t="s">
        <v>694</v>
      </c>
      <c r="G253" s="48" t="s">
        <v>1003</v>
      </c>
      <c r="H253" s="49">
        <v>0.0824894893</v>
      </c>
      <c r="I253" s="49">
        <v>1671.0</v>
      </c>
      <c r="J253" s="49">
        <v>89095.52</v>
      </c>
      <c r="K253" s="49">
        <v>89095.52</v>
      </c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>
      <c r="A254" s="48" t="s">
        <v>1424</v>
      </c>
      <c r="B254" s="49">
        <v>2138158.0</v>
      </c>
      <c r="C254" s="48" t="s">
        <v>1425</v>
      </c>
      <c r="D254" s="48" t="s">
        <v>93</v>
      </c>
      <c r="E254" s="48" t="s">
        <v>170</v>
      </c>
      <c r="F254" s="48" t="s">
        <v>622</v>
      </c>
      <c r="G254" s="48" t="s">
        <v>623</v>
      </c>
      <c r="H254" s="49">
        <v>0.0824498796</v>
      </c>
      <c r="I254" s="49">
        <v>794.0</v>
      </c>
      <c r="J254" s="49">
        <v>89052.74</v>
      </c>
      <c r="K254" s="49">
        <v>89052.74</v>
      </c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>
      <c r="A255" s="48" t="s">
        <v>1426</v>
      </c>
      <c r="B255" s="49">
        <v>6591014.0</v>
      </c>
      <c r="C255" s="48" t="s">
        <v>1427</v>
      </c>
      <c r="D255" s="48" t="s">
        <v>93</v>
      </c>
      <c r="E255" s="48" t="s">
        <v>99</v>
      </c>
      <c r="F255" s="48" t="s">
        <v>629</v>
      </c>
      <c r="G255" s="48" t="s">
        <v>630</v>
      </c>
      <c r="H255" s="49">
        <v>0.0823777848</v>
      </c>
      <c r="I255" s="49">
        <v>3150.0</v>
      </c>
      <c r="J255" s="49">
        <v>88974.87</v>
      </c>
      <c r="K255" s="49">
        <v>88974.87</v>
      </c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>
      <c r="A256" s="48" t="s">
        <v>1428</v>
      </c>
      <c r="B256" s="48" t="s">
        <v>1429</v>
      </c>
      <c r="C256" s="48" t="s">
        <v>1430</v>
      </c>
      <c r="D256" s="48" t="s">
        <v>93</v>
      </c>
      <c r="E256" s="48" t="s">
        <v>127</v>
      </c>
      <c r="F256" s="48" t="s">
        <v>622</v>
      </c>
      <c r="G256" s="48" t="s">
        <v>623</v>
      </c>
      <c r="H256" s="49">
        <v>0.081989723</v>
      </c>
      <c r="I256" s="49">
        <v>1081.0</v>
      </c>
      <c r="J256" s="49">
        <v>88555.74</v>
      </c>
      <c r="K256" s="49">
        <v>88555.74</v>
      </c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>
      <c r="A257" s="48" t="s">
        <v>1431</v>
      </c>
      <c r="B257" s="49">
        <v>2027342.0</v>
      </c>
      <c r="C257" s="48" t="s">
        <v>1432</v>
      </c>
      <c r="D257" s="48" t="s">
        <v>93</v>
      </c>
      <c r="E257" s="48" t="s">
        <v>99</v>
      </c>
      <c r="F257" s="48" t="s">
        <v>622</v>
      </c>
      <c r="G257" s="48" t="s">
        <v>623</v>
      </c>
      <c r="H257" s="49">
        <v>0.0816870165</v>
      </c>
      <c r="I257" s="49">
        <v>923.0</v>
      </c>
      <c r="J257" s="49">
        <v>88228.79</v>
      </c>
      <c r="K257" s="49">
        <v>88228.79</v>
      </c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>
      <c r="A258" s="48" t="s">
        <v>1433</v>
      </c>
      <c r="B258" s="49">
        <v>2026361.0</v>
      </c>
      <c r="C258" s="48" t="s">
        <v>1434</v>
      </c>
      <c r="D258" s="48" t="s">
        <v>93</v>
      </c>
      <c r="E258" s="48" t="s">
        <v>99</v>
      </c>
      <c r="F258" s="48" t="s">
        <v>622</v>
      </c>
      <c r="G258" s="48" t="s">
        <v>623</v>
      </c>
      <c r="H258" s="49">
        <v>0.0814373271999999</v>
      </c>
      <c r="I258" s="49">
        <v>741.0</v>
      </c>
      <c r="J258" s="49">
        <v>87959.1</v>
      </c>
      <c r="K258" s="49">
        <v>87959.1</v>
      </c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>
      <c r="A259" s="48" t="s">
        <v>1435</v>
      </c>
      <c r="B259" s="49">
        <v>6175203.0</v>
      </c>
      <c r="C259" s="48" t="s">
        <v>1436</v>
      </c>
      <c r="D259" s="48" t="s">
        <v>93</v>
      </c>
      <c r="E259" s="48" t="s">
        <v>99</v>
      </c>
      <c r="F259" s="48" t="s">
        <v>738</v>
      </c>
      <c r="G259" s="48" t="s">
        <v>1437</v>
      </c>
      <c r="H259" s="49">
        <v>0.08136371</v>
      </c>
      <c r="I259" s="49">
        <v>2320.0</v>
      </c>
      <c r="J259" s="49">
        <v>87879.59</v>
      </c>
      <c r="K259" s="49">
        <v>87879.59</v>
      </c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>
      <c r="A260" s="48" t="s">
        <v>1438</v>
      </c>
      <c r="B260" s="49">
        <v>6267359.0</v>
      </c>
      <c r="C260" s="48" t="s">
        <v>1439</v>
      </c>
      <c r="D260" s="48" t="s">
        <v>93</v>
      </c>
      <c r="E260" s="48" t="s">
        <v>99</v>
      </c>
      <c r="F260" s="48" t="s">
        <v>822</v>
      </c>
      <c r="G260" s="48" t="s">
        <v>646</v>
      </c>
      <c r="H260" s="49">
        <v>0.0813283398999999</v>
      </c>
      <c r="I260" s="49">
        <v>1536.0</v>
      </c>
      <c r="J260" s="49">
        <v>87841.39</v>
      </c>
      <c r="K260" s="49">
        <v>87841.39</v>
      </c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>
      <c r="A261" s="48" t="s">
        <v>1440</v>
      </c>
      <c r="B261" s="49">
        <v>7333378.0</v>
      </c>
      <c r="C261" s="48" t="s">
        <v>1441</v>
      </c>
      <c r="D261" s="48" t="s">
        <v>93</v>
      </c>
      <c r="E261" s="48" t="s">
        <v>102</v>
      </c>
      <c r="F261" s="48" t="s">
        <v>654</v>
      </c>
      <c r="G261" s="48" t="s">
        <v>655</v>
      </c>
      <c r="H261" s="49">
        <v>0.0809240508</v>
      </c>
      <c r="I261" s="49">
        <v>119.0</v>
      </c>
      <c r="J261" s="49">
        <v>87404.72</v>
      </c>
      <c r="K261" s="49">
        <v>87404.72</v>
      </c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>
      <c r="A262" s="48" t="s">
        <v>1442</v>
      </c>
      <c r="B262" s="49">
        <v>2065159.0</v>
      </c>
      <c r="C262" s="48" t="s">
        <v>1443</v>
      </c>
      <c r="D262" s="48" t="s">
        <v>93</v>
      </c>
      <c r="E262" s="48" t="s">
        <v>167</v>
      </c>
      <c r="F262" s="48" t="s">
        <v>622</v>
      </c>
      <c r="G262" s="48" t="s">
        <v>623</v>
      </c>
      <c r="H262" s="49">
        <v>0.0806838872</v>
      </c>
      <c r="I262" s="49">
        <v>274.0</v>
      </c>
      <c r="J262" s="49">
        <v>87145.32</v>
      </c>
      <c r="K262" s="49">
        <v>87145.32</v>
      </c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>
      <c r="A263" s="48" t="s">
        <v>1444</v>
      </c>
      <c r="B263" s="49">
        <v>2651086.0</v>
      </c>
      <c r="C263" s="48" t="s">
        <v>1445</v>
      </c>
      <c r="D263" s="48" t="s">
        <v>93</v>
      </c>
      <c r="E263" s="48" t="s">
        <v>94</v>
      </c>
      <c r="F263" s="48" t="s">
        <v>622</v>
      </c>
      <c r="G263" s="48" t="s">
        <v>623</v>
      </c>
      <c r="H263" s="49">
        <v>0.0804736074</v>
      </c>
      <c r="I263" s="49">
        <v>368.0</v>
      </c>
      <c r="J263" s="49">
        <v>86918.2</v>
      </c>
      <c r="K263" s="49">
        <v>86918.2</v>
      </c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>
      <c r="A264" s="48" t="s">
        <v>1446</v>
      </c>
      <c r="B264" s="49">
        <v>2405302.0</v>
      </c>
      <c r="C264" s="48" t="s">
        <v>1447</v>
      </c>
      <c r="D264" s="48" t="s">
        <v>93</v>
      </c>
      <c r="E264" s="48" t="s">
        <v>115</v>
      </c>
      <c r="F264" s="48" t="s">
        <v>622</v>
      </c>
      <c r="G264" s="48" t="s">
        <v>623</v>
      </c>
      <c r="H264" s="49">
        <v>0.0802869935</v>
      </c>
      <c r="I264" s="49">
        <v>1365.0</v>
      </c>
      <c r="J264" s="49">
        <v>86716.65</v>
      </c>
      <c r="K264" s="49">
        <v>86716.65</v>
      </c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>
      <c r="A265" s="48" t="s">
        <v>1448</v>
      </c>
      <c r="B265" s="49">
        <v>2197137.0</v>
      </c>
      <c r="C265" s="48" t="s">
        <v>1449</v>
      </c>
      <c r="D265" s="48" t="s">
        <v>93</v>
      </c>
      <c r="E265" s="48" t="s">
        <v>127</v>
      </c>
      <c r="F265" s="48" t="s">
        <v>622</v>
      </c>
      <c r="G265" s="48" t="s">
        <v>623</v>
      </c>
      <c r="H265" s="49">
        <v>0.0800703932</v>
      </c>
      <c r="I265" s="49">
        <v>110.0</v>
      </c>
      <c r="J265" s="49">
        <v>86482.7</v>
      </c>
      <c r="K265" s="49">
        <v>86482.7</v>
      </c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>
      <c r="A266" s="48" t="s">
        <v>1450</v>
      </c>
      <c r="B266" s="48" t="s">
        <v>1451</v>
      </c>
      <c r="C266" s="48" t="s">
        <v>1452</v>
      </c>
      <c r="D266" s="48" t="s">
        <v>93</v>
      </c>
      <c r="E266" s="48" t="s">
        <v>118</v>
      </c>
      <c r="F266" s="48" t="s">
        <v>918</v>
      </c>
      <c r="G266" s="48" t="s">
        <v>908</v>
      </c>
      <c r="H266" s="49">
        <v>0.0795853484</v>
      </c>
      <c r="I266" s="49">
        <v>2193.0</v>
      </c>
      <c r="J266" s="49">
        <v>85958.81</v>
      </c>
      <c r="K266" s="49">
        <v>85958.81</v>
      </c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>
      <c r="A267" s="48" t="s">
        <v>1453</v>
      </c>
      <c r="B267" s="48" t="s">
        <v>1454</v>
      </c>
      <c r="C267" s="48" t="s">
        <v>1455</v>
      </c>
      <c r="D267" s="48" t="s">
        <v>93</v>
      </c>
      <c r="E267" s="48" t="s">
        <v>127</v>
      </c>
      <c r="F267" s="48" t="s">
        <v>622</v>
      </c>
      <c r="G267" s="48" t="s">
        <v>623</v>
      </c>
      <c r="H267" s="49">
        <v>0.079055431</v>
      </c>
      <c r="I267" s="49">
        <v>65.0</v>
      </c>
      <c r="J267" s="49">
        <v>85386.46</v>
      </c>
      <c r="K267" s="49">
        <v>85386.46</v>
      </c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>
      <c r="A268" s="48" t="s">
        <v>1456</v>
      </c>
      <c r="B268" s="49">
        <v>2665861.0</v>
      </c>
      <c r="C268" s="48" t="s">
        <v>1457</v>
      </c>
      <c r="D268" s="48" t="s">
        <v>93</v>
      </c>
      <c r="E268" s="48" t="s">
        <v>127</v>
      </c>
      <c r="F268" s="48" t="s">
        <v>622</v>
      </c>
      <c r="G268" s="48" t="s">
        <v>623</v>
      </c>
      <c r="H268" s="49">
        <v>0.0787327095</v>
      </c>
      <c r="I268" s="49">
        <v>651.0</v>
      </c>
      <c r="J268" s="49">
        <v>85037.89</v>
      </c>
      <c r="K268" s="49">
        <v>85037.89</v>
      </c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>
      <c r="A269" s="48" t="s">
        <v>1458</v>
      </c>
      <c r="B269" s="48" t="s">
        <v>1459</v>
      </c>
      <c r="C269" s="48" t="s">
        <v>1460</v>
      </c>
      <c r="D269" s="48" t="s">
        <v>93</v>
      </c>
      <c r="E269" s="48" t="s">
        <v>167</v>
      </c>
      <c r="F269" s="48" t="s">
        <v>622</v>
      </c>
      <c r="G269" s="48" t="s">
        <v>623</v>
      </c>
      <c r="H269" s="49">
        <v>0.0782810236</v>
      </c>
      <c r="I269" s="49">
        <v>305.0</v>
      </c>
      <c r="J269" s="49">
        <v>84550.03</v>
      </c>
      <c r="K269" s="49">
        <v>84550.03</v>
      </c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>
      <c r="A270" s="48" t="s">
        <v>1461</v>
      </c>
      <c r="B270" s="48" t="s">
        <v>1462</v>
      </c>
      <c r="C270" s="48" t="s">
        <v>1463</v>
      </c>
      <c r="D270" s="48" t="s">
        <v>93</v>
      </c>
      <c r="E270" s="48" t="s">
        <v>118</v>
      </c>
      <c r="F270" s="48" t="s">
        <v>622</v>
      </c>
      <c r="G270" s="48" t="s">
        <v>640</v>
      </c>
      <c r="H270" s="49">
        <v>0.0781960742</v>
      </c>
      <c r="I270" s="49">
        <v>2799.0</v>
      </c>
      <c r="J270" s="49">
        <v>84458.28</v>
      </c>
      <c r="K270" s="49">
        <v>84458.28</v>
      </c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>
      <c r="A271" s="48" t="s">
        <v>1464</v>
      </c>
      <c r="B271" s="49">
        <v>2304227.0</v>
      </c>
      <c r="C271" s="48" t="s">
        <v>1465</v>
      </c>
      <c r="D271" s="48" t="s">
        <v>93</v>
      </c>
      <c r="E271" s="48" t="s">
        <v>94</v>
      </c>
      <c r="F271" s="48" t="s">
        <v>622</v>
      </c>
      <c r="G271" s="48" t="s">
        <v>623</v>
      </c>
      <c r="H271" s="49">
        <v>0.0779810156</v>
      </c>
      <c r="I271" s="49">
        <v>314.0</v>
      </c>
      <c r="J271" s="49">
        <v>84226.0</v>
      </c>
      <c r="K271" s="49">
        <v>84226.0</v>
      </c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>
      <c r="A272" s="48" t="s">
        <v>1466</v>
      </c>
      <c r="B272" s="49">
        <v>2047317.0</v>
      </c>
      <c r="C272" s="48" t="s">
        <v>1467</v>
      </c>
      <c r="D272" s="48" t="s">
        <v>93</v>
      </c>
      <c r="E272" s="48" t="s">
        <v>124</v>
      </c>
      <c r="F272" s="48" t="s">
        <v>622</v>
      </c>
      <c r="G272" s="48" t="s">
        <v>623</v>
      </c>
      <c r="H272" s="49">
        <v>0.0778576645</v>
      </c>
      <c r="I272" s="49">
        <v>684.0</v>
      </c>
      <c r="J272" s="49">
        <v>84092.77</v>
      </c>
      <c r="K272" s="49">
        <v>84092.77</v>
      </c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>
      <c r="A273" s="48" t="s">
        <v>1468</v>
      </c>
      <c r="B273" s="49">
        <v>2655408.0</v>
      </c>
      <c r="C273" s="48" t="s">
        <v>1469</v>
      </c>
      <c r="D273" s="48" t="s">
        <v>93</v>
      </c>
      <c r="E273" s="48" t="s">
        <v>115</v>
      </c>
      <c r="F273" s="48" t="s">
        <v>622</v>
      </c>
      <c r="G273" s="48" t="s">
        <v>623</v>
      </c>
      <c r="H273" s="49">
        <v>0.0778184138</v>
      </c>
      <c r="I273" s="49">
        <v>862.0</v>
      </c>
      <c r="J273" s="49">
        <v>84050.37</v>
      </c>
      <c r="K273" s="49">
        <v>84050.37</v>
      </c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>
      <c r="A274" s="48" t="s">
        <v>1470</v>
      </c>
      <c r="B274" s="49">
        <v>2567116.0</v>
      </c>
      <c r="C274" s="48" t="s">
        <v>1471</v>
      </c>
      <c r="D274" s="48" t="s">
        <v>93</v>
      </c>
      <c r="E274" s="48" t="s">
        <v>102</v>
      </c>
      <c r="F274" s="48" t="s">
        <v>622</v>
      </c>
      <c r="G274" s="48" t="s">
        <v>623</v>
      </c>
      <c r="H274" s="49">
        <v>0.077777316</v>
      </c>
      <c r="I274" s="49">
        <v>768.0</v>
      </c>
      <c r="J274" s="49">
        <v>84005.99</v>
      </c>
      <c r="K274" s="49">
        <v>84005.99</v>
      </c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>
      <c r="A275" s="48" t="s">
        <v>1472</v>
      </c>
      <c r="B275" s="48" t="s">
        <v>1473</v>
      </c>
      <c r="C275" s="48" t="s">
        <v>1474</v>
      </c>
      <c r="D275" s="48" t="s">
        <v>93</v>
      </c>
      <c r="E275" s="48" t="s">
        <v>99</v>
      </c>
      <c r="F275" s="48" t="s">
        <v>622</v>
      </c>
      <c r="G275" s="48" t="s">
        <v>623</v>
      </c>
      <c r="H275" s="49">
        <v>0.0773751841</v>
      </c>
      <c r="I275" s="49">
        <v>159.0</v>
      </c>
      <c r="J275" s="49">
        <v>83571.65</v>
      </c>
      <c r="K275" s="49">
        <v>83571.65</v>
      </c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>
      <c r="A276" s="48" t="s">
        <v>1475</v>
      </c>
      <c r="B276" s="48" t="s">
        <v>1476</v>
      </c>
      <c r="C276" s="48" t="s">
        <v>1477</v>
      </c>
      <c r="D276" s="48" t="s">
        <v>93</v>
      </c>
      <c r="E276" s="48" t="s">
        <v>133</v>
      </c>
      <c r="F276" s="48" t="s">
        <v>622</v>
      </c>
      <c r="G276" s="48" t="s">
        <v>623</v>
      </c>
      <c r="H276" s="49">
        <v>0.0773377083</v>
      </c>
      <c r="I276" s="49">
        <v>640.0</v>
      </c>
      <c r="J276" s="49">
        <v>83531.17</v>
      </c>
      <c r="K276" s="49">
        <v>83531.17</v>
      </c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>
      <c r="A277" s="48" t="s">
        <v>1478</v>
      </c>
      <c r="B277" s="48" t="s">
        <v>1479</v>
      </c>
      <c r="C277" s="48" t="s">
        <v>1480</v>
      </c>
      <c r="D277" s="48" t="s">
        <v>93</v>
      </c>
      <c r="E277" s="48" t="s">
        <v>118</v>
      </c>
      <c r="F277" s="48" t="s">
        <v>622</v>
      </c>
      <c r="G277" s="48" t="s">
        <v>623</v>
      </c>
      <c r="H277" s="49">
        <v>0.0770036446</v>
      </c>
      <c r="I277" s="49">
        <v>139.0</v>
      </c>
      <c r="J277" s="49">
        <v>83170.36</v>
      </c>
      <c r="K277" s="49">
        <v>83170.36</v>
      </c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>
      <c r="A278" s="48" t="s">
        <v>1481</v>
      </c>
      <c r="B278" s="48" t="s">
        <v>1482</v>
      </c>
      <c r="C278" s="48" t="s">
        <v>1483</v>
      </c>
      <c r="D278" s="48" t="s">
        <v>93</v>
      </c>
      <c r="E278" s="48" t="s">
        <v>99</v>
      </c>
      <c r="F278" s="48" t="s">
        <v>622</v>
      </c>
      <c r="G278" s="48" t="s">
        <v>623</v>
      </c>
      <c r="H278" s="49">
        <v>0.0766063757</v>
      </c>
      <c r="I278" s="49">
        <v>1230.0</v>
      </c>
      <c r="J278" s="49">
        <v>82741.27</v>
      </c>
      <c r="K278" s="49">
        <v>82741.27</v>
      </c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>
      <c r="A279" s="48" t="s">
        <v>1484</v>
      </c>
      <c r="B279" s="48" t="s">
        <v>1485</v>
      </c>
      <c r="C279" s="48" t="s">
        <v>1486</v>
      </c>
      <c r="D279" s="48" t="s">
        <v>93</v>
      </c>
      <c r="E279" s="48" t="s">
        <v>167</v>
      </c>
      <c r="F279" s="48" t="s">
        <v>622</v>
      </c>
      <c r="G279" s="48" t="s">
        <v>623</v>
      </c>
      <c r="H279" s="49">
        <v>0.076344969</v>
      </c>
      <c r="I279" s="49">
        <v>355.0</v>
      </c>
      <c r="J279" s="49">
        <v>82458.93</v>
      </c>
      <c r="K279" s="49">
        <v>82458.93</v>
      </c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>
      <c r="A280" s="48" t="s">
        <v>1487</v>
      </c>
      <c r="B280" s="49">
        <v>2852533.0</v>
      </c>
      <c r="C280" s="48" t="s">
        <v>1488</v>
      </c>
      <c r="D280" s="48" t="s">
        <v>93</v>
      </c>
      <c r="E280" s="48" t="s">
        <v>133</v>
      </c>
      <c r="F280" s="48" t="s">
        <v>622</v>
      </c>
      <c r="G280" s="48" t="s">
        <v>623</v>
      </c>
      <c r="H280" s="49">
        <v>0.076326931</v>
      </c>
      <c r="I280" s="49">
        <v>201.0</v>
      </c>
      <c r="J280" s="49">
        <v>82439.45</v>
      </c>
      <c r="K280" s="49">
        <v>82439.45</v>
      </c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>
      <c r="A281" s="48" t="s">
        <v>1489</v>
      </c>
      <c r="B281" s="49">
        <v>2573209.0</v>
      </c>
      <c r="C281" s="48" t="s">
        <v>1490</v>
      </c>
      <c r="D281" s="48" t="s">
        <v>93</v>
      </c>
      <c r="E281" s="48" t="s">
        <v>99</v>
      </c>
      <c r="F281" s="48" t="s">
        <v>622</v>
      </c>
      <c r="G281" s="48" t="s">
        <v>623</v>
      </c>
      <c r="H281" s="49">
        <v>0.0757070587</v>
      </c>
      <c r="I281" s="49">
        <v>811.0</v>
      </c>
      <c r="J281" s="49">
        <v>81769.93</v>
      </c>
      <c r="K281" s="49">
        <v>81769.93</v>
      </c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>
      <c r="A282" s="48" t="s">
        <v>1491</v>
      </c>
      <c r="B282" s="48" t="s">
        <v>1492</v>
      </c>
      <c r="C282" s="48" t="s">
        <v>1493</v>
      </c>
      <c r="D282" s="48" t="s">
        <v>93</v>
      </c>
      <c r="E282" s="48" t="s">
        <v>167</v>
      </c>
      <c r="F282" s="48" t="s">
        <v>694</v>
      </c>
      <c r="G282" s="48" t="s">
        <v>1003</v>
      </c>
      <c r="H282" s="49">
        <v>0.0755953316</v>
      </c>
      <c r="I282" s="49">
        <v>26.0</v>
      </c>
      <c r="J282" s="49">
        <v>81649.26</v>
      </c>
      <c r="K282" s="49">
        <v>81649.26</v>
      </c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>
      <c r="A283" s="48" t="s">
        <v>1494</v>
      </c>
      <c r="B283" s="49">
        <v>2023748.0</v>
      </c>
      <c r="C283" s="48" t="s">
        <v>1495</v>
      </c>
      <c r="D283" s="48" t="s">
        <v>93</v>
      </c>
      <c r="E283" s="48" t="s">
        <v>115</v>
      </c>
      <c r="F283" s="48" t="s">
        <v>622</v>
      </c>
      <c r="G283" s="48" t="s">
        <v>623</v>
      </c>
      <c r="H283" s="49">
        <v>0.0755759152</v>
      </c>
      <c r="I283" s="49">
        <v>347.0</v>
      </c>
      <c r="J283" s="49">
        <v>81628.29</v>
      </c>
      <c r="K283" s="49">
        <v>81628.29</v>
      </c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>
      <c r="A284" s="48" t="s">
        <v>1496</v>
      </c>
      <c r="B284" s="49">
        <v>2491839.0</v>
      </c>
      <c r="C284" s="48" t="s">
        <v>1497</v>
      </c>
      <c r="D284" s="48" t="s">
        <v>93</v>
      </c>
      <c r="E284" s="48" t="s">
        <v>124</v>
      </c>
      <c r="F284" s="48" t="s">
        <v>622</v>
      </c>
      <c r="G284" s="48" t="s">
        <v>623</v>
      </c>
      <c r="H284" s="49">
        <v>0.0755617013</v>
      </c>
      <c r="I284" s="49">
        <v>418.0</v>
      </c>
      <c r="J284" s="49">
        <v>81612.94</v>
      </c>
      <c r="K284" s="49">
        <v>81612.94</v>
      </c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>
      <c r="A285" s="48" t="s">
        <v>1498</v>
      </c>
      <c r="B285" s="49">
        <v>2592174.0</v>
      </c>
      <c r="C285" s="48" t="s">
        <v>1499</v>
      </c>
      <c r="D285" s="48" t="s">
        <v>93</v>
      </c>
      <c r="E285" s="48" t="s">
        <v>167</v>
      </c>
      <c r="F285" s="48" t="s">
        <v>622</v>
      </c>
      <c r="G285" s="48" t="s">
        <v>623</v>
      </c>
      <c r="H285" s="49">
        <v>0.0752136256</v>
      </c>
      <c r="I285" s="49">
        <v>685.0</v>
      </c>
      <c r="J285" s="49">
        <v>81236.99</v>
      </c>
      <c r="K285" s="49">
        <v>81236.99</v>
      </c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>
      <c r="A286" s="48" t="s">
        <v>1500</v>
      </c>
      <c r="B286" s="49">
        <v>4076836.0</v>
      </c>
      <c r="C286" s="48" t="s">
        <v>1501</v>
      </c>
      <c r="D286" s="48" t="s">
        <v>93</v>
      </c>
      <c r="E286" s="48" t="s">
        <v>99</v>
      </c>
      <c r="F286" s="48" t="s">
        <v>1352</v>
      </c>
      <c r="G286" s="48" t="s">
        <v>640</v>
      </c>
      <c r="H286" s="49">
        <v>0.0751463843999999</v>
      </c>
      <c r="I286" s="49">
        <v>19596.0</v>
      </c>
      <c r="J286" s="49">
        <v>81164.36</v>
      </c>
      <c r="K286" s="49">
        <v>81164.36</v>
      </c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>
      <c r="A287" s="48" t="s">
        <v>1502</v>
      </c>
      <c r="B287" s="49">
        <v>6770620.0</v>
      </c>
      <c r="C287" s="48" t="s">
        <v>1503</v>
      </c>
      <c r="D287" s="48" t="s">
        <v>93</v>
      </c>
      <c r="E287" s="48" t="s">
        <v>121</v>
      </c>
      <c r="F287" s="48" t="s">
        <v>629</v>
      </c>
      <c r="G287" s="48" t="s">
        <v>630</v>
      </c>
      <c r="H287" s="49">
        <v>0.0751313989</v>
      </c>
      <c r="I287" s="49">
        <v>1228.0</v>
      </c>
      <c r="J287" s="49">
        <v>81148.17</v>
      </c>
      <c r="K287" s="49">
        <v>81148.17</v>
      </c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>
      <c r="A288" s="48" t="s">
        <v>1504</v>
      </c>
      <c r="B288" s="49">
        <v>2026242.0</v>
      </c>
      <c r="C288" s="48" t="s">
        <v>1505</v>
      </c>
      <c r="D288" s="48" t="s">
        <v>93</v>
      </c>
      <c r="E288" s="48" t="s">
        <v>170</v>
      </c>
      <c r="F288" s="48" t="s">
        <v>622</v>
      </c>
      <c r="G288" s="48" t="s">
        <v>623</v>
      </c>
      <c r="H288" s="49">
        <v>0.0749255227</v>
      </c>
      <c r="I288" s="49">
        <v>650.0</v>
      </c>
      <c r="J288" s="49">
        <v>80925.81</v>
      </c>
      <c r="K288" s="49">
        <v>80925.81</v>
      </c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>
      <c r="A289" s="48" t="s">
        <v>1506</v>
      </c>
      <c r="B289" s="49">
        <v>5086577.0</v>
      </c>
      <c r="C289" s="48" t="s">
        <v>1507</v>
      </c>
      <c r="D289" s="48" t="s">
        <v>93</v>
      </c>
      <c r="E289" s="48" t="s">
        <v>94</v>
      </c>
      <c r="F289" s="48" t="s">
        <v>649</v>
      </c>
      <c r="G289" s="48" t="s">
        <v>640</v>
      </c>
      <c r="H289" s="49">
        <v>0.0744806152</v>
      </c>
      <c r="I289" s="49">
        <v>1114.0</v>
      </c>
      <c r="J289" s="49">
        <v>80445.27</v>
      </c>
      <c r="K289" s="49">
        <v>80445.27</v>
      </c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>
      <c r="A290" s="48" t="s">
        <v>1508</v>
      </c>
      <c r="B290" s="48" t="s">
        <v>1509</v>
      </c>
      <c r="C290" s="48" t="s">
        <v>1510</v>
      </c>
      <c r="D290" s="48" t="s">
        <v>93</v>
      </c>
      <c r="E290" s="48" t="s">
        <v>133</v>
      </c>
      <c r="F290" s="48" t="s">
        <v>622</v>
      </c>
      <c r="G290" s="48" t="s">
        <v>623</v>
      </c>
      <c r="H290" s="49">
        <v>0.0741343038999999</v>
      </c>
      <c r="I290" s="49">
        <v>553.0</v>
      </c>
      <c r="J290" s="49">
        <v>80071.23</v>
      </c>
      <c r="K290" s="49">
        <v>80071.23</v>
      </c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>
      <c r="A291" s="48" t="s">
        <v>1511</v>
      </c>
      <c r="B291" s="48" t="s">
        <v>1512</v>
      </c>
      <c r="C291" s="48" t="s">
        <v>1513</v>
      </c>
      <c r="D291" s="48" t="s">
        <v>93</v>
      </c>
      <c r="E291" s="48" t="s">
        <v>167</v>
      </c>
      <c r="F291" s="48" t="s">
        <v>622</v>
      </c>
      <c r="G291" s="48" t="s">
        <v>623</v>
      </c>
      <c r="H291" s="49">
        <v>0.0739646888999999</v>
      </c>
      <c r="I291" s="49">
        <v>872.0</v>
      </c>
      <c r="J291" s="49">
        <v>79888.03</v>
      </c>
      <c r="K291" s="49">
        <v>79888.03</v>
      </c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>
      <c r="A292" s="48" t="s">
        <v>1514</v>
      </c>
      <c r="B292" s="48" t="s">
        <v>1515</v>
      </c>
      <c r="C292" s="48" t="s">
        <v>1516</v>
      </c>
      <c r="D292" s="48" t="s">
        <v>93</v>
      </c>
      <c r="E292" s="48" t="s">
        <v>99</v>
      </c>
      <c r="F292" s="48" t="s">
        <v>622</v>
      </c>
      <c r="G292" s="48" t="s">
        <v>623</v>
      </c>
      <c r="H292" s="49">
        <v>0.073870545</v>
      </c>
      <c r="I292" s="49">
        <v>834.0</v>
      </c>
      <c r="J292" s="49">
        <v>79786.35</v>
      </c>
      <c r="K292" s="49">
        <v>79786.35</v>
      </c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>
      <c r="A293" s="48" t="s">
        <v>1517</v>
      </c>
      <c r="B293" s="49">
        <v>2170473.0</v>
      </c>
      <c r="C293" s="48" t="s">
        <v>1518</v>
      </c>
      <c r="D293" s="48" t="s">
        <v>93</v>
      </c>
      <c r="E293" s="48" t="s">
        <v>124</v>
      </c>
      <c r="F293" s="48" t="s">
        <v>622</v>
      </c>
      <c r="G293" s="48" t="s">
        <v>623</v>
      </c>
      <c r="H293" s="49">
        <v>0.0736491971</v>
      </c>
      <c r="I293" s="49">
        <v>199.0</v>
      </c>
      <c r="J293" s="49">
        <v>79547.27</v>
      </c>
      <c r="K293" s="49">
        <v>79547.27</v>
      </c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>
      <c r="A294" s="48" t="s">
        <v>1519</v>
      </c>
      <c r="B294" s="48" t="s">
        <v>1520</v>
      </c>
      <c r="C294" s="48" t="s">
        <v>1521</v>
      </c>
      <c r="D294" s="48" t="s">
        <v>93</v>
      </c>
      <c r="E294" s="48" t="s">
        <v>99</v>
      </c>
      <c r="F294" s="48" t="s">
        <v>622</v>
      </c>
      <c r="G294" s="48" t="s">
        <v>623</v>
      </c>
      <c r="H294" s="49">
        <v>0.0736333958</v>
      </c>
      <c r="I294" s="49">
        <v>99.0</v>
      </c>
      <c r="J294" s="49">
        <v>79530.21</v>
      </c>
      <c r="K294" s="49">
        <v>79530.21</v>
      </c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>
      <c r="A295" s="48" t="s">
        <v>1522</v>
      </c>
      <c r="B295" s="49">
        <v>2967181.0</v>
      </c>
      <c r="C295" s="48" t="s">
        <v>1523</v>
      </c>
      <c r="D295" s="48" t="s">
        <v>93</v>
      </c>
      <c r="E295" s="48" t="s">
        <v>115</v>
      </c>
      <c r="F295" s="48" t="s">
        <v>622</v>
      </c>
      <c r="G295" s="48" t="s">
        <v>623</v>
      </c>
      <c r="H295" s="49">
        <v>0.073611274</v>
      </c>
      <c r="I295" s="49">
        <v>1525.0</v>
      </c>
      <c r="J295" s="49">
        <v>79506.31</v>
      </c>
      <c r="K295" s="49">
        <v>79506.31</v>
      </c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>
      <c r="A296" s="48" t="s">
        <v>1524</v>
      </c>
      <c r="B296" s="49">
        <v>2542049.0</v>
      </c>
      <c r="C296" s="48" t="s">
        <v>1525</v>
      </c>
      <c r="D296" s="48" t="s">
        <v>93</v>
      </c>
      <c r="E296" s="48" t="s">
        <v>170</v>
      </c>
      <c r="F296" s="48" t="s">
        <v>622</v>
      </c>
      <c r="G296" s="48" t="s">
        <v>623</v>
      </c>
      <c r="H296" s="49">
        <v>0.0731042762999999</v>
      </c>
      <c r="I296" s="49">
        <v>1069.0</v>
      </c>
      <c r="J296" s="49">
        <v>78958.71</v>
      </c>
      <c r="K296" s="49">
        <v>78958.71</v>
      </c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>
      <c r="A297" s="48" t="s">
        <v>1526</v>
      </c>
      <c r="B297" s="49">
        <v>2689560.0</v>
      </c>
      <c r="C297" s="48" t="s">
        <v>1527</v>
      </c>
      <c r="D297" s="48" t="s">
        <v>93</v>
      </c>
      <c r="E297" s="48" t="s">
        <v>170</v>
      </c>
      <c r="F297" s="48" t="s">
        <v>622</v>
      </c>
      <c r="G297" s="48" t="s">
        <v>623</v>
      </c>
      <c r="H297" s="49">
        <v>0.0729174459</v>
      </c>
      <c r="I297" s="49">
        <v>2931.0</v>
      </c>
      <c r="J297" s="49">
        <v>78756.92</v>
      </c>
      <c r="K297" s="49">
        <v>78756.92</v>
      </c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>
      <c r="A298" s="48" t="s">
        <v>1528</v>
      </c>
      <c r="B298" s="49">
        <v>2614807.0</v>
      </c>
      <c r="C298" s="48" t="s">
        <v>1529</v>
      </c>
      <c r="D298" s="48" t="s">
        <v>93</v>
      </c>
      <c r="E298" s="48" t="s">
        <v>170</v>
      </c>
      <c r="F298" s="48" t="s">
        <v>622</v>
      </c>
      <c r="G298" s="48" t="s">
        <v>623</v>
      </c>
      <c r="H298" s="49">
        <v>0.0725774946</v>
      </c>
      <c r="I298" s="49">
        <v>847.0</v>
      </c>
      <c r="J298" s="49">
        <v>78389.74</v>
      </c>
      <c r="K298" s="49">
        <v>78389.74</v>
      </c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>
      <c r="A299" s="48" t="s">
        <v>1530</v>
      </c>
      <c r="B299" s="48" t="s">
        <v>1531</v>
      </c>
      <c r="C299" s="48" t="s">
        <v>1532</v>
      </c>
      <c r="D299" s="48" t="s">
        <v>93</v>
      </c>
      <c r="E299" s="48" t="s">
        <v>124</v>
      </c>
      <c r="F299" s="48" t="s">
        <v>694</v>
      </c>
      <c r="G299" s="48" t="s">
        <v>1003</v>
      </c>
      <c r="H299" s="49">
        <v>0.0723649367</v>
      </c>
      <c r="I299" s="49">
        <v>957.0</v>
      </c>
      <c r="J299" s="49">
        <v>78160.16</v>
      </c>
      <c r="K299" s="49">
        <v>78160.16</v>
      </c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>
      <c r="A300" s="48" t="s">
        <v>1533</v>
      </c>
      <c r="B300" s="49">
        <v>2670519.0</v>
      </c>
      <c r="C300" s="48" t="s">
        <v>1534</v>
      </c>
      <c r="D300" s="48" t="s">
        <v>93</v>
      </c>
      <c r="E300" s="48" t="s">
        <v>170</v>
      </c>
      <c r="F300" s="48" t="s">
        <v>622</v>
      </c>
      <c r="G300" s="48" t="s">
        <v>623</v>
      </c>
      <c r="H300" s="49">
        <v>0.0722227376</v>
      </c>
      <c r="I300" s="49">
        <v>1237.0</v>
      </c>
      <c r="J300" s="49">
        <v>78006.58</v>
      </c>
      <c r="K300" s="49">
        <v>78006.58</v>
      </c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>
      <c r="A301" s="48" t="s">
        <v>1535</v>
      </c>
      <c r="B301" s="49">
        <v>2583576.0</v>
      </c>
      <c r="C301" s="48" t="s">
        <v>1536</v>
      </c>
      <c r="D301" s="48" t="s">
        <v>93</v>
      </c>
      <c r="E301" s="48" t="s">
        <v>167</v>
      </c>
      <c r="F301" s="48" t="s">
        <v>622</v>
      </c>
      <c r="G301" s="48" t="s">
        <v>623</v>
      </c>
      <c r="H301" s="49">
        <v>0.0720373791</v>
      </c>
      <c r="I301" s="49">
        <v>549.0</v>
      </c>
      <c r="J301" s="49">
        <v>77806.37</v>
      </c>
      <c r="K301" s="49">
        <v>77806.37</v>
      </c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>
      <c r="A302" s="48" t="s">
        <v>1537</v>
      </c>
      <c r="B302" s="49">
        <v>2746711.0</v>
      </c>
      <c r="C302" s="48" t="s">
        <v>1538</v>
      </c>
      <c r="D302" s="48" t="s">
        <v>93</v>
      </c>
      <c r="E302" s="48" t="s">
        <v>118</v>
      </c>
      <c r="F302" s="48" t="s">
        <v>622</v>
      </c>
      <c r="G302" s="48" t="s">
        <v>623</v>
      </c>
      <c r="H302" s="49">
        <v>0.0716672394</v>
      </c>
      <c r="I302" s="49">
        <v>439.0</v>
      </c>
      <c r="J302" s="49">
        <v>77406.59</v>
      </c>
      <c r="K302" s="49">
        <v>77406.59</v>
      </c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>
      <c r="A303" s="48" t="s">
        <v>1539</v>
      </c>
      <c r="B303" s="49">
        <v>6332439.0</v>
      </c>
      <c r="C303" s="48" t="s">
        <v>1540</v>
      </c>
      <c r="D303" s="48" t="s">
        <v>93</v>
      </c>
      <c r="E303" s="48" t="s">
        <v>118</v>
      </c>
      <c r="F303" s="48" t="s">
        <v>629</v>
      </c>
      <c r="G303" s="48" t="s">
        <v>630</v>
      </c>
      <c r="H303" s="49">
        <v>0.0711442972</v>
      </c>
      <c r="I303" s="49">
        <v>212.0</v>
      </c>
      <c r="J303" s="49">
        <v>76841.77</v>
      </c>
      <c r="K303" s="49">
        <v>76841.77</v>
      </c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>
      <c r="A304" s="48" t="s">
        <v>1541</v>
      </c>
      <c r="B304" s="49">
        <v>2656423.0</v>
      </c>
      <c r="C304" s="48" t="s">
        <v>1542</v>
      </c>
      <c r="D304" s="48" t="s">
        <v>93</v>
      </c>
      <c r="E304" s="48" t="s">
        <v>127</v>
      </c>
      <c r="F304" s="48" t="s">
        <v>622</v>
      </c>
      <c r="G304" s="48" t="s">
        <v>623</v>
      </c>
      <c r="H304" s="49">
        <v>0.071020642</v>
      </c>
      <c r="I304" s="49">
        <v>123.0</v>
      </c>
      <c r="J304" s="49">
        <v>76708.21</v>
      </c>
      <c r="K304" s="49">
        <v>76708.21</v>
      </c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>
      <c r="A305" s="48" t="s">
        <v>1543</v>
      </c>
      <c r="B305" s="49">
        <v>6640381.0</v>
      </c>
      <c r="C305" s="48" t="s">
        <v>1544</v>
      </c>
      <c r="D305" s="48" t="s">
        <v>93</v>
      </c>
      <c r="E305" s="48" t="s">
        <v>118</v>
      </c>
      <c r="F305" s="48" t="s">
        <v>629</v>
      </c>
      <c r="G305" s="48" t="s">
        <v>630</v>
      </c>
      <c r="H305" s="49">
        <v>0.0709289821999999</v>
      </c>
      <c r="I305" s="49">
        <v>707.0</v>
      </c>
      <c r="J305" s="49">
        <v>76609.21</v>
      </c>
      <c r="K305" s="49">
        <v>76609.21</v>
      </c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>
      <c r="A306" s="48" t="s">
        <v>1545</v>
      </c>
      <c r="B306" s="49">
        <v>263494.0</v>
      </c>
      <c r="C306" s="48" t="s">
        <v>1546</v>
      </c>
      <c r="D306" s="48" t="s">
        <v>93</v>
      </c>
      <c r="E306" s="48" t="s">
        <v>127</v>
      </c>
      <c r="F306" s="48" t="s">
        <v>918</v>
      </c>
      <c r="G306" s="48" t="s">
        <v>908</v>
      </c>
      <c r="H306" s="49">
        <v>0.07068681</v>
      </c>
      <c r="I306" s="49">
        <v>3871.0</v>
      </c>
      <c r="J306" s="49">
        <v>76347.65</v>
      </c>
      <c r="K306" s="49">
        <v>76347.65</v>
      </c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>
      <c r="A307" s="48" t="s">
        <v>1547</v>
      </c>
      <c r="B307" s="48" t="s">
        <v>1548</v>
      </c>
      <c r="C307" s="48" t="s">
        <v>1549</v>
      </c>
      <c r="D307" s="48" t="s">
        <v>93</v>
      </c>
      <c r="E307" s="48" t="s">
        <v>102</v>
      </c>
      <c r="F307" s="48" t="s">
        <v>654</v>
      </c>
      <c r="G307" s="48" t="s">
        <v>655</v>
      </c>
      <c r="H307" s="49">
        <v>0.0706339537</v>
      </c>
      <c r="I307" s="49">
        <v>624.0</v>
      </c>
      <c r="J307" s="49">
        <v>76290.56</v>
      </c>
      <c r="K307" s="49">
        <v>76290.56</v>
      </c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>
      <c r="A308" s="48" t="s">
        <v>1550</v>
      </c>
      <c r="B308" s="48" t="s">
        <v>1551</v>
      </c>
      <c r="C308" s="48" t="s">
        <v>1552</v>
      </c>
      <c r="D308" s="48" t="s">
        <v>93</v>
      </c>
      <c r="E308" s="48" t="s">
        <v>99</v>
      </c>
      <c r="F308" s="48" t="s">
        <v>622</v>
      </c>
      <c r="G308" s="48" t="s">
        <v>623</v>
      </c>
      <c r="H308" s="49">
        <v>0.0698532948</v>
      </c>
      <c r="I308" s="49">
        <v>1719.0</v>
      </c>
      <c r="J308" s="49">
        <v>75447.38</v>
      </c>
      <c r="K308" s="49">
        <v>75447.38</v>
      </c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>
      <c r="A309" s="48" t="s">
        <v>1553</v>
      </c>
      <c r="B309" s="49">
        <v>2769503.0</v>
      </c>
      <c r="C309" s="48" t="s">
        <v>1554</v>
      </c>
      <c r="D309" s="48" t="s">
        <v>93</v>
      </c>
      <c r="E309" s="48" t="s">
        <v>99</v>
      </c>
      <c r="F309" s="48" t="s">
        <v>622</v>
      </c>
      <c r="G309" s="48" t="s">
        <v>623</v>
      </c>
      <c r="H309" s="49">
        <v>0.0698302495</v>
      </c>
      <c r="I309" s="49">
        <v>287.0</v>
      </c>
      <c r="J309" s="49">
        <v>75422.49</v>
      </c>
      <c r="K309" s="49">
        <v>75422.49</v>
      </c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>
      <c r="A310" s="48" t="s">
        <v>1555</v>
      </c>
      <c r="B310" s="49">
        <v>2654364.0</v>
      </c>
      <c r="C310" s="48" t="s">
        <v>1556</v>
      </c>
      <c r="D310" s="48" t="s">
        <v>93</v>
      </c>
      <c r="E310" s="48" t="s">
        <v>115</v>
      </c>
      <c r="F310" s="48" t="s">
        <v>622</v>
      </c>
      <c r="G310" s="48" t="s">
        <v>623</v>
      </c>
      <c r="H310" s="49">
        <v>0.0696849786</v>
      </c>
      <c r="I310" s="49">
        <v>304.0</v>
      </c>
      <c r="J310" s="49">
        <v>75265.59</v>
      </c>
      <c r="K310" s="49">
        <v>75265.59</v>
      </c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>
      <c r="A311" s="48" t="s">
        <v>1557</v>
      </c>
      <c r="B311" s="49">
        <v>2807061.0</v>
      </c>
      <c r="C311" s="48" t="s">
        <v>1558</v>
      </c>
      <c r="D311" s="48" t="s">
        <v>93</v>
      </c>
      <c r="E311" s="48" t="s">
        <v>102</v>
      </c>
      <c r="F311" s="48" t="s">
        <v>622</v>
      </c>
      <c r="G311" s="48" t="s">
        <v>623</v>
      </c>
      <c r="H311" s="49">
        <v>0.0695418579</v>
      </c>
      <c r="I311" s="49">
        <v>693.0</v>
      </c>
      <c r="J311" s="49">
        <v>75111.0</v>
      </c>
      <c r="K311" s="49">
        <v>75111.0</v>
      </c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>
      <c r="A312" s="48" t="s">
        <v>1559</v>
      </c>
      <c r="B312" s="48" t="s">
        <v>1560</v>
      </c>
      <c r="C312" s="48" t="s">
        <v>1561</v>
      </c>
      <c r="D312" s="48" t="s">
        <v>93</v>
      </c>
      <c r="E312" s="48" t="s">
        <v>127</v>
      </c>
      <c r="F312" s="48" t="s">
        <v>622</v>
      </c>
      <c r="G312" s="48" t="s">
        <v>623</v>
      </c>
      <c r="H312" s="49">
        <v>0.069245977</v>
      </c>
      <c r="I312" s="49">
        <v>869.0</v>
      </c>
      <c r="J312" s="49">
        <v>74791.43</v>
      </c>
      <c r="K312" s="49">
        <v>74791.43</v>
      </c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>
      <c r="A313" s="48" t="s">
        <v>1562</v>
      </c>
      <c r="B313" s="48" t="s">
        <v>1563</v>
      </c>
      <c r="C313" s="48" t="s">
        <v>1564</v>
      </c>
      <c r="D313" s="48" t="s">
        <v>93</v>
      </c>
      <c r="E313" s="48" t="s">
        <v>118</v>
      </c>
      <c r="F313" s="48" t="s">
        <v>1352</v>
      </c>
      <c r="G313" s="48" t="s">
        <v>640</v>
      </c>
      <c r="H313" s="49">
        <v>0.0690709886</v>
      </c>
      <c r="I313" s="49">
        <v>164.0</v>
      </c>
      <c r="J313" s="49">
        <v>74602.43</v>
      </c>
      <c r="K313" s="49">
        <v>74602.43</v>
      </c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>
      <c r="A314" s="48" t="s">
        <v>1565</v>
      </c>
      <c r="B314" s="48" t="s">
        <v>1566</v>
      </c>
      <c r="C314" s="48" t="s">
        <v>1567</v>
      </c>
      <c r="D314" s="48" t="s">
        <v>93</v>
      </c>
      <c r="E314" s="48" t="s">
        <v>167</v>
      </c>
      <c r="F314" s="48" t="s">
        <v>622</v>
      </c>
      <c r="G314" s="48" t="s">
        <v>623</v>
      </c>
      <c r="H314" s="49">
        <v>0.0689908187</v>
      </c>
      <c r="I314" s="49">
        <v>388.0</v>
      </c>
      <c r="J314" s="49">
        <v>74515.84</v>
      </c>
      <c r="K314" s="49">
        <v>74515.84</v>
      </c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>
      <c r="A315" s="48" t="s">
        <v>1568</v>
      </c>
      <c r="B315" s="49">
        <v>2367026.0</v>
      </c>
      <c r="C315" s="48" t="s">
        <v>1569</v>
      </c>
      <c r="D315" s="48" t="s">
        <v>93</v>
      </c>
      <c r="E315" s="48" t="s">
        <v>124</v>
      </c>
      <c r="F315" s="48" t="s">
        <v>622</v>
      </c>
      <c r="G315" s="48" t="s">
        <v>623</v>
      </c>
      <c r="H315" s="49">
        <v>0.068977889</v>
      </c>
      <c r="I315" s="49">
        <v>730.0</v>
      </c>
      <c r="J315" s="49">
        <v>74501.87</v>
      </c>
      <c r="K315" s="49">
        <v>74501.87</v>
      </c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>
      <c r="A316" s="48" t="s">
        <v>1570</v>
      </c>
      <c r="B316" s="49">
        <v>2208073.0</v>
      </c>
      <c r="C316" s="48" t="s">
        <v>1571</v>
      </c>
      <c r="D316" s="48" t="s">
        <v>93</v>
      </c>
      <c r="E316" s="48" t="s">
        <v>127</v>
      </c>
      <c r="F316" s="48" t="s">
        <v>622</v>
      </c>
      <c r="G316" s="48" t="s">
        <v>623</v>
      </c>
      <c r="H316" s="49">
        <v>0.0688515364999999</v>
      </c>
      <c r="I316" s="49">
        <v>1106.0</v>
      </c>
      <c r="J316" s="49">
        <v>74365.4</v>
      </c>
      <c r="K316" s="49">
        <v>74365.4</v>
      </c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>
      <c r="A317" s="48" t="s">
        <v>1572</v>
      </c>
      <c r="B317" s="49">
        <v>2459202.0</v>
      </c>
      <c r="C317" s="48" t="s">
        <v>1573</v>
      </c>
      <c r="D317" s="48" t="s">
        <v>93</v>
      </c>
      <c r="E317" s="48" t="s">
        <v>102</v>
      </c>
      <c r="F317" s="48" t="s">
        <v>622</v>
      </c>
      <c r="G317" s="48" t="s">
        <v>623</v>
      </c>
      <c r="H317" s="49">
        <v>0.0683628654</v>
      </c>
      <c r="I317" s="49">
        <v>108.0</v>
      </c>
      <c r="J317" s="49">
        <v>73837.59</v>
      </c>
      <c r="K317" s="49">
        <v>73837.59</v>
      </c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>
      <c r="A318" s="48" t="s">
        <v>1574</v>
      </c>
      <c r="B318" s="49">
        <v>2654461.0</v>
      </c>
      <c r="C318" s="48" t="s">
        <v>1575</v>
      </c>
      <c r="D318" s="48" t="s">
        <v>93</v>
      </c>
      <c r="E318" s="48" t="s">
        <v>99</v>
      </c>
      <c r="F318" s="48" t="s">
        <v>622</v>
      </c>
      <c r="G318" s="48" t="s">
        <v>623</v>
      </c>
      <c r="H318" s="49">
        <v>0.0682392546</v>
      </c>
      <c r="I318" s="49">
        <v>478.0</v>
      </c>
      <c r="J318" s="49">
        <v>73704.08</v>
      </c>
      <c r="K318" s="49">
        <v>73704.08</v>
      </c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>
      <c r="A319" s="48" t="s">
        <v>1576</v>
      </c>
      <c r="B319" s="48" t="s">
        <v>1577</v>
      </c>
      <c r="C319" s="48" t="s">
        <v>1578</v>
      </c>
      <c r="D319" s="48" t="s">
        <v>93</v>
      </c>
      <c r="E319" s="48" t="s">
        <v>99</v>
      </c>
      <c r="F319" s="48" t="s">
        <v>622</v>
      </c>
      <c r="G319" s="48" t="s">
        <v>623</v>
      </c>
      <c r="H319" s="49">
        <v>0.0682333237</v>
      </c>
      <c r="I319" s="49">
        <v>523.0</v>
      </c>
      <c r="J319" s="49">
        <v>73697.68</v>
      </c>
      <c r="K319" s="49">
        <v>73697.68</v>
      </c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>
      <c r="A320" s="48" t="s">
        <v>1579</v>
      </c>
      <c r="B320" s="49">
        <v>2240202.0</v>
      </c>
      <c r="C320" s="48" t="s">
        <v>1580</v>
      </c>
      <c r="D320" s="48" t="s">
        <v>93</v>
      </c>
      <c r="E320" s="48" t="s">
        <v>127</v>
      </c>
      <c r="F320" s="48" t="s">
        <v>622</v>
      </c>
      <c r="G320" s="48" t="s">
        <v>623</v>
      </c>
      <c r="H320" s="49">
        <v>0.0680174882</v>
      </c>
      <c r="I320" s="49">
        <v>206.0</v>
      </c>
      <c r="J320" s="49">
        <v>73464.56</v>
      </c>
      <c r="K320" s="49">
        <v>73464.56</v>
      </c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>
      <c r="A321" s="48" t="s">
        <v>1581</v>
      </c>
      <c r="B321" s="49">
        <v>6648891.0</v>
      </c>
      <c r="C321" s="48" t="s">
        <v>1582</v>
      </c>
      <c r="D321" s="48" t="s">
        <v>93</v>
      </c>
      <c r="E321" s="48" t="s">
        <v>118</v>
      </c>
      <c r="F321" s="48" t="s">
        <v>629</v>
      </c>
      <c r="G321" s="48" t="s">
        <v>630</v>
      </c>
      <c r="H321" s="49">
        <v>0.0679523551</v>
      </c>
      <c r="I321" s="49">
        <v>1386.0</v>
      </c>
      <c r="J321" s="49">
        <v>73394.21</v>
      </c>
      <c r="K321" s="49">
        <v>73394.21</v>
      </c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>
      <c r="A322" s="48" t="s">
        <v>1583</v>
      </c>
      <c r="B322" s="49">
        <v>2455965.0</v>
      </c>
      <c r="C322" s="48" t="s">
        <v>1584</v>
      </c>
      <c r="D322" s="48" t="s">
        <v>93</v>
      </c>
      <c r="E322" s="48" t="s">
        <v>102</v>
      </c>
      <c r="F322" s="48" t="s">
        <v>622</v>
      </c>
      <c r="G322" s="48" t="s">
        <v>623</v>
      </c>
      <c r="H322" s="49">
        <v>0.0676299887</v>
      </c>
      <c r="I322" s="49">
        <v>181.0</v>
      </c>
      <c r="J322" s="49">
        <v>73046.03</v>
      </c>
      <c r="K322" s="49">
        <v>73046.03</v>
      </c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>
      <c r="A323" s="48" t="s">
        <v>1585</v>
      </c>
      <c r="B323" s="49">
        <v>2674458.0</v>
      </c>
      <c r="C323" s="48" t="s">
        <v>1586</v>
      </c>
      <c r="D323" s="48" t="s">
        <v>93</v>
      </c>
      <c r="E323" s="48" t="s">
        <v>127</v>
      </c>
      <c r="F323" s="48" t="s">
        <v>622</v>
      </c>
      <c r="G323" s="48" t="s">
        <v>623</v>
      </c>
      <c r="H323" s="49">
        <v>0.0672029643</v>
      </c>
      <c r="I323" s="49">
        <v>411.0</v>
      </c>
      <c r="J323" s="49">
        <v>72584.8</v>
      </c>
      <c r="K323" s="49">
        <v>72584.8</v>
      </c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>
      <c r="A324" s="48" t="s">
        <v>1587</v>
      </c>
      <c r="B324" s="48" t="s">
        <v>1588</v>
      </c>
      <c r="C324" s="48" t="s">
        <v>1589</v>
      </c>
      <c r="D324" s="48" t="s">
        <v>93</v>
      </c>
      <c r="E324" s="48" t="s">
        <v>127</v>
      </c>
      <c r="F324" s="48" t="s">
        <v>622</v>
      </c>
      <c r="G324" s="48" t="s">
        <v>623</v>
      </c>
      <c r="H324" s="49">
        <v>0.0671837285</v>
      </c>
      <c r="I324" s="49">
        <v>727.0</v>
      </c>
      <c r="J324" s="49">
        <v>72564.03</v>
      </c>
      <c r="K324" s="49">
        <v>72564.03</v>
      </c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>
      <c r="A325" s="48" t="s">
        <v>1590</v>
      </c>
      <c r="B325" s="48" t="s">
        <v>1591</v>
      </c>
      <c r="C325" s="48" t="s">
        <v>1592</v>
      </c>
      <c r="D325" s="48" t="s">
        <v>93</v>
      </c>
      <c r="E325" s="48" t="s">
        <v>133</v>
      </c>
      <c r="F325" s="48" t="s">
        <v>622</v>
      </c>
      <c r="G325" s="48" t="s">
        <v>623</v>
      </c>
      <c r="H325" s="49">
        <v>0.0670688914</v>
      </c>
      <c r="I325" s="49">
        <v>375.0</v>
      </c>
      <c r="J325" s="49">
        <v>72439.99</v>
      </c>
      <c r="K325" s="49">
        <v>72439.99</v>
      </c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>
      <c r="A326" s="48" t="s">
        <v>1593</v>
      </c>
      <c r="B326" s="48" t="s">
        <v>1594</v>
      </c>
      <c r="C326" s="48" t="s">
        <v>1595</v>
      </c>
      <c r="D326" s="48" t="s">
        <v>93</v>
      </c>
      <c r="E326" s="48" t="s">
        <v>99</v>
      </c>
      <c r="F326" s="48" t="s">
        <v>918</v>
      </c>
      <c r="G326" s="48" t="s">
        <v>908</v>
      </c>
      <c r="H326" s="49">
        <v>0.0668641528</v>
      </c>
      <c r="I326" s="49">
        <v>452.0</v>
      </c>
      <c r="J326" s="49">
        <v>72218.86</v>
      </c>
      <c r="K326" s="49">
        <v>72218.86</v>
      </c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>
      <c r="A327" s="48" t="s">
        <v>1596</v>
      </c>
      <c r="B327" s="48" t="s">
        <v>1597</v>
      </c>
      <c r="C327" s="48" t="s">
        <v>1598</v>
      </c>
      <c r="D327" s="48" t="s">
        <v>93</v>
      </c>
      <c r="E327" s="48" t="s">
        <v>167</v>
      </c>
      <c r="F327" s="48" t="s">
        <v>622</v>
      </c>
      <c r="G327" s="48" t="s">
        <v>623</v>
      </c>
      <c r="H327" s="49">
        <v>0.0661395159</v>
      </c>
      <c r="I327" s="49">
        <v>282.0</v>
      </c>
      <c r="J327" s="49">
        <v>71436.19</v>
      </c>
      <c r="K327" s="49">
        <v>71436.19</v>
      </c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>
      <c r="A328" s="48" t="s">
        <v>1599</v>
      </c>
      <c r="B328" s="48" t="s">
        <v>1600</v>
      </c>
      <c r="C328" s="48" t="s">
        <v>1601</v>
      </c>
      <c r="D328" s="48" t="s">
        <v>93</v>
      </c>
      <c r="E328" s="48" t="s">
        <v>115</v>
      </c>
      <c r="F328" s="48" t="s">
        <v>694</v>
      </c>
      <c r="G328" s="48" t="s">
        <v>1003</v>
      </c>
      <c r="H328" s="49">
        <v>0.0661269174</v>
      </c>
      <c r="I328" s="49">
        <v>1267.0</v>
      </c>
      <c r="J328" s="49">
        <v>71422.58</v>
      </c>
      <c r="K328" s="49">
        <v>71422.58</v>
      </c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>
      <c r="A329" s="48" t="s">
        <v>1602</v>
      </c>
      <c r="B329" s="49">
        <v>6441506.0</v>
      </c>
      <c r="C329" s="48" t="s">
        <v>1603</v>
      </c>
      <c r="D329" s="48" t="s">
        <v>93</v>
      </c>
      <c r="E329" s="48" t="s">
        <v>102</v>
      </c>
      <c r="F329" s="48" t="s">
        <v>629</v>
      </c>
      <c r="G329" s="48" t="s">
        <v>630</v>
      </c>
      <c r="H329" s="49">
        <v>0.0661055157</v>
      </c>
      <c r="I329" s="49">
        <v>441.0</v>
      </c>
      <c r="J329" s="49">
        <v>71399.47</v>
      </c>
      <c r="K329" s="49">
        <v>71399.47</v>
      </c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>
      <c r="A330" s="48" t="s">
        <v>1604</v>
      </c>
      <c r="B330" s="48" t="s">
        <v>1605</v>
      </c>
      <c r="C330" s="48" t="s">
        <v>1606</v>
      </c>
      <c r="D330" s="48" t="s">
        <v>93</v>
      </c>
      <c r="E330" s="48" t="s">
        <v>127</v>
      </c>
      <c r="F330" s="48" t="s">
        <v>622</v>
      </c>
      <c r="G330" s="48" t="s">
        <v>623</v>
      </c>
      <c r="H330" s="49">
        <v>0.0661010445</v>
      </c>
      <c r="I330" s="49">
        <v>1196.0</v>
      </c>
      <c r="J330" s="49">
        <v>71394.64</v>
      </c>
      <c r="K330" s="49">
        <v>71394.64</v>
      </c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>
      <c r="A331" s="48" t="s">
        <v>1607</v>
      </c>
      <c r="B331" s="48" t="s">
        <v>1608</v>
      </c>
      <c r="C331" s="48" t="s">
        <v>1609</v>
      </c>
      <c r="D331" s="48" t="s">
        <v>93</v>
      </c>
      <c r="E331" s="48" t="s">
        <v>170</v>
      </c>
      <c r="F331" s="48" t="s">
        <v>622</v>
      </c>
      <c r="G331" s="48" t="s">
        <v>623</v>
      </c>
      <c r="H331" s="49">
        <v>0.0658388441</v>
      </c>
      <c r="I331" s="49">
        <v>415.0</v>
      </c>
      <c r="J331" s="49">
        <v>71111.44</v>
      </c>
      <c r="K331" s="49">
        <v>71111.44</v>
      </c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>
      <c r="A332" s="48" t="s">
        <v>1610</v>
      </c>
      <c r="B332" s="49">
        <v>2868165.0</v>
      </c>
      <c r="C332" s="48" t="s">
        <v>1611</v>
      </c>
      <c r="D332" s="48" t="s">
        <v>93</v>
      </c>
      <c r="E332" s="48" t="s">
        <v>124</v>
      </c>
      <c r="F332" s="48" t="s">
        <v>622</v>
      </c>
      <c r="G332" s="48" t="s">
        <v>623</v>
      </c>
      <c r="H332" s="49">
        <v>0.0657096921</v>
      </c>
      <c r="I332" s="49">
        <v>655.0</v>
      </c>
      <c r="J332" s="49">
        <v>70971.95</v>
      </c>
      <c r="K332" s="49">
        <v>70971.95</v>
      </c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>
      <c r="A333" s="48" t="s">
        <v>1612</v>
      </c>
      <c r="B333" s="48" t="s">
        <v>1613</v>
      </c>
      <c r="C333" s="48" t="s">
        <v>1614</v>
      </c>
      <c r="D333" s="48" t="s">
        <v>93</v>
      </c>
      <c r="E333" s="48" t="s">
        <v>115</v>
      </c>
      <c r="F333" s="48" t="s">
        <v>622</v>
      </c>
      <c r="G333" s="48" t="s">
        <v>623</v>
      </c>
      <c r="H333" s="49">
        <v>0.065669691</v>
      </c>
      <c r="I333" s="49">
        <v>1298.0</v>
      </c>
      <c r="J333" s="49">
        <v>70928.74</v>
      </c>
      <c r="K333" s="49">
        <v>70928.74</v>
      </c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>
      <c r="A334" s="48" t="s">
        <v>1615</v>
      </c>
      <c r="B334" s="48" t="s">
        <v>1616</v>
      </c>
      <c r="C334" s="48" t="s">
        <v>1617</v>
      </c>
      <c r="D334" s="48" t="s">
        <v>93</v>
      </c>
      <c r="E334" s="48" t="s">
        <v>102</v>
      </c>
      <c r="F334" s="48" t="s">
        <v>622</v>
      </c>
      <c r="G334" s="48" t="s">
        <v>623</v>
      </c>
      <c r="H334" s="49">
        <v>0.0655328331</v>
      </c>
      <c r="I334" s="49">
        <v>228.0</v>
      </c>
      <c r="J334" s="49">
        <v>70780.92</v>
      </c>
      <c r="K334" s="49">
        <v>70780.92</v>
      </c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>
      <c r="A335" s="48" t="s">
        <v>1618</v>
      </c>
      <c r="B335" s="49">
        <v>2812452.0</v>
      </c>
      <c r="C335" s="48" t="s">
        <v>1619</v>
      </c>
      <c r="D335" s="48" t="s">
        <v>93</v>
      </c>
      <c r="E335" s="48" t="s">
        <v>133</v>
      </c>
      <c r="F335" s="48" t="s">
        <v>622</v>
      </c>
      <c r="G335" s="48" t="s">
        <v>623</v>
      </c>
      <c r="H335" s="49">
        <v>0.065245899</v>
      </c>
      <c r="I335" s="49">
        <v>405.0</v>
      </c>
      <c r="J335" s="49">
        <v>70471.01</v>
      </c>
      <c r="K335" s="49">
        <v>70471.01</v>
      </c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>
      <c r="A336" s="48" t="s">
        <v>1620</v>
      </c>
      <c r="B336" s="48" t="s">
        <v>1621</v>
      </c>
      <c r="C336" s="48" t="s">
        <v>1622</v>
      </c>
      <c r="D336" s="48" t="s">
        <v>93</v>
      </c>
      <c r="E336" s="48" t="s">
        <v>127</v>
      </c>
      <c r="F336" s="48" t="s">
        <v>622</v>
      </c>
      <c r="G336" s="48" t="s">
        <v>1003</v>
      </c>
      <c r="H336" s="49">
        <v>0.0652344763</v>
      </c>
      <c r="I336" s="49">
        <v>326.0</v>
      </c>
      <c r="J336" s="49">
        <v>70458.67</v>
      </c>
      <c r="K336" s="49">
        <v>70458.67</v>
      </c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>
      <c r="A337" s="48" t="s">
        <v>1623</v>
      </c>
      <c r="B337" s="48" t="s">
        <v>1624</v>
      </c>
      <c r="C337" s="48" t="s">
        <v>1625</v>
      </c>
      <c r="D337" s="48" t="s">
        <v>93</v>
      </c>
      <c r="E337" s="48" t="s">
        <v>94</v>
      </c>
      <c r="F337" s="48" t="s">
        <v>622</v>
      </c>
      <c r="G337" s="48" t="s">
        <v>623</v>
      </c>
      <c r="H337" s="49">
        <v>0.0649905098</v>
      </c>
      <c r="I337" s="49">
        <v>874.0</v>
      </c>
      <c r="J337" s="49">
        <v>70195.17</v>
      </c>
      <c r="K337" s="49">
        <v>70195.17</v>
      </c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>
      <c r="A338" s="48" t="s">
        <v>1626</v>
      </c>
      <c r="B338" s="48" t="s">
        <v>1627</v>
      </c>
      <c r="C338" s="48" t="s">
        <v>1628</v>
      </c>
      <c r="D338" s="48" t="s">
        <v>93</v>
      </c>
      <c r="E338" s="48" t="s">
        <v>167</v>
      </c>
      <c r="F338" s="48" t="s">
        <v>622</v>
      </c>
      <c r="G338" s="48" t="s">
        <v>623</v>
      </c>
      <c r="H338" s="49">
        <v>0.0649234661</v>
      </c>
      <c r="I338" s="49">
        <v>276.0</v>
      </c>
      <c r="J338" s="49">
        <v>70122.76</v>
      </c>
      <c r="K338" s="49">
        <v>70122.76</v>
      </c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>
      <c r="A339" s="48" t="s">
        <v>1629</v>
      </c>
      <c r="B339" s="48" t="s">
        <v>1630</v>
      </c>
      <c r="C339" s="48" t="s">
        <v>1631</v>
      </c>
      <c r="D339" s="48" t="s">
        <v>93</v>
      </c>
      <c r="E339" s="48" t="s">
        <v>94</v>
      </c>
      <c r="F339" s="48" t="s">
        <v>622</v>
      </c>
      <c r="G339" s="48" t="s">
        <v>623</v>
      </c>
      <c r="H339" s="49">
        <v>0.064616445</v>
      </c>
      <c r="I339" s="49">
        <v>878.0</v>
      </c>
      <c r="J339" s="49">
        <v>69791.15</v>
      </c>
      <c r="K339" s="49">
        <v>69791.15</v>
      </c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>
      <c r="A340" s="48" t="s">
        <v>1632</v>
      </c>
      <c r="B340" s="49">
        <v>2724193.0</v>
      </c>
      <c r="C340" s="48" t="s">
        <v>1633</v>
      </c>
      <c r="D340" s="48" t="s">
        <v>93</v>
      </c>
      <c r="E340" s="48" t="s">
        <v>133</v>
      </c>
      <c r="F340" s="48" t="s">
        <v>622</v>
      </c>
      <c r="G340" s="48" t="s">
        <v>623</v>
      </c>
      <c r="H340" s="49">
        <v>0.0646072095</v>
      </c>
      <c r="I340" s="49">
        <v>860.0</v>
      </c>
      <c r="J340" s="49">
        <v>69781.17</v>
      </c>
      <c r="K340" s="49">
        <v>69781.17</v>
      </c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>
      <c r="A341" s="48" t="s">
        <v>1634</v>
      </c>
      <c r="B341" s="49">
        <v>2819118.0</v>
      </c>
      <c r="C341" s="48" t="s">
        <v>1635</v>
      </c>
      <c r="D341" s="48" t="s">
        <v>93</v>
      </c>
      <c r="E341" s="48" t="s">
        <v>99</v>
      </c>
      <c r="F341" s="48" t="s">
        <v>622</v>
      </c>
      <c r="G341" s="48" t="s">
        <v>623</v>
      </c>
      <c r="H341" s="49">
        <v>0.0642285990999999</v>
      </c>
      <c r="I341" s="49">
        <v>459.0</v>
      </c>
      <c r="J341" s="49">
        <v>69372.24</v>
      </c>
      <c r="K341" s="49">
        <v>69372.24</v>
      </c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>
      <c r="A342" s="48" t="s">
        <v>1636</v>
      </c>
      <c r="B342" s="48" t="s">
        <v>1637</v>
      </c>
      <c r="C342" s="48" t="s">
        <v>1638</v>
      </c>
      <c r="D342" s="48" t="s">
        <v>93</v>
      </c>
      <c r="E342" s="48" t="s">
        <v>121</v>
      </c>
      <c r="F342" s="48" t="s">
        <v>622</v>
      </c>
      <c r="G342" s="48" t="s">
        <v>623</v>
      </c>
      <c r="H342" s="49">
        <v>0.0640304553</v>
      </c>
      <c r="I342" s="49">
        <v>586.0</v>
      </c>
      <c r="J342" s="49">
        <v>69158.23</v>
      </c>
      <c r="K342" s="49">
        <v>69158.23</v>
      </c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>
      <c r="A343" s="48" t="s">
        <v>1639</v>
      </c>
      <c r="B343" s="49">
        <v>2257019.0</v>
      </c>
      <c r="C343" s="48" t="s">
        <v>1640</v>
      </c>
      <c r="D343" s="48" t="s">
        <v>93</v>
      </c>
      <c r="E343" s="48" t="s">
        <v>167</v>
      </c>
      <c r="F343" s="48" t="s">
        <v>622</v>
      </c>
      <c r="G343" s="48" t="s">
        <v>623</v>
      </c>
      <c r="H343" s="49">
        <v>0.0640184635999999</v>
      </c>
      <c r="I343" s="49">
        <v>641.0</v>
      </c>
      <c r="J343" s="49">
        <v>69145.28</v>
      </c>
      <c r="K343" s="49">
        <v>69145.28</v>
      </c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>
      <c r="A344" s="48" t="s">
        <v>1641</v>
      </c>
      <c r="B344" s="48" t="s">
        <v>1642</v>
      </c>
      <c r="C344" s="48" t="s">
        <v>1643</v>
      </c>
      <c r="D344" s="48" t="s">
        <v>93</v>
      </c>
      <c r="E344" s="48" t="s">
        <v>124</v>
      </c>
      <c r="F344" s="48" t="s">
        <v>639</v>
      </c>
      <c r="G344" s="48" t="s">
        <v>640</v>
      </c>
      <c r="H344" s="49">
        <v>0.0640147373</v>
      </c>
      <c r="I344" s="49">
        <v>777.0</v>
      </c>
      <c r="J344" s="49">
        <v>69141.25</v>
      </c>
      <c r="K344" s="49">
        <v>69141.25</v>
      </c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>
      <c r="A345" s="48" t="s">
        <v>1644</v>
      </c>
      <c r="B345" s="48" t="s">
        <v>1645</v>
      </c>
      <c r="C345" s="48" t="s">
        <v>1646</v>
      </c>
      <c r="D345" s="48" t="s">
        <v>93</v>
      </c>
      <c r="E345" s="48" t="s">
        <v>127</v>
      </c>
      <c r="F345" s="48" t="s">
        <v>622</v>
      </c>
      <c r="G345" s="48" t="s">
        <v>623</v>
      </c>
      <c r="H345" s="49">
        <v>0.0639715792</v>
      </c>
      <c r="I345" s="49">
        <v>184.0</v>
      </c>
      <c r="J345" s="49">
        <v>69094.64</v>
      </c>
      <c r="K345" s="49">
        <v>69094.64</v>
      </c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>
      <c r="A346" s="48" t="s">
        <v>1647</v>
      </c>
      <c r="B346" s="48" t="s">
        <v>1648</v>
      </c>
      <c r="C346" s="48" t="s">
        <v>1649</v>
      </c>
      <c r="D346" s="48" t="s">
        <v>93</v>
      </c>
      <c r="E346" s="48" t="s">
        <v>170</v>
      </c>
      <c r="F346" s="48" t="s">
        <v>622</v>
      </c>
      <c r="G346" s="48" t="s">
        <v>623</v>
      </c>
      <c r="H346" s="49">
        <v>0.0629956513</v>
      </c>
      <c r="I346" s="49">
        <v>682.0</v>
      </c>
      <c r="J346" s="49">
        <v>68040.55</v>
      </c>
      <c r="K346" s="49">
        <v>68040.55</v>
      </c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>
      <c r="A347" s="48" t="s">
        <v>1650</v>
      </c>
      <c r="B347" s="49">
        <v>2098876.0</v>
      </c>
      <c r="C347" s="48" t="s">
        <v>1651</v>
      </c>
      <c r="D347" s="48" t="s">
        <v>93</v>
      </c>
      <c r="E347" s="48" t="s">
        <v>118</v>
      </c>
      <c r="F347" s="48" t="s">
        <v>622</v>
      </c>
      <c r="G347" s="48" t="s">
        <v>623</v>
      </c>
      <c r="H347" s="49">
        <v>0.06297643</v>
      </c>
      <c r="I347" s="49">
        <v>350.0</v>
      </c>
      <c r="J347" s="49">
        <v>68019.79</v>
      </c>
      <c r="K347" s="49">
        <v>68019.79</v>
      </c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>
      <c r="A348" s="48" t="s">
        <v>1652</v>
      </c>
      <c r="B348" s="49">
        <v>5505072.0</v>
      </c>
      <c r="C348" s="48" t="s">
        <v>1653</v>
      </c>
      <c r="D348" s="48" t="s">
        <v>93</v>
      </c>
      <c r="E348" s="48" t="s">
        <v>118</v>
      </c>
      <c r="F348" s="48" t="s">
        <v>639</v>
      </c>
      <c r="G348" s="48" t="s">
        <v>640</v>
      </c>
      <c r="H348" s="49">
        <v>0.0627962827</v>
      </c>
      <c r="I348" s="49">
        <v>90.0</v>
      </c>
      <c r="J348" s="49">
        <v>67825.22</v>
      </c>
      <c r="K348" s="49">
        <v>67825.22</v>
      </c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>
      <c r="A349" s="48" t="s">
        <v>1654</v>
      </c>
      <c r="B349" s="49">
        <v>870612.0</v>
      </c>
      <c r="C349" s="48" t="s">
        <v>1655</v>
      </c>
      <c r="D349" s="48" t="s">
        <v>93</v>
      </c>
      <c r="E349" s="48" t="s">
        <v>99</v>
      </c>
      <c r="F349" s="48" t="s">
        <v>918</v>
      </c>
      <c r="G349" s="48" t="s">
        <v>908</v>
      </c>
      <c r="H349" s="49">
        <v>0.062558679</v>
      </c>
      <c r="I349" s="49">
        <v>79391.0</v>
      </c>
      <c r="J349" s="49">
        <v>67568.59</v>
      </c>
      <c r="K349" s="49">
        <v>67568.59</v>
      </c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>
      <c r="A350" s="48" t="s">
        <v>1656</v>
      </c>
      <c r="B350" s="49">
        <v>2476193.0</v>
      </c>
      <c r="C350" s="48" t="s">
        <v>1657</v>
      </c>
      <c r="D350" s="48" t="s">
        <v>93</v>
      </c>
      <c r="E350" s="48" t="s">
        <v>99</v>
      </c>
      <c r="F350" s="48" t="s">
        <v>622</v>
      </c>
      <c r="G350" s="48" t="s">
        <v>623</v>
      </c>
      <c r="H350" s="49">
        <v>0.062555957</v>
      </c>
      <c r="I350" s="49">
        <v>594.0</v>
      </c>
      <c r="J350" s="49">
        <v>67565.65</v>
      </c>
      <c r="K350" s="49">
        <v>67565.65</v>
      </c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>
      <c r="A351" s="48" t="s">
        <v>1658</v>
      </c>
      <c r="B351" s="49">
        <v>2089212.0</v>
      </c>
      <c r="C351" s="48" t="s">
        <v>1659</v>
      </c>
      <c r="D351" s="48" t="s">
        <v>93</v>
      </c>
      <c r="E351" s="48" t="s">
        <v>127</v>
      </c>
      <c r="F351" s="48" t="s">
        <v>622</v>
      </c>
      <c r="G351" s="48" t="s">
        <v>623</v>
      </c>
      <c r="H351" s="49">
        <v>0.0625494489</v>
      </c>
      <c r="I351" s="49">
        <v>287.0</v>
      </c>
      <c r="J351" s="49">
        <v>67558.62</v>
      </c>
      <c r="K351" s="49">
        <v>67558.62</v>
      </c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>
      <c r="A352" s="48" t="s">
        <v>1660</v>
      </c>
      <c r="B352" s="48" t="s">
        <v>1661</v>
      </c>
      <c r="C352" s="48" t="s">
        <v>1662</v>
      </c>
      <c r="D352" s="48" t="s">
        <v>93</v>
      </c>
      <c r="E352" s="48" t="s">
        <v>170</v>
      </c>
      <c r="F352" s="48" t="s">
        <v>622</v>
      </c>
      <c r="G352" s="48" t="s">
        <v>623</v>
      </c>
      <c r="H352" s="49">
        <v>0.0625234886</v>
      </c>
      <c r="I352" s="49">
        <v>502.0</v>
      </c>
      <c r="J352" s="49">
        <v>67530.58</v>
      </c>
      <c r="K352" s="49">
        <v>67530.58</v>
      </c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>
      <c r="A353" s="48" t="s">
        <v>1663</v>
      </c>
      <c r="B353" s="48" t="s">
        <v>1664</v>
      </c>
      <c r="C353" s="48" t="s">
        <v>1665</v>
      </c>
      <c r="D353" s="48" t="s">
        <v>93</v>
      </c>
      <c r="E353" s="48" t="s">
        <v>94</v>
      </c>
      <c r="F353" s="48" t="s">
        <v>1666</v>
      </c>
      <c r="G353" s="48" t="s">
        <v>640</v>
      </c>
      <c r="H353" s="49">
        <v>0.0623964071</v>
      </c>
      <c r="I353" s="49">
        <v>1276.0</v>
      </c>
      <c r="J353" s="49">
        <v>67393.32</v>
      </c>
      <c r="K353" s="49">
        <v>67393.32</v>
      </c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>
      <c r="A354" s="48" t="s">
        <v>1667</v>
      </c>
      <c r="B354" s="49">
        <v>2769796.0</v>
      </c>
      <c r="C354" s="48" t="s">
        <v>1668</v>
      </c>
      <c r="D354" s="48" t="s">
        <v>93</v>
      </c>
      <c r="E354" s="48" t="s">
        <v>99</v>
      </c>
      <c r="F354" s="48" t="s">
        <v>622</v>
      </c>
      <c r="G354" s="48" t="s">
        <v>623</v>
      </c>
      <c r="H354" s="49">
        <v>0.0623203519</v>
      </c>
      <c r="I354" s="49">
        <v>757.0</v>
      </c>
      <c r="J354" s="49">
        <v>67311.18</v>
      </c>
      <c r="K354" s="49">
        <v>67311.18</v>
      </c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>
      <c r="A355" s="48" t="s">
        <v>1669</v>
      </c>
      <c r="B355" s="49">
        <v>7145056.0</v>
      </c>
      <c r="C355" s="48" t="s">
        <v>1670</v>
      </c>
      <c r="D355" s="48" t="s">
        <v>93</v>
      </c>
      <c r="E355" s="48" t="s">
        <v>115</v>
      </c>
      <c r="F355" s="48" t="s">
        <v>1352</v>
      </c>
      <c r="G355" s="48" t="s">
        <v>640</v>
      </c>
      <c r="H355" s="49">
        <v>0.0622488609999999</v>
      </c>
      <c r="I355" s="49">
        <v>2695.0</v>
      </c>
      <c r="J355" s="49">
        <v>67233.96</v>
      </c>
      <c r="K355" s="49">
        <v>67233.96</v>
      </c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>
      <c r="A356" s="48" t="s">
        <v>1671</v>
      </c>
      <c r="B356" s="49">
        <v>7133608.0</v>
      </c>
      <c r="C356" s="48" t="s">
        <v>1672</v>
      </c>
      <c r="D356" s="48" t="s">
        <v>93</v>
      </c>
      <c r="E356" s="48" t="s">
        <v>115</v>
      </c>
      <c r="F356" s="48" t="s">
        <v>1673</v>
      </c>
      <c r="G356" s="48" t="s">
        <v>1674</v>
      </c>
      <c r="H356" s="49">
        <v>0.0621728686999999</v>
      </c>
      <c r="I356" s="49">
        <v>1326.0</v>
      </c>
      <c r="J356" s="49">
        <v>67151.88</v>
      </c>
      <c r="K356" s="49">
        <v>67151.88</v>
      </c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>
      <c r="A357" s="48" t="s">
        <v>1675</v>
      </c>
      <c r="B357" s="49">
        <v>2492519.0</v>
      </c>
      <c r="C357" s="48" t="s">
        <v>1676</v>
      </c>
      <c r="D357" s="48" t="s">
        <v>93</v>
      </c>
      <c r="E357" s="48" t="s">
        <v>99</v>
      </c>
      <c r="F357" s="48" t="s">
        <v>694</v>
      </c>
      <c r="G357" s="48" t="s">
        <v>1003</v>
      </c>
      <c r="H357" s="49">
        <v>0.0621205199</v>
      </c>
      <c r="I357" s="49">
        <v>2271.0</v>
      </c>
      <c r="J357" s="49">
        <v>67095.34</v>
      </c>
      <c r="K357" s="49">
        <v>67095.34</v>
      </c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>
      <c r="A358" s="48" t="s">
        <v>1677</v>
      </c>
      <c r="B358" s="48" t="s">
        <v>1678</v>
      </c>
      <c r="C358" s="48" t="s">
        <v>1679</v>
      </c>
      <c r="D358" s="48" t="s">
        <v>93</v>
      </c>
      <c r="E358" s="48" t="s">
        <v>99</v>
      </c>
      <c r="F358" s="48" t="s">
        <v>686</v>
      </c>
      <c r="G358" s="48" t="s">
        <v>640</v>
      </c>
      <c r="H358" s="49">
        <v>0.0620925594</v>
      </c>
      <c r="I358" s="49">
        <v>3913.0</v>
      </c>
      <c r="J358" s="49">
        <v>67065.14</v>
      </c>
      <c r="K358" s="49">
        <v>67065.14</v>
      </c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>
      <c r="A359" s="48" t="s">
        <v>1680</v>
      </c>
      <c r="B359" s="49">
        <v>4682329.0</v>
      </c>
      <c r="C359" s="48" t="s">
        <v>1681</v>
      </c>
      <c r="D359" s="48" t="s">
        <v>93</v>
      </c>
      <c r="E359" s="48" t="s">
        <v>124</v>
      </c>
      <c r="F359" s="48" t="s">
        <v>639</v>
      </c>
      <c r="G359" s="48" t="s">
        <v>640</v>
      </c>
      <c r="H359" s="49">
        <v>0.0617048389</v>
      </c>
      <c r="I359" s="49">
        <v>241.0</v>
      </c>
      <c r="J359" s="49">
        <v>66646.37</v>
      </c>
      <c r="K359" s="49">
        <v>66646.37</v>
      </c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>
      <c r="A360" s="48" t="s">
        <v>1682</v>
      </c>
      <c r="B360" s="48" t="s">
        <v>1683</v>
      </c>
      <c r="C360" s="48" t="s">
        <v>1684</v>
      </c>
      <c r="D360" s="48" t="s">
        <v>93</v>
      </c>
      <c r="E360" s="48" t="s">
        <v>102</v>
      </c>
      <c r="F360" s="48" t="s">
        <v>622</v>
      </c>
      <c r="G360" s="48" t="s">
        <v>623</v>
      </c>
      <c r="H360" s="49">
        <v>0.0617020814</v>
      </c>
      <c r="I360" s="49">
        <v>480.0</v>
      </c>
      <c r="J360" s="49">
        <v>66643.39</v>
      </c>
      <c r="K360" s="49">
        <v>66643.39</v>
      </c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>
      <c r="A361" s="48" t="s">
        <v>1685</v>
      </c>
      <c r="B361" s="49">
        <v>2803014.0</v>
      </c>
      <c r="C361" s="48" t="s">
        <v>1686</v>
      </c>
      <c r="D361" s="48" t="s">
        <v>93</v>
      </c>
      <c r="E361" s="48" t="s">
        <v>99</v>
      </c>
      <c r="F361" s="48" t="s">
        <v>622</v>
      </c>
      <c r="G361" s="48" t="s">
        <v>623</v>
      </c>
      <c r="H361" s="49">
        <v>0.0616189189999999</v>
      </c>
      <c r="I361" s="49">
        <v>567.0</v>
      </c>
      <c r="J361" s="49">
        <v>66553.57</v>
      </c>
      <c r="K361" s="49">
        <v>66553.57</v>
      </c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>
      <c r="A362" s="48" t="s">
        <v>1687</v>
      </c>
      <c r="B362" s="49">
        <v>6610403.0</v>
      </c>
      <c r="C362" s="48" t="s">
        <v>1688</v>
      </c>
      <c r="D362" s="48" t="s">
        <v>93</v>
      </c>
      <c r="E362" s="48" t="s">
        <v>167</v>
      </c>
      <c r="F362" s="48" t="s">
        <v>629</v>
      </c>
      <c r="G362" s="48" t="s">
        <v>630</v>
      </c>
      <c r="H362" s="49">
        <v>0.0613217486</v>
      </c>
      <c r="I362" s="49">
        <v>775.0</v>
      </c>
      <c r="J362" s="49">
        <v>66232.6</v>
      </c>
      <c r="K362" s="49">
        <v>66232.6</v>
      </c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>
      <c r="A363" s="48" t="s">
        <v>1689</v>
      </c>
      <c r="B363" s="49">
        <v>454492.0</v>
      </c>
      <c r="C363" s="48" t="s">
        <v>1690</v>
      </c>
      <c r="D363" s="48" t="s">
        <v>93</v>
      </c>
      <c r="E363" s="48" t="s">
        <v>124</v>
      </c>
      <c r="F363" s="48" t="s">
        <v>918</v>
      </c>
      <c r="G363" s="48" t="s">
        <v>908</v>
      </c>
      <c r="H363" s="49">
        <v>0.0612034533</v>
      </c>
      <c r="I363" s="49">
        <v>1965.0</v>
      </c>
      <c r="J363" s="49">
        <v>66104.83</v>
      </c>
      <c r="K363" s="49">
        <v>66104.83</v>
      </c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>
      <c r="A364" s="48" t="s">
        <v>1691</v>
      </c>
      <c r="B364" s="48" t="s">
        <v>1692</v>
      </c>
      <c r="C364" s="48" t="s">
        <v>1693</v>
      </c>
      <c r="D364" s="48" t="s">
        <v>93</v>
      </c>
      <c r="E364" s="48" t="s">
        <v>121</v>
      </c>
      <c r="F364" s="48" t="s">
        <v>694</v>
      </c>
      <c r="G364" s="48" t="s">
        <v>1003</v>
      </c>
      <c r="H364" s="49">
        <v>0.0610684952</v>
      </c>
      <c r="I364" s="49">
        <v>1065.0</v>
      </c>
      <c r="J364" s="49">
        <v>65959.07</v>
      </c>
      <c r="K364" s="49">
        <v>65959.07</v>
      </c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>
      <c r="A365" s="48" t="s">
        <v>1694</v>
      </c>
      <c r="B365" s="49">
        <v>2280220.0</v>
      </c>
      <c r="C365" s="48" t="s">
        <v>1695</v>
      </c>
      <c r="D365" s="48" t="s">
        <v>93</v>
      </c>
      <c r="E365" s="48" t="s">
        <v>170</v>
      </c>
      <c r="F365" s="48" t="s">
        <v>622</v>
      </c>
      <c r="G365" s="48" t="s">
        <v>623</v>
      </c>
      <c r="H365" s="49">
        <v>0.0609306611</v>
      </c>
      <c r="I365" s="49">
        <v>398.0</v>
      </c>
      <c r="J365" s="49">
        <v>65810.19</v>
      </c>
      <c r="K365" s="49">
        <v>65810.19</v>
      </c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>
      <c r="A366" s="48" t="s">
        <v>1696</v>
      </c>
      <c r="B366" s="49">
        <v>2250687.0</v>
      </c>
      <c r="C366" s="48" t="s">
        <v>1697</v>
      </c>
      <c r="D366" s="48" t="s">
        <v>93</v>
      </c>
      <c r="E366" s="48" t="s">
        <v>118</v>
      </c>
      <c r="F366" s="48" t="s">
        <v>622</v>
      </c>
      <c r="G366" s="48" t="s">
        <v>623</v>
      </c>
      <c r="H366" s="49">
        <v>0.060899679</v>
      </c>
      <c r="I366" s="49">
        <v>387.0</v>
      </c>
      <c r="J366" s="49">
        <v>65776.73</v>
      </c>
      <c r="K366" s="49">
        <v>65776.73</v>
      </c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>
      <c r="A367" s="48" t="s">
        <v>1698</v>
      </c>
      <c r="B367" s="48" t="s">
        <v>1699</v>
      </c>
      <c r="C367" s="48" t="s">
        <v>1700</v>
      </c>
      <c r="D367" s="48" t="s">
        <v>93</v>
      </c>
      <c r="E367" s="48" t="s">
        <v>127</v>
      </c>
      <c r="F367" s="48" t="s">
        <v>622</v>
      </c>
      <c r="G367" s="48" t="s">
        <v>623</v>
      </c>
      <c r="H367" s="49">
        <v>0.0608451031999999</v>
      </c>
      <c r="I367" s="49">
        <v>521.0</v>
      </c>
      <c r="J367" s="49">
        <v>65717.78</v>
      </c>
      <c r="K367" s="49">
        <v>65717.78</v>
      </c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>
      <c r="A368" s="48" t="s">
        <v>1701</v>
      </c>
      <c r="B368" s="49">
        <v>2732903.0</v>
      </c>
      <c r="C368" s="48" t="s">
        <v>180</v>
      </c>
      <c r="D368" s="48" t="s">
        <v>93</v>
      </c>
      <c r="E368" s="48" t="s">
        <v>102</v>
      </c>
      <c r="F368" s="48" t="s">
        <v>622</v>
      </c>
      <c r="G368" s="48" t="s">
        <v>623</v>
      </c>
      <c r="H368" s="49">
        <v>0.0607716236</v>
      </c>
      <c r="I368" s="49">
        <v>309.0</v>
      </c>
      <c r="J368" s="49">
        <v>65638.42</v>
      </c>
      <c r="K368" s="49">
        <v>65638.42</v>
      </c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>
      <c r="A369" s="48" t="s">
        <v>1702</v>
      </c>
      <c r="B369" s="48" t="s">
        <v>1703</v>
      </c>
      <c r="C369" s="48" t="s">
        <v>1704</v>
      </c>
      <c r="D369" s="48" t="s">
        <v>93</v>
      </c>
      <c r="E369" s="48" t="s">
        <v>102</v>
      </c>
      <c r="F369" s="48" t="s">
        <v>622</v>
      </c>
      <c r="G369" s="48" t="s">
        <v>623</v>
      </c>
      <c r="H369" s="49">
        <v>0.0606024416</v>
      </c>
      <c r="I369" s="49">
        <v>419.0</v>
      </c>
      <c r="J369" s="49">
        <v>65455.69</v>
      </c>
      <c r="K369" s="49">
        <v>65455.69</v>
      </c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>
      <c r="A370" s="48" t="s">
        <v>1705</v>
      </c>
      <c r="B370" s="48" t="s">
        <v>1706</v>
      </c>
      <c r="C370" s="48" t="s">
        <v>1707</v>
      </c>
      <c r="D370" s="48" t="s">
        <v>93</v>
      </c>
      <c r="E370" s="48" t="s">
        <v>127</v>
      </c>
      <c r="F370" s="48" t="s">
        <v>883</v>
      </c>
      <c r="G370" s="48" t="s">
        <v>884</v>
      </c>
      <c r="H370" s="49">
        <v>0.0604386963</v>
      </c>
      <c r="I370" s="49">
        <v>224.0</v>
      </c>
      <c r="J370" s="49">
        <v>65278.83</v>
      </c>
      <c r="K370" s="49">
        <v>65278.83</v>
      </c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>
      <c r="A371" s="48" t="s">
        <v>1708</v>
      </c>
      <c r="B371" s="49">
        <v>2497406.0</v>
      </c>
      <c r="C371" s="48" t="s">
        <v>1709</v>
      </c>
      <c r="D371" s="48" t="s">
        <v>93</v>
      </c>
      <c r="E371" s="48" t="s">
        <v>124</v>
      </c>
      <c r="F371" s="48" t="s">
        <v>622</v>
      </c>
      <c r="G371" s="48" t="s">
        <v>623</v>
      </c>
      <c r="H371" s="49">
        <v>0.0603546428</v>
      </c>
      <c r="I371" s="49">
        <v>915.0</v>
      </c>
      <c r="J371" s="49">
        <v>65188.05</v>
      </c>
      <c r="K371" s="49">
        <v>65188.05</v>
      </c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>
      <c r="A372" s="48" t="s">
        <v>1710</v>
      </c>
      <c r="B372" s="49">
        <v>2262864.0</v>
      </c>
      <c r="C372" s="48" t="s">
        <v>1711</v>
      </c>
      <c r="D372" s="48" t="s">
        <v>93</v>
      </c>
      <c r="E372" s="48" t="s">
        <v>127</v>
      </c>
      <c r="F372" s="48" t="s">
        <v>622</v>
      </c>
      <c r="G372" s="48" t="s">
        <v>623</v>
      </c>
      <c r="H372" s="49">
        <v>0.0600569580999999</v>
      </c>
      <c r="I372" s="49">
        <v>532.0</v>
      </c>
      <c r="J372" s="49">
        <v>64866.52</v>
      </c>
      <c r="K372" s="49">
        <v>64866.52</v>
      </c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>
      <c r="A373" s="48" t="s">
        <v>1712</v>
      </c>
      <c r="B373" s="49">
        <v>2310194.0</v>
      </c>
      <c r="C373" s="48" t="s">
        <v>1713</v>
      </c>
      <c r="D373" s="48" t="s">
        <v>93</v>
      </c>
      <c r="E373" s="48" t="s">
        <v>121</v>
      </c>
      <c r="F373" s="48" t="s">
        <v>622</v>
      </c>
      <c r="G373" s="48" t="s">
        <v>623</v>
      </c>
      <c r="H373" s="49">
        <v>0.0598301699</v>
      </c>
      <c r="I373" s="49">
        <v>349.0</v>
      </c>
      <c r="J373" s="49">
        <v>64621.57</v>
      </c>
      <c r="K373" s="49">
        <v>64621.57</v>
      </c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>
      <c r="A374" s="48" t="s">
        <v>1714</v>
      </c>
      <c r="B374" s="49">
        <v>2636607.0</v>
      </c>
      <c r="C374" s="48" t="s">
        <v>1715</v>
      </c>
      <c r="D374" s="48" t="s">
        <v>93</v>
      </c>
      <c r="E374" s="48" t="s">
        <v>94</v>
      </c>
      <c r="F374" s="48" t="s">
        <v>622</v>
      </c>
      <c r="G374" s="48" t="s">
        <v>623</v>
      </c>
      <c r="H374" s="49">
        <v>0.0596998921999999</v>
      </c>
      <c r="I374" s="49">
        <v>1021.0</v>
      </c>
      <c r="J374" s="49">
        <v>64480.86</v>
      </c>
      <c r="K374" s="49">
        <v>64480.86</v>
      </c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>
      <c r="A375" s="48" t="s">
        <v>1716</v>
      </c>
      <c r="B375" s="49">
        <v>2754060.0</v>
      </c>
      <c r="C375" s="48" t="s">
        <v>1717</v>
      </c>
      <c r="D375" s="48" t="s">
        <v>93</v>
      </c>
      <c r="E375" s="48" t="s">
        <v>127</v>
      </c>
      <c r="F375" s="48" t="s">
        <v>622</v>
      </c>
      <c r="G375" s="48" t="s">
        <v>623</v>
      </c>
      <c r="H375" s="49">
        <v>0.0595731933</v>
      </c>
      <c r="I375" s="49">
        <v>148.0</v>
      </c>
      <c r="J375" s="49">
        <v>64344.01</v>
      </c>
      <c r="K375" s="49">
        <v>64344.01</v>
      </c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>
      <c r="A376" s="48" t="s">
        <v>1718</v>
      </c>
      <c r="B376" s="49">
        <v>2520153.0</v>
      </c>
      <c r="C376" s="48" t="s">
        <v>1719</v>
      </c>
      <c r="D376" s="48" t="s">
        <v>93</v>
      </c>
      <c r="E376" s="48" t="s">
        <v>102</v>
      </c>
      <c r="F376" s="48" t="s">
        <v>622</v>
      </c>
      <c r="G376" s="48" t="s">
        <v>623</v>
      </c>
      <c r="H376" s="49">
        <v>0.0595376368</v>
      </c>
      <c r="I376" s="49">
        <v>376.0</v>
      </c>
      <c r="J376" s="49">
        <v>64305.61</v>
      </c>
      <c r="K376" s="49">
        <v>64305.61</v>
      </c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>
      <c r="A377" s="48" t="s">
        <v>1720</v>
      </c>
      <c r="B377" s="49">
        <v>2931205.0</v>
      </c>
      <c r="C377" s="48" t="s">
        <v>1721</v>
      </c>
      <c r="D377" s="48" t="s">
        <v>93</v>
      </c>
      <c r="E377" s="48" t="s">
        <v>94</v>
      </c>
      <c r="F377" s="48" t="s">
        <v>622</v>
      </c>
      <c r="G377" s="48" t="s">
        <v>623</v>
      </c>
      <c r="H377" s="49">
        <v>0.0592758261</v>
      </c>
      <c r="I377" s="49">
        <v>203.0</v>
      </c>
      <c r="J377" s="49">
        <v>64022.83</v>
      </c>
      <c r="K377" s="49">
        <v>64022.83</v>
      </c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>
      <c r="A378" s="48" t="s">
        <v>1722</v>
      </c>
      <c r="B378" s="49">
        <v>2320524.0</v>
      </c>
      <c r="C378" s="48" t="s">
        <v>1723</v>
      </c>
      <c r="D378" s="48" t="s">
        <v>93</v>
      </c>
      <c r="E378" s="48" t="s">
        <v>124</v>
      </c>
      <c r="F378" s="48" t="s">
        <v>622</v>
      </c>
      <c r="G378" s="48" t="s">
        <v>623</v>
      </c>
      <c r="H378" s="49">
        <v>0.0590318802</v>
      </c>
      <c r="I378" s="49">
        <v>280.0</v>
      </c>
      <c r="J378" s="49">
        <v>63759.35</v>
      </c>
      <c r="K378" s="49">
        <v>63759.35</v>
      </c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>
      <c r="A379" s="48" t="s">
        <v>1724</v>
      </c>
      <c r="B379" s="48" t="s">
        <v>1725</v>
      </c>
      <c r="C379" s="48" t="s">
        <v>1726</v>
      </c>
      <c r="D379" s="48" t="s">
        <v>93</v>
      </c>
      <c r="E379" s="48" t="s">
        <v>94</v>
      </c>
      <c r="F379" s="48" t="s">
        <v>1727</v>
      </c>
      <c r="G379" s="48" t="s">
        <v>908</v>
      </c>
      <c r="H379" s="49">
        <v>0.0587905522</v>
      </c>
      <c r="I379" s="49">
        <v>1483.0</v>
      </c>
      <c r="J379" s="49">
        <v>63498.7</v>
      </c>
      <c r="K379" s="49">
        <v>63498.7</v>
      </c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>
      <c r="A380" s="48" t="s">
        <v>1728</v>
      </c>
      <c r="B380" s="48" t="s">
        <v>1729</v>
      </c>
      <c r="C380" s="48" t="s">
        <v>1730</v>
      </c>
      <c r="D380" s="48" t="s">
        <v>93</v>
      </c>
      <c r="E380" s="48" t="s">
        <v>115</v>
      </c>
      <c r="F380" s="48" t="s">
        <v>622</v>
      </c>
      <c r="G380" s="48" t="s">
        <v>623</v>
      </c>
      <c r="H380" s="49">
        <v>0.0583797415</v>
      </c>
      <c r="I380" s="49">
        <v>2443.0</v>
      </c>
      <c r="J380" s="49">
        <v>63054.99</v>
      </c>
      <c r="K380" s="49">
        <v>63054.99</v>
      </c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>
      <c r="A381" s="48" t="s">
        <v>1731</v>
      </c>
      <c r="B381" s="48" t="s">
        <v>1732</v>
      </c>
      <c r="C381" s="48" t="s">
        <v>1733</v>
      </c>
      <c r="D381" s="48" t="s">
        <v>93</v>
      </c>
      <c r="E381" s="48" t="s">
        <v>121</v>
      </c>
      <c r="F381" s="48" t="s">
        <v>629</v>
      </c>
      <c r="G381" s="48" t="s">
        <v>630</v>
      </c>
      <c r="H381" s="49">
        <v>0.0582839689</v>
      </c>
      <c r="I381" s="49">
        <v>3380.0</v>
      </c>
      <c r="J381" s="49">
        <v>62951.55</v>
      </c>
      <c r="K381" s="49">
        <v>62951.55</v>
      </c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>
      <c r="A382" s="48" t="s">
        <v>1734</v>
      </c>
      <c r="B382" s="48" t="s">
        <v>1735</v>
      </c>
      <c r="C382" s="48" t="s">
        <v>1736</v>
      </c>
      <c r="D382" s="48" t="s">
        <v>93</v>
      </c>
      <c r="E382" s="48" t="s">
        <v>124</v>
      </c>
      <c r="F382" s="48" t="s">
        <v>629</v>
      </c>
      <c r="G382" s="48" t="s">
        <v>630</v>
      </c>
      <c r="H382" s="49">
        <v>0.0581282126999999</v>
      </c>
      <c r="I382" s="49">
        <v>987.0</v>
      </c>
      <c r="J382" s="49">
        <v>62783.32</v>
      </c>
      <c r="K382" s="49">
        <v>62783.32</v>
      </c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>
      <c r="A383" s="48" t="s">
        <v>1737</v>
      </c>
      <c r="B383" s="48" t="s">
        <v>1738</v>
      </c>
      <c r="C383" s="48" t="s">
        <v>1739</v>
      </c>
      <c r="D383" s="48" t="s">
        <v>93</v>
      </c>
      <c r="E383" s="48" t="s">
        <v>99</v>
      </c>
      <c r="F383" s="48" t="s">
        <v>1740</v>
      </c>
      <c r="G383" s="48" t="s">
        <v>1741</v>
      </c>
      <c r="H383" s="49">
        <v>0.058110399</v>
      </c>
      <c r="I383" s="49">
        <v>2083.0</v>
      </c>
      <c r="J383" s="49">
        <v>62764.08</v>
      </c>
      <c r="K383" s="49">
        <v>62764.08</v>
      </c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>
      <c r="A384" s="48" t="s">
        <v>1742</v>
      </c>
      <c r="B384" s="48" t="s">
        <v>1743</v>
      </c>
      <c r="C384" s="48" t="s">
        <v>1744</v>
      </c>
      <c r="D384" s="48" t="s">
        <v>93</v>
      </c>
      <c r="E384" s="48" t="s">
        <v>115</v>
      </c>
      <c r="F384" s="48" t="s">
        <v>694</v>
      </c>
      <c r="G384" s="48" t="s">
        <v>1003</v>
      </c>
      <c r="H384" s="49">
        <v>0.0580572414</v>
      </c>
      <c r="I384" s="49">
        <v>1337.0</v>
      </c>
      <c r="J384" s="49">
        <v>62706.66</v>
      </c>
      <c r="K384" s="49">
        <v>62706.66</v>
      </c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>
      <c r="A385" s="48" t="s">
        <v>1745</v>
      </c>
      <c r="B385" s="49">
        <v>7021963.0</v>
      </c>
      <c r="C385" s="48" t="s">
        <v>1746</v>
      </c>
      <c r="D385" s="48" t="s">
        <v>93</v>
      </c>
      <c r="E385" s="48" t="s">
        <v>99</v>
      </c>
      <c r="F385" s="48" t="s">
        <v>649</v>
      </c>
      <c r="G385" s="48" t="s">
        <v>640</v>
      </c>
      <c r="H385" s="49">
        <v>0.0575932544</v>
      </c>
      <c r="I385" s="49">
        <v>229.0</v>
      </c>
      <c r="J385" s="49">
        <v>62205.52</v>
      </c>
      <c r="K385" s="49">
        <v>62205.52</v>
      </c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>
      <c r="A386" s="48" t="s">
        <v>1747</v>
      </c>
      <c r="B386" s="49">
        <v>2216850.0</v>
      </c>
      <c r="C386" s="48" t="s">
        <v>1748</v>
      </c>
      <c r="D386" s="48" t="s">
        <v>93</v>
      </c>
      <c r="E386" s="48" t="s">
        <v>170</v>
      </c>
      <c r="F386" s="48" t="s">
        <v>622</v>
      </c>
      <c r="G386" s="48" t="s">
        <v>623</v>
      </c>
      <c r="H386" s="49">
        <v>0.0572970863</v>
      </c>
      <c r="I386" s="49">
        <v>437.0</v>
      </c>
      <c r="J386" s="49">
        <v>61885.63</v>
      </c>
      <c r="K386" s="49">
        <v>61885.63</v>
      </c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>
      <c r="A387" s="48" t="s">
        <v>1749</v>
      </c>
      <c r="B387" s="49">
        <v>2712013.0</v>
      </c>
      <c r="C387" s="48" t="s">
        <v>1750</v>
      </c>
      <c r="D387" s="48" t="s">
        <v>93</v>
      </c>
      <c r="E387" s="48" t="s">
        <v>99</v>
      </c>
      <c r="F387" s="48" t="s">
        <v>622</v>
      </c>
      <c r="G387" s="48" t="s">
        <v>623</v>
      </c>
      <c r="H387" s="49">
        <v>0.0571885841999999</v>
      </c>
      <c r="I387" s="49">
        <v>331.0</v>
      </c>
      <c r="J387" s="49">
        <v>61768.44</v>
      </c>
      <c r="K387" s="49">
        <v>61768.44</v>
      </c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>
      <c r="A388" s="48" t="s">
        <v>1751</v>
      </c>
      <c r="B388" s="49">
        <v>2955733.0</v>
      </c>
      <c r="C388" s="48" t="s">
        <v>1752</v>
      </c>
      <c r="D388" s="48" t="s">
        <v>93</v>
      </c>
      <c r="E388" s="48" t="s">
        <v>127</v>
      </c>
      <c r="F388" s="48" t="s">
        <v>622</v>
      </c>
      <c r="G388" s="48" t="s">
        <v>623</v>
      </c>
      <c r="H388" s="49">
        <v>0.0571822637</v>
      </c>
      <c r="I388" s="49">
        <v>375.0</v>
      </c>
      <c r="J388" s="49">
        <v>61761.61</v>
      </c>
      <c r="K388" s="49">
        <v>61761.61</v>
      </c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>
      <c r="A389" s="48" t="s">
        <v>1753</v>
      </c>
      <c r="B389" s="49">
        <v>709954.0</v>
      </c>
      <c r="C389" s="48" t="s">
        <v>1754</v>
      </c>
      <c r="D389" s="48" t="s">
        <v>93</v>
      </c>
      <c r="E389" s="48" t="s">
        <v>99</v>
      </c>
      <c r="F389" s="48" t="s">
        <v>822</v>
      </c>
      <c r="G389" s="48" t="s">
        <v>908</v>
      </c>
      <c r="H389" s="49">
        <v>0.0570817317999999</v>
      </c>
      <c r="I389" s="49">
        <v>3538.0</v>
      </c>
      <c r="J389" s="49">
        <v>61653.03</v>
      </c>
      <c r="K389" s="49">
        <v>61653.03</v>
      </c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>
      <c r="A390" s="48" t="s">
        <v>1755</v>
      </c>
      <c r="B390" s="48" t="s">
        <v>1756</v>
      </c>
      <c r="C390" s="48" t="s">
        <v>1757</v>
      </c>
      <c r="D390" s="48" t="s">
        <v>93</v>
      </c>
      <c r="E390" s="48" t="s">
        <v>127</v>
      </c>
      <c r="F390" s="48" t="s">
        <v>1740</v>
      </c>
      <c r="G390" s="48" t="s">
        <v>1741</v>
      </c>
      <c r="H390" s="49">
        <v>0.0570607144</v>
      </c>
      <c r="I390" s="49">
        <v>3042.0</v>
      </c>
      <c r="J390" s="49">
        <v>61630.33</v>
      </c>
      <c r="K390" s="49">
        <v>61630.33</v>
      </c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>
      <c r="A391" s="48" t="s">
        <v>1758</v>
      </c>
      <c r="B391" s="48" t="s">
        <v>1759</v>
      </c>
      <c r="C391" s="48" t="s">
        <v>1760</v>
      </c>
      <c r="D391" s="48" t="s">
        <v>93</v>
      </c>
      <c r="E391" s="48" t="s">
        <v>99</v>
      </c>
      <c r="F391" s="48" t="s">
        <v>622</v>
      </c>
      <c r="G391" s="48" t="s">
        <v>655</v>
      </c>
      <c r="H391" s="49">
        <v>0.0569925633999999</v>
      </c>
      <c r="I391" s="49">
        <v>376.0</v>
      </c>
      <c r="J391" s="49">
        <v>61556.72</v>
      </c>
      <c r="K391" s="49">
        <v>61556.72</v>
      </c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>
      <c r="A392" s="48" t="s">
        <v>1761</v>
      </c>
      <c r="B392" s="49">
        <v>5756029.0</v>
      </c>
      <c r="C392" s="48" t="s">
        <v>1762</v>
      </c>
      <c r="D392" s="48" t="s">
        <v>93</v>
      </c>
      <c r="E392" s="48" t="s">
        <v>118</v>
      </c>
      <c r="F392" s="48" t="s">
        <v>649</v>
      </c>
      <c r="G392" s="48" t="s">
        <v>640</v>
      </c>
      <c r="H392" s="49">
        <v>0.0569127767999999</v>
      </c>
      <c r="I392" s="49">
        <v>372.0</v>
      </c>
      <c r="J392" s="49">
        <v>61470.54</v>
      </c>
      <c r="K392" s="49">
        <v>61470.54</v>
      </c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>
      <c r="A393" s="48" t="s">
        <v>1763</v>
      </c>
      <c r="B393" s="48" t="s">
        <v>1764</v>
      </c>
      <c r="C393" s="48" t="s">
        <v>1765</v>
      </c>
      <c r="D393" s="48" t="s">
        <v>93</v>
      </c>
      <c r="E393" s="48" t="s">
        <v>127</v>
      </c>
      <c r="F393" s="48" t="s">
        <v>622</v>
      </c>
      <c r="G393" s="48" t="s">
        <v>908</v>
      </c>
      <c r="H393" s="49">
        <v>0.0567927939</v>
      </c>
      <c r="I393" s="49">
        <v>1175.0</v>
      </c>
      <c r="J393" s="49">
        <v>61340.95</v>
      </c>
      <c r="K393" s="49">
        <v>61340.95</v>
      </c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>
      <c r="A394" s="48" t="s">
        <v>1766</v>
      </c>
      <c r="B394" s="49">
        <v>7110753.0</v>
      </c>
      <c r="C394" s="48" t="s">
        <v>1767</v>
      </c>
      <c r="D394" s="48" t="s">
        <v>93</v>
      </c>
      <c r="E394" s="48" t="s">
        <v>94</v>
      </c>
      <c r="F394" s="48" t="s">
        <v>622</v>
      </c>
      <c r="G394" s="48" t="s">
        <v>655</v>
      </c>
      <c r="H394" s="49">
        <v>0.0567735741999999</v>
      </c>
      <c r="I394" s="49">
        <v>602.0</v>
      </c>
      <c r="J394" s="49">
        <v>61320.19</v>
      </c>
      <c r="K394" s="49">
        <v>61320.19</v>
      </c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>
      <c r="A395" s="48" t="s">
        <v>1768</v>
      </c>
      <c r="B395" s="49">
        <v>2332262.0</v>
      </c>
      <c r="C395" s="48" t="s">
        <v>1769</v>
      </c>
      <c r="D395" s="48" t="s">
        <v>93</v>
      </c>
      <c r="E395" s="48" t="s">
        <v>127</v>
      </c>
      <c r="F395" s="48" t="s">
        <v>622</v>
      </c>
      <c r="G395" s="48" t="s">
        <v>623</v>
      </c>
      <c r="H395" s="49">
        <v>0.0566777047</v>
      </c>
      <c r="I395" s="49">
        <v>726.0</v>
      </c>
      <c r="J395" s="49">
        <v>61216.65</v>
      </c>
      <c r="K395" s="49">
        <v>61216.65</v>
      </c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>
      <c r="A396" s="48" t="s">
        <v>1770</v>
      </c>
      <c r="B396" s="48" t="s">
        <v>1771</v>
      </c>
      <c r="C396" s="48" t="s">
        <v>1772</v>
      </c>
      <c r="D396" s="48" t="s">
        <v>93</v>
      </c>
      <c r="E396" s="48" t="s">
        <v>118</v>
      </c>
      <c r="F396" s="48" t="s">
        <v>95</v>
      </c>
      <c r="G396" s="48" t="s">
        <v>640</v>
      </c>
      <c r="H396" s="49">
        <v>0.0566537867</v>
      </c>
      <c r="I396" s="49">
        <v>227.0</v>
      </c>
      <c r="J396" s="49">
        <v>61190.81</v>
      </c>
      <c r="K396" s="49">
        <v>61190.81</v>
      </c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>
      <c r="A397" s="48" t="s">
        <v>1773</v>
      </c>
      <c r="B397" s="49">
        <v>5980613.0</v>
      </c>
      <c r="C397" s="48" t="s">
        <v>1774</v>
      </c>
      <c r="D397" s="48" t="s">
        <v>93</v>
      </c>
      <c r="E397" s="48" t="s">
        <v>94</v>
      </c>
      <c r="F397" s="48" t="s">
        <v>654</v>
      </c>
      <c r="G397" s="48" t="s">
        <v>655</v>
      </c>
      <c r="H397" s="49">
        <v>0.0564318184999999</v>
      </c>
      <c r="I397" s="49">
        <v>12.0</v>
      </c>
      <c r="J397" s="49">
        <v>60951.07</v>
      </c>
      <c r="K397" s="49">
        <v>60951.07</v>
      </c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>
      <c r="A398" s="48" t="s">
        <v>1775</v>
      </c>
      <c r="B398" s="48" t="s">
        <v>1776</v>
      </c>
      <c r="C398" s="48" t="s">
        <v>1777</v>
      </c>
      <c r="D398" s="48" t="s">
        <v>93</v>
      </c>
      <c r="E398" s="48" t="s">
        <v>99</v>
      </c>
      <c r="F398" s="48" t="s">
        <v>622</v>
      </c>
      <c r="G398" s="48" t="s">
        <v>623</v>
      </c>
      <c r="H398" s="49">
        <v>0.0563468156</v>
      </c>
      <c r="I398" s="49">
        <v>446.0</v>
      </c>
      <c r="J398" s="49">
        <v>60859.26</v>
      </c>
      <c r="K398" s="49">
        <v>60859.26</v>
      </c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>
      <c r="A399" s="48" t="s">
        <v>1778</v>
      </c>
      <c r="B399" s="48" t="s">
        <v>1779</v>
      </c>
      <c r="C399" s="48" t="s">
        <v>1780</v>
      </c>
      <c r="D399" s="48" t="s">
        <v>93</v>
      </c>
      <c r="E399" s="48" t="s">
        <v>94</v>
      </c>
      <c r="F399" s="48" t="s">
        <v>694</v>
      </c>
      <c r="G399" s="48" t="s">
        <v>1003</v>
      </c>
      <c r="H399" s="49">
        <v>0.0562360874</v>
      </c>
      <c r="I399" s="49">
        <v>626.0</v>
      </c>
      <c r="J399" s="49">
        <v>60739.66</v>
      </c>
      <c r="K399" s="49">
        <v>60739.66</v>
      </c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>
      <c r="A400" s="48" t="s">
        <v>1781</v>
      </c>
      <c r="B400" s="49">
        <v>2134781.0</v>
      </c>
      <c r="C400" s="48" t="s">
        <v>1782</v>
      </c>
      <c r="D400" s="48" t="s">
        <v>93</v>
      </c>
      <c r="E400" s="48" t="s">
        <v>127</v>
      </c>
      <c r="F400" s="48" t="s">
        <v>622</v>
      </c>
      <c r="G400" s="48" t="s">
        <v>623</v>
      </c>
      <c r="H400" s="49">
        <v>0.0559623321</v>
      </c>
      <c r="I400" s="49">
        <v>89.0</v>
      </c>
      <c r="J400" s="49">
        <v>60443.98</v>
      </c>
      <c r="K400" s="49">
        <v>60443.98</v>
      </c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>
      <c r="A401" s="48" t="s">
        <v>1783</v>
      </c>
      <c r="B401" s="48" t="s">
        <v>1784</v>
      </c>
      <c r="C401" s="48" t="s">
        <v>1785</v>
      </c>
      <c r="D401" s="48" t="s">
        <v>93</v>
      </c>
      <c r="E401" s="48" t="s">
        <v>127</v>
      </c>
      <c r="F401" s="48" t="s">
        <v>622</v>
      </c>
      <c r="G401" s="48" t="s">
        <v>623</v>
      </c>
      <c r="H401" s="49">
        <v>0.0556075463</v>
      </c>
      <c r="I401" s="49">
        <v>210.0</v>
      </c>
      <c r="J401" s="49">
        <v>60060.79</v>
      </c>
      <c r="K401" s="49">
        <v>60060.79</v>
      </c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>
      <c r="A402" s="48" t="s">
        <v>1786</v>
      </c>
      <c r="B402" s="49">
        <v>2422806.0</v>
      </c>
      <c r="C402" s="48" t="s">
        <v>1787</v>
      </c>
      <c r="D402" s="48" t="s">
        <v>93</v>
      </c>
      <c r="E402" s="48" t="s">
        <v>124</v>
      </c>
      <c r="F402" s="48" t="s">
        <v>622</v>
      </c>
      <c r="G402" s="48" t="s">
        <v>623</v>
      </c>
      <c r="H402" s="49">
        <v>0.0555682234</v>
      </c>
      <c r="I402" s="49">
        <v>185.0</v>
      </c>
      <c r="J402" s="49">
        <v>60018.31</v>
      </c>
      <c r="K402" s="49">
        <v>60018.31</v>
      </c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>
      <c r="A403" s="48" t="s">
        <v>1788</v>
      </c>
      <c r="B403" s="48" t="s">
        <v>1789</v>
      </c>
      <c r="C403" s="48" t="s">
        <v>1790</v>
      </c>
      <c r="D403" s="48" t="s">
        <v>93</v>
      </c>
      <c r="E403" s="48" t="s">
        <v>94</v>
      </c>
      <c r="F403" s="48" t="s">
        <v>622</v>
      </c>
      <c r="G403" s="48" t="s">
        <v>623</v>
      </c>
      <c r="H403" s="49">
        <v>0.0553035843</v>
      </c>
      <c r="I403" s="49">
        <v>526.0</v>
      </c>
      <c r="J403" s="49">
        <v>59732.48</v>
      </c>
      <c r="K403" s="49">
        <v>59732.48</v>
      </c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>
      <c r="A404" s="48" t="s">
        <v>1791</v>
      </c>
      <c r="B404" s="49">
        <v>2262530.0</v>
      </c>
      <c r="C404" s="48" t="s">
        <v>1792</v>
      </c>
      <c r="D404" s="48" t="s">
        <v>93</v>
      </c>
      <c r="E404" s="48" t="s">
        <v>127</v>
      </c>
      <c r="F404" s="48" t="s">
        <v>622</v>
      </c>
      <c r="G404" s="48" t="s">
        <v>623</v>
      </c>
      <c r="H404" s="49">
        <v>0.0552843053</v>
      </c>
      <c r="I404" s="49">
        <v>260.0</v>
      </c>
      <c r="J404" s="49">
        <v>59711.66</v>
      </c>
      <c r="K404" s="49">
        <v>59711.66</v>
      </c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>
      <c r="A405" s="48" t="s">
        <v>1793</v>
      </c>
      <c r="B405" s="49">
        <v>2566351.0</v>
      </c>
      <c r="C405" s="48" t="s">
        <v>1794</v>
      </c>
      <c r="D405" s="48" t="s">
        <v>93</v>
      </c>
      <c r="E405" s="48" t="s">
        <v>99</v>
      </c>
      <c r="F405" s="48" t="s">
        <v>694</v>
      </c>
      <c r="G405" s="48" t="s">
        <v>1003</v>
      </c>
      <c r="H405" s="49">
        <v>0.055275856</v>
      </c>
      <c r="I405" s="49">
        <v>45.0</v>
      </c>
      <c r="J405" s="49">
        <v>59702.53</v>
      </c>
      <c r="K405" s="49">
        <v>59702.53</v>
      </c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>
      <c r="A406" s="48" t="s">
        <v>1795</v>
      </c>
      <c r="B406" s="48" t="s">
        <v>1796</v>
      </c>
      <c r="C406" s="48" t="s">
        <v>1797</v>
      </c>
      <c r="D406" s="48" t="s">
        <v>93</v>
      </c>
      <c r="E406" s="48" t="s">
        <v>124</v>
      </c>
      <c r="F406" s="48" t="s">
        <v>668</v>
      </c>
      <c r="G406" s="48" t="s">
        <v>640</v>
      </c>
      <c r="H406" s="49">
        <v>0.0552461925999999</v>
      </c>
      <c r="I406" s="49">
        <v>1226.0</v>
      </c>
      <c r="J406" s="49">
        <v>59670.49</v>
      </c>
      <c r="K406" s="49">
        <v>59670.49</v>
      </c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>
      <c r="A407" s="48" t="s">
        <v>1798</v>
      </c>
      <c r="B407" s="49">
        <v>2019952.0</v>
      </c>
      <c r="C407" s="48" t="s">
        <v>1799</v>
      </c>
      <c r="D407" s="48" t="s">
        <v>93</v>
      </c>
      <c r="E407" s="48" t="s">
        <v>99</v>
      </c>
      <c r="F407" s="48" t="s">
        <v>622</v>
      </c>
      <c r="G407" s="48" t="s">
        <v>623</v>
      </c>
      <c r="H407" s="49">
        <v>0.0552014748</v>
      </c>
      <c r="I407" s="49">
        <v>336.0</v>
      </c>
      <c r="J407" s="49">
        <v>59622.19</v>
      </c>
      <c r="K407" s="49">
        <v>59622.19</v>
      </c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>
      <c r="A408" s="48" t="s">
        <v>1800</v>
      </c>
      <c r="B408" s="49">
        <v>2572079.0</v>
      </c>
      <c r="C408" s="48" t="s">
        <v>1801</v>
      </c>
      <c r="D408" s="48" t="s">
        <v>93</v>
      </c>
      <c r="E408" s="48" t="s">
        <v>94</v>
      </c>
      <c r="F408" s="48" t="s">
        <v>622</v>
      </c>
      <c r="G408" s="48" t="s">
        <v>623</v>
      </c>
      <c r="H408" s="49">
        <v>0.05514814</v>
      </c>
      <c r="I408" s="49">
        <v>94.0</v>
      </c>
      <c r="J408" s="49">
        <v>59564.59</v>
      </c>
      <c r="K408" s="49">
        <v>59564.59</v>
      </c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>
      <c r="A409" s="48" t="s">
        <v>1802</v>
      </c>
      <c r="B409" s="49">
        <v>5671519.0</v>
      </c>
      <c r="C409" s="48" t="s">
        <v>1803</v>
      </c>
      <c r="D409" s="48" t="s">
        <v>93</v>
      </c>
      <c r="E409" s="48" t="s">
        <v>127</v>
      </c>
      <c r="F409" s="48" t="s">
        <v>668</v>
      </c>
      <c r="G409" s="48" t="s">
        <v>640</v>
      </c>
      <c r="H409" s="49">
        <v>0.0550998002</v>
      </c>
      <c r="I409" s="49">
        <v>310.0</v>
      </c>
      <c r="J409" s="49">
        <v>59512.38</v>
      </c>
      <c r="K409" s="49">
        <v>59512.38</v>
      </c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>
      <c r="A410" s="48" t="s">
        <v>1804</v>
      </c>
      <c r="B410" s="49">
        <v>2707677.0</v>
      </c>
      <c r="C410" s="48" t="s">
        <v>1805</v>
      </c>
      <c r="D410" s="48" t="s">
        <v>93</v>
      </c>
      <c r="E410" s="48" t="s">
        <v>170</v>
      </c>
      <c r="F410" s="48" t="s">
        <v>622</v>
      </c>
      <c r="G410" s="48" t="s">
        <v>623</v>
      </c>
      <c r="H410" s="49">
        <v>0.0549469225</v>
      </c>
      <c r="I410" s="49">
        <v>630.0</v>
      </c>
      <c r="J410" s="49">
        <v>59347.26</v>
      </c>
      <c r="K410" s="49">
        <v>59347.26</v>
      </c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>
      <c r="A411" s="48" t="s">
        <v>1806</v>
      </c>
      <c r="B411" s="48" t="s">
        <v>1807</v>
      </c>
      <c r="C411" s="48" t="s">
        <v>1808</v>
      </c>
      <c r="D411" s="48" t="s">
        <v>93</v>
      </c>
      <c r="E411" s="48" t="s">
        <v>127</v>
      </c>
      <c r="F411" s="48" t="s">
        <v>1740</v>
      </c>
      <c r="G411" s="48" t="s">
        <v>1741</v>
      </c>
      <c r="H411" s="49">
        <v>0.0549294367</v>
      </c>
      <c r="I411" s="49">
        <v>1830.0</v>
      </c>
      <c r="J411" s="49">
        <v>59328.37</v>
      </c>
      <c r="K411" s="49">
        <v>59328.37</v>
      </c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>
      <c r="A412" s="48" t="s">
        <v>1809</v>
      </c>
      <c r="B412" s="48" t="s">
        <v>1810</v>
      </c>
      <c r="C412" s="48" t="s">
        <v>1811</v>
      </c>
      <c r="D412" s="48" t="s">
        <v>93</v>
      </c>
      <c r="E412" s="48" t="s">
        <v>124</v>
      </c>
      <c r="F412" s="48" t="s">
        <v>622</v>
      </c>
      <c r="G412" s="48" t="s">
        <v>623</v>
      </c>
      <c r="H412" s="49">
        <v>0.0549262294</v>
      </c>
      <c r="I412" s="49">
        <v>1142.0</v>
      </c>
      <c r="J412" s="49">
        <v>59324.91</v>
      </c>
      <c r="K412" s="49">
        <v>59324.91</v>
      </c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>
      <c r="A413" s="48" t="s">
        <v>1812</v>
      </c>
      <c r="B413" s="49">
        <v>2486813.0</v>
      </c>
      <c r="C413" s="48" t="s">
        <v>1813</v>
      </c>
      <c r="D413" s="48" t="s">
        <v>93</v>
      </c>
      <c r="E413" s="48" t="s">
        <v>124</v>
      </c>
      <c r="F413" s="48" t="s">
        <v>622</v>
      </c>
      <c r="G413" s="48" t="s">
        <v>623</v>
      </c>
      <c r="H413" s="49">
        <v>0.0547906124999999</v>
      </c>
      <c r="I413" s="49">
        <v>628.0</v>
      </c>
      <c r="J413" s="49">
        <v>59178.43</v>
      </c>
      <c r="K413" s="49">
        <v>59178.43</v>
      </c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>
      <c r="A414" s="48" t="s">
        <v>1814</v>
      </c>
      <c r="B414" s="49">
        <v>2795393.0</v>
      </c>
      <c r="C414" s="48" t="s">
        <v>1815</v>
      </c>
      <c r="D414" s="48" t="s">
        <v>93</v>
      </c>
      <c r="E414" s="48" t="s">
        <v>102</v>
      </c>
      <c r="F414" s="48" t="s">
        <v>622</v>
      </c>
      <c r="G414" s="48" t="s">
        <v>623</v>
      </c>
      <c r="H414" s="49">
        <v>0.0547065842</v>
      </c>
      <c r="I414" s="49">
        <v>205.0</v>
      </c>
      <c r="J414" s="49">
        <v>59087.67</v>
      </c>
      <c r="K414" s="49">
        <v>59087.67</v>
      </c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>
      <c r="A415" s="48" t="s">
        <v>1816</v>
      </c>
      <c r="B415" s="49">
        <v>2381093.0</v>
      </c>
      <c r="C415" s="48" t="s">
        <v>1817</v>
      </c>
      <c r="D415" s="48" t="s">
        <v>93</v>
      </c>
      <c r="E415" s="48" t="s">
        <v>121</v>
      </c>
      <c r="F415" s="48" t="s">
        <v>694</v>
      </c>
      <c r="G415" s="48" t="s">
        <v>1003</v>
      </c>
      <c r="H415" s="49">
        <v>0.0547059223</v>
      </c>
      <c r="I415" s="49">
        <v>2256.0</v>
      </c>
      <c r="J415" s="49">
        <v>59086.96</v>
      </c>
      <c r="K415" s="49">
        <v>59086.96</v>
      </c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>
      <c r="A416" s="48" t="s">
        <v>1818</v>
      </c>
      <c r="B416" s="49">
        <v>2372763.0</v>
      </c>
      <c r="C416" s="48" t="s">
        <v>1819</v>
      </c>
      <c r="D416" s="48" t="s">
        <v>93</v>
      </c>
      <c r="E416" s="48" t="s">
        <v>167</v>
      </c>
      <c r="F416" s="48" t="s">
        <v>622</v>
      </c>
      <c r="G416" s="48" t="s">
        <v>623</v>
      </c>
      <c r="H416" s="49">
        <v>0.0544222332</v>
      </c>
      <c r="I416" s="49">
        <v>108.0</v>
      </c>
      <c r="J416" s="49">
        <v>58780.55</v>
      </c>
      <c r="K416" s="49">
        <v>58780.55</v>
      </c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>
      <c r="A417" s="48" t="s">
        <v>1820</v>
      </c>
      <c r="B417" s="48" t="s">
        <v>1821</v>
      </c>
      <c r="C417" s="48" t="s">
        <v>1822</v>
      </c>
      <c r="D417" s="48" t="s">
        <v>93</v>
      </c>
      <c r="E417" s="48" t="s">
        <v>102</v>
      </c>
      <c r="F417" s="48" t="s">
        <v>622</v>
      </c>
      <c r="G417" s="48" t="s">
        <v>623</v>
      </c>
      <c r="H417" s="49">
        <v>0.0542467595</v>
      </c>
      <c r="I417" s="49">
        <v>185.0</v>
      </c>
      <c r="J417" s="49">
        <v>58591.02</v>
      </c>
      <c r="K417" s="49">
        <v>58591.02</v>
      </c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>
      <c r="A418" s="48" t="s">
        <v>1823</v>
      </c>
      <c r="B418" s="49">
        <v>2698470.0</v>
      </c>
      <c r="C418" s="48" t="s">
        <v>1824</v>
      </c>
      <c r="D418" s="48" t="s">
        <v>93</v>
      </c>
      <c r="E418" s="48" t="s">
        <v>94</v>
      </c>
      <c r="F418" s="48" t="s">
        <v>622</v>
      </c>
      <c r="G418" s="48" t="s">
        <v>623</v>
      </c>
      <c r="H418" s="49">
        <v>0.0542423871</v>
      </c>
      <c r="I418" s="49">
        <v>293.0</v>
      </c>
      <c r="J418" s="49">
        <v>58586.3</v>
      </c>
      <c r="K418" s="49">
        <v>58586.3</v>
      </c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>
      <c r="A419" s="48" t="s">
        <v>1825</v>
      </c>
      <c r="B419" s="49">
        <v>3134865.0</v>
      </c>
      <c r="C419" s="48" t="s">
        <v>1826</v>
      </c>
      <c r="D419" s="48" t="s">
        <v>93</v>
      </c>
      <c r="E419" s="48" t="s">
        <v>99</v>
      </c>
      <c r="F419" s="48" t="s">
        <v>918</v>
      </c>
      <c r="G419" s="48" t="s">
        <v>908</v>
      </c>
      <c r="H419" s="49">
        <v>0.054154678</v>
      </c>
      <c r="I419" s="49">
        <v>19484.0</v>
      </c>
      <c r="J419" s="49">
        <v>58491.57</v>
      </c>
      <c r="K419" s="49">
        <v>58491.57</v>
      </c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>
      <c r="A420" s="48" t="s">
        <v>1827</v>
      </c>
      <c r="B420" s="48" t="s">
        <v>1828</v>
      </c>
      <c r="C420" s="48" t="s">
        <v>1829</v>
      </c>
      <c r="D420" s="48" t="s">
        <v>93</v>
      </c>
      <c r="E420" s="48" t="s">
        <v>99</v>
      </c>
      <c r="F420" s="48" t="s">
        <v>738</v>
      </c>
      <c r="G420" s="48" t="s">
        <v>1437</v>
      </c>
      <c r="H420" s="49">
        <v>0.0540579077</v>
      </c>
      <c r="I420" s="49">
        <v>4103.0</v>
      </c>
      <c r="J420" s="49">
        <v>58387.05</v>
      </c>
      <c r="K420" s="49">
        <v>58387.05</v>
      </c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>
      <c r="A421" s="48" t="s">
        <v>1830</v>
      </c>
      <c r="B421" s="49">
        <v>2480677.0</v>
      </c>
      <c r="C421" s="48" t="s">
        <v>1831</v>
      </c>
      <c r="D421" s="48" t="s">
        <v>93</v>
      </c>
      <c r="E421" s="48" t="s">
        <v>115</v>
      </c>
      <c r="F421" s="48" t="s">
        <v>622</v>
      </c>
      <c r="G421" s="48" t="s">
        <v>623</v>
      </c>
      <c r="H421" s="49">
        <v>0.0539790179</v>
      </c>
      <c r="I421" s="49">
        <v>806.0</v>
      </c>
      <c r="J421" s="49">
        <v>58301.84</v>
      </c>
      <c r="K421" s="49">
        <v>58301.84</v>
      </c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>
      <c r="A422" s="48" t="s">
        <v>1832</v>
      </c>
      <c r="B422" s="48" t="s">
        <v>1833</v>
      </c>
      <c r="C422" s="48" t="s">
        <v>1834</v>
      </c>
      <c r="D422" s="48" t="s">
        <v>93</v>
      </c>
      <c r="E422" s="48" t="s">
        <v>118</v>
      </c>
      <c r="F422" s="48" t="s">
        <v>1201</v>
      </c>
      <c r="G422" s="48" t="s">
        <v>640</v>
      </c>
      <c r="H422" s="49">
        <v>0.0537082651</v>
      </c>
      <c r="I422" s="49">
        <v>567.0</v>
      </c>
      <c r="J422" s="49">
        <v>58009.4</v>
      </c>
      <c r="K422" s="49">
        <v>58009.4</v>
      </c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>
      <c r="A423" s="48" t="s">
        <v>1835</v>
      </c>
      <c r="B423" s="48" t="s">
        <v>1836</v>
      </c>
      <c r="C423" s="48" t="s">
        <v>1837</v>
      </c>
      <c r="D423" s="48" t="s">
        <v>93</v>
      </c>
      <c r="E423" s="48" t="s">
        <v>167</v>
      </c>
      <c r="F423" s="48" t="s">
        <v>622</v>
      </c>
      <c r="G423" s="48" t="s">
        <v>623</v>
      </c>
      <c r="H423" s="49">
        <v>0.0534505622</v>
      </c>
      <c r="I423" s="49">
        <v>195.0</v>
      </c>
      <c r="J423" s="49">
        <v>57731.06</v>
      </c>
      <c r="K423" s="49">
        <v>57731.06</v>
      </c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>
      <c r="A424" s="48" t="s">
        <v>1838</v>
      </c>
      <c r="B424" s="49">
        <v>4768962.0</v>
      </c>
      <c r="C424" s="48" t="s">
        <v>1839</v>
      </c>
      <c r="D424" s="48" t="s">
        <v>93</v>
      </c>
      <c r="E424" s="48" t="s">
        <v>170</v>
      </c>
      <c r="F424" s="48" t="s">
        <v>649</v>
      </c>
      <c r="G424" s="48" t="s">
        <v>640</v>
      </c>
      <c r="H424" s="49">
        <v>0.0534004673</v>
      </c>
      <c r="I424" s="49">
        <v>948.0</v>
      </c>
      <c r="J424" s="49">
        <v>57676.96</v>
      </c>
      <c r="K424" s="49">
        <v>57676.96</v>
      </c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>
      <c r="A425" s="48" t="s">
        <v>1840</v>
      </c>
      <c r="B425" s="49">
        <v>2130109.0</v>
      </c>
      <c r="C425" s="48" t="s">
        <v>1841</v>
      </c>
      <c r="D425" s="48" t="s">
        <v>93</v>
      </c>
      <c r="E425" s="48" t="s">
        <v>115</v>
      </c>
      <c r="F425" s="48" t="s">
        <v>622</v>
      </c>
      <c r="G425" s="48" t="s">
        <v>623</v>
      </c>
      <c r="H425" s="49">
        <v>0.053231451</v>
      </c>
      <c r="I425" s="49">
        <v>559.0</v>
      </c>
      <c r="J425" s="49">
        <v>57494.4</v>
      </c>
      <c r="K425" s="49">
        <v>57494.4</v>
      </c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>
      <c r="A426" s="48" t="s">
        <v>1842</v>
      </c>
      <c r="B426" s="48" t="s">
        <v>1843</v>
      </c>
      <c r="C426" s="48" t="s">
        <v>1844</v>
      </c>
      <c r="D426" s="48" t="s">
        <v>93</v>
      </c>
      <c r="E426" s="48" t="s">
        <v>127</v>
      </c>
      <c r="F426" s="48" t="s">
        <v>918</v>
      </c>
      <c r="G426" s="48" t="s">
        <v>908</v>
      </c>
      <c r="H426" s="49">
        <v>0.0528951201</v>
      </c>
      <c r="I426" s="49">
        <v>4957.0</v>
      </c>
      <c r="J426" s="49">
        <v>57131.14</v>
      </c>
      <c r="K426" s="49">
        <v>57131.14</v>
      </c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>
      <c r="A427" s="48" t="s">
        <v>1845</v>
      </c>
      <c r="B427" s="49">
        <v>2511920.0</v>
      </c>
      <c r="C427" s="48" t="s">
        <v>1846</v>
      </c>
      <c r="D427" s="48" t="s">
        <v>93</v>
      </c>
      <c r="E427" s="48" t="s">
        <v>118</v>
      </c>
      <c r="F427" s="48" t="s">
        <v>622</v>
      </c>
      <c r="G427" s="48" t="s">
        <v>623</v>
      </c>
      <c r="H427" s="49">
        <v>0.0527301101</v>
      </c>
      <c r="I427" s="49">
        <v>323.0</v>
      </c>
      <c r="J427" s="49">
        <v>56952.91</v>
      </c>
      <c r="K427" s="49">
        <v>56952.91</v>
      </c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>
      <c r="A428" s="48" t="s">
        <v>1847</v>
      </c>
      <c r="B428" s="48" t="s">
        <v>1848</v>
      </c>
      <c r="C428" s="48" t="s">
        <v>1849</v>
      </c>
      <c r="D428" s="48" t="s">
        <v>93</v>
      </c>
      <c r="E428" s="48" t="s">
        <v>102</v>
      </c>
      <c r="F428" s="48" t="s">
        <v>668</v>
      </c>
      <c r="G428" s="48" t="s">
        <v>623</v>
      </c>
      <c r="H428" s="49">
        <v>0.0525115328</v>
      </c>
      <c r="I428" s="49">
        <v>72.0</v>
      </c>
      <c r="J428" s="49">
        <v>56716.83</v>
      </c>
      <c r="K428" s="49">
        <v>56716.83</v>
      </c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>
      <c r="A429" s="48" t="s">
        <v>1850</v>
      </c>
      <c r="B429" s="48" t="s">
        <v>1851</v>
      </c>
      <c r="C429" s="48" t="s">
        <v>1852</v>
      </c>
      <c r="D429" s="48" t="s">
        <v>93</v>
      </c>
      <c r="E429" s="48" t="s">
        <v>102</v>
      </c>
      <c r="F429" s="48" t="s">
        <v>622</v>
      </c>
      <c r="G429" s="48" t="s">
        <v>623</v>
      </c>
      <c r="H429" s="49">
        <v>0.0524179084</v>
      </c>
      <c r="I429" s="49">
        <v>176.0</v>
      </c>
      <c r="J429" s="49">
        <v>56615.71</v>
      </c>
      <c r="K429" s="49">
        <v>56615.71</v>
      </c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>
      <c r="A430" s="48" t="s">
        <v>1853</v>
      </c>
      <c r="B430" s="49">
        <v>2648668.0</v>
      </c>
      <c r="C430" s="48" t="s">
        <v>1854</v>
      </c>
      <c r="D430" s="48" t="s">
        <v>93</v>
      </c>
      <c r="E430" s="48" t="s">
        <v>99</v>
      </c>
      <c r="F430" s="48" t="s">
        <v>622</v>
      </c>
      <c r="G430" s="48" t="s">
        <v>623</v>
      </c>
      <c r="H430" s="49">
        <v>0.0522818297</v>
      </c>
      <c r="I430" s="49">
        <v>521.0</v>
      </c>
      <c r="J430" s="49">
        <v>56468.73</v>
      </c>
      <c r="K430" s="49">
        <v>56468.73</v>
      </c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>
      <c r="A431" s="48" t="s">
        <v>1855</v>
      </c>
      <c r="B431" s="48" t="s">
        <v>1856</v>
      </c>
      <c r="C431" s="48" t="s">
        <v>1857</v>
      </c>
      <c r="D431" s="48" t="s">
        <v>93</v>
      </c>
      <c r="E431" s="48" t="s">
        <v>118</v>
      </c>
      <c r="F431" s="48" t="s">
        <v>622</v>
      </c>
      <c r="G431" s="48" t="s">
        <v>623</v>
      </c>
      <c r="H431" s="49">
        <v>0.0519886906</v>
      </c>
      <c r="I431" s="49">
        <v>368.0</v>
      </c>
      <c r="J431" s="49">
        <v>56152.12</v>
      </c>
      <c r="K431" s="49">
        <v>56152.12</v>
      </c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>
      <c r="A432" s="48" t="s">
        <v>1858</v>
      </c>
      <c r="B432" s="49">
        <v>2740542.0</v>
      </c>
      <c r="C432" s="48" t="s">
        <v>1859</v>
      </c>
      <c r="D432" s="48" t="s">
        <v>93</v>
      </c>
      <c r="E432" s="48" t="s">
        <v>99</v>
      </c>
      <c r="F432" s="48" t="s">
        <v>622</v>
      </c>
      <c r="G432" s="48" t="s">
        <v>623</v>
      </c>
      <c r="H432" s="49">
        <v>0.0519060332</v>
      </c>
      <c r="I432" s="49">
        <v>448.0</v>
      </c>
      <c r="J432" s="49">
        <v>56062.84</v>
      </c>
      <c r="K432" s="49">
        <v>56062.84</v>
      </c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>
      <c r="A433" s="48" t="s">
        <v>1860</v>
      </c>
      <c r="B433" s="49">
        <v>5962332.0</v>
      </c>
      <c r="C433" s="48" t="s">
        <v>1861</v>
      </c>
      <c r="D433" s="48" t="s">
        <v>93</v>
      </c>
      <c r="E433" s="48" t="s">
        <v>167</v>
      </c>
      <c r="F433" s="48" t="s">
        <v>738</v>
      </c>
      <c r="G433" s="48" t="s">
        <v>640</v>
      </c>
      <c r="H433" s="49">
        <v>0.0518025030999999</v>
      </c>
      <c r="I433" s="49">
        <v>834.0</v>
      </c>
      <c r="J433" s="49">
        <v>55951.02</v>
      </c>
      <c r="K433" s="49">
        <v>55951.02</v>
      </c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>
      <c r="A434" s="48" t="s">
        <v>1862</v>
      </c>
      <c r="B434" s="49">
        <v>4163437.0</v>
      </c>
      <c r="C434" s="48" t="s">
        <v>1863</v>
      </c>
      <c r="D434" s="48" t="s">
        <v>93</v>
      </c>
      <c r="E434" s="48" t="s">
        <v>167</v>
      </c>
      <c r="F434" s="48" t="s">
        <v>639</v>
      </c>
      <c r="G434" s="48" t="s">
        <v>640</v>
      </c>
      <c r="H434" s="49">
        <v>0.0516995655</v>
      </c>
      <c r="I434" s="49">
        <v>200.0</v>
      </c>
      <c r="J434" s="49">
        <v>55839.84</v>
      </c>
      <c r="K434" s="49">
        <v>55839.84</v>
      </c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>
      <c r="A435" s="48" t="s">
        <v>1864</v>
      </c>
      <c r="B435" s="49">
        <v>7380482.0</v>
      </c>
      <c r="C435" s="48" t="s">
        <v>1865</v>
      </c>
      <c r="D435" s="48" t="s">
        <v>93</v>
      </c>
      <c r="E435" s="48" t="s">
        <v>127</v>
      </c>
      <c r="F435" s="48" t="s">
        <v>639</v>
      </c>
      <c r="G435" s="48" t="s">
        <v>640</v>
      </c>
      <c r="H435" s="49">
        <v>0.0516668014</v>
      </c>
      <c r="I435" s="49">
        <v>590.0</v>
      </c>
      <c r="J435" s="49">
        <v>55804.45</v>
      </c>
      <c r="K435" s="49">
        <v>55804.45</v>
      </c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>
      <c r="A436" s="48" t="s">
        <v>1866</v>
      </c>
      <c r="B436" s="49">
        <v>6569464.0</v>
      </c>
      <c r="C436" s="48" t="s">
        <v>1867</v>
      </c>
      <c r="D436" s="48" t="s">
        <v>93</v>
      </c>
      <c r="E436" s="48" t="s">
        <v>127</v>
      </c>
      <c r="F436" s="48" t="s">
        <v>629</v>
      </c>
      <c r="G436" s="48" t="s">
        <v>630</v>
      </c>
      <c r="H436" s="49">
        <v>0.0515514935</v>
      </c>
      <c r="I436" s="49">
        <v>2108.0</v>
      </c>
      <c r="J436" s="49">
        <v>55679.91</v>
      </c>
      <c r="K436" s="49">
        <v>55679.91</v>
      </c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>
      <c r="A437" s="48" t="s">
        <v>1868</v>
      </c>
      <c r="B437" s="49">
        <v>2024644.0</v>
      </c>
      <c r="C437" s="48" t="s">
        <v>1869</v>
      </c>
      <c r="D437" s="48" t="s">
        <v>93</v>
      </c>
      <c r="E437" s="48" t="s">
        <v>94</v>
      </c>
      <c r="F437" s="48" t="s">
        <v>694</v>
      </c>
      <c r="G437" s="48" t="s">
        <v>1003</v>
      </c>
      <c r="H437" s="49">
        <v>0.0514536979</v>
      </c>
      <c r="I437" s="49">
        <v>2224.0</v>
      </c>
      <c r="J437" s="49">
        <v>55574.28</v>
      </c>
      <c r="K437" s="49">
        <v>55574.28</v>
      </c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>
      <c r="A438" s="48" t="s">
        <v>1870</v>
      </c>
      <c r="B438" s="49">
        <v>2380863.0</v>
      </c>
      <c r="C438" s="48" t="s">
        <v>1871</v>
      </c>
      <c r="D438" s="48" t="s">
        <v>93</v>
      </c>
      <c r="E438" s="48" t="s">
        <v>127</v>
      </c>
      <c r="F438" s="48" t="s">
        <v>622</v>
      </c>
      <c r="G438" s="48" t="s">
        <v>623</v>
      </c>
      <c r="H438" s="49">
        <v>0.0512104879</v>
      </c>
      <c r="I438" s="49">
        <v>52.0</v>
      </c>
      <c r="J438" s="49">
        <v>55311.6</v>
      </c>
      <c r="K438" s="49">
        <v>55311.6</v>
      </c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>
      <c r="A439" s="48" t="s">
        <v>1872</v>
      </c>
      <c r="B439" s="48" t="s">
        <v>1873</v>
      </c>
      <c r="C439" s="48" t="s">
        <v>1874</v>
      </c>
      <c r="D439" s="48" t="s">
        <v>93</v>
      </c>
      <c r="E439" s="48" t="s">
        <v>124</v>
      </c>
      <c r="F439" s="48" t="s">
        <v>622</v>
      </c>
      <c r="G439" s="48" t="s">
        <v>623</v>
      </c>
      <c r="H439" s="49">
        <v>0.051196173</v>
      </c>
      <c r="I439" s="49">
        <v>648.0</v>
      </c>
      <c r="J439" s="49">
        <v>55296.13</v>
      </c>
      <c r="K439" s="49">
        <v>55296.13</v>
      </c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>
      <c r="A440" s="48" t="s">
        <v>1875</v>
      </c>
      <c r="B440" s="49">
        <v>6916781.0</v>
      </c>
      <c r="C440" s="48" t="s">
        <v>1876</v>
      </c>
      <c r="D440" s="48" t="s">
        <v>93</v>
      </c>
      <c r="E440" s="48" t="s">
        <v>99</v>
      </c>
      <c r="F440" s="48" t="s">
        <v>738</v>
      </c>
      <c r="G440" s="48" t="s">
        <v>1437</v>
      </c>
      <c r="H440" s="49">
        <v>0.051165758</v>
      </c>
      <c r="I440" s="49">
        <v>1715.0</v>
      </c>
      <c r="J440" s="49">
        <v>55263.28</v>
      </c>
      <c r="K440" s="49">
        <v>55263.28</v>
      </c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>
      <c r="A441" s="48" t="s">
        <v>1877</v>
      </c>
      <c r="B441" s="49">
        <v>53673.0</v>
      </c>
      <c r="C441" s="48" t="s">
        <v>1878</v>
      </c>
      <c r="D441" s="48" t="s">
        <v>93</v>
      </c>
      <c r="E441" s="48" t="s">
        <v>127</v>
      </c>
      <c r="F441" s="48" t="s">
        <v>918</v>
      </c>
      <c r="G441" s="48" t="s">
        <v>908</v>
      </c>
      <c r="H441" s="49">
        <v>0.0511244495999999</v>
      </c>
      <c r="I441" s="49">
        <v>556.0</v>
      </c>
      <c r="J441" s="49">
        <v>55218.67</v>
      </c>
      <c r="K441" s="49">
        <v>55218.67</v>
      </c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>
      <c r="A442" s="48" t="s">
        <v>1879</v>
      </c>
      <c r="B442" s="49">
        <v>4031976.0</v>
      </c>
      <c r="C442" s="48" t="s">
        <v>1880</v>
      </c>
      <c r="D442" s="48" t="s">
        <v>93</v>
      </c>
      <c r="E442" s="48" t="s">
        <v>118</v>
      </c>
      <c r="F442" s="48" t="s">
        <v>649</v>
      </c>
      <c r="G442" s="48" t="s">
        <v>640</v>
      </c>
      <c r="H442" s="49">
        <v>0.0510861233999999</v>
      </c>
      <c r="I442" s="49">
        <v>204.0</v>
      </c>
      <c r="J442" s="49">
        <v>55177.27</v>
      </c>
      <c r="K442" s="49">
        <v>55177.27</v>
      </c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>
      <c r="A443" s="48" t="s">
        <v>1881</v>
      </c>
      <c r="B443" s="48" t="s">
        <v>1882</v>
      </c>
      <c r="C443" s="48" t="s">
        <v>1883</v>
      </c>
      <c r="D443" s="48" t="s">
        <v>93</v>
      </c>
      <c r="E443" s="48" t="s">
        <v>118</v>
      </c>
      <c r="F443" s="48" t="s">
        <v>694</v>
      </c>
      <c r="G443" s="48" t="s">
        <v>1003</v>
      </c>
      <c r="H443" s="49">
        <v>0.0510719220999999</v>
      </c>
      <c r="I443" s="49">
        <v>527.0</v>
      </c>
      <c r="J443" s="49">
        <v>55161.93</v>
      </c>
      <c r="K443" s="49">
        <v>55161.93</v>
      </c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>
      <c r="A444" s="48" t="s">
        <v>1884</v>
      </c>
      <c r="B444" s="49">
        <v>2950482.0</v>
      </c>
      <c r="C444" s="48" t="s">
        <v>1885</v>
      </c>
      <c r="D444" s="48" t="s">
        <v>93</v>
      </c>
      <c r="E444" s="48" t="s">
        <v>102</v>
      </c>
      <c r="F444" s="48" t="s">
        <v>622</v>
      </c>
      <c r="G444" s="48" t="s">
        <v>623</v>
      </c>
      <c r="H444" s="49">
        <v>0.0507722078</v>
      </c>
      <c r="I444" s="49">
        <v>94.0</v>
      </c>
      <c r="J444" s="49">
        <v>54838.22</v>
      </c>
      <c r="K444" s="49">
        <v>54838.22</v>
      </c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>
      <c r="A445" s="48" t="s">
        <v>1886</v>
      </c>
      <c r="B445" s="48" t="s">
        <v>1887</v>
      </c>
      <c r="C445" s="48" t="s">
        <v>1888</v>
      </c>
      <c r="D445" s="48" t="s">
        <v>93</v>
      </c>
      <c r="E445" s="48" t="s">
        <v>170</v>
      </c>
      <c r="F445" s="48" t="s">
        <v>639</v>
      </c>
      <c r="G445" s="48" t="s">
        <v>640</v>
      </c>
      <c r="H445" s="49">
        <v>0.0505717427999999</v>
      </c>
      <c r="I445" s="49">
        <v>2200.0</v>
      </c>
      <c r="J445" s="49">
        <v>54621.7</v>
      </c>
      <c r="K445" s="49">
        <v>54621.7</v>
      </c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>
      <c r="A446" s="48" t="s">
        <v>1889</v>
      </c>
      <c r="B446" s="49">
        <v>4942904.0</v>
      </c>
      <c r="C446" s="48" t="s">
        <v>1890</v>
      </c>
      <c r="D446" s="48" t="s">
        <v>93</v>
      </c>
      <c r="E446" s="48" t="s">
        <v>170</v>
      </c>
      <c r="F446" s="48" t="s">
        <v>649</v>
      </c>
      <c r="G446" s="48" t="s">
        <v>640</v>
      </c>
      <c r="H446" s="49">
        <v>0.0502879028</v>
      </c>
      <c r="I446" s="49">
        <v>2805.0</v>
      </c>
      <c r="J446" s="49">
        <v>54315.13</v>
      </c>
      <c r="K446" s="49">
        <v>54315.13</v>
      </c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>
      <c r="A447" s="48" t="s">
        <v>1891</v>
      </c>
      <c r="B447" s="49">
        <v>2464165.0</v>
      </c>
      <c r="C447" s="48" t="s">
        <v>1892</v>
      </c>
      <c r="D447" s="48" t="s">
        <v>93</v>
      </c>
      <c r="E447" s="48" t="s">
        <v>94</v>
      </c>
      <c r="F447" s="48" t="s">
        <v>622</v>
      </c>
      <c r="G447" s="48" t="s">
        <v>623</v>
      </c>
      <c r="H447" s="49">
        <v>0.0501380062</v>
      </c>
      <c r="I447" s="49">
        <v>507.0</v>
      </c>
      <c r="J447" s="49">
        <v>54153.23</v>
      </c>
      <c r="K447" s="49">
        <v>54153.23</v>
      </c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>
      <c r="A448" s="48" t="s">
        <v>1893</v>
      </c>
      <c r="B448" s="49">
        <v>6885074.0</v>
      </c>
      <c r="C448" s="48" t="s">
        <v>1894</v>
      </c>
      <c r="D448" s="48" t="s">
        <v>93</v>
      </c>
      <c r="E448" s="48" t="s">
        <v>102</v>
      </c>
      <c r="F448" s="48" t="s">
        <v>629</v>
      </c>
      <c r="G448" s="48" t="s">
        <v>630</v>
      </c>
      <c r="H448" s="49">
        <v>0.0500597381</v>
      </c>
      <c r="I448" s="49">
        <v>1239.0</v>
      </c>
      <c r="J448" s="49">
        <v>54068.69</v>
      </c>
      <c r="K448" s="49">
        <v>54068.69</v>
      </c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>
      <c r="A449" s="48" t="s">
        <v>1895</v>
      </c>
      <c r="B449" s="48" t="s">
        <v>1896</v>
      </c>
      <c r="C449" s="48" t="s">
        <v>1897</v>
      </c>
      <c r="D449" s="48" t="s">
        <v>93</v>
      </c>
      <c r="E449" s="48" t="s">
        <v>167</v>
      </c>
      <c r="F449" s="48" t="s">
        <v>622</v>
      </c>
      <c r="G449" s="48" t="s">
        <v>623</v>
      </c>
      <c r="H449" s="49">
        <v>0.0497079947</v>
      </c>
      <c r="I449" s="49">
        <v>168.0</v>
      </c>
      <c r="J449" s="49">
        <v>53688.78</v>
      </c>
      <c r="K449" s="49">
        <v>53688.78</v>
      </c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>
      <c r="A450" s="48" t="s">
        <v>1898</v>
      </c>
      <c r="B450" s="48" t="s">
        <v>1899</v>
      </c>
      <c r="C450" s="48" t="s">
        <v>1900</v>
      </c>
      <c r="D450" s="48" t="s">
        <v>93</v>
      </c>
      <c r="E450" s="48" t="s">
        <v>124</v>
      </c>
      <c r="F450" s="48" t="s">
        <v>622</v>
      </c>
      <c r="G450" s="48" t="s">
        <v>623</v>
      </c>
      <c r="H450" s="49">
        <v>0.0496211380999999</v>
      </c>
      <c r="I450" s="49">
        <v>997.0</v>
      </c>
      <c r="J450" s="49">
        <v>53594.97</v>
      </c>
      <c r="K450" s="49">
        <v>53594.97</v>
      </c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>
      <c r="A451" s="48" t="s">
        <v>1901</v>
      </c>
      <c r="B451" s="49">
        <v>2566124.0</v>
      </c>
      <c r="C451" s="48" t="s">
        <v>1902</v>
      </c>
      <c r="D451" s="48" t="s">
        <v>93</v>
      </c>
      <c r="E451" s="48" t="s">
        <v>99</v>
      </c>
      <c r="F451" s="48" t="s">
        <v>694</v>
      </c>
      <c r="G451" s="48" t="s">
        <v>1003</v>
      </c>
      <c r="H451" s="49">
        <v>0.0495433522999999</v>
      </c>
      <c r="I451" s="49">
        <v>691.0</v>
      </c>
      <c r="J451" s="49">
        <v>53510.95</v>
      </c>
      <c r="K451" s="49">
        <v>53510.95</v>
      </c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>
      <c r="A452" s="48" t="s">
        <v>1903</v>
      </c>
      <c r="B452" s="49">
        <v>6496584.0</v>
      </c>
      <c r="C452" s="48" t="s">
        <v>1904</v>
      </c>
      <c r="D452" s="48" t="s">
        <v>93</v>
      </c>
      <c r="E452" s="48" t="s">
        <v>127</v>
      </c>
      <c r="F452" s="48" t="s">
        <v>629</v>
      </c>
      <c r="G452" s="48" t="s">
        <v>630</v>
      </c>
      <c r="H452" s="49">
        <v>0.0494099992</v>
      </c>
      <c r="I452" s="49">
        <v>1150.0</v>
      </c>
      <c r="J452" s="49">
        <v>53366.92</v>
      </c>
      <c r="K452" s="49">
        <v>53366.92</v>
      </c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>
      <c r="A453" s="48" t="s">
        <v>1905</v>
      </c>
      <c r="B453" s="49">
        <v>2150204.0</v>
      </c>
      <c r="C453" s="48" t="s">
        <v>1906</v>
      </c>
      <c r="D453" s="48" t="s">
        <v>93</v>
      </c>
      <c r="E453" s="48" t="s">
        <v>127</v>
      </c>
      <c r="F453" s="48" t="s">
        <v>622</v>
      </c>
      <c r="G453" s="48" t="s">
        <v>623</v>
      </c>
      <c r="H453" s="49">
        <v>0.0492423112999999</v>
      </c>
      <c r="I453" s="49">
        <v>183.0</v>
      </c>
      <c r="J453" s="49">
        <v>53185.8</v>
      </c>
      <c r="K453" s="49">
        <v>53185.8</v>
      </c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>
      <c r="A454" s="48" t="s">
        <v>1907</v>
      </c>
      <c r="B454" s="48" t="s">
        <v>1908</v>
      </c>
      <c r="C454" s="48" t="s">
        <v>1909</v>
      </c>
      <c r="D454" s="48" t="s">
        <v>93</v>
      </c>
      <c r="E454" s="48" t="s">
        <v>115</v>
      </c>
      <c r="F454" s="48" t="s">
        <v>694</v>
      </c>
      <c r="G454" s="48" t="s">
        <v>1003</v>
      </c>
      <c r="H454" s="49">
        <v>0.0491259469</v>
      </c>
      <c r="I454" s="49">
        <v>1727.0</v>
      </c>
      <c r="J454" s="49">
        <v>53060.12</v>
      </c>
      <c r="K454" s="49">
        <v>53060.12</v>
      </c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>
      <c r="A455" s="48" t="s">
        <v>1910</v>
      </c>
      <c r="B455" s="48" t="s">
        <v>1911</v>
      </c>
      <c r="C455" s="48" t="s">
        <v>1912</v>
      </c>
      <c r="D455" s="48" t="s">
        <v>93</v>
      </c>
      <c r="E455" s="48" t="s">
        <v>94</v>
      </c>
      <c r="F455" s="48" t="s">
        <v>694</v>
      </c>
      <c r="G455" s="48" t="s">
        <v>1003</v>
      </c>
      <c r="H455" s="49">
        <v>0.0490396245</v>
      </c>
      <c r="I455" s="49">
        <v>242.0</v>
      </c>
      <c r="J455" s="49">
        <v>52966.88</v>
      </c>
      <c r="K455" s="49">
        <v>52966.88</v>
      </c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>
      <c r="A456" s="48" t="s">
        <v>1913</v>
      </c>
      <c r="B456" s="49">
        <v>2045623.0</v>
      </c>
      <c r="C456" s="48" t="s">
        <v>1914</v>
      </c>
      <c r="D456" s="48" t="s">
        <v>93</v>
      </c>
      <c r="E456" s="48" t="s">
        <v>167</v>
      </c>
      <c r="F456" s="48" t="s">
        <v>622</v>
      </c>
      <c r="G456" s="48" t="s">
        <v>623</v>
      </c>
      <c r="H456" s="49">
        <v>0.0486089754</v>
      </c>
      <c r="I456" s="49">
        <v>112.0</v>
      </c>
      <c r="J456" s="49">
        <v>52501.75</v>
      </c>
      <c r="K456" s="49">
        <v>52501.75</v>
      </c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>
      <c r="A457" s="48" t="s">
        <v>1915</v>
      </c>
      <c r="B457" s="49">
        <v>6572707.0</v>
      </c>
      <c r="C457" s="48" t="s">
        <v>1916</v>
      </c>
      <c r="D457" s="48" t="s">
        <v>93</v>
      </c>
      <c r="E457" s="48" t="s">
        <v>118</v>
      </c>
      <c r="F457" s="48" t="s">
        <v>629</v>
      </c>
      <c r="G457" s="48" t="s">
        <v>630</v>
      </c>
      <c r="H457" s="49">
        <v>0.0485887123</v>
      </c>
      <c r="I457" s="49">
        <v>2869.0</v>
      </c>
      <c r="J457" s="49">
        <v>52479.86</v>
      </c>
      <c r="K457" s="49">
        <v>52479.86</v>
      </c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>
      <c r="A458" s="48" t="s">
        <v>1917</v>
      </c>
      <c r="B458" s="48" t="s">
        <v>1918</v>
      </c>
      <c r="C458" s="48" t="s">
        <v>1919</v>
      </c>
      <c r="D458" s="48" t="s">
        <v>93</v>
      </c>
      <c r="E458" s="48" t="s">
        <v>102</v>
      </c>
      <c r="F458" s="48" t="s">
        <v>622</v>
      </c>
      <c r="G458" s="48" t="s">
        <v>623</v>
      </c>
      <c r="H458" s="49">
        <v>0.0485012958</v>
      </c>
      <c r="I458" s="49">
        <v>291.0</v>
      </c>
      <c r="J458" s="49">
        <v>52385.44</v>
      </c>
      <c r="K458" s="49">
        <v>52385.44</v>
      </c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>
      <c r="A459" s="48" t="s">
        <v>1920</v>
      </c>
      <c r="B459" s="49">
        <v>2445966.0</v>
      </c>
      <c r="C459" s="48" t="s">
        <v>1921</v>
      </c>
      <c r="D459" s="48" t="s">
        <v>93</v>
      </c>
      <c r="E459" s="48" t="s">
        <v>99</v>
      </c>
      <c r="F459" s="48" t="s">
        <v>622</v>
      </c>
      <c r="G459" s="48" t="s">
        <v>623</v>
      </c>
      <c r="H459" s="49">
        <v>0.0481581119999999</v>
      </c>
      <c r="I459" s="49">
        <v>3212.0</v>
      </c>
      <c r="J459" s="49">
        <v>52014.78</v>
      </c>
      <c r="K459" s="49">
        <v>52014.78</v>
      </c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>
      <c r="A460" s="48" t="s">
        <v>1922</v>
      </c>
      <c r="B460" s="49">
        <v>2829515.0</v>
      </c>
      <c r="C460" s="48" t="s">
        <v>1923</v>
      </c>
      <c r="D460" s="48" t="s">
        <v>93</v>
      </c>
      <c r="E460" s="48" t="s">
        <v>170</v>
      </c>
      <c r="F460" s="48" t="s">
        <v>622</v>
      </c>
      <c r="G460" s="48" t="s">
        <v>623</v>
      </c>
      <c r="H460" s="49">
        <v>0.0480224951</v>
      </c>
      <c r="I460" s="49">
        <v>483.0</v>
      </c>
      <c r="J460" s="49">
        <v>51868.3</v>
      </c>
      <c r="K460" s="49">
        <v>51868.3</v>
      </c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>
      <c r="A461" s="48" t="s">
        <v>1924</v>
      </c>
      <c r="B461" s="48" t="s">
        <v>1925</v>
      </c>
      <c r="C461" s="48" t="s">
        <v>1926</v>
      </c>
      <c r="D461" s="48" t="s">
        <v>93</v>
      </c>
      <c r="E461" s="48" t="s">
        <v>167</v>
      </c>
      <c r="F461" s="48" t="s">
        <v>622</v>
      </c>
      <c r="G461" s="48" t="s">
        <v>623</v>
      </c>
      <c r="H461" s="49">
        <v>0.0479810799</v>
      </c>
      <c r="I461" s="49">
        <v>2375.0</v>
      </c>
      <c r="J461" s="49">
        <v>51823.57</v>
      </c>
      <c r="K461" s="49">
        <v>51823.57</v>
      </c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>
      <c r="A462" s="48" t="s">
        <v>1927</v>
      </c>
      <c r="B462" s="48" t="s">
        <v>1928</v>
      </c>
      <c r="C462" s="48" t="s">
        <v>1929</v>
      </c>
      <c r="D462" s="48" t="s">
        <v>93</v>
      </c>
      <c r="E462" s="48" t="s">
        <v>121</v>
      </c>
      <c r="F462" s="48" t="s">
        <v>622</v>
      </c>
      <c r="G462" s="48" t="s">
        <v>623</v>
      </c>
      <c r="H462" s="49">
        <v>0.0479347006</v>
      </c>
      <c r="I462" s="49">
        <v>2886.0</v>
      </c>
      <c r="J462" s="49">
        <v>51773.47</v>
      </c>
      <c r="K462" s="49">
        <v>51773.47</v>
      </c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>
      <c r="A463" s="48" t="s">
        <v>1930</v>
      </c>
      <c r="B463" s="49">
        <v>7792559.0</v>
      </c>
      <c r="C463" s="48" t="s">
        <v>1931</v>
      </c>
      <c r="D463" s="48" t="s">
        <v>93</v>
      </c>
      <c r="E463" s="48" t="s">
        <v>124</v>
      </c>
      <c r="F463" s="48" t="s">
        <v>668</v>
      </c>
      <c r="G463" s="48" t="s">
        <v>640</v>
      </c>
      <c r="H463" s="49">
        <v>0.0479183445</v>
      </c>
      <c r="I463" s="49">
        <v>357.0</v>
      </c>
      <c r="J463" s="49">
        <v>51755.81</v>
      </c>
      <c r="K463" s="49">
        <v>51755.81</v>
      </c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>
      <c r="A464" s="48" t="s">
        <v>1932</v>
      </c>
      <c r="B464" s="48" t="s">
        <v>1933</v>
      </c>
      <c r="C464" s="48" t="s">
        <v>1934</v>
      </c>
      <c r="D464" s="48" t="s">
        <v>93</v>
      </c>
      <c r="E464" s="48" t="s">
        <v>127</v>
      </c>
      <c r="F464" s="48" t="s">
        <v>622</v>
      </c>
      <c r="G464" s="48" t="s">
        <v>623</v>
      </c>
      <c r="H464" s="49">
        <v>0.0478946128999999</v>
      </c>
      <c r="I464" s="49">
        <v>449.0</v>
      </c>
      <c r="J464" s="49">
        <v>51730.17</v>
      </c>
      <c r="K464" s="49">
        <v>51730.17</v>
      </c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>
      <c r="A465" s="48" t="s">
        <v>1935</v>
      </c>
      <c r="B465" s="49">
        <v>2583952.0</v>
      </c>
      <c r="C465" s="48" t="s">
        <v>1936</v>
      </c>
      <c r="D465" s="48" t="s">
        <v>93</v>
      </c>
      <c r="E465" s="48" t="s">
        <v>124</v>
      </c>
      <c r="F465" s="48" t="s">
        <v>694</v>
      </c>
      <c r="G465" s="48" t="s">
        <v>1003</v>
      </c>
      <c r="H465" s="49">
        <v>0.0478293867</v>
      </c>
      <c r="I465" s="49">
        <v>623.0</v>
      </c>
      <c r="J465" s="49">
        <v>51659.72</v>
      </c>
      <c r="K465" s="49">
        <v>51659.72</v>
      </c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>
      <c r="A466" s="48" t="s">
        <v>1937</v>
      </c>
      <c r="B466" s="48" t="s">
        <v>1938</v>
      </c>
      <c r="C466" s="48" t="s">
        <v>1939</v>
      </c>
      <c r="D466" s="48" t="s">
        <v>93</v>
      </c>
      <c r="E466" s="48" t="s">
        <v>167</v>
      </c>
      <c r="F466" s="48" t="s">
        <v>622</v>
      </c>
      <c r="G466" s="48" t="s">
        <v>623</v>
      </c>
      <c r="H466" s="49">
        <v>0.0477230643</v>
      </c>
      <c r="I466" s="49">
        <v>1234.0</v>
      </c>
      <c r="J466" s="49">
        <v>51544.89</v>
      </c>
      <c r="K466" s="49">
        <v>51544.89</v>
      </c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>
      <c r="A467" s="48" t="s">
        <v>1940</v>
      </c>
      <c r="B467" s="49">
        <v>6763965.0</v>
      </c>
      <c r="C467" s="48" t="s">
        <v>1941</v>
      </c>
      <c r="D467" s="48" t="s">
        <v>93</v>
      </c>
      <c r="E467" s="48" t="s">
        <v>127</v>
      </c>
      <c r="F467" s="48" t="s">
        <v>629</v>
      </c>
      <c r="G467" s="48" t="s">
        <v>630</v>
      </c>
      <c r="H467" s="49">
        <v>0.0476626427</v>
      </c>
      <c r="I467" s="49">
        <v>72.0</v>
      </c>
      <c r="J467" s="49">
        <v>51479.63</v>
      </c>
      <c r="K467" s="49">
        <v>51479.63</v>
      </c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>
      <c r="A468" s="48" t="s">
        <v>1942</v>
      </c>
      <c r="B468" s="49">
        <v>6985383.0</v>
      </c>
      <c r="C468" s="48" t="s">
        <v>1943</v>
      </c>
      <c r="D468" s="48" t="s">
        <v>93</v>
      </c>
      <c r="E468" s="48" t="s">
        <v>102</v>
      </c>
      <c r="F468" s="48" t="s">
        <v>629</v>
      </c>
      <c r="G468" s="48" t="s">
        <v>630</v>
      </c>
      <c r="H468" s="49">
        <v>0.0476036217999999</v>
      </c>
      <c r="I468" s="49">
        <v>2276.0</v>
      </c>
      <c r="J468" s="49">
        <v>51415.88</v>
      </c>
      <c r="K468" s="49">
        <v>51415.88</v>
      </c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>
      <c r="A469" s="48" t="s">
        <v>1944</v>
      </c>
      <c r="B469" s="48" t="s">
        <v>1945</v>
      </c>
      <c r="C469" s="48" t="s">
        <v>1946</v>
      </c>
      <c r="D469" s="48" t="s">
        <v>93</v>
      </c>
      <c r="E469" s="48" t="s">
        <v>170</v>
      </c>
      <c r="F469" s="48" t="s">
        <v>622</v>
      </c>
      <c r="G469" s="48" t="s">
        <v>623</v>
      </c>
      <c r="H469" s="49">
        <v>0.0476013439</v>
      </c>
      <c r="I469" s="49">
        <v>247.0</v>
      </c>
      <c r="J469" s="49">
        <v>51413.42</v>
      </c>
      <c r="K469" s="49">
        <v>51413.42</v>
      </c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>
      <c r="A470" s="48" t="s">
        <v>1947</v>
      </c>
      <c r="B470" s="48" t="s">
        <v>1948</v>
      </c>
      <c r="C470" s="48" t="s">
        <v>1949</v>
      </c>
      <c r="D470" s="48" t="s">
        <v>93</v>
      </c>
      <c r="E470" s="48" t="s">
        <v>167</v>
      </c>
      <c r="F470" s="48" t="s">
        <v>622</v>
      </c>
      <c r="G470" s="48" t="s">
        <v>623</v>
      </c>
      <c r="H470" s="49">
        <v>0.0475924115</v>
      </c>
      <c r="I470" s="49">
        <v>373.0</v>
      </c>
      <c r="J470" s="49">
        <v>51403.77</v>
      </c>
      <c r="K470" s="49">
        <v>51403.77</v>
      </c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>
      <c r="A471" s="48" t="s">
        <v>1950</v>
      </c>
      <c r="B471" s="48" t="s">
        <v>1951</v>
      </c>
      <c r="C471" s="48" t="s">
        <v>1952</v>
      </c>
      <c r="D471" s="48" t="s">
        <v>93</v>
      </c>
      <c r="E471" s="48" t="s">
        <v>115</v>
      </c>
      <c r="F471" s="48" t="s">
        <v>622</v>
      </c>
      <c r="G471" s="48" t="s">
        <v>623</v>
      </c>
      <c r="H471" s="49">
        <v>0.0473968218</v>
      </c>
      <c r="I471" s="49">
        <v>217.0</v>
      </c>
      <c r="J471" s="49">
        <v>51192.52</v>
      </c>
      <c r="K471" s="49">
        <v>51192.52</v>
      </c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>
      <c r="A472" s="48" t="s">
        <v>1953</v>
      </c>
      <c r="B472" s="49">
        <v>6356934.0</v>
      </c>
      <c r="C472" s="48" t="s">
        <v>1954</v>
      </c>
      <c r="D472" s="48" t="s">
        <v>93</v>
      </c>
      <c r="E472" s="48" t="s">
        <v>127</v>
      </c>
      <c r="F472" s="48" t="s">
        <v>629</v>
      </c>
      <c r="G472" s="48" t="s">
        <v>630</v>
      </c>
      <c r="H472" s="49">
        <v>0.0470956466</v>
      </c>
      <c r="I472" s="49">
        <v>1202.0</v>
      </c>
      <c r="J472" s="49">
        <v>50867.22</v>
      </c>
      <c r="K472" s="49">
        <v>50867.22</v>
      </c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>
      <c r="A473" s="48" t="s">
        <v>1955</v>
      </c>
      <c r="B473" s="48" t="s">
        <v>1956</v>
      </c>
      <c r="C473" s="48" t="s">
        <v>1957</v>
      </c>
      <c r="D473" s="48" t="s">
        <v>93</v>
      </c>
      <c r="E473" s="48" t="s">
        <v>99</v>
      </c>
      <c r="F473" s="48" t="s">
        <v>694</v>
      </c>
      <c r="G473" s="48" t="s">
        <v>1003</v>
      </c>
      <c r="H473" s="49">
        <v>0.0467224617</v>
      </c>
      <c r="I473" s="49">
        <v>220.0</v>
      </c>
      <c r="J473" s="49">
        <v>50464.15</v>
      </c>
      <c r="K473" s="49">
        <v>50464.15</v>
      </c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>
      <c r="A474" s="48" t="s">
        <v>1958</v>
      </c>
      <c r="B474" s="48" t="s">
        <v>1959</v>
      </c>
      <c r="C474" s="48" t="s">
        <v>331</v>
      </c>
      <c r="D474" s="48" t="s">
        <v>93</v>
      </c>
      <c r="E474" s="48" t="s">
        <v>99</v>
      </c>
      <c r="F474" s="48" t="s">
        <v>622</v>
      </c>
      <c r="G474" s="48" t="s">
        <v>623</v>
      </c>
      <c r="H474" s="49">
        <v>0.0466745226</v>
      </c>
      <c r="I474" s="49">
        <v>709.0</v>
      </c>
      <c r="J474" s="49">
        <v>50412.38</v>
      </c>
      <c r="K474" s="49">
        <v>50412.38</v>
      </c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>
      <c r="A475" s="48" t="s">
        <v>1960</v>
      </c>
      <c r="B475" s="49">
        <v>2131179.0</v>
      </c>
      <c r="C475" s="48" t="s">
        <v>1961</v>
      </c>
      <c r="D475" s="48" t="s">
        <v>93</v>
      </c>
      <c r="E475" s="48" t="s">
        <v>133</v>
      </c>
      <c r="F475" s="48" t="s">
        <v>622</v>
      </c>
      <c r="G475" s="48" t="s">
        <v>623</v>
      </c>
      <c r="H475" s="49">
        <v>0.0466272198</v>
      </c>
      <c r="I475" s="49">
        <v>180.0</v>
      </c>
      <c r="J475" s="49">
        <v>50361.28</v>
      </c>
      <c r="K475" s="49">
        <v>50361.28</v>
      </c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>
      <c r="A476" s="48" t="s">
        <v>1962</v>
      </c>
      <c r="B476" s="49">
        <v>6858946.0</v>
      </c>
      <c r="C476" s="48" t="s">
        <v>1963</v>
      </c>
      <c r="D476" s="48" t="s">
        <v>93</v>
      </c>
      <c r="E476" s="48" t="s">
        <v>127</v>
      </c>
      <c r="F476" s="48" t="s">
        <v>629</v>
      </c>
      <c r="G476" s="48" t="s">
        <v>630</v>
      </c>
      <c r="H476" s="49">
        <v>0.0460277351</v>
      </c>
      <c r="I476" s="49">
        <v>1471.0</v>
      </c>
      <c r="J476" s="49">
        <v>49713.79</v>
      </c>
      <c r="K476" s="49">
        <v>49713.79</v>
      </c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>
      <c r="A477" s="48" t="s">
        <v>1964</v>
      </c>
      <c r="B477" s="49">
        <v>2278407.0</v>
      </c>
      <c r="C477" s="48" t="s">
        <v>1965</v>
      </c>
      <c r="D477" s="48" t="s">
        <v>93</v>
      </c>
      <c r="E477" s="48" t="s">
        <v>127</v>
      </c>
      <c r="F477" s="48" t="s">
        <v>622</v>
      </c>
      <c r="G477" s="48" t="s">
        <v>623</v>
      </c>
      <c r="H477" s="49">
        <v>0.0459622669</v>
      </c>
      <c r="I477" s="49">
        <v>225.0</v>
      </c>
      <c r="J477" s="49">
        <v>49643.08</v>
      </c>
      <c r="K477" s="49">
        <v>49643.08</v>
      </c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>
      <c r="A478" s="48" t="s">
        <v>1966</v>
      </c>
      <c r="B478" s="48" t="s">
        <v>1967</v>
      </c>
      <c r="C478" s="48" t="s">
        <v>1968</v>
      </c>
      <c r="D478" s="48" t="s">
        <v>93</v>
      </c>
      <c r="E478" s="48" t="s">
        <v>99</v>
      </c>
      <c r="F478" s="48" t="s">
        <v>1740</v>
      </c>
      <c r="G478" s="48" t="s">
        <v>1741</v>
      </c>
      <c r="H478" s="49">
        <v>0.0459114471</v>
      </c>
      <c r="I478" s="49">
        <v>1208.0</v>
      </c>
      <c r="J478" s="49">
        <v>49588.19</v>
      </c>
      <c r="K478" s="49">
        <v>49588.19</v>
      </c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>
      <c r="A479" s="48" t="s">
        <v>1969</v>
      </c>
      <c r="B479" s="48" t="s">
        <v>1970</v>
      </c>
      <c r="C479" s="48" t="s">
        <v>1971</v>
      </c>
      <c r="D479" s="48" t="s">
        <v>93</v>
      </c>
      <c r="E479" s="48" t="s">
        <v>121</v>
      </c>
      <c r="F479" s="48" t="s">
        <v>918</v>
      </c>
      <c r="G479" s="48" t="s">
        <v>908</v>
      </c>
      <c r="H479" s="49">
        <v>0.0458022384</v>
      </c>
      <c r="I479" s="49">
        <v>31856.0</v>
      </c>
      <c r="J479" s="49">
        <v>49470.24</v>
      </c>
      <c r="K479" s="49">
        <v>49470.24</v>
      </c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>
      <c r="A480" s="48" t="s">
        <v>1972</v>
      </c>
      <c r="B480" s="48" t="s">
        <v>1973</v>
      </c>
      <c r="C480" s="48" t="s">
        <v>1974</v>
      </c>
      <c r="D480" s="48" t="s">
        <v>93</v>
      </c>
      <c r="E480" s="48" t="s">
        <v>124</v>
      </c>
      <c r="F480" s="48" t="s">
        <v>918</v>
      </c>
      <c r="G480" s="48" t="s">
        <v>908</v>
      </c>
      <c r="H480" s="49">
        <v>0.0457371182</v>
      </c>
      <c r="I480" s="49">
        <v>9568.0</v>
      </c>
      <c r="J480" s="49">
        <v>49399.9</v>
      </c>
      <c r="K480" s="49">
        <v>49399.9</v>
      </c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>
      <c r="A481" s="48" t="s">
        <v>1975</v>
      </c>
      <c r="B481" s="49">
        <v>6474535.0</v>
      </c>
      <c r="C481" s="48" t="s">
        <v>1976</v>
      </c>
      <c r="D481" s="48" t="s">
        <v>93</v>
      </c>
      <c r="E481" s="48" t="s">
        <v>124</v>
      </c>
      <c r="F481" s="48" t="s">
        <v>629</v>
      </c>
      <c r="G481" s="48" t="s">
        <v>630</v>
      </c>
      <c r="H481" s="49">
        <v>0.0457004308</v>
      </c>
      <c r="I481" s="49">
        <v>1363.0</v>
      </c>
      <c r="J481" s="49">
        <v>49360.28</v>
      </c>
      <c r="K481" s="49">
        <v>49360.28</v>
      </c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>
      <c r="A482" s="48" t="s">
        <v>1977</v>
      </c>
      <c r="B482" s="49">
        <v>6597045.0</v>
      </c>
      <c r="C482" s="48" t="s">
        <v>1978</v>
      </c>
      <c r="D482" s="48" t="s">
        <v>93</v>
      </c>
      <c r="E482" s="48" t="s">
        <v>127</v>
      </c>
      <c r="F482" s="48" t="s">
        <v>629</v>
      </c>
      <c r="G482" s="48" t="s">
        <v>630</v>
      </c>
      <c r="H482" s="49">
        <v>0.045682439</v>
      </c>
      <c r="I482" s="49">
        <v>2497.0</v>
      </c>
      <c r="J482" s="49">
        <v>49340.84</v>
      </c>
      <c r="K482" s="49">
        <v>49340.84</v>
      </c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>
      <c r="A483" s="48" t="s">
        <v>1979</v>
      </c>
      <c r="B483" s="48" t="s">
        <v>1980</v>
      </c>
      <c r="C483" s="48" t="s">
        <v>1981</v>
      </c>
      <c r="D483" s="48" t="s">
        <v>93</v>
      </c>
      <c r="E483" s="48" t="s">
        <v>99</v>
      </c>
      <c r="F483" s="48" t="s">
        <v>654</v>
      </c>
      <c r="G483" s="48" t="s">
        <v>655</v>
      </c>
      <c r="H483" s="49">
        <v>0.0455142652</v>
      </c>
      <c r="I483" s="49">
        <v>28.0</v>
      </c>
      <c r="J483" s="49">
        <v>49159.2</v>
      </c>
      <c r="K483" s="49">
        <v>49159.2</v>
      </c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>
      <c r="A484" s="48" t="s">
        <v>1982</v>
      </c>
      <c r="B484" s="48" t="s">
        <v>1983</v>
      </c>
      <c r="C484" s="48" t="s">
        <v>1984</v>
      </c>
      <c r="D484" s="48" t="s">
        <v>93</v>
      </c>
      <c r="E484" s="48" t="s">
        <v>167</v>
      </c>
      <c r="F484" s="48" t="s">
        <v>639</v>
      </c>
      <c r="G484" s="48" t="s">
        <v>640</v>
      </c>
      <c r="H484" s="49">
        <v>0.0454929565</v>
      </c>
      <c r="I484" s="49">
        <v>857.0</v>
      </c>
      <c r="J484" s="49">
        <v>49136.19</v>
      </c>
      <c r="K484" s="49">
        <v>49136.19</v>
      </c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>
      <c r="A485" s="48" t="s">
        <v>1985</v>
      </c>
      <c r="B485" s="49">
        <v>2009823.0</v>
      </c>
      <c r="C485" s="48" t="s">
        <v>1986</v>
      </c>
      <c r="D485" s="48" t="s">
        <v>93</v>
      </c>
      <c r="E485" s="48" t="s">
        <v>94</v>
      </c>
      <c r="F485" s="48" t="s">
        <v>694</v>
      </c>
      <c r="G485" s="48" t="s">
        <v>1003</v>
      </c>
      <c r="H485" s="49">
        <v>0.0452882866</v>
      </c>
      <c r="I485" s="49">
        <v>639.0</v>
      </c>
      <c r="J485" s="49">
        <v>48915.12</v>
      </c>
      <c r="K485" s="49">
        <v>48915.12</v>
      </c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>
      <c r="A486" s="48" t="s">
        <v>1987</v>
      </c>
      <c r="B486" s="49">
        <v>2973821.0</v>
      </c>
      <c r="C486" s="48" t="s">
        <v>1988</v>
      </c>
      <c r="D486" s="48" t="s">
        <v>93</v>
      </c>
      <c r="E486" s="48" t="s">
        <v>170</v>
      </c>
      <c r="F486" s="48" t="s">
        <v>622</v>
      </c>
      <c r="G486" s="48" t="s">
        <v>623</v>
      </c>
      <c r="H486" s="49">
        <v>0.0451834582</v>
      </c>
      <c r="I486" s="49">
        <v>610.0</v>
      </c>
      <c r="J486" s="49">
        <v>48801.9</v>
      </c>
      <c r="K486" s="49">
        <v>48801.9</v>
      </c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>
      <c r="A487" s="48" t="s">
        <v>1989</v>
      </c>
      <c r="B487" s="48" t="s">
        <v>1990</v>
      </c>
      <c r="C487" s="48" t="s">
        <v>1991</v>
      </c>
      <c r="D487" s="48" t="s">
        <v>93</v>
      </c>
      <c r="E487" s="48" t="s">
        <v>133</v>
      </c>
      <c r="F487" s="48" t="s">
        <v>622</v>
      </c>
      <c r="G487" s="48" t="s">
        <v>623</v>
      </c>
      <c r="H487" s="49">
        <v>0.0450224149999999</v>
      </c>
      <c r="I487" s="49">
        <v>415.0</v>
      </c>
      <c r="J487" s="49">
        <v>48627.96</v>
      </c>
      <c r="K487" s="49">
        <v>48627.96</v>
      </c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>
      <c r="A488" s="48" t="s">
        <v>1992</v>
      </c>
      <c r="B488" s="49">
        <v>2783815.0</v>
      </c>
      <c r="C488" s="48" t="s">
        <v>1993</v>
      </c>
      <c r="D488" s="48" t="s">
        <v>93</v>
      </c>
      <c r="E488" s="48" t="s">
        <v>102</v>
      </c>
      <c r="F488" s="48" t="s">
        <v>622</v>
      </c>
      <c r="G488" s="48" t="s">
        <v>623</v>
      </c>
      <c r="H488" s="49">
        <v>0.0445374092</v>
      </c>
      <c r="I488" s="49">
        <v>262.0</v>
      </c>
      <c r="J488" s="49">
        <v>48104.11</v>
      </c>
      <c r="K488" s="49">
        <v>48104.11</v>
      </c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>
      <c r="A489" s="48" t="s">
        <v>1994</v>
      </c>
      <c r="B489" s="49">
        <v>6172323.0</v>
      </c>
      <c r="C489" s="48" t="s">
        <v>1995</v>
      </c>
      <c r="D489" s="48" t="s">
        <v>93</v>
      </c>
      <c r="E489" s="48" t="s">
        <v>167</v>
      </c>
      <c r="F489" s="48" t="s">
        <v>629</v>
      </c>
      <c r="G489" s="48" t="s">
        <v>630</v>
      </c>
      <c r="H489" s="49">
        <v>0.0444723923</v>
      </c>
      <c r="I489" s="49">
        <v>1243.0</v>
      </c>
      <c r="J489" s="49">
        <v>48033.89</v>
      </c>
      <c r="K489" s="49">
        <v>48033.89</v>
      </c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>
      <c r="A490" s="48" t="s">
        <v>1996</v>
      </c>
      <c r="B490" s="48" t="s">
        <v>1997</v>
      </c>
      <c r="C490" s="48" t="s">
        <v>1998</v>
      </c>
      <c r="D490" s="48" t="s">
        <v>93</v>
      </c>
      <c r="E490" s="48" t="s">
        <v>124</v>
      </c>
      <c r="F490" s="48" t="s">
        <v>622</v>
      </c>
      <c r="G490" s="48" t="s">
        <v>623</v>
      </c>
      <c r="H490" s="49">
        <v>0.0443486596</v>
      </c>
      <c r="I490" s="49">
        <v>280.0</v>
      </c>
      <c r="J490" s="49">
        <v>47900.25</v>
      </c>
      <c r="K490" s="49">
        <v>47900.25</v>
      </c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>
      <c r="A491" s="48" t="s">
        <v>1999</v>
      </c>
      <c r="B491" s="48" t="s">
        <v>2000</v>
      </c>
      <c r="C491" s="48" t="s">
        <v>2001</v>
      </c>
      <c r="D491" s="48" t="s">
        <v>93</v>
      </c>
      <c r="E491" s="48" t="s">
        <v>118</v>
      </c>
      <c r="F491" s="48" t="s">
        <v>645</v>
      </c>
      <c r="G491" s="48" t="s">
        <v>623</v>
      </c>
      <c r="H491" s="49">
        <v>0.0443039831</v>
      </c>
      <c r="I491" s="49">
        <v>557.0</v>
      </c>
      <c r="J491" s="49">
        <v>47852.0</v>
      </c>
      <c r="K491" s="49">
        <v>47852.0</v>
      </c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>
      <c r="A492" s="48" t="s">
        <v>2002</v>
      </c>
      <c r="B492" s="49">
        <v>2126249.0</v>
      </c>
      <c r="C492" s="48" t="s">
        <v>2003</v>
      </c>
      <c r="D492" s="48" t="s">
        <v>93</v>
      </c>
      <c r="E492" s="48" t="s">
        <v>102</v>
      </c>
      <c r="F492" s="48" t="s">
        <v>622</v>
      </c>
      <c r="G492" s="48" t="s">
        <v>623</v>
      </c>
      <c r="H492" s="49">
        <v>0.0442044133</v>
      </c>
      <c r="I492" s="49">
        <v>28.0</v>
      </c>
      <c r="J492" s="49">
        <v>47744.45</v>
      </c>
      <c r="K492" s="49">
        <v>47744.45</v>
      </c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>
      <c r="A493" s="48" t="s">
        <v>2004</v>
      </c>
      <c r="B493" s="49">
        <v>2293819.0</v>
      </c>
      <c r="C493" s="48" t="s">
        <v>2005</v>
      </c>
      <c r="D493" s="48" t="s">
        <v>93</v>
      </c>
      <c r="E493" s="48" t="s">
        <v>118</v>
      </c>
      <c r="F493" s="48" t="s">
        <v>622</v>
      </c>
      <c r="G493" s="48" t="s">
        <v>623</v>
      </c>
      <c r="H493" s="49">
        <v>0.0440479301</v>
      </c>
      <c r="I493" s="49">
        <v>695.0</v>
      </c>
      <c r="J493" s="49">
        <v>47575.44</v>
      </c>
      <c r="K493" s="49">
        <v>47575.44</v>
      </c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>
      <c r="A494" s="48" t="s">
        <v>2006</v>
      </c>
      <c r="B494" s="49">
        <v>4595739.0</v>
      </c>
      <c r="C494" s="48" t="s">
        <v>2007</v>
      </c>
      <c r="D494" s="48" t="s">
        <v>93</v>
      </c>
      <c r="E494" s="48" t="s">
        <v>102</v>
      </c>
      <c r="F494" s="48" t="s">
        <v>883</v>
      </c>
      <c r="G494" s="48" t="s">
        <v>884</v>
      </c>
      <c r="H494" s="49">
        <v>0.0437103349</v>
      </c>
      <c r="I494" s="49">
        <v>83.0</v>
      </c>
      <c r="J494" s="49">
        <v>47210.81</v>
      </c>
      <c r="K494" s="49">
        <v>47210.81</v>
      </c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>
      <c r="A495" s="48" t="s">
        <v>2008</v>
      </c>
      <c r="B495" s="48" t="s">
        <v>2009</v>
      </c>
      <c r="C495" s="48" t="s">
        <v>2010</v>
      </c>
      <c r="D495" s="48" t="s">
        <v>93</v>
      </c>
      <c r="E495" s="48" t="s">
        <v>94</v>
      </c>
      <c r="F495" s="48" t="s">
        <v>622</v>
      </c>
      <c r="G495" s="48" t="s">
        <v>623</v>
      </c>
      <c r="H495" s="49">
        <v>0.0436812969</v>
      </c>
      <c r="I495" s="49">
        <v>317.0</v>
      </c>
      <c r="J495" s="49">
        <v>47179.44</v>
      </c>
      <c r="K495" s="49">
        <v>47179.44</v>
      </c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>
      <c r="A496" s="48" t="s">
        <v>2011</v>
      </c>
      <c r="B496" s="49">
        <v>2702337.0</v>
      </c>
      <c r="C496" s="48" t="s">
        <v>2012</v>
      </c>
      <c r="D496" s="48" t="s">
        <v>93</v>
      </c>
      <c r="E496" s="48" t="s">
        <v>99</v>
      </c>
      <c r="F496" s="48" t="s">
        <v>622</v>
      </c>
      <c r="G496" s="48" t="s">
        <v>623</v>
      </c>
      <c r="H496" s="49">
        <v>0.0436641536</v>
      </c>
      <c r="I496" s="49">
        <v>285.0</v>
      </c>
      <c r="J496" s="49">
        <v>47160.93</v>
      </c>
      <c r="K496" s="49">
        <v>47160.93</v>
      </c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>
      <c r="A497" s="48" t="s">
        <v>2013</v>
      </c>
      <c r="B497" s="48" t="s">
        <v>2014</v>
      </c>
      <c r="C497" s="48" t="s">
        <v>2015</v>
      </c>
      <c r="D497" s="48" t="s">
        <v>93</v>
      </c>
      <c r="E497" s="48" t="s">
        <v>167</v>
      </c>
      <c r="F497" s="48" t="s">
        <v>622</v>
      </c>
      <c r="G497" s="48" t="s">
        <v>623</v>
      </c>
      <c r="H497" s="49">
        <v>0.0432897568</v>
      </c>
      <c r="I497" s="49">
        <v>229.0</v>
      </c>
      <c r="J497" s="49">
        <v>46756.55</v>
      </c>
      <c r="K497" s="49">
        <v>46756.55</v>
      </c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>
      <c r="A498" s="48" t="s">
        <v>2016</v>
      </c>
      <c r="B498" s="49">
        <v>2224701.0</v>
      </c>
      <c r="C498" s="48" t="s">
        <v>2017</v>
      </c>
      <c r="D498" s="48" t="s">
        <v>93</v>
      </c>
      <c r="E498" s="48" t="s">
        <v>167</v>
      </c>
      <c r="F498" s="48" t="s">
        <v>622</v>
      </c>
      <c r="G498" s="48" t="s">
        <v>623</v>
      </c>
      <c r="H498" s="49">
        <v>0.0432842156</v>
      </c>
      <c r="I498" s="49">
        <v>962.0</v>
      </c>
      <c r="J498" s="49">
        <v>46750.56</v>
      </c>
      <c r="K498" s="49">
        <v>46750.56</v>
      </c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>
      <c r="A499" s="48" t="s">
        <v>2018</v>
      </c>
      <c r="B499" s="49">
        <v>2122117.0</v>
      </c>
      <c r="C499" s="48" t="s">
        <v>2019</v>
      </c>
      <c r="D499" s="48" t="s">
        <v>93</v>
      </c>
      <c r="E499" s="48" t="s">
        <v>121</v>
      </c>
      <c r="F499" s="48" t="s">
        <v>622</v>
      </c>
      <c r="G499" s="48" t="s">
        <v>623</v>
      </c>
      <c r="H499" s="49">
        <v>0.0431567085999999</v>
      </c>
      <c r="I499" s="49">
        <v>220.0</v>
      </c>
      <c r="J499" s="49">
        <v>46612.84</v>
      </c>
      <c r="K499" s="49">
        <v>46612.84</v>
      </c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>
      <c r="A500" s="48" t="s">
        <v>2020</v>
      </c>
      <c r="B500" s="49">
        <v>6356945.0</v>
      </c>
      <c r="C500" s="48" t="s">
        <v>2021</v>
      </c>
      <c r="D500" s="48" t="s">
        <v>93</v>
      </c>
      <c r="E500" s="48" t="s">
        <v>167</v>
      </c>
      <c r="F500" s="48" t="s">
        <v>629</v>
      </c>
      <c r="G500" s="48" t="s">
        <v>630</v>
      </c>
      <c r="H500" s="49">
        <v>0.0429949911</v>
      </c>
      <c r="I500" s="49">
        <v>241.0</v>
      </c>
      <c r="J500" s="49">
        <v>46438.17</v>
      </c>
      <c r="K500" s="49">
        <v>46438.17</v>
      </c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>
      <c r="A501" s="48" t="s">
        <v>2022</v>
      </c>
      <c r="B501" s="48" t="s">
        <v>2023</v>
      </c>
      <c r="C501" s="48" t="s">
        <v>2024</v>
      </c>
      <c r="D501" s="48" t="s">
        <v>93</v>
      </c>
      <c r="E501" s="48" t="s">
        <v>167</v>
      </c>
      <c r="F501" s="48" t="s">
        <v>622</v>
      </c>
      <c r="G501" s="48" t="s">
        <v>623</v>
      </c>
      <c r="H501" s="49">
        <v>0.0429770789</v>
      </c>
      <c r="I501" s="49">
        <v>62.0</v>
      </c>
      <c r="J501" s="49">
        <v>46418.83</v>
      </c>
      <c r="K501" s="49">
        <v>46418.83</v>
      </c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>
      <c r="A502" s="48" t="s">
        <v>2025</v>
      </c>
      <c r="B502" s="49">
        <v>2319146.0</v>
      </c>
      <c r="C502" s="48" t="s">
        <v>2026</v>
      </c>
      <c r="D502" s="48" t="s">
        <v>93</v>
      </c>
      <c r="E502" s="48" t="s">
        <v>127</v>
      </c>
      <c r="F502" s="48" t="s">
        <v>622</v>
      </c>
      <c r="G502" s="48" t="s">
        <v>623</v>
      </c>
      <c r="H502" s="49">
        <v>0.0429633412</v>
      </c>
      <c r="I502" s="49">
        <v>160.0</v>
      </c>
      <c r="J502" s="49">
        <v>46403.99</v>
      </c>
      <c r="K502" s="49">
        <v>46403.99</v>
      </c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>
      <c r="A503" s="48" t="s">
        <v>2027</v>
      </c>
      <c r="B503" s="49">
        <v>6183552.0</v>
      </c>
      <c r="C503" s="48" t="s">
        <v>2028</v>
      </c>
      <c r="D503" s="48" t="s">
        <v>93</v>
      </c>
      <c r="E503" s="48" t="s">
        <v>127</v>
      </c>
      <c r="F503" s="48" t="s">
        <v>629</v>
      </c>
      <c r="G503" s="48" t="s">
        <v>630</v>
      </c>
      <c r="H503" s="49">
        <v>0.0429030276</v>
      </c>
      <c r="I503" s="49">
        <v>229.0</v>
      </c>
      <c r="J503" s="49">
        <v>46338.85</v>
      </c>
      <c r="K503" s="49">
        <v>46338.85</v>
      </c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>
      <c r="A504" s="48" t="s">
        <v>2029</v>
      </c>
      <c r="B504" s="48" t="s">
        <v>2030</v>
      </c>
      <c r="C504" s="48" t="s">
        <v>2031</v>
      </c>
      <c r="D504" s="48" t="s">
        <v>93</v>
      </c>
      <c r="E504" s="48" t="s">
        <v>167</v>
      </c>
      <c r="F504" s="48" t="s">
        <v>622</v>
      </c>
      <c r="G504" s="48" t="s">
        <v>623</v>
      </c>
      <c r="H504" s="49">
        <v>0.0428470033</v>
      </c>
      <c r="I504" s="49">
        <v>89.0</v>
      </c>
      <c r="J504" s="49">
        <v>46278.34</v>
      </c>
      <c r="K504" s="49">
        <v>46278.34</v>
      </c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>
      <c r="A505" s="48" t="s">
        <v>2032</v>
      </c>
      <c r="B505" s="48" t="s">
        <v>2033</v>
      </c>
      <c r="C505" s="48" t="s">
        <v>2034</v>
      </c>
      <c r="D505" s="48" t="s">
        <v>93</v>
      </c>
      <c r="E505" s="48" t="s">
        <v>99</v>
      </c>
      <c r="F505" s="48" t="s">
        <v>918</v>
      </c>
      <c r="G505" s="48" t="s">
        <v>908</v>
      </c>
      <c r="H505" s="49">
        <v>0.0428286531</v>
      </c>
      <c r="I505" s="49">
        <v>1171.0</v>
      </c>
      <c r="J505" s="49">
        <v>46258.52</v>
      </c>
      <c r="K505" s="49">
        <v>46258.52</v>
      </c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>
      <c r="A506" s="48" t="s">
        <v>2035</v>
      </c>
      <c r="B506" s="49">
        <v>2842040.0</v>
      </c>
      <c r="C506" s="48" t="s">
        <v>2036</v>
      </c>
      <c r="D506" s="48" t="s">
        <v>93</v>
      </c>
      <c r="E506" s="48" t="s">
        <v>99</v>
      </c>
      <c r="F506" s="48" t="s">
        <v>622</v>
      </c>
      <c r="G506" s="48" t="s">
        <v>623</v>
      </c>
      <c r="H506" s="49">
        <v>0.0428026154</v>
      </c>
      <c r="I506" s="49">
        <v>431.0</v>
      </c>
      <c r="J506" s="49">
        <v>46230.39</v>
      </c>
      <c r="K506" s="49">
        <v>46230.39</v>
      </c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>
      <c r="A507" s="48" t="s">
        <v>2037</v>
      </c>
      <c r="B507" s="49">
        <v>2050832.0</v>
      </c>
      <c r="C507" s="48" t="s">
        <v>2038</v>
      </c>
      <c r="D507" s="48" t="s">
        <v>93</v>
      </c>
      <c r="E507" s="48" t="s">
        <v>170</v>
      </c>
      <c r="F507" s="48" t="s">
        <v>622</v>
      </c>
      <c r="G507" s="48" t="s">
        <v>623</v>
      </c>
      <c r="H507" s="49">
        <v>0.0426624385</v>
      </c>
      <c r="I507" s="49">
        <v>369.0</v>
      </c>
      <c r="J507" s="49">
        <v>46078.99</v>
      </c>
      <c r="K507" s="49">
        <v>46078.99</v>
      </c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>
      <c r="A508" s="48" t="s">
        <v>2039</v>
      </c>
      <c r="B508" s="48" t="s">
        <v>2040</v>
      </c>
      <c r="C508" s="48" t="s">
        <v>2041</v>
      </c>
      <c r="D508" s="48" t="s">
        <v>93</v>
      </c>
      <c r="E508" s="48" t="s">
        <v>127</v>
      </c>
      <c r="F508" s="48" t="s">
        <v>639</v>
      </c>
      <c r="G508" s="48" t="s">
        <v>640</v>
      </c>
      <c r="H508" s="49">
        <v>0.0425963809999999</v>
      </c>
      <c r="I508" s="49">
        <v>322.0</v>
      </c>
      <c r="J508" s="49">
        <v>46007.64</v>
      </c>
      <c r="K508" s="49">
        <v>46007.64</v>
      </c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>
      <c r="A509" s="48" t="s">
        <v>2042</v>
      </c>
      <c r="B509" s="48" t="s">
        <v>2043</v>
      </c>
      <c r="C509" s="48" t="s">
        <v>2044</v>
      </c>
      <c r="D509" s="48" t="s">
        <v>93</v>
      </c>
      <c r="E509" s="48" t="s">
        <v>102</v>
      </c>
      <c r="F509" s="48" t="s">
        <v>622</v>
      </c>
      <c r="G509" s="48" t="s">
        <v>623</v>
      </c>
      <c r="H509" s="49">
        <v>0.0425022755</v>
      </c>
      <c r="I509" s="49">
        <v>461.0</v>
      </c>
      <c r="J509" s="49">
        <v>45906.0</v>
      </c>
      <c r="K509" s="49">
        <v>45906.0</v>
      </c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>
      <c r="A510" s="48" t="s">
        <v>2045</v>
      </c>
      <c r="B510" s="48" t="s">
        <v>2046</v>
      </c>
      <c r="C510" s="48" t="s">
        <v>2047</v>
      </c>
      <c r="D510" s="48" t="s">
        <v>93</v>
      </c>
      <c r="E510" s="48" t="s">
        <v>127</v>
      </c>
      <c r="F510" s="48" t="s">
        <v>918</v>
      </c>
      <c r="G510" s="48" t="s">
        <v>908</v>
      </c>
      <c r="H510" s="49">
        <v>0.0419586571</v>
      </c>
      <c r="I510" s="49">
        <v>10733.0</v>
      </c>
      <c r="J510" s="49">
        <v>45318.85</v>
      </c>
      <c r="K510" s="49">
        <v>45318.85</v>
      </c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>
      <c r="A511" s="48" t="s">
        <v>2048</v>
      </c>
      <c r="B511" s="49">
        <v>6661144.0</v>
      </c>
      <c r="C511" s="48" t="s">
        <v>2049</v>
      </c>
      <c r="D511" s="48" t="s">
        <v>93</v>
      </c>
      <c r="E511" s="48" t="s">
        <v>99</v>
      </c>
      <c r="F511" s="48" t="s">
        <v>629</v>
      </c>
      <c r="G511" s="48" t="s">
        <v>630</v>
      </c>
      <c r="H511" s="49">
        <v>0.0419264294</v>
      </c>
      <c r="I511" s="49">
        <v>1487.0</v>
      </c>
      <c r="J511" s="49">
        <v>45284.04</v>
      </c>
      <c r="K511" s="49">
        <v>45284.04</v>
      </c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>
      <c r="A512" s="48" t="s">
        <v>2050</v>
      </c>
      <c r="B512" s="49">
        <v>2958936.0</v>
      </c>
      <c r="C512" s="48" t="s">
        <v>2051</v>
      </c>
      <c r="D512" s="48" t="s">
        <v>93</v>
      </c>
      <c r="E512" s="48" t="s">
        <v>133</v>
      </c>
      <c r="F512" s="48" t="s">
        <v>622</v>
      </c>
      <c r="G512" s="48" t="s">
        <v>623</v>
      </c>
      <c r="H512" s="49">
        <v>0.041844408</v>
      </c>
      <c r="I512" s="49">
        <v>930.0</v>
      </c>
      <c r="J512" s="49">
        <v>45195.45</v>
      </c>
      <c r="K512" s="49">
        <v>45195.45</v>
      </c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>
      <c r="A513" s="48" t="s">
        <v>2052</v>
      </c>
      <c r="B513" s="49">
        <v>4511809.0</v>
      </c>
      <c r="C513" s="48" t="s">
        <v>2053</v>
      </c>
      <c r="D513" s="48" t="s">
        <v>93</v>
      </c>
      <c r="E513" s="48" t="s">
        <v>99</v>
      </c>
      <c r="F513" s="48" t="s">
        <v>649</v>
      </c>
      <c r="G513" s="48" t="s">
        <v>640</v>
      </c>
      <c r="H513" s="49">
        <v>0.0417666653</v>
      </c>
      <c r="I513" s="49">
        <v>127.0</v>
      </c>
      <c r="J513" s="49">
        <v>45111.48</v>
      </c>
      <c r="K513" s="49">
        <v>45111.48</v>
      </c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>
      <c r="A514" s="48" t="s">
        <v>2054</v>
      </c>
      <c r="B514" s="49">
        <v>2319157.0</v>
      </c>
      <c r="C514" s="48" t="s">
        <v>2055</v>
      </c>
      <c r="D514" s="48" t="s">
        <v>93</v>
      </c>
      <c r="E514" s="48" t="s">
        <v>133</v>
      </c>
      <c r="F514" s="48" t="s">
        <v>622</v>
      </c>
      <c r="G514" s="48" t="s">
        <v>623</v>
      </c>
      <c r="H514" s="49">
        <v>0.0417308985</v>
      </c>
      <c r="I514" s="49">
        <v>474.0</v>
      </c>
      <c r="J514" s="49">
        <v>45072.85</v>
      </c>
      <c r="K514" s="49">
        <v>45072.85</v>
      </c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>
      <c r="A515" s="48" t="s">
        <v>2056</v>
      </c>
      <c r="B515" s="49">
        <v>2900335.0</v>
      </c>
      <c r="C515" s="48" t="s">
        <v>2057</v>
      </c>
      <c r="D515" s="48" t="s">
        <v>93</v>
      </c>
      <c r="E515" s="48" t="s">
        <v>118</v>
      </c>
      <c r="F515" s="48" t="s">
        <v>622</v>
      </c>
      <c r="G515" s="48" t="s">
        <v>623</v>
      </c>
      <c r="H515" s="49">
        <v>0.0416276489</v>
      </c>
      <c r="I515" s="49">
        <v>141.0</v>
      </c>
      <c r="J515" s="49">
        <v>44961.33</v>
      </c>
      <c r="K515" s="49">
        <v>44961.33</v>
      </c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>
      <c r="A516" s="48" t="s">
        <v>2058</v>
      </c>
      <c r="B516" s="49">
        <v>6640682.0</v>
      </c>
      <c r="C516" s="48" t="s">
        <v>2059</v>
      </c>
      <c r="D516" s="48" t="s">
        <v>93</v>
      </c>
      <c r="E516" s="48" t="s">
        <v>127</v>
      </c>
      <c r="F516" s="48" t="s">
        <v>629</v>
      </c>
      <c r="G516" s="48" t="s">
        <v>630</v>
      </c>
      <c r="H516" s="49">
        <v>0.041607862</v>
      </c>
      <c r="I516" s="49">
        <v>615.0</v>
      </c>
      <c r="J516" s="49">
        <v>44939.96</v>
      </c>
      <c r="K516" s="49">
        <v>44939.96</v>
      </c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>
      <c r="A517" s="48" t="s">
        <v>2060</v>
      </c>
      <c r="B517" s="48" t="s">
        <v>2061</v>
      </c>
      <c r="C517" s="48" t="s">
        <v>2062</v>
      </c>
      <c r="D517" s="48" t="s">
        <v>93</v>
      </c>
      <c r="E517" s="48" t="s">
        <v>167</v>
      </c>
      <c r="F517" s="48" t="s">
        <v>622</v>
      </c>
      <c r="G517" s="48" t="s">
        <v>623</v>
      </c>
      <c r="H517" s="49">
        <v>0.0414752351</v>
      </c>
      <c r="I517" s="49">
        <v>199.0</v>
      </c>
      <c r="J517" s="49">
        <v>44796.71</v>
      </c>
      <c r="K517" s="49">
        <v>44796.71</v>
      </c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>
      <c r="A518" s="48" t="s">
        <v>2063</v>
      </c>
      <c r="B518" s="49">
        <v>6132101.0</v>
      </c>
      <c r="C518" s="48" t="s">
        <v>2064</v>
      </c>
      <c r="D518" s="48" t="s">
        <v>93</v>
      </c>
      <c r="E518" s="48" t="s">
        <v>118</v>
      </c>
      <c r="F518" s="48" t="s">
        <v>629</v>
      </c>
      <c r="G518" s="48" t="s">
        <v>630</v>
      </c>
      <c r="H518" s="49">
        <v>0.0413873939</v>
      </c>
      <c r="I518" s="49">
        <v>701.0</v>
      </c>
      <c r="J518" s="49">
        <v>44701.84</v>
      </c>
      <c r="K518" s="49">
        <v>44701.84</v>
      </c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>
      <c r="A519" s="48" t="s">
        <v>2065</v>
      </c>
      <c r="B519" s="48" t="s">
        <v>2066</v>
      </c>
      <c r="C519" s="48" t="s">
        <v>2067</v>
      </c>
      <c r="D519" s="48" t="s">
        <v>93</v>
      </c>
      <c r="E519" s="48" t="s">
        <v>94</v>
      </c>
      <c r="F519" s="48" t="s">
        <v>654</v>
      </c>
      <c r="G519" s="48" t="s">
        <v>640</v>
      </c>
      <c r="H519" s="49">
        <v>0.0412964314999999</v>
      </c>
      <c r="I519" s="49">
        <v>335.0</v>
      </c>
      <c r="J519" s="49">
        <v>44603.59</v>
      </c>
      <c r="K519" s="49">
        <v>44603.59</v>
      </c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>
      <c r="A520" s="48" t="s">
        <v>2068</v>
      </c>
      <c r="B520" s="48" t="s">
        <v>2069</v>
      </c>
      <c r="C520" s="48" t="s">
        <v>2070</v>
      </c>
      <c r="D520" s="48" t="s">
        <v>93</v>
      </c>
      <c r="E520" s="48" t="s">
        <v>127</v>
      </c>
      <c r="F520" s="48" t="s">
        <v>883</v>
      </c>
      <c r="G520" s="48" t="s">
        <v>884</v>
      </c>
      <c r="H520" s="49">
        <v>0.0412345688</v>
      </c>
      <c r="I520" s="49">
        <v>1286.0</v>
      </c>
      <c r="J520" s="49">
        <v>44536.77</v>
      </c>
      <c r="K520" s="49">
        <v>44536.77</v>
      </c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>
      <c r="A521" s="48" t="s">
        <v>2071</v>
      </c>
      <c r="B521" s="49">
        <v>2330299.0</v>
      </c>
      <c r="C521" s="48" t="s">
        <v>2072</v>
      </c>
      <c r="D521" s="48" t="s">
        <v>93</v>
      </c>
      <c r="E521" s="48" t="s">
        <v>167</v>
      </c>
      <c r="F521" s="48" t="s">
        <v>622</v>
      </c>
      <c r="G521" s="48" t="s">
        <v>623</v>
      </c>
      <c r="H521" s="49">
        <v>0.0410903907</v>
      </c>
      <c r="I521" s="49">
        <v>32.0</v>
      </c>
      <c r="J521" s="49">
        <v>44381.05</v>
      </c>
      <c r="K521" s="49">
        <v>44381.05</v>
      </c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>
      <c r="A522" s="48" t="s">
        <v>2073</v>
      </c>
      <c r="B522" s="48" t="s">
        <v>2074</v>
      </c>
      <c r="C522" s="48" t="s">
        <v>2075</v>
      </c>
      <c r="D522" s="48" t="s">
        <v>93</v>
      </c>
      <c r="E522" s="48" t="s">
        <v>99</v>
      </c>
      <c r="F522" s="48" t="s">
        <v>622</v>
      </c>
      <c r="G522" s="48" t="s">
        <v>623</v>
      </c>
      <c r="H522" s="49">
        <v>0.0410557578</v>
      </c>
      <c r="I522" s="49">
        <v>134.0</v>
      </c>
      <c r="J522" s="49">
        <v>44343.64</v>
      </c>
      <c r="K522" s="49">
        <v>44343.64</v>
      </c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>
      <c r="A523" s="48" t="s">
        <v>2076</v>
      </c>
      <c r="B523" s="49">
        <v>2195841.0</v>
      </c>
      <c r="C523" s="48" t="s">
        <v>2077</v>
      </c>
      <c r="D523" s="48" t="s">
        <v>93</v>
      </c>
      <c r="E523" s="48" t="s">
        <v>124</v>
      </c>
      <c r="F523" s="48" t="s">
        <v>622</v>
      </c>
      <c r="G523" s="48" t="s">
        <v>623</v>
      </c>
      <c r="H523" s="49">
        <v>0.0409981805</v>
      </c>
      <c r="I523" s="49">
        <v>299.0</v>
      </c>
      <c r="J523" s="49">
        <v>44281.45</v>
      </c>
      <c r="K523" s="49">
        <v>44281.45</v>
      </c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>
      <c r="A524" s="48" t="s">
        <v>2078</v>
      </c>
      <c r="B524" s="49">
        <v>2272476.0</v>
      </c>
      <c r="C524" s="48" t="s">
        <v>2079</v>
      </c>
      <c r="D524" s="48" t="s">
        <v>93</v>
      </c>
      <c r="E524" s="48" t="s">
        <v>124</v>
      </c>
      <c r="F524" s="48" t="s">
        <v>622</v>
      </c>
      <c r="G524" s="48" t="s">
        <v>623</v>
      </c>
      <c r="H524" s="49">
        <v>0.0408005129</v>
      </c>
      <c r="I524" s="49">
        <v>268.0</v>
      </c>
      <c r="J524" s="49">
        <v>44067.96</v>
      </c>
      <c r="K524" s="49">
        <v>44067.96</v>
      </c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>
      <c r="A525" s="48" t="s">
        <v>2080</v>
      </c>
      <c r="B525" s="48" t="s">
        <v>2081</v>
      </c>
      <c r="C525" s="48" t="s">
        <v>2082</v>
      </c>
      <c r="D525" s="48" t="s">
        <v>93</v>
      </c>
      <c r="E525" s="48" t="s">
        <v>133</v>
      </c>
      <c r="F525" s="48" t="s">
        <v>622</v>
      </c>
      <c r="G525" s="48" t="s">
        <v>623</v>
      </c>
      <c r="H525" s="49">
        <v>0.0407598768</v>
      </c>
      <c r="I525" s="49">
        <v>138.0</v>
      </c>
      <c r="J525" s="49">
        <v>44024.06</v>
      </c>
      <c r="K525" s="49">
        <v>44024.06</v>
      </c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>
      <c r="A526" s="48" t="s">
        <v>2083</v>
      </c>
      <c r="B526" s="49">
        <v>2679204.0</v>
      </c>
      <c r="C526" s="48" t="s">
        <v>2084</v>
      </c>
      <c r="D526" s="48" t="s">
        <v>93</v>
      </c>
      <c r="E526" s="48" t="s">
        <v>102</v>
      </c>
      <c r="F526" s="48" t="s">
        <v>622</v>
      </c>
      <c r="G526" s="48" t="s">
        <v>623</v>
      </c>
      <c r="H526" s="49">
        <v>0.0407317087</v>
      </c>
      <c r="I526" s="49">
        <v>94.0</v>
      </c>
      <c r="J526" s="49">
        <v>43993.64</v>
      </c>
      <c r="K526" s="49">
        <v>43993.64</v>
      </c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>
      <c r="A527" s="48" t="s">
        <v>2085</v>
      </c>
      <c r="B527" s="49">
        <v>2336747.0</v>
      </c>
      <c r="C527" s="48" t="s">
        <v>2086</v>
      </c>
      <c r="D527" s="48" t="s">
        <v>93</v>
      </c>
      <c r="E527" s="48" t="s">
        <v>99</v>
      </c>
      <c r="F527" s="48" t="s">
        <v>622</v>
      </c>
      <c r="G527" s="48" t="s">
        <v>623</v>
      </c>
      <c r="H527" s="49">
        <v>0.0406940454</v>
      </c>
      <c r="I527" s="49">
        <v>1069.0</v>
      </c>
      <c r="J527" s="49">
        <v>43952.96</v>
      </c>
      <c r="K527" s="49">
        <v>43952.96</v>
      </c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>
      <c r="A528" s="48" t="s">
        <v>2087</v>
      </c>
      <c r="B528" s="49">
        <v>6467104.0</v>
      </c>
      <c r="C528" s="48" t="s">
        <v>2088</v>
      </c>
      <c r="D528" s="48" t="s">
        <v>93</v>
      </c>
      <c r="E528" s="48" t="s">
        <v>118</v>
      </c>
      <c r="F528" s="48" t="s">
        <v>629</v>
      </c>
      <c r="G528" s="48" t="s">
        <v>630</v>
      </c>
      <c r="H528" s="49">
        <v>0.0406668416</v>
      </c>
      <c r="I528" s="49">
        <v>2109.0</v>
      </c>
      <c r="J528" s="49">
        <v>43923.58</v>
      </c>
      <c r="K528" s="49">
        <v>43923.58</v>
      </c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>
      <c r="A529" s="48" t="s">
        <v>2089</v>
      </c>
      <c r="B529" s="49">
        <v>2175672.0</v>
      </c>
      <c r="C529" s="48" t="s">
        <v>2090</v>
      </c>
      <c r="D529" s="48" t="s">
        <v>93</v>
      </c>
      <c r="E529" s="48" t="s">
        <v>102</v>
      </c>
      <c r="F529" s="48" t="s">
        <v>622</v>
      </c>
      <c r="G529" s="48" t="s">
        <v>623</v>
      </c>
      <c r="H529" s="49">
        <v>0.0406296569</v>
      </c>
      <c r="I529" s="49">
        <v>316.0</v>
      </c>
      <c r="J529" s="49">
        <v>43883.42</v>
      </c>
      <c r="K529" s="49">
        <v>43883.42</v>
      </c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>
      <c r="A530" s="48" t="s">
        <v>2091</v>
      </c>
      <c r="B530" s="49">
        <v>790873.0</v>
      </c>
      <c r="C530" s="48" t="s">
        <v>2092</v>
      </c>
      <c r="D530" s="48" t="s">
        <v>93</v>
      </c>
      <c r="E530" s="48" t="s">
        <v>170</v>
      </c>
      <c r="F530" s="48" t="s">
        <v>918</v>
      </c>
      <c r="G530" s="48" t="s">
        <v>908</v>
      </c>
      <c r="H530" s="49">
        <v>0.0405809310999999</v>
      </c>
      <c r="I530" s="49">
        <v>1347.0</v>
      </c>
      <c r="J530" s="49">
        <v>43830.79</v>
      </c>
      <c r="K530" s="49">
        <v>43830.79</v>
      </c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>
      <c r="A531" s="48" t="s">
        <v>2093</v>
      </c>
      <c r="B531" s="49">
        <v>4741844.0</v>
      </c>
      <c r="C531" s="48" t="s">
        <v>2094</v>
      </c>
      <c r="D531" s="48" t="s">
        <v>93</v>
      </c>
      <c r="E531" s="48" t="s">
        <v>102</v>
      </c>
      <c r="F531" s="48" t="s">
        <v>649</v>
      </c>
      <c r="G531" s="48" t="s">
        <v>640</v>
      </c>
      <c r="H531" s="49">
        <v>0.04048902</v>
      </c>
      <c r="I531" s="49">
        <v>164.0</v>
      </c>
      <c r="J531" s="49">
        <v>43731.52</v>
      </c>
      <c r="K531" s="49">
        <v>43731.52</v>
      </c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>
      <c r="A532" s="48" t="s">
        <v>2095</v>
      </c>
      <c r="B532" s="49">
        <v>2879327.0</v>
      </c>
      <c r="C532" s="48" t="s">
        <v>2096</v>
      </c>
      <c r="D532" s="48" t="s">
        <v>93</v>
      </c>
      <c r="E532" s="48" t="s">
        <v>94</v>
      </c>
      <c r="F532" s="48" t="s">
        <v>694</v>
      </c>
      <c r="G532" s="48" t="s">
        <v>1003</v>
      </c>
      <c r="H532" s="49">
        <v>0.0403623833</v>
      </c>
      <c r="I532" s="49">
        <v>697.0</v>
      </c>
      <c r="J532" s="49">
        <v>43594.74</v>
      </c>
      <c r="K532" s="49">
        <v>43594.74</v>
      </c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>
      <c r="A533" s="48" t="s">
        <v>2097</v>
      </c>
      <c r="B533" s="49">
        <v>6487232.0</v>
      </c>
      <c r="C533" s="48" t="s">
        <v>2098</v>
      </c>
      <c r="D533" s="48" t="s">
        <v>93</v>
      </c>
      <c r="E533" s="48" t="s">
        <v>127</v>
      </c>
      <c r="F533" s="48" t="s">
        <v>629</v>
      </c>
      <c r="G533" s="48" t="s">
        <v>630</v>
      </c>
      <c r="H533" s="49">
        <v>0.0402746593</v>
      </c>
      <c r="I533" s="49">
        <v>1012.0</v>
      </c>
      <c r="J533" s="49">
        <v>43499.99</v>
      </c>
      <c r="K533" s="49">
        <v>43499.99</v>
      </c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>
      <c r="A534" s="48" t="s">
        <v>2099</v>
      </c>
      <c r="B534" s="49">
        <v>2903958.0</v>
      </c>
      <c r="C534" s="48" t="s">
        <v>2100</v>
      </c>
      <c r="D534" s="48" t="s">
        <v>93</v>
      </c>
      <c r="E534" s="48" t="s">
        <v>167</v>
      </c>
      <c r="F534" s="48" t="s">
        <v>622</v>
      </c>
      <c r="G534" s="48" t="s">
        <v>623</v>
      </c>
      <c r="H534" s="49">
        <v>0.0401459788</v>
      </c>
      <c r="I534" s="49">
        <v>547.0</v>
      </c>
      <c r="J534" s="49">
        <v>43361.0</v>
      </c>
      <c r="K534" s="49">
        <v>43361.0</v>
      </c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>
      <c r="A535" s="48" t="s">
        <v>2101</v>
      </c>
      <c r="B535" s="49">
        <v>6642569.0</v>
      </c>
      <c r="C535" s="48" t="s">
        <v>2102</v>
      </c>
      <c r="D535" s="48" t="s">
        <v>93</v>
      </c>
      <c r="E535" s="48" t="s">
        <v>94</v>
      </c>
      <c r="F535" s="48" t="s">
        <v>629</v>
      </c>
      <c r="G535" s="48" t="s">
        <v>630</v>
      </c>
      <c r="H535" s="49">
        <v>0.0401362788</v>
      </c>
      <c r="I535" s="49">
        <v>1094.0</v>
      </c>
      <c r="J535" s="49">
        <v>43350.53</v>
      </c>
      <c r="K535" s="49">
        <v>43350.53</v>
      </c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>
      <c r="A536" s="48" t="s">
        <v>2103</v>
      </c>
      <c r="B536" s="48" t="s">
        <v>2104</v>
      </c>
      <c r="C536" s="48" t="s">
        <v>2105</v>
      </c>
      <c r="D536" s="48" t="s">
        <v>93</v>
      </c>
      <c r="E536" s="48" t="s">
        <v>102</v>
      </c>
      <c r="F536" s="48" t="s">
        <v>622</v>
      </c>
      <c r="G536" s="48" t="s">
        <v>623</v>
      </c>
      <c r="H536" s="49">
        <v>0.0401228900999999</v>
      </c>
      <c r="I536" s="49">
        <v>126.0</v>
      </c>
      <c r="J536" s="49">
        <v>43336.07</v>
      </c>
      <c r="K536" s="49">
        <v>43336.07</v>
      </c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>
      <c r="A537" s="48" t="s">
        <v>2106</v>
      </c>
      <c r="B537" s="48" t="s">
        <v>2107</v>
      </c>
      <c r="C537" s="48" t="s">
        <v>2108</v>
      </c>
      <c r="D537" s="48" t="s">
        <v>93</v>
      </c>
      <c r="E537" s="48" t="s">
        <v>121</v>
      </c>
      <c r="F537" s="48" t="s">
        <v>622</v>
      </c>
      <c r="G537" s="48" t="s">
        <v>623</v>
      </c>
      <c r="H537" s="49">
        <v>0.0400166535</v>
      </c>
      <c r="I537" s="49">
        <v>180.0</v>
      </c>
      <c r="J537" s="49">
        <v>43221.32</v>
      </c>
      <c r="K537" s="49">
        <v>43221.32</v>
      </c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>
      <c r="A538" s="48" t="s">
        <v>2109</v>
      </c>
      <c r="B538" s="48" t="s">
        <v>2110</v>
      </c>
      <c r="C538" s="48" t="s">
        <v>2111</v>
      </c>
      <c r="D538" s="48" t="s">
        <v>93</v>
      </c>
      <c r="E538" s="48" t="s">
        <v>167</v>
      </c>
      <c r="F538" s="48" t="s">
        <v>622</v>
      </c>
      <c r="G538" s="48" t="s">
        <v>623</v>
      </c>
      <c r="H538" s="49">
        <v>0.0400131035999999</v>
      </c>
      <c r="I538" s="49">
        <v>1633.0</v>
      </c>
      <c r="J538" s="49">
        <v>43217.49</v>
      </c>
      <c r="K538" s="49">
        <v>43217.49</v>
      </c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>
      <c r="A539" s="48" t="s">
        <v>2112</v>
      </c>
      <c r="B539" s="48" t="s">
        <v>2113</v>
      </c>
      <c r="C539" s="48" t="s">
        <v>2114</v>
      </c>
      <c r="D539" s="48" t="s">
        <v>93</v>
      </c>
      <c r="E539" s="48" t="s">
        <v>127</v>
      </c>
      <c r="F539" s="48" t="s">
        <v>622</v>
      </c>
      <c r="G539" s="48" t="s">
        <v>623</v>
      </c>
      <c r="H539" s="49">
        <v>0.0399725831</v>
      </c>
      <c r="I539" s="49">
        <v>303.0</v>
      </c>
      <c r="J539" s="49">
        <v>43173.72</v>
      </c>
      <c r="K539" s="49">
        <v>43173.72</v>
      </c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>
      <c r="A540" s="48" t="s">
        <v>2115</v>
      </c>
      <c r="B540" s="48" t="s">
        <v>2116</v>
      </c>
      <c r="C540" s="48" t="s">
        <v>2117</v>
      </c>
      <c r="D540" s="48" t="s">
        <v>93</v>
      </c>
      <c r="E540" s="48" t="s">
        <v>118</v>
      </c>
      <c r="F540" s="48" t="s">
        <v>639</v>
      </c>
      <c r="G540" s="48" t="s">
        <v>640</v>
      </c>
      <c r="H540" s="49">
        <v>0.0398977283</v>
      </c>
      <c r="I540" s="49">
        <v>860.0</v>
      </c>
      <c r="J540" s="49">
        <v>43092.87</v>
      </c>
      <c r="K540" s="49">
        <v>43092.87</v>
      </c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>
      <c r="A541" s="48" t="s">
        <v>2118</v>
      </c>
      <c r="B541" s="49">
        <v>2169051.0</v>
      </c>
      <c r="C541" s="48" t="s">
        <v>2119</v>
      </c>
      <c r="D541" s="48" t="s">
        <v>93</v>
      </c>
      <c r="E541" s="48" t="s">
        <v>121</v>
      </c>
      <c r="F541" s="48" t="s">
        <v>694</v>
      </c>
      <c r="G541" s="48" t="s">
        <v>1003</v>
      </c>
      <c r="H541" s="49">
        <v>0.0398953343</v>
      </c>
      <c r="I541" s="49">
        <v>683.0</v>
      </c>
      <c r="J541" s="49">
        <v>43090.29</v>
      </c>
      <c r="K541" s="49">
        <v>43090.29</v>
      </c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>
      <c r="A542" s="48" t="s">
        <v>2120</v>
      </c>
      <c r="B542" s="49">
        <v>5732524.0</v>
      </c>
      <c r="C542" s="48" t="s">
        <v>2121</v>
      </c>
      <c r="D542" s="48" t="s">
        <v>93</v>
      </c>
      <c r="E542" s="48" t="s">
        <v>121</v>
      </c>
      <c r="F542" s="48" t="s">
        <v>1201</v>
      </c>
      <c r="G542" s="48" t="s">
        <v>640</v>
      </c>
      <c r="H542" s="49">
        <v>0.0397643339</v>
      </c>
      <c r="I542" s="49">
        <v>6336.0</v>
      </c>
      <c r="J542" s="49">
        <v>42948.8</v>
      </c>
      <c r="K542" s="49">
        <v>42948.8</v>
      </c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>
      <c r="A543" s="48" t="s">
        <v>2122</v>
      </c>
      <c r="B543" s="49">
        <v>2077303.0</v>
      </c>
      <c r="C543" s="48" t="s">
        <v>2123</v>
      </c>
      <c r="D543" s="48" t="s">
        <v>93</v>
      </c>
      <c r="E543" s="48" t="s">
        <v>99</v>
      </c>
      <c r="F543" s="48" t="s">
        <v>694</v>
      </c>
      <c r="G543" s="48" t="s">
        <v>1003</v>
      </c>
      <c r="H543" s="49">
        <v>0.0397096495</v>
      </c>
      <c r="I543" s="49">
        <v>399.0</v>
      </c>
      <c r="J543" s="49">
        <v>42889.73</v>
      </c>
      <c r="K543" s="49">
        <v>42889.73</v>
      </c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>
      <c r="A544" s="48" t="s">
        <v>2124</v>
      </c>
      <c r="B544" s="48" t="s">
        <v>2125</v>
      </c>
      <c r="C544" s="48" t="s">
        <v>2126</v>
      </c>
      <c r="D544" s="48" t="s">
        <v>93</v>
      </c>
      <c r="E544" s="48" t="s">
        <v>102</v>
      </c>
      <c r="F544" s="48" t="s">
        <v>622</v>
      </c>
      <c r="G544" s="48" t="s">
        <v>623</v>
      </c>
      <c r="H544" s="49">
        <v>0.0396378555</v>
      </c>
      <c r="I544" s="49">
        <v>158.0</v>
      </c>
      <c r="J544" s="49">
        <v>42812.19</v>
      </c>
      <c r="K544" s="49">
        <v>42812.19</v>
      </c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>
      <c r="A545" s="48" t="s">
        <v>2127</v>
      </c>
      <c r="B545" s="49">
        <v>408284.0</v>
      </c>
      <c r="C545" s="48" t="s">
        <v>2128</v>
      </c>
      <c r="D545" s="48" t="s">
        <v>93</v>
      </c>
      <c r="E545" s="48" t="s">
        <v>99</v>
      </c>
      <c r="F545" s="48" t="s">
        <v>918</v>
      </c>
      <c r="G545" s="48" t="s">
        <v>908</v>
      </c>
      <c r="H545" s="49">
        <v>0.0392079907</v>
      </c>
      <c r="I545" s="49">
        <v>2934.0</v>
      </c>
      <c r="J545" s="49">
        <v>42347.9</v>
      </c>
      <c r="K545" s="49">
        <v>42347.9</v>
      </c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>
      <c r="A546" s="48" t="s">
        <v>2129</v>
      </c>
      <c r="B546" s="49">
        <v>6298542.0</v>
      </c>
      <c r="C546" s="48" t="s">
        <v>2130</v>
      </c>
      <c r="D546" s="48" t="s">
        <v>93</v>
      </c>
      <c r="E546" s="48" t="s">
        <v>127</v>
      </c>
      <c r="F546" s="48" t="s">
        <v>629</v>
      </c>
      <c r="G546" s="48" t="s">
        <v>630</v>
      </c>
      <c r="H546" s="49">
        <v>0.0391339396</v>
      </c>
      <c r="I546" s="49">
        <v>455.0</v>
      </c>
      <c r="J546" s="49">
        <v>42267.92</v>
      </c>
      <c r="K546" s="49">
        <v>42267.92</v>
      </c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>
      <c r="A547" s="48" t="s">
        <v>2131</v>
      </c>
      <c r="B547" s="48" t="s">
        <v>2132</v>
      </c>
      <c r="C547" s="48" t="s">
        <v>2133</v>
      </c>
      <c r="D547" s="48" t="s">
        <v>93</v>
      </c>
      <c r="E547" s="48" t="s">
        <v>121</v>
      </c>
      <c r="F547" s="48" t="s">
        <v>1201</v>
      </c>
      <c r="G547" s="48" t="s">
        <v>640</v>
      </c>
      <c r="H547" s="49">
        <v>0.0391199889999999</v>
      </c>
      <c r="I547" s="49">
        <v>717.0</v>
      </c>
      <c r="J547" s="49">
        <v>42252.85</v>
      </c>
      <c r="K547" s="49">
        <v>42252.85</v>
      </c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>
      <c r="A548" s="48" t="s">
        <v>2134</v>
      </c>
      <c r="B548" s="49">
        <v>2754907.0</v>
      </c>
      <c r="C548" s="48" t="s">
        <v>2135</v>
      </c>
      <c r="D548" s="48" t="s">
        <v>93</v>
      </c>
      <c r="E548" s="48" t="s">
        <v>118</v>
      </c>
      <c r="F548" s="48" t="s">
        <v>622</v>
      </c>
      <c r="G548" s="48" t="s">
        <v>623</v>
      </c>
      <c r="H548" s="49">
        <v>0.0390628618</v>
      </c>
      <c r="I548" s="49">
        <v>287.0</v>
      </c>
      <c r="J548" s="49">
        <v>42191.15</v>
      </c>
      <c r="K548" s="49">
        <v>42191.15</v>
      </c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>
      <c r="A549" s="48" t="s">
        <v>2136</v>
      </c>
      <c r="B549" s="49">
        <v>2613990.0</v>
      </c>
      <c r="C549" s="48" t="s">
        <v>2137</v>
      </c>
      <c r="D549" s="48" t="s">
        <v>93</v>
      </c>
      <c r="E549" s="48" t="s">
        <v>102</v>
      </c>
      <c r="F549" s="48" t="s">
        <v>622</v>
      </c>
      <c r="G549" s="48" t="s">
        <v>623</v>
      </c>
      <c r="H549" s="49">
        <v>0.0388649056</v>
      </c>
      <c r="I549" s="49">
        <v>202.0</v>
      </c>
      <c r="J549" s="49">
        <v>41977.34</v>
      </c>
      <c r="K549" s="49">
        <v>41977.34</v>
      </c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>
      <c r="A550" s="48" t="s">
        <v>2138</v>
      </c>
      <c r="B550" s="48" t="s">
        <v>2139</v>
      </c>
      <c r="C550" s="48" t="s">
        <v>2140</v>
      </c>
      <c r="D550" s="48" t="s">
        <v>93</v>
      </c>
      <c r="E550" s="48" t="s">
        <v>127</v>
      </c>
      <c r="F550" s="48" t="s">
        <v>1740</v>
      </c>
      <c r="G550" s="48" t="s">
        <v>1741</v>
      </c>
      <c r="H550" s="49">
        <v>0.0387244322</v>
      </c>
      <c r="I550" s="49">
        <v>1249.0</v>
      </c>
      <c r="J550" s="49">
        <v>41825.61</v>
      </c>
      <c r="K550" s="49">
        <v>41825.61</v>
      </c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>
      <c r="A551" s="48" t="s">
        <v>2141</v>
      </c>
      <c r="B551" s="49">
        <v>5669354.0</v>
      </c>
      <c r="C551" s="48" t="s">
        <v>2142</v>
      </c>
      <c r="D551" s="48" t="s">
        <v>93</v>
      </c>
      <c r="E551" s="48" t="s">
        <v>115</v>
      </c>
      <c r="F551" s="48" t="s">
        <v>1201</v>
      </c>
      <c r="G551" s="48" t="s">
        <v>640</v>
      </c>
      <c r="H551" s="49">
        <v>0.0386855343</v>
      </c>
      <c r="I551" s="49">
        <v>1607.0</v>
      </c>
      <c r="J551" s="49">
        <v>41783.6</v>
      </c>
      <c r="K551" s="49">
        <v>41783.6</v>
      </c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>
      <c r="A552" s="48" t="s">
        <v>2143</v>
      </c>
      <c r="B552" s="49">
        <v>6597603.0</v>
      </c>
      <c r="C552" s="48" t="s">
        <v>2144</v>
      </c>
      <c r="D552" s="48" t="s">
        <v>93</v>
      </c>
      <c r="E552" s="48" t="s">
        <v>133</v>
      </c>
      <c r="F552" s="48" t="s">
        <v>629</v>
      </c>
      <c r="G552" s="48" t="s">
        <v>630</v>
      </c>
      <c r="H552" s="49">
        <v>0.0386699368</v>
      </c>
      <c r="I552" s="49">
        <v>1169.0</v>
      </c>
      <c r="J552" s="49">
        <v>41766.76</v>
      </c>
      <c r="K552" s="49">
        <v>41766.76</v>
      </c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>
      <c r="A553" s="48" t="s">
        <v>2145</v>
      </c>
      <c r="B553" s="49">
        <v>6356525.0</v>
      </c>
      <c r="C553" s="48" t="s">
        <v>2146</v>
      </c>
      <c r="D553" s="48" t="s">
        <v>93</v>
      </c>
      <c r="E553" s="48" t="s">
        <v>167</v>
      </c>
      <c r="F553" s="48" t="s">
        <v>629</v>
      </c>
      <c r="G553" s="48" t="s">
        <v>630</v>
      </c>
      <c r="H553" s="49">
        <v>0.0386326332</v>
      </c>
      <c r="I553" s="49">
        <v>448.0</v>
      </c>
      <c r="J553" s="49">
        <v>41726.46</v>
      </c>
      <c r="K553" s="49">
        <v>41726.46</v>
      </c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>
      <c r="A554" s="48" t="s">
        <v>2147</v>
      </c>
      <c r="B554" s="49">
        <v>5176177.0</v>
      </c>
      <c r="C554" s="48" t="s">
        <v>2148</v>
      </c>
      <c r="D554" s="48" t="s">
        <v>93</v>
      </c>
      <c r="E554" s="48" t="s">
        <v>121</v>
      </c>
      <c r="F554" s="48" t="s">
        <v>639</v>
      </c>
      <c r="G554" s="48" t="s">
        <v>640</v>
      </c>
      <c r="H554" s="49">
        <v>0.0384878914999999</v>
      </c>
      <c r="I554" s="49">
        <v>2217.0</v>
      </c>
      <c r="J554" s="49">
        <v>41570.13</v>
      </c>
      <c r="K554" s="49">
        <v>41570.13</v>
      </c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>
      <c r="A555" s="48" t="s">
        <v>2149</v>
      </c>
      <c r="B555" s="49">
        <v>5750355.0</v>
      </c>
      <c r="C555" s="48" t="s">
        <v>2150</v>
      </c>
      <c r="D555" s="48" t="s">
        <v>93</v>
      </c>
      <c r="E555" s="48" t="s">
        <v>99</v>
      </c>
      <c r="F555" s="48" t="s">
        <v>649</v>
      </c>
      <c r="G555" s="48" t="s">
        <v>640</v>
      </c>
      <c r="H555" s="49">
        <v>0.0383435726</v>
      </c>
      <c r="I555" s="49">
        <v>2470.0</v>
      </c>
      <c r="J555" s="49">
        <v>41414.25</v>
      </c>
      <c r="K555" s="49">
        <v>41414.25</v>
      </c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>
      <c r="A556" s="48" t="s">
        <v>2151</v>
      </c>
      <c r="B556" s="49">
        <v>2340168.0</v>
      </c>
      <c r="C556" s="48" t="s">
        <v>2152</v>
      </c>
      <c r="D556" s="48" t="s">
        <v>93</v>
      </c>
      <c r="E556" s="48" t="s">
        <v>99</v>
      </c>
      <c r="F556" s="48" t="s">
        <v>622</v>
      </c>
      <c r="G556" s="48" t="s">
        <v>623</v>
      </c>
      <c r="H556" s="49">
        <v>0.0382646586999999</v>
      </c>
      <c r="I556" s="49">
        <v>210.0</v>
      </c>
      <c r="J556" s="49">
        <v>41329.02</v>
      </c>
      <c r="K556" s="49">
        <v>41329.02</v>
      </c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>
      <c r="A557" s="48" t="s">
        <v>2153</v>
      </c>
      <c r="B557" s="49">
        <v>2298386.0</v>
      </c>
      <c r="C557" s="48" t="s">
        <v>2154</v>
      </c>
      <c r="D557" s="48" t="s">
        <v>93</v>
      </c>
      <c r="E557" s="48" t="s">
        <v>94</v>
      </c>
      <c r="F557" s="48" t="s">
        <v>622</v>
      </c>
      <c r="G557" s="48" t="s">
        <v>623</v>
      </c>
      <c r="H557" s="49">
        <v>0.0381700674</v>
      </c>
      <c r="I557" s="49">
        <v>345.0</v>
      </c>
      <c r="J557" s="49">
        <v>41226.85</v>
      </c>
      <c r="K557" s="49">
        <v>41226.85</v>
      </c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>
      <c r="A558" s="48" t="s">
        <v>2155</v>
      </c>
      <c r="B558" s="48" t="s">
        <v>2156</v>
      </c>
      <c r="C558" s="48" t="s">
        <v>2157</v>
      </c>
      <c r="D558" s="48" t="s">
        <v>93</v>
      </c>
      <c r="E558" s="48" t="s">
        <v>102</v>
      </c>
      <c r="F558" s="48" t="s">
        <v>622</v>
      </c>
      <c r="G558" s="48" t="s">
        <v>623</v>
      </c>
      <c r="H558" s="49">
        <v>0.0381631408</v>
      </c>
      <c r="I558" s="49">
        <v>105.0</v>
      </c>
      <c r="J558" s="49">
        <v>41219.37</v>
      </c>
      <c r="K558" s="49">
        <v>41219.37</v>
      </c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>
      <c r="A559" s="48" t="s">
        <v>2158</v>
      </c>
      <c r="B559" s="49">
        <v>4056719.0</v>
      </c>
      <c r="C559" s="48" t="s">
        <v>2159</v>
      </c>
      <c r="D559" s="48" t="s">
        <v>93</v>
      </c>
      <c r="E559" s="48" t="s">
        <v>99</v>
      </c>
      <c r="F559" s="48" t="s">
        <v>1352</v>
      </c>
      <c r="G559" s="48" t="s">
        <v>640</v>
      </c>
      <c r="H559" s="49">
        <v>0.0381478496</v>
      </c>
      <c r="I559" s="49">
        <v>1250.0</v>
      </c>
      <c r="J559" s="49">
        <v>41202.86</v>
      </c>
      <c r="K559" s="49">
        <v>41202.86</v>
      </c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>
      <c r="A560" s="48" t="s">
        <v>2160</v>
      </c>
      <c r="B560" s="49">
        <v>5497168.0</v>
      </c>
      <c r="C560" s="48" t="s">
        <v>2161</v>
      </c>
      <c r="D560" s="48" t="s">
        <v>93</v>
      </c>
      <c r="E560" s="48" t="s">
        <v>118</v>
      </c>
      <c r="F560" s="48" t="s">
        <v>649</v>
      </c>
      <c r="G560" s="48" t="s">
        <v>640</v>
      </c>
      <c r="H560" s="49">
        <v>0.0381165314</v>
      </c>
      <c r="I560" s="49">
        <v>222.0</v>
      </c>
      <c r="J560" s="49">
        <v>41169.03</v>
      </c>
      <c r="K560" s="49">
        <v>41169.03</v>
      </c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>
      <c r="A561" s="48" t="s">
        <v>2162</v>
      </c>
      <c r="B561" s="48" t="s">
        <v>2163</v>
      </c>
      <c r="C561" s="48" t="s">
        <v>2164</v>
      </c>
      <c r="D561" s="48" t="s">
        <v>93</v>
      </c>
      <c r="E561" s="48" t="s">
        <v>118</v>
      </c>
      <c r="F561" s="48" t="s">
        <v>1352</v>
      </c>
      <c r="G561" s="48" t="s">
        <v>640</v>
      </c>
      <c r="H561" s="49">
        <v>0.0380932735</v>
      </c>
      <c r="I561" s="49">
        <v>438.0</v>
      </c>
      <c r="J561" s="49">
        <v>41143.91</v>
      </c>
      <c r="K561" s="49">
        <v>41143.91</v>
      </c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>
      <c r="A562" s="48" t="s">
        <v>2165</v>
      </c>
      <c r="B562" s="49">
        <v>5902941.0</v>
      </c>
      <c r="C562" s="48" t="s">
        <v>2166</v>
      </c>
      <c r="D562" s="48" t="s">
        <v>93</v>
      </c>
      <c r="E562" s="48" t="s">
        <v>167</v>
      </c>
      <c r="F562" s="48" t="s">
        <v>686</v>
      </c>
      <c r="G562" s="48" t="s">
        <v>640</v>
      </c>
      <c r="H562" s="49">
        <v>0.0380465523999999</v>
      </c>
      <c r="I562" s="49">
        <v>6811.0</v>
      </c>
      <c r="J562" s="49">
        <v>41093.45</v>
      </c>
      <c r="K562" s="49">
        <v>41093.45</v>
      </c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>
      <c r="A563" s="48" t="s">
        <v>2167</v>
      </c>
      <c r="B563" s="48" t="s">
        <v>2168</v>
      </c>
      <c r="C563" s="48" t="s">
        <v>2169</v>
      </c>
      <c r="D563" s="48" t="s">
        <v>93</v>
      </c>
      <c r="E563" s="48" t="s">
        <v>118</v>
      </c>
      <c r="F563" s="48" t="s">
        <v>622</v>
      </c>
      <c r="G563" s="48" t="s">
        <v>623</v>
      </c>
      <c r="H563" s="49">
        <v>0.0379176797</v>
      </c>
      <c r="I563" s="49">
        <v>65.0</v>
      </c>
      <c r="J563" s="49">
        <v>40954.25</v>
      </c>
      <c r="K563" s="49">
        <v>40954.25</v>
      </c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>
      <c r="A564" s="48" t="s">
        <v>2170</v>
      </c>
      <c r="B564" s="49">
        <v>2440637.0</v>
      </c>
      <c r="C564" s="48" t="s">
        <v>2171</v>
      </c>
      <c r="D564" s="48" t="s">
        <v>93</v>
      </c>
      <c r="E564" s="48" t="s">
        <v>170</v>
      </c>
      <c r="F564" s="48" t="s">
        <v>622</v>
      </c>
      <c r="G564" s="48" t="s">
        <v>623</v>
      </c>
      <c r="H564" s="49">
        <v>0.0378543447</v>
      </c>
      <c r="I564" s="49">
        <v>924.0</v>
      </c>
      <c r="J564" s="49">
        <v>40885.85</v>
      </c>
      <c r="K564" s="49">
        <v>40885.85</v>
      </c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>
      <c r="A565" s="48" t="s">
        <v>2172</v>
      </c>
      <c r="B565" s="48" t="s">
        <v>2173</v>
      </c>
      <c r="C565" s="48" t="s">
        <v>2174</v>
      </c>
      <c r="D565" s="48" t="s">
        <v>93</v>
      </c>
      <c r="E565" s="48" t="s">
        <v>99</v>
      </c>
      <c r="F565" s="48" t="s">
        <v>668</v>
      </c>
      <c r="G565" s="48" t="s">
        <v>640</v>
      </c>
      <c r="H565" s="49">
        <v>0.0378420514999999</v>
      </c>
      <c r="I565" s="49">
        <v>39.0</v>
      </c>
      <c r="J565" s="49">
        <v>40872.57</v>
      </c>
      <c r="K565" s="49">
        <v>40872.57</v>
      </c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>
      <c r="A566" s="48" t="s">
        <v>2175</v>
      </c>
      <c r="B566" s="49">
        <v>2317087.0</v>
      </c>
      <c r="C566" s="48" t="s">
        <v>2176</v>
      </c>
      <c r="D566" s="48" t="s">
        <v>93</v>
      </c>
      <c r="E566" s="48" t="s">
        <v>170</v>
      </c>
      <c r="F566" s="48" t="s">
        <v>622</v>
      </c>
      <c r="G566" s="48" t="s">
        <v>623</v>
      </c>
      <c r="H566" s="49">
        <v>0.0376377154999999</v>
      </c>
      <c r="I566" s="49">
        <v>269.0</v>
      </c>
      <c r="J566" s="49">
        <v>40651.87</v>
      </c>
      <c r="K566" s="49">
        <v>40651.87</v>
      </c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>
      <c r="A567" s="48" t="s">
        <v>2177</v>
      </c>
      <c r="B567" s="48" t="s">
        <v>2178</v>
      </c>
      <c r="C567" s="48" t="s">
        <v>2179</v>
      </c>
      <c r="D567" s="48" t="s">
        <v>93</v>
      </c>
      <c r="E567" s="48" t="s">
        <v>167</v>
      </c>
      <c r="F567" s="48" t="s">
        <v>694</v>
      </c>
      <c r="G567" s="48" t="s">
        <v>1003</v>
      </c>
      <c r="H567" s="49">
        <v>0.0374571188</v>
      </c>
      <c r="I567" s="49">
        <v>261.0</v>
      </c>
      <c r="J567" s="49">
        <v>40456.81</v>
      </c>
      <c r="K567" s="49">
        <v>40456.81</v>
      </c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>
      <c r="A568" s="48" t="s">
        <v>2180</v>
      </c>
      <c r="B568" s="48" t="s">
        <v>2181</v>
      </c>
      <c r="C568" s="48" t="s">
        <v>2182</v>
      </c>
      <c r="D568" s="48" t="s">
        <v>93</v>
      </c>
      <c r="E568" s="48" t="s">
        <v>124</v>
      </c>
      <c r="F568" s="48" t="s">
        <v>622</v>
      </c>
      <c r="G568" s="48" t="s">
        <v>908</v>
      </c>
      <c r="H568" s="49">
        <v>0.0374399293</v>
      </c>
      <c r="I568" s="49">
        <v>6270.0</v>
      </c>
      <c r="J568" s="49">
        <v>40438.24</v>
      </c>
      <c r="K568" s="49">
        <v>40438.24</v>
      </c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>
      <c r="A569" s="48" t="s">
        <v>2183</v>
      </c>
      <c r="B569" s="49">
        <v>2367480.0</v>
      </c>
      <c r="C569" s="48" t="s">
        <v>2184</v>
      </c>
      <c r="D569" s="48" t="s">
        <v>93</v>
      </c>
      <c r="E569" s="48" t="s">
        <v>118</v>
      </c>
      <c r="F569" s="48" t="s">
        <v>622</v>
      </c>
      <c r="G569" s="48" t="s">
        <v>623</v>
      </c>
      <c r="H569" s="49">
        <v>0.0374092534</v>
      </c>
      <c r="I569" s="49">
        <v>178.0</v>
      </c>
      <c r="J569" s="49">
        <v>40405.11</v>
      </c>
      <c r="K569" s="49">
        <v>40405.11</v>
      </c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>
      <c r="A570" s="48" t="s">
        <v>2185</v>
      </c>
      <c r="B570" s="49">
        <v>2046853.0</v>
      </c>
      <c r="C570" s="48" t="s">
        <v>2186</v>
      </c>
      <c r="D570" s="48" t="s">
        <v>93</v>
      </c>
      <c r="E570" s="48" t="s">
        <v>94</v>
      </c>
      <c r="F570" s="48" t="s">
        <v>622</v>
      </c>
      <c r="G570" s="48" t="s">
        <v>623</v>
      </c>
      <c r="H570" s="49">
        <v>0.0370556509</v>
      </c>
      <c r="I570" s="49">
        <v>152.0</v>
      </c>
      <c r="J570" s="49">
        <v>40023.19</v>
      </c>
      <c r="K570" s="49">
        <v>40023.19</v>
      </c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>
      <c r="A571" s="48" t="s">
        <v>2187</v>
      </c>
      <c r="B571" s="49">
        <v>6010906.0</v>
      </c>
      <c r="C571" s="48" t="s">
        <v>2188</v>
      </c>
      <c r="D571" s="48" t="s">
        <v>93</v>
      </c>
      <c r="E571" s="48" t="s">
        <v>124</v>
      </c>
      <c r="F571" s="48" t="s">
        <v>629</v>
      </c>
      <c r="G571" s="48" t="s">
        <v>630</v>
      </c>
      <c r="H571" s="49">
        <v>0.0368862741</v>
      </c>
      <c r="I571" s="49">
        <v>658.0</v>
      </c>
      <c r="J571" s="49">
        <v>39840.25</v>
      </c>
      <c r="K571" s="49">
        <v>39840.25</v>
      </c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>
      <c r="A572" s="48" t="s">
        <v>2189</v>
      </c>
      <c r="B572" s="48" t="s">
        <v>2190</v>
      </c>
      <c r="C572" s="48" t="s">
        <v>2191</v>
      </c>
      <c r="D572" s="48" t="s">
        <v>93</v>
      </c>
      <c r="E572" s="48" t="s">
        <v>99</v>
      </c>
      <c r="F572" s="48" t="s">
        <v>1673</v>
      </c>
      <c r="G572" s="48" t="s">
        <v>1674</v>
      </c>
      <c r="H572" s="49">
        <v>0.0367826573</v>
      </c>
      <c r="I572" s="49">
        <v>1255.0</v>
      </c>
      <c r="J572" s="49">
        <v>39728.34</v>
      </c>
      <c r="K572" s="49">
        <v>39728.34</v>
      </c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>
      <c r="A573" s="48" t="s">
        <v>2192</v>
      </c>
      <c r="B573" s="48" t="s">
        <v>2193</v>
      </c>
      <c r="C573" s="48" t="s">
        <v>2194</v>
      </c>
      <c r="D573" s="48" t="s">
        <v>93</v>
      </c>
      <c r="E573" s="48" t="s">
        <v>118</v>
      </c>
      <c r="F573" s="48" t="s">
        <v>622</v>
      </c>
      <c r="G573" s="48" t="s">
        <v>623</v>
      </c>
      <c r="H573" s="49">
        <v>0.0367694816</v>
      </c>
      <c r="I573" s="49">
        <v>337.0</v>
      </c>
      <c r="J573" s="49">
        <v>39714.11</v>
      </c>
      <c r="K573" s="49">
        <v>39714.11</v>
      </c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>
      <c r="A574" s="48" t="s">
        <v>2195</v>
      </c>
      <c r="B574" s="48" t="s">
        <v>2196</v>
      </c>
      <c r="C574" s="48" t="s">
        <v>2197</v>
      </c>
      <c r="D574" s="48" t="s">
        <v>93</v>
      </c>
      <c r="E574" s="48" t="s">
        <v>99</v>
      </c>
      <c r="F574" s="48" t="s">
        <v>622</v>
      </c>
      <c r="G574" s="48" t="s">
        <v>623</v>
      </c>
      <c r="H574" s="49">
        <v>0.0366876468</v>
      </c>
      <c r="I574" s="49">
        <v>231.0</v>
      </c>
      <c r="J574" s="49">
        <v>39625.72</v>
      </c>
      <c r="K574" s="49">
        <v>39625.72</v>
      </c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>
      <c r="A575" s="48" t="s">
        <v>2198</v>
      </c>
      <c r="B575" s="48" t="s">
        <v>2199</v>
      </c>
      <c r="C575" s="48" t="s">
        <v>2200</v>
      </c>
      <c r="D575" s="48" t="s">
        <v>93</v>
      </c>
      <c r="E575" s="48" t="s">
        <v>99</v>
      </c>
      <c r="F575" s="48" t="s">
        <v>629</v>
      </c>
      <c r="G575" s="48" t="s">
        <v>630</v>
      </c>
      <c r="H575" s="49">
        <v>0.0364203058</v>
      </c>
      <c r="I575" s="49">
        <v>1220.0</v>
      </c>
      <c r="J575" s="49">
        <v>39336.97</v>
      </c>
      <c r="K575" s="49">
        <v>39336.97</v>
      </c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>
      <c r="A576" s="48" t="s">
        <v>2201</v>
      </c>
      <c r="B576" s="48" t="s">
        <v>2202</v>
      </c>
      <c r="C576" s="48" t="s">
        <v>2203</v>
      </c>
      <c r="D576" s="48" t="s">
        <v>93</v>
      </c>
      <c r="E576" s="48" t="s">
        <v>94</v>
      </c>
      <c r="F576" s="48" t="s">
        <v>1273</v>
      </c>
      <c r="G576" s="48" t="s">
        <v>1003</v>
      </c>
      <c r="H576" s="49">
        <v>0.0363756313</v>
      </c>
      <c r="I576" s="49">
        <v>581.0</v>
      </c>
      <c r="J576" s="49">
        <v>39288.71</v>
      </c>
      <c r="K576" s="49">
        <v>39288.71</v>
      </c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>
      <c r="A577" s="48" t="s">
        <v>2204</v>
      </c>
      <c r="B577" s="48" t="s">
        <v>2205</v>
      </c>
      <c r="C577" s="48" t="s">
        <v>2206</v>
      </c>
      <c r="D577" s="48" t="s">
        <v>93</v>
      </c>
      <c r="E577" s="48" t="s">
        <v>127</v>
      </c>
      <c r="F577" s="48" t="s">
        <v>1740</v>
      </c>
      <c r="G577" s="48" t="s">
        <v>1741</v>
      </c>
      <c r="H577" s="49">
        <v>0.036236837</v>
      </c>
      <c r="I577" s="49">
        <v>1373.0</v>
      </c>
      <c r="J577" s="49">
        <v>39138.8</v>
      </c>
      <c r="K577" s="49">
        <v>39138.8</v>
      </c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>
      <c r="A578" s="48" t="s">
        <v>2207</v>
      </c>
      <c r="B578" s="49">
        <v>6870490.0</v>
      </c>
      <c r="C578" s="48" t="s">
        <v>2208</v>
      </c>
      <c r="D578" s="48" t="s">
        <v>93</v>
      </c>
      <c r="E578" s="48" t="s">
        <v>167</v>
      </c>
      <c r="F578" s="48" t="s">
        <v>629</v>
      </c>
      <c r="G578" s="48" t="s">
        <v>630</v>
      </c>
      <c r="H578" s="49">
        <v>0.035842808</v>
      </c>
      <c r="I578" s="49">
        <v>232.0</v>
      </c>
      <c r="J578" s="49">
        <v>38713.22</v>
      </c>
      <c r="K578" s="49">
        <v>38713.22</v>
      </c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>
      <c r="A579" s="48" t="s">
        <v>2209</v>
      </c>
      <c r="B579" s="48" t="s">
        <v>2210</v>
      </c>
      <c r="C579" s="48" t="s">
        <v>2211</v>
      </c>
      <c r="D579" s="48" t="s">
        <v>93</v>
      </c>
      <c r="E579" s="48" t="s">
        <v>99</v>
      </c>
      <c r="F579" s="48" t="s">
        <v>622</v>
      </c>
      <c r="G579" s="48" t="s">
        <v>623</v>
      </c>
      <c r="H579" s="49">
        <v>0.0358384755</v>
      </c>
      <c r="I579" s="49">
        <v>92.0</v>
      </c>
      <c r="J579" s="49">
        <v>38708.54</v>
      </c>
      <c r="K579" s="49">
        <v>38708.54</v>
      </c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>
      <c r="A580" s="48" t="s">
        <v>2212</v>
      </c>
      <c r="B580" s="48" t="s">
        <v>2213</v>
      </c>
      <c r="C580" s="48" t="s">
        <v>2214</v>
      </c>
      <c r="D580" s="48" t="s">
        <v>93</v>
      </c>
      <c r="E580" s="48" t="s">
        <v>133</v>
      </c>
      <c r="F580" s="48" t="s">
        <v>649</v>
      </c>
      <c r="G580" s="48" t="s">
        <v>640</v>
      </c>
      <c r="H580" s="49">
        <v>0.0357776375</v>
      </c>
      <c r="I580" s="49">
        <v>974.0</v>
      </c>
      <c r="J580" s="49">
        <v>38642.83</v>
      </c>
      <c r="K580" s="49">
        <v>38642.83</v>
      </c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>
      <c r="A581" s="48" t="s">
        <v>2215</v>
      </c>
      <c r="B581" s="49">
        <v>2100920.0</v>
      </c>
      <c r="C581" s="48" t="s">
        <v>2216</v>
      </c>
      <c r="D581" s="48" t="s">
        <v>93</v>
      </c>
      <c r="E581" s="48" t="s">
        <v>170</v>
      </c>
      <c r="F581" s="48" t="s">
        <v>622</v>
      </c>
      <c r="G581" s="48" t="s">
        <v>623</v>
      </c>
      <c r="H581" s="49">
        <v>0.0357308247</v>
      </c>
      <c r="I581" s="49">
        <v>684.0</v>
      </c>
      <c r="J581" s="49">
        <v>38592.27</v>
      </c>
      <c r="K581" s="49">
        <v>38592.27</v>
      </c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>
      <c r="A582" s="48" t="s">
        <v>2217</v>
      </c>
      <c r="B582" s="49">
        <v>5226038.0</v>
      </c>
      <c r="C582" s="48" t="s">
        <v>2218</v>
      </c>
      <c r="D582" s="48" t="s">
        <v>93</v>
      </c>
      <c r="E582" s="48" t="s">
        <v>99</v>
      </c>
      <c r="F582" s="48" t="s">
        <v>686</v>
      </c>
      <c r="G582" s="48" t="s">
        <v>640</v>
      </c>
      <c r="H582" s="49">
        <v>0.0357013264</v>
      </c>
      <c r="I582" s="49">
        <v>569.0</v>
      </c>
      <c r="J582" s="49">
        <v>38560.41</v>
      </c>
      <c r="K582" s="49">
        <v>38560.41</v>
      </c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>
      <c r="A583" s="48" t="s">
        <v>2219</v>
      </c>
      <c r="B583" s="48" t="s">
        <v>2220</v>
      </c>
      <c r="C583" s="48" t="s">
        <v>2221</v>
      </c>
      <c r="D583" s="48" t="s">
        <v>93</v>
      </c>
      <c r="E583" s="48" t="s">
        <v>118</v>
      </c>
      <c r="F583" s="48" t="s">
        <v>694</v>
      </c>
      <c r="G583" s="48" t="s">
        <v>1003</v>
      </c>
      <c r="H583" s="49">
        <v>0.0356039967</v>
      </c>
      <c r="I583" s="49">
        <v>353.0</v>
      </c>
      <c r="J583" s="49">
        <v>38455.28</v>
      </c>
      <c r="K583" s="49">
        <v>38455.28</v>
      </c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>
      <c r="A584" s="48" t="s">
        <v>2222</v>
      </c>
      <c r="B584" s="48" t="s">
        <v>2223</v>
      </c>
      <c r="C584" s="48" t="s">
        <v>2224</v>
      </c>
      <c r="D584" s="48" t="s">
        <v>93</v>
      </c>
      <c r="E584" s="48" t="s">
        <v>121</v>
      </c>
      <c r="F584" s="48" t="s">
        <v>668</v>
      </c>
      <c r="G584" s="48" t="s">
        <v>640</v>
      </c>
      <c r="H584" s="49">
        <v>0.035521847</v>
      </c>
      <c r="I584" s="49">
        <v>961.0</v>
      </c>
      <c r="J584" s="49">
        <v>38366.56</v>
      </c>
      <c r="K584" s="49">
        <v>38366.56</v>
      </c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>
      <c r="A585" s="48" t="s">
        <v>2225</v>
      </c>
      <c r="B585" s="49">
        <v>2718992.0</v>
      </c>
      <c r="C585" s="48" t="s">
        <v>2226</v>
      </c>
      <c r="D585" s="48" t="s">
        <v>93</v>
      </c>
      <c r="E585" s="48" t="s">
        <v>99</v>
      </c>
      <c r="F585" s="48" t="s">
        <v>622</v>
      </c>
      <c r="G585" s="48" t="s">
        <v>623</v>
      </c>
      <c r="H585" s="49">
        <v>0.0354641509</v>
      </c>
      <c r="I585" s="49">
        <v>240.0</v>
      </c>
      <c r="J585" s="49">
        <v>38304.24</v>
      </c>
      <c r="K585" s="49">
        <v>38304.24</v>
      </c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>
      <c r="A586" s="48" t="s">
        <v>2227</v>
      </c>
      <c r="B586" s="49">
        <v>2162340.0</v>
      </c>
      <c r="C586" s="48" t="s">
        <v>2228</v>
      </c>
      <c r="D586" s="48" t="s">
        <v>93</v>
      </c>
      <c r="E586" s="48" t="s">
        <v>115</v>
      </c>
      <c r="F586" s="48" t="s">
        <v>622</v>
      </c>
      <c r="G586" s="48" t="s">
        <v>623</v>
      </c>
      <c r="H586" s="49">
        <v>0.0354412066</v>
      </c>
      <c r="I586" s="49">
        <v>941.0</v>
      </c>
      <c r="J586" s="49">
        <v>38279.46</v>
      </c>
      <c r="K586" s="49">
        <v>38279.46</v>
      </c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>
      <c r="A587" s="48" t="s">
        <v>2229</v>
      </c>
      <c r="B587" s="49">
        <v>6497509.0</v>
      </c>
      <c r="C587" s="48" t="s">
        <v>2230</v>
      </c>
      <c r="D587" s="48" t="s">
        <v>93</v>
      </c>
      <c r="E587" s="48" t="s">
        <v>127</v>
      </c>
      <c r="F587" s="48" t="s">
        <v>629</v>
      </c>
      <c r="G587" s="48" t="s">
        <v>630</v>
      </c>
      <c r="H587" s="49">
        <v>0.0353669833</v>
      </c>
      <c r="I587" s="49">
        <v>1521.0</v>
      </c>
      <c r="J587" s="49">
        <v>38199.29</v>
      </c>
      <c r="K587" s="49">
        <v>38199.29</v>
      </c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>
      <c r="A588" s="48" t="s">
        <v>2231</v>
      </c>
      <c r="B588" s="49">
        <v>2085102.0</v>
      </c>
      <c r="C588" s="48" t="s">
        <v>2232</v>
      </c>
      <c r="D588" s="48" t="s">
        <v>93</v>
      </c>
      <c r="E588" s="48" t="s">
        <v>102</v>
      </c>
      <c r="F588" s="48" t="s">
        <v>622</v>
      </c>
      <c r="G588" s="48" t="s">
        <v>623</v>
      </c>
      <c r="H588" s="49">
        <v>0.035251317</v>
      </c>
      <c r="I588" s="49">
        <v>641.0</v>
      </c>
      <c r="J588" s="49">
        <v>38074.36</v>
      </c>
      <c r="K588" s="49">
        <v>38074.36</v>
      </c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>
      <c r="A589" s="48" t="s">
        <v>2233</v>
      </c>
      <c r="B589" s="48" t="s">
        <v>2234</v>
      </c>
      <c r="C589" s="48" t="s">
        <v>2235</v>
      </c>
      <c r="D589" s="48" t="s">
        <v>93</v>
      </c>
      <c r="E589" s="48" t="s">
        <v>118</v>
      </c>
      <c r="F589" s="48" t="s">
        <v>658</v>
      </c>
      <c r="G589" s="48" t="s">
        <v>623</v>
      </c>
      <c r="H589" s="49">
        <v>0.0351293657</v>
      </c>
      <c r="I589" s="49">
        <v>1432.0</v>
      </c>
      <c r="J589" s="49">
        <v>37942.64</v>
      </c>
      <c r="K589" s="49">
        <v>37942.64</v>
      </c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>
      <c r="A590" s="48" t="s">
        <v>2236</v>
      </c>
      <c r="B590" s="49">
        <v>5986622.0</v>
      </c>
      <c r="C590" s="48" t="s">
        <v>2237</v>
      </c>
      <c r="D590" s="48" t="s">
        <v>93</v>
      </c>
      <c r="E590" s="48" t="s">
        <v>102</v>
      </c>
      <c r="F590" s="48" t="s">
        <v>668</v>
      </c>
      <c r="G590" s="48" t="s">
        <v>640</v>
      </c>
      <c r="H590" s="49">
        <v>0.0351256292</v>
      </c>
      <c r="I590" s="49">
        <v>1172.0</v>
      </c>
      <c r="J590" s="49">
        <v>37938.61</v>
      </c>
      <c r="K590" s="49">
        <v>37938.61</v>
      </c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>
      <c r="A591" s="48" t="s">
        <v>2238</v>
      </c>
      <c r="B591" s="48" t="s">
        <v>2239</v>
      </c>
      <c r="C591" s="48" t="s">
        <v>1757</v>
      </c>
      <c r="D591" s="48" t="s">
        <v>93</v>
      </c>
      <c r="E591" s="48" t="s">
        <v>127</v>
      </c>
      <c r="F591" s="48" t="s">
        <v>1740</v>
      </c>
      <c r="G591" s="48" t="s">
        <v>1741</v>
      </c>
      <c r="H591" s="49">
        <v>0.0350959932</v>
      </c>
      <c r="I591" s="49">
        <v>2163.0</v>
      </c>
      <c r="J591" s="49">
        <v>37906.6</v>
      </c>
      <c r="K591" s="49">
        <v>37906.6</v>
      </c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>
      <c r="A592" s="48" t="s">
        <v>2240</v>
      </c>
      <c r="B592" s="49">
        <v>2566436.0</v>
      </c>
      <c r="C592" s="48" t="s">
        <v>2241</v>
      </c>
      <c r="D592" s="48" t="s">
        <v>93</v>
      </c>
      <c r="E592" s="48" t="s">
        <v>99</v>
      </c>
      <c r="F592" s="48" t="s">
        <v>622</v>
      </c>
      <c r="G592" s="48" t="s">
        <v>623</v>
      </c>
      <c r="H592" s="49">
        <v>0.0350834193</v>
      </c>
      <c r="I592" s="49">
        <v>16.0</v>
      </c>
      <c r="J592" s="49">
        <v>37893.02</v>
      </c>
      <c r="K592" s="49">
        <v>37893.02</v>
      </c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>
      <c r="A593" s="48" t="s">
        <v>2242</v>
      </c>
      <c r="B593" s="48" t="s">
        <v>2243</v>
      </c>
      <c r="C593" s="48" t="s">
        <v>2244</v>
      </c>
      <c r="D593" s="48" t="s">
        <v>93</v>
      </c>
      <c r="E593" s="48" t="s">
        <v>133</v>
      </c>
      <c r="F593" s="48" t="s">
        <v>622</v>
      </c>
      <c r="G593" s="48" t="s">
        <v>623</v>
      </c>
      <c r="H593" s="49">
        <v>0.0350591762</v>
      </c>
      <c r="I593" s="49">
        <v>736.0</v>
      </c>
      <c r="J593" s="49">
        <v>37866.83</v>
      </c>
      <c r="K593" s="49">
        <v>37866.83</v>
      </c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>
      <c r="A594" s="48" t="s">
        <v>2245</v>
      </c>
      <c r="B594" s="49">
        <v>5289837.0</v>
      </c>
      <c r="C594" s="48" t="s">
        <v>2246</v>
      </c>
      <c r="D594" s="48" t="s">
        <v>93</v>
      </c>
      <c r="E594" s="48" t="s">
        <v>99</v>
      </c>
      <c r="F594" s="48" t="s">
        <v>2247</v>
      </c>
      <c r="G594" s="48" t="s">
        <v>640</v>
      </c>
      <c r="H594" s="49">
        <v>0.0349582279</v>
      </c>
      <c r="I594" s="49">
        <v>701.0</v>
      </c>
      <c r="J594" s="49">
        <v>37757.8</v>
      </c>
      <c r="K594" s="49">
        <v>37757.8</v>
      </c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>
      <c r="A595" s="48" t="s">
        <v>2248</v>
      </c>
      <c r="B595" s="49">
        <v>2550161.0</v>
      </c>
      <c r="C595" s="48" t="s">
        <v>2249</v>
      </c>
      <c r="D595" s="48" t="s">
        <v>93</v>
      </c>
      <c r="E595" s="48" t="s">
        <v>124</v>
      </c>
      <c r="F595" s="48" t="s">
        <v>622</v>
      </c>
      <c r="G595" s="48" t="s">
        <v>623</v>
      </c>
      <c r="H595" s="49">
        <v>0.0348521865</v>
      </c>
      <c r="I595" s="49">
        <v>312.0</v>
      </c>
      <c r="J595" s="49">
        <v>37643.27</v>
      </c>
      <c r="K595" s="49">
        <v>37643.27</v>
      </c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>
      <c r="A596" s="48" t="s">
        <v>2250</v>
      </c>
      <c r="B596" s="49">
        <v>5966516.0</v>
      </c>
      <c r="C596" s="48" t="s">
        <v>2251</v>
      </c>
      <c r="D596" s="48" t="s">
        <v>93</v>
      </c>
      <c r="E596" s="48" t="s">
        <v>99</v>
      </c>
      <c r="F596" s="48" t="s">
        <v>639</v>
      </c>
      <c r="G596" s="48" t="s">
        <v>640</v>
      </c>
      <c r="H596" s="49">
        <v>0.034759736</v>
      </c>
      <c r="I596" s="49">
        <v>962.0</v>
      </c>
      <c r="J596" s="49">
        <v>37543.41</v>
      </c>
      <c r="K596" s="49">
        <v>37543.41</v>
      </c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>
      <c r="A597" s="48" t="s">
        <v>2252</v>
      </c>
      <c r="B597" s="49">
        <v>6597067.0</v>
      </c>
      <c r="C597" s="48" t="s">
        <v>2253</v>
      </c>
      <c r="D597" s="48" t="s">
        <v>93</v>
      </c>
      <c r="E597" s="48" t="s">
        <v>127</v>
      </c>
      <c r="F597" s="48" t="s">
        <v>629</v>
      </c>
      <c r="G597" s="48" t="s">
        <v>630</v>
      </c>
      <c r="H597" s="49">
        <v>0.0347265337</v>
      </c>
      <c r="I597" s="49">
        <v>412.0</v>
      </c>
      <c r="J597" s="49">
        <v>37507.55</v>
      </c>
      <c r="K597" s="49">
        <v>37507.55</v>
      </c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>
      <c r="A598" s="48" t="s">
        <v>2254</v>
      </c>
      <c r="B598" s="49">
        <v>6596729.0</v>
      </c>
      <c r="C598" s="48" t="s">
        <v>2255</v>
      </c>
      <c r="D598" s="48" t="s">
        <v>93</v>
      </c>
      <c r="E598" s="48" t="s">
        <v>133</v>
      </c>
      <c r="F598" s="48" t="s">
        <v>629</v>
      </c>
      <c r="G598" s="48" t="s">
        <v>630</v>
      </c>
      <c r="H598" s="49">
        <v>0.0345973496</v>
      </c>
      <c r="I598" s="49">
        <v>1759.0</v>
      </c>
      <c r="J598" s="49">
        <v>37368.02</v>
      </c>
      <c r="K598" s="49">
        <v>37368.02</v>
      </c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>
      <c r="A599" s="48" t="s">
        <v>2256</v>
      </c>
      <c r="B599" s="49">
        <v>2146838.0</v>
      </c>
      <c r="C599" s="48" t="s">
        <v>2257</v>
      </c>
      <c r="D599" s="48" t="s">
        <v>93</v>
      </c>
      <c r="E599" s="48" t="s">
        <v>124</v>
      </c>
      <c r="F599" s="48" t="s">
        <v>622</v>
      </c>
      <c r="G599" s="48" t="s">
        <v>623</v>
      </c>
      <c r="H599" s="49">
        <v>0.0345964799</v>
      </c>
      <c r="I599" s="49">
        <v>392.0</v>
      </c>
      <c r="J599" s="49">
        <v>37367.08</v>
      </c>
      <c r="K599" s="49">
        <v>37367.08</v>
      </c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>
      <c r="A600" s="48" t="s">
        <v>2258</v>
      </c>
      <c r="B600" s="49">
        <v>6054409.0</v>
      </c>
      <c r="C600" s="48" t="s">
        <v>2259</v>
      </c>
      <c r="D600" s="48" t="s">
        <v>93</v>
      </c>
      <c r="E600" s="48" t="s">
        <v>124</v>
      </c>
      <c r="F600" s="48" t="s">
        <v>629</v>
      </c>
      <c r="G600" s="48" t="s">
        <v>630</v>
      </c>
      <c r="H600" s="49">
        <v>0.0343152253</v>
      </c>
      <c r="I600" s="49">
        <v>608.0</v>
      </c>
      <c r="J600" s="49">
        <v>37063.3</v>
      </c>
      <c r="K600" s="49">
        <v>37063.3</v>
      </c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>
      <c r="A601" s="48" t="s">
        <v>2260</v>
      </c>
      <c r="B601" s="49">
        <v>2347200.0</v>
      </c>
      <c r="C601" s="48" t="s">
        <v>2261</v>
      </c>
      <c r="D601" s="48" t="s">
        <v>93</v>
      </c>
      <c r="E601" s="48" t="s">
        <v>170</v>
      </c>
      <c r="F601" s="48" t="s">
        <v>694</v>
      </c>
      <c r="G601" s="48" t="s">
        <v>1003</v>
      </c>
      <c r="H601" s="49">
        <v>0.0342203003</v>
      </c>
      <c r="I601" s="49">
        <v>588.0</v>
      </c>
      <c r="J601" s="49">
        <v>36960.78</v>
      </c>
      <c r="K601" s="49">
        <v>36960.78</v>
      </c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>
      <c r="A602" s="48" t="s">
        <v>2262</v>
      </c>
      <c r="B602" s="49">
        <v>6635677.0</v>
      </c>
      <c r="C602" s="48" t="s">
        <v>2263</v>
      </c>
      <c r="D602" s="48" t="s">
        <v>93</v>
      </c>
      <c r="E602" s="48" t="s">
        <v>167</v>
      </c>
      <c r="F602" s="48" t="s">
        <v>629</v>
      </c>
      <c r="G602" s="48" t="s">
        <v>630</v>
      </c>
      <c r="H602" s="49">
        <v>0.0340694416</v>
      </c>
      <c r="I602" s="49">
        <v>1552.0</v>
      </c>
      <c r="J602" s="49">
        <v>36797.84</v>
      </c>
      <c r="K602" s="49">
        <v>36797.84</v>
      </c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>
      <c r="A603" s="48" t="s">
        <v>2264</v>
      </c>
      <c r="B603" s="48" t="s">
        <v>2265</v>
      </c>
      <c r="C603" s="48" t="s">
        <v>2266</v>
      </c>
      <c r="D603" s="48" t="s">
        <v>93</v>
      </c>
      <c r="E603" s="48" t="s">
        <v>170</v>
      </c>
      <c r="F603" s="48" t="s">
        <v>1352</v>
      </c>
      <c r="G603" s="48" t="s">
        <v>640</v>
      </c>
      <c r="H603" s="49">
        <v>0.0340446484</v>
      </c>
      <c r="I603" s="49">
        <v>2951.0</v>
      </c>
      <c r="J603" s="49">
        <v>36771.06</v>
      </c>
      <c r="K603" s="49">
        <v>36771.06</v>
      </c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>
      <c r="A604" s="48" t="s">
        <v>2267</v>
      </c>
      <c r="B604" s="49">
        <v>2289874.0</v>
      </c>
      <c r="C604" s="48" t="s">
        <v>2268</v>
      </c>
      <c r="D604" s="48" t="s">
        <v>93</v>
      </c>
      <c r="E604" s="48" t="s">
        <v>118</v>
      </c>
      <c r="F604" s="48" t="s">
        <v>622</v>
      </c>
      <c r="G604" s="48" t="s">
        <v>623</v>
      </c>
      <c r="H604" s="49">
        <v>0.034011558</v>
      </c>
      <c r="I604" s="49">
        <v>162.0</v>
      </c>
      <c r="J604" s="49">
        <v>36735.32</v>
      </c>
      <c r="K604" s="49">
        <v>36735.32</v>
      </c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>
      <c r="A605" s="48" t="s">
        <v>2269</v>
      </c>
      <c r="B605" s="49">
        <v>2637785.0</v>
      </c>
      <c r="C605" s="48" t="s">
        <v>2270</v>
      </c>
      <c r="D605" s="48" t="s">
        <v>93</v>
      </c>
      <c r="E605" s="48" t="s">
        <v>118</v>
      </c>
      <c r="F605" s="48" t="s">
        <v>622</v>
      </c>
      <c r="G605" s="48" t="s">
        <v>623</v>
      </c>
      <c r="H605" s="49">
        <v>0.0339891909</v>
      </c>
      <c r="I605" s="49">
        <v>4.0</v>
      </c>
      <c r="J605" s="49">
        <v>36711.16</v>
      </c>
      <c r="K605" s="49">
        <v>36711.16</v>
      </c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>
      <c r="A606" s="48" t="s">
        <v>2271</v>
      </c>
      <c r="B606" s="49">
        <v>6136749.0</v>
      </c>
      <c r="C606" s="48" t="s">
        <v>2272</v>
      </c>
      <c r="D606" s="48" t="s">
        <v>93</v>
      </c>
      <c r="E606" s="48" t="s">
        <v>167</v>
      </c>
      <c r="F606" s="48" t="s">
        <v>629</v>
      </c>
      <c r="G606" s="48" t="s">
        <v>630</v>
      </c>
      <c r="H606" s="49">
        <v>0.0339433034</v>
      </c>
      <c r="I606" s="49">
        <v>148.0</v>
      </c>
      <c r="J606" s="49">
        <v>36661.6</v>
      </c>
      <c r="K606" s="49">
        <v>36661.6</v>
      </c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>
      <c r="A607" s="48" t="s">
        <v>2273</v>
      </c>
      <c r="B607" s="49">
        <v>6356365.0</v>
      </c>
      <c r="C607" s="48" t="s">
        <v>2274</v>
      </c>
      <c r="D607" s="48" t="s">
        <v>93</v>
      </c>
      <c r="E607" s="48" t="s">
        <v>127</v>
      </c>
      <c r="F607" s="48" t="s">
        <v>629</v>
      </c>
      <c r="G607" s="48" t="s">
        <v>630</v>
      </c>
      <c r="H607" s="49">
        <v>0.0338301114999999</v>
      </c>
      <c r="I607" s="49">
        <v>517.0</v>
      </c>
      <c r="J607" s="49">
        <v>36539.34</v>
      </c>
      <c r="K607" s="49">
        <v>36539.34</v>
      </c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>
      <c r="A608" s="48" t="s">
        <v>2275</v>
      </c>
      <c r="B608" s="49">
        <v>6196408.0</v>
      </c>
      <c r="C608" s="48" t="s">
        <v>2276</v>
      </c>
      <c r="D608" s="48" t="s">
        <v>93</v>
      </c>
      <c r="E608" s="48" t="s">
        <v>102</v>
      </c>
      <c r="F608" s="48" t="s">
        <v>629</v>
      </c>
      <c r="G608" s="48" t="s">
        <v>630</v>
      </c>
      <c r="H608" s="49">
        <v>0.0338218098</v>
      </c>
      <c r="I608" s="49">
        <v>811.0</v>
      </c>
      <c r="J608" s="49">
        <v>36530.37</v>
      </c>
      <c r="K608" s="49">
        <v>36530.37</v>
      </c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>
      <c r="A609" s="48" t="s">
        <v>2277</v>
      </c>
      <c r="B609" s="49">
        <v>4813345.0</v>
      </c>
      <c r="C609" s="48" t="s">
        <v>2278</v>
      </c>
      <c r="D609" s="48" t="s">
        <v>93</v>
      </c>
      <c r="E609" s="48" t="s">
        <v>99</v>
      </c>
      <c r="F609" s="48" t="s">
        <v>1740</v>
      </c>
      <c r="G609" s="48" t="s">
        <v>1741</v>
      </c>
      <c r="H609" s="49">
        <v>0.0336912185</v>
      </c>
      <c r="I609" s="49">
        <v>1981.0</v>
      </c>
      <c r="J609" s="49">
        <v>36389.32</v>
      </c>
      <c r="K609" s="49">
        <v>36389.32</v>
      </c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>
      <c r="A610" s="48" t="s">
        <v>2279</v>
      </c>
      <c r="B610" s="49">
        <v>6640541.0</v>
      </c>
      <c r="C610" s="48" t="s">
        <v>2280</v>
      </c>
      <c r="D610" s="48" t="s">
        <v>93</v>
      </c>
      <c r="E610" s="48" t="s">
        <v>94</v>
      </c>
      <c r="F610" s="48" t="s">
        <v>629</v>
      </c>
      <c r="G610" s="48" t="s">
        <v>630</v>
      </c>
      <c r="H610" s="49">
        <v>0.0336885629</v>
      </c>
      <c r="I610" s="49">
        <v>952.0</v>
      </c>
      <c r="J610" s="49">
        <v>36386.46</v>
      </c>
      <c r="K610" s="49">
        <v>36386.46</v>
      </c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>
      <c r="A611" s="48" t="s">
        <v>2281</v>
      </c>
      <c r="B611" s="49">
        <v>5165294.0</v>
      </c>
      <c r="C611" s="48" t="s">
        <v>2282</v>
      </c>
      <c r="D611" s="48" t="s">
        <v>93</v>
      </c>
      <c r="E611" s="48" t="s">
        <v>167</v>
      </c>
      <c r="F611" s="48" t="s">
        <v>668</v>
      </c>
      <c r="G611" s="48" t="s">
        <v>640</v>
      </c>
      <c r="H611" s="49">
        <v>0.0335722611</v>
      </c>
      <c r="I611" s="49">
        <v>58.0</v>
      </c>
      <c r="J611" s="49">
        <v>36260.84</v>
      </c>
      <c r="K611" s="49">
        <v>36260.84</v>
      </c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>
      <c r="A612" s="48" t="s">
        <v>2283</v>
      </c>
      <c r="B612" s="48" t="s">
        <v>2284</v>
      </c>
      <c r="C612" s="48" t="s">
        <v>2285</v>
      </c>
      <c r="D612" s="48" t="s">
        <v>93</v>
      </c>
      <c r="E612" s="48" t="s">
        <v>127</v>
      </c>
      <c r="F612" s="48" t="s">
        <v>694</v>
      </c>
      <c r="G612" s="48" t="s">
        <v>1003</v>
      </c>
      <c r="H612" s="49">
        <v>0.0335208991</v>
      </c>
      <c r="I612" s="49">
        <v>165.0</v>
      </c>
      <c r="J612" s="49">
        <v>36205.37</v>
      </c>
      <c r="K612" s="49">
        <v>36205.37</v>
      </c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>
      <c r="A613" s="48" t="s">
        <v>2286</v>
      </c>
      <c r="B613" s="49">
        <v>2204026.0</v>
      </c>
      <c r="C613" s="48" t="s">
        <v>2287</v>
      </c>
      <c r="D613" s="48" t="s">
        <v>93</v>
      </c>
      <c r="E613" s="48" t="s">
        <v>124</v>
      </c>
      <c r="F613" s="48" t="s">
        <v>622</v>
      </c>
      <c r="G613" s="48" t="s">
        <v>623</v>
      </c>
      <c r="H613" s="49">
        <v>0.0334130716</v>
      </c>
      <c r="I613" s="49">
        <v>172.0</v>
      </c>
      <c r="J613" s="49">
        <v>36088.9</v>
      </c>
      <c r="K613" s="49">
        <v>36088.9</v>
      </c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>
      <c r="A614" s="48" t="s">
        <v>2288</v>
      </c>
      <c r="B614" s="48" t="s">
        <v>2289</v>
      </c>
      <c r="C614" s="48" t="s">
        <v>2290</v>
      </c>
      <c r="D614" s="48" t="s">
        <v>93</v>
      </c>
      <c r="E614" s="48" t="s">
        <v>167</v>
      </c>
      <c r="F614" s="48" t="s">
        <v>622</v>
      </c>
      <c r="G614" s="48" t="s">
        <v>623</v>
      </c>
      <c r="H614" s="49">
        <v>0.033318033</v>
      </c>
      <c r="I614" s="49">
        <v>338.0</v>
      </c>
      <c r="J614" s="49">
        <v>35986.25</v>
      </c>
      <c r="K614" s="49">
        <v>35986.25</v>
      </c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>
      <c r="A615" s="48" t="s">
        <v>2291</v>
      </c>
      <c r="B615" s="48" t="s">
        <v>2292</v>
      </c>
      <c r="C615" s="48" t="s">
        <v>2293</v>
      </c>
      <c r="D615" s="48" t="s">
        <v>93</v>
      </c>
      <c r="E615" s="48" t="s">
        <v>118</v>
      </c>
      <c r="F615" s="48" t="s">
        <v>1740</v>
      </c>
      <c r="G615" s="48" t="s">
        <v>1741</v>
      </c>
      <c r="H615" s="49">
        <v>0.0333033218</v>
      </c>
      <c r="I615" s="49">
        <v>231.0</v>
      </c>
      <c r="J615" s="49">
        <v>35970.36</v>
      </c>
      <c r="K615" s="49">
        <v>35970.36</v>
      </c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>
      <c r="A616" s="48" t="s">
        <v>2294</v>
      </c>
      <c r="B616" s="49">
        <v>4846523.0</v>
      </c>
      <c r="C616" s="48" t="s">
        <v>2295</v>
      </c>
      <c r="D616" s="48" t="s">
        <v>93</v>
      </c>
      <c r="E616" s="48" t="s">
        <v>99</v>
      </c>
      <c r="F616" s="48" t="s">
        <v>1740</v>
      </c>
      <c r="G616" s="48" t="s">
        <v>1741</v>
      </c>
      <c r="H616" s="49">
        <v>0.0330271764</v>
      </c>
      <c r="I616" s="49">
        <v>1252.0</v>
      </c>
      <c r="J616" s="49">
        <v>35672.1</v>
      </c>
      <c r="K616" s="49">
        <v>35672.1</v>
      </c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>
      <c r="A617" s="48" t="s">
        <v>2296</v>
      </c>
      <c r="B617" s="49">
        <v>2680905.0</v>
      </c>
      <c r="C617" s="48" t="s">
        <v>2297</v>
      </c>
      <c r="D617" s="48" t="s">
        <v>93</v>
      </c>
      <c r="E617" s="48" t="s">
        <v>170</v>
      </c>
      <c r="F617" s="48" t="s">
        <v>622</v>
      </c>
      <c r="G617" s="48" t="s">
        <v>623</v>
      </c>
      <c r="H617" s="49">
        <v>0.0330117044999999</v>
      </c>
      <c r="I617" s="49">
        <v>906.0</v>
      </c>
      <c r="J617" s="49">
        <v>35655.39</v>
      </c>
      <c r="K617" s="49">
        <v>35655.39</v>
      </c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>
      <c r="A618" s="48" t="s">
        <v>2298</v>
      </c>
      <c r="B618" s="49">
        <v>5002465.0</v>
      </c>
      <c r="C618" s="48" t="s">
        <v>2299</v>
      </c>
      <c r="D618" s="48" t="s">
        <v>93</v>
      </c>
      <c r="E618" s="48" t="s">
        <v>124</v>
      </c>
      <c r="F618" s="48" t="s">
        <v>649</v>
      </c>
      <c r="G618" s="48" t="s">
        <v>640</v>
      </c>
      <c r="H618" s="49">
        <v>0.0328409915</v>
      </c>
      <c r="I618" s="49">
        <v>350.0</v>
      </c>
      <c r="J618" s="49">
        <v>35471.01</v>
      </c>
      <c r="K618" s="49">
        <v>35471.01</v>
      </c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>
      <c r="A619" s="48" t="s">
        <v>2300</v>
      </c>
      <c r="B619" s="48" t="s">
        <v>2301</v>
      </c>
      <c r="C619" s="48" t="s">
        <v>2302</v>
      </c>
      <c r="D619" s="48" t="s">
        <v>93</v>
      </c>
      <c r="E619" s="48" t="s">
        <v>99</v>
      </c>
      <c r="F619" s="48" t="s">
        <v>629</v>
      </c>
      <c r="G619" s="48" t="s">
        <v>630</v>
      </c>
      <c r="H619" s="49">
        <v>0.0327969906</v>
      </c>
      <c r="I619" s="49">
        <v>2679.0</v>
      </c>
      <c r="J619" s="49">
        <v>35423.48</v>
      </c>
      <c r="K619" s="49">
        <v>35423.48</v>
      </c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>
      <c r="A620" s="48" t="s">
        <v>2303</v>
      </c>
      <c r="B620" s="48" t="s">
        <v>2304</v>
      </c>
      <c r="C620" s="48" t="s">
        <v>2305</v>
      </c>
      <c r="D620" s="48" t="s">
        <v>93</v>
      </c>
      <c r="E620" s="48" t="s">
        <v>167</v>
      </c>
      <c r="F620" s="48" t="s">
        <v>1740</v>
      </c>
      <c r="G620" s="48" t="s">
        <v>1741</v>
      </c>
      <c r="H620" s="49">
        <v>0.0327536922</v>
      </c>
      <c r="I620" s="49">
        <v>2703.0</v>
      </c>
      <c r="J620" s="49">
        <v>35376.72</v>
      </c>
      <c r="K620" s="49">
        <v>35376.72</v>
      </c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>
      <c r="A621" s="48" t="s">
        <v>2306</v>
      </c>
      <c r="B621" s="48" t="s">
        <v>2307</v>
      </c>
      <c r="C621" s="48" t="s">
        <v>2308</v>
      </c>
      <c r="D621" s="48" t="s">
        <v>93</v>
      </c>
      <c r="E621" s="48" t="s">
        <v>127</v>
      </c>
      <c r="F621" s="48" t="s">
        <v>694</v>
      </c>
      <c r="G621" s="48" t="s">
        <v>1003</v>
      </c>
      <c r="H621" s="49">
        <v>0.032744693</v>
      </c>
      <c r="I621" s="49">
        <v>181.0</v>
      </c>
      <c r="J621" s="49">
        <v>35367.0</v>
      </c>
      <c r="K621" s="49">
        <v>35367.0</v>
      </c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>
      <c r="A622" s="48" t="s">
        <v>2309</v>
      </c>
      <c r="B622" s="48" t="s">
        <v>2310</v>
      </c>
      <c r="C622" s="48" t="s">
        <v>2311</v>
      </c>
      <c r="D622" s="48" t="s">
        <v>93</v>
      </c>
      <c r="E622" s="48" t="s">
        <v>133</v>
      </c>
      <c r="F622" s="48" t="s">
        <v>622</v>
      </c>
      <c r="G622" s="48" t="s">
        <v>623</v>
      </c>
      <c r="H622" s="49">
        <v>0.0326813493</v>
      </c>
      <c r="I622" s="49">
        <v>367.0</v>
      </c>
      <c r="J622" s="49">
        <v>35298.58</v>
      </c>
      <c r="K622" s="49">
        <v>35298.58</v>
      </c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>
      <c r="A623" s="48" t="s">
        <v>2312</v>
      </c>
      <c r="B623" s="49">
        <v>2927925.0</v>
      </c>
      <c r="C623" s="48" t="s">
        <v>2313</v>
      </c>
      <c r="D623" s="48" t="s">
        <v>93</v>
      </c>
      <c r="E623" s="48" t="s">
        <v>133</v>
      </c>
      <c r="F623" s="48" t="s">
        <v>622</v>
      </c>
      <c r="G623" s="48" t="s">
        <v>623</v>
      </c>
      <c r="H623" s="49">
        <v>0.032454085</v>
      </c>
      <c r="I623" s="49">
        <v>524.0</v>
      </c>
      <c r="J623" s="49">
        <v>35053.12</v>
      </c>
      <c r="K623" s="49">
        <v>35053.12</v>
      </c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>
      <c r="A624" s="48" t="s">
        <v>2314</v>
      </c>
      <c r="B624" s="49">
        <v>2142922.0</v>
      </c>
      <c r="C624" s="48" t="s">
        <v>2315</v>
      </c>
      <c r="D624" s="48" t="s">
        <v>93</v>
      </c>
      <c r="E624" s="48" t="s">
        <v>167</v>
      </c>
      <c r="F624" s="48" t="s">
        <v>622</v>
      </c>
      <c r="G624" s="48" t="s">
        <v>623</v>
      </c>
      <c r="H624" s="49">
        <v>0.0323774307</v>
      </c>
      <c r="I624" s="49">
        <v>112.0</v>
      </c>
      <c r="J624" s="49">
        <v>34970.32</v>
      </c>
      <c r="K624" s="49">
        <v>34970.32</v>
      </c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>
      <c r="A625" s="48" t="s">
        <v>2316</v>
      </c>
      <c r="B625" s="48" t="s">
        <v>2317</v>
      </c>
      <c r="C625" s="48" t="s">
        <v>2318</v>
      </c>
      <c r="D625" s="48" t="s">
        <v>93</v>
      </c>
      <c r="E625" s="48" t="s">
        <v>133</v>
      </c>
      <c r="F625" s="48" t="s">
        <v>738</v>
      </c>
      <c r="G625" s="48" t="s">
        <v>1437</v>
      </c>
      <c r="H625" s="49">
        <v>0.0323701417</v>
      </c>
      <c r="I625" s="49">
        <v>9923.0</v>
      </c>
      <c r="J625" s="49">
        <v>34962.45</v>
      </c>
      <c r="K625" s="49">
        <v>34962.45</v>
      </c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>
      <c r="A626" s="48" t="s">
        <v>2319</v>
      </c>
      <c r="B626" s="48" t="s">
        <v>2320</v>
      </c>
      <c r="C626" s="48" t="s">
        <v>2321</v>
      </c>
      <c r="D626" s="48" t="s">
        <v>93</v>
      </c>
      <c r="E626" s="48" t="s">
        <v>99</v>
      </c>
      <c r="F626" s="48" t="s">
        <v>883</v>
      </c>
      <c r="G626" s="48" t="s">
        <v>884</v>
      </c>
      <c r="H626" s="49">
        <v>0.0323554313999999</v>
      </c>
      <c r="I626" s="49">
        <v>1155.0</v>
      </c>
      <c r="J626" s="49">
        <v>34946.56</v>
      </c>
      <c r="K626" s="49">
        <v>34946.56</v>
      </c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>
      <c r="A627" s="48" t="s">
        <v>2322</v>
      </c>
      <c r="B627" s="49">
        <v>6658801.0</v>
      </c>
      <c r="C627" s="48" t="s">
        <v>2323</v>
      </c>
      <c r="D627" s="48" t="s">
        <v>93</v>
      </c>
      <c r="E627" s="48" t="s">
        <v>102</v>
      </c>
      <c r="F627" s="48" t="s">
        <v>629</v>
      </c>
      <c r="G627" s="48" t="s">
        <v>630</v>
      </c>
      <c r="H627" s="49">
        <v>0.032271581</v>
      </c>
      <c r="I627" s="49">
        <v>1625.0</v>
      </c>
      <c r="J627" s="49">
        <v>34856.0</v>
      </c>
      <c r="K627" s="49">
        <v>34856.0</v>
      </c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>
      <c r="A628" s="48" t="s">
        <v>2324</v>
      </c>
      <c r="B628" s="49">
        <v>2586122.0</v>
      </c>
      <c r="C628" s="48" t="s">
        <v>2325</v>
      </c>
      <c r="D628" s="48" t="s">
        <v>93</v>
      </c>
      <c r="E628" s="48" t="s">
        <v>102</v>
      </c>
      <c r="F628" s="48" t="s">
        <v>622</v>
      </c>
      <c r="G628" s="48" t="s">
        <v>623</v>
      </c>
      <c r="H628" s="49">
        <v>0.0322667495</v>
      </c>
      <c r="I628" s="49">
        <v>109.0</v>
      </c>
      <c r="J628" s="49">
        <v>34850.78</v>
      </c>
      <c r="K628" s="49">
        <v>34850.78</v>
      </c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>
      <c r="A629" s="48" t="s">
        <v>2326</v>
      </c>
      <c r="B629" s="48" t="s">
        <v>2327</v>
      </c>
      <c r="C629" s="48" t="s">
        <v>2328</v>
      </c>
      <c r="D629" s="48" t="s">
        <v>93</v>
      </c>
      <c r="E629" s="48" t="s">
        <v>127</v>
      </c>
      <c r="F629" s="48" t="s">
        <v>654</v>
      </c>
      <c r="G629" s="48" t="s">
        <v>655</v>
      </c>
      <c r="H629" s="49">
        <v>0.0318446717</v>
      </c>
      <c r="I629" s="49">
        <v>44.0</v>
      </c>
      <c r="J629" s="49">
        <v>34394.9</v>
      </c>
      <c r="K629" s="49">
        <v>34394.9</v>
      </c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>
      <c r="A630" s="48" t="s">
        <v>2329</v>
      </c>
      <c r="B630" s="49">
        <v>2556868.0</v>
      </c>
      <c r="C630" s="48" t="s">
        <v>2330</v>
      </c>
      <c r="D630" s="48" t="s">
        <v>93</v>
      </c>
      <c r="E630" s="48" t="s">
        <v>99</v>
      </c>
      <c r="F630" s="48" t="s">
        <v>622</v>
      </c>
      <c r="G630" s="48" t="s">
        <v>623</v>
      </c>
      <c r="H630" s="49">
        <v>0.0317155948</v>
      </c>
      <c r="I630" s="49">
        <v>56.0</v>
      </c>
      <c r="J630" s="49">
        <v>34255.49</v>
      </c>
      <c r="K630" s="49">
        <v>34255.49</v>
      </c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>
      <c r="A631" s="48" t="s">
        <v>2331</v>
      </c>
      <c r="B631" s="49">
        <v>4497749.0</v>
      </c>
      <c r="C631" s="48" t="s">
        <v>2332</v>
      </c>
      <c r="D631" s="48" t="s">
        <v>93</v>
      </c>
      <c r="E631" s="48" t="s">
        <v>99</v>
      </c>
      <c r="F631" s="48" t="s">
        <v>1374</v>
      </c>
      <c r="G631" s="48" t="s">
        <v>640</v>
      </c>
      <c r="H631" s="49">
        <v>0.0317150146</v>
      </c>
      <c r="I631" s="49">
        <v>338.0</v>
      </c>
      <c r="J631" s="49">
        <v>34254.86</v>
      </c>
      <c r="K631" s="49">
        <v>34254.86</v>
      </c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>
      <c r="A632" s="48" t="s">
        <v>2333</v>
      </c>
      <c r="B632" s="49">
        <v>3163836.0</v>
      </c>
      <c r="C632" s="48" t="s">
        <v>2334</v>
      </c>
      <c r="D632" s="48" t="s">
        <v>93</v>
      </c>
      <c r="E632" s="48" t="s">
        <v>127</v>
      </c>
      <c r="F632" s="48" t="s">
        <v>918</v>
      </c>
      <c r="G632" s="48" t="s">
        <v>908</v>
      </c>
      <c r="H632" s="49">
        <v>0.0316885831</v>
      </c>
      <c r="I632" s="49">
        <v>435.0</v>
      </c>
      <c r="J632" s="49">
        <v>34226.31</v>
      </c>
      <c r="K632" s="49">
        <v>34226.31</v>
      </c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>
      <c r="A633" s="48" t="s">
        <v>2335</v>
      </c>
      <c r="B633" s="49">
        <v>6251363.0</v>
      </c>
      <c r="C633" s="48" t="s">
        <v>2336</v>
      </c>
      <c r="D633" s="48" t="s">
        <v>93</v>
      </c>
      <c r="E633" s="48" t="s">
        <v>133</v>
      </c>
      <c r="F633" s="48" t="s">
        <v>629</v>
      </c>
      <c r="G633" s="48" t="s">
        <v>630</v>
      </c>
      <c r="H633" s="49">
        <v>0.0315954117</v>
      </c>
      <c r="I633" s="49">
        <v>782.0</v>
      </c>
      <c r="J633" s="49">
        <v>34125.68</v>
      </c>
      <c r="K633" s="49">
        <v>34125.68</v>
      </c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>
      <c r="A634" s="48" t="s">
        <v>2337</v>
      </c>
      <c r="B634" s="49">
        <v>6250025.0</v>
      </c>
      <c r="C634" s="48" t="s">
        <v>2338</v>
      </c>
      <c r="D634" s="48" t="s">
        <v>93</v>
      </c>
      <c r="E634" s="48" t="s">
        <v>127</v>
      </c>
      <c r="F634" s="48" t="s">
        <v>629</v>
      </c>
      <c r="G634" s="48" t="s">
        <v>630</v>
      </c>
      <c r="H634" s="49">
        <v>0.0315726873</v>
      </c>
      <c r="I634" s="49">
        <v>1145.0</v>
      </c>
      <c r="J634" s="49">
        <v>34101.13</v>
      </c>
      <c r="K634" s="49">
        <v>34101.13</v>
      </c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>
      <c r="A635" s="48" t="s">
        <v>2339</v>
      </c>
      <c r="B635" s="49">
        <v>5051252.0</v>
      </c>
      <c r="C635" s="48" t="s">
        <v>2340</v>
      </c>
      <c r="D635" s="48" t="s">
        <v>93</v>
      </c>
      <c r="E635" s="48" t="s">
        <v>94</v>
      </c>
      <c r="F635" s="48" t="s">
        <v>686</v>
      </c>
      <c r="G635" s="48" t="s">
        <v>640</v>
      </c>
      <c r="H635" s="49">
        <v>0.0315124926</v>
      </c>
      <c r="I635" s="49">
        <v>639.0</v>
      </c>
      <c r="J635" s="49">
        <v>34036.12</v>
      </c>
      <c r="K635" s="49">
        <v>34036.12</v>
      </c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>
      <c r="A636" s="48" t="s">
        <v>2341</v>
      </c>
      <c r="B636" s="49">
        <v>2325507.0</v>
      </c>
      <c r="C636" s="48" t="s">
        <v>2342</v>
      </c>
      <c r="D636" s="48" t="s">
        <v>93</v>
      </c>
      <c r="E636" s="48" t="s">
        <v>127</v>
      </c>
      <c r="F636" s="48" t="s">
        <v>622</v>
      </c>
      <c r="G636" s="48" t="s">
        <v>623</v>
      </c>
      <c r="H636" s="49">
        <v>0.0314712593</v>
      </c>
      <c r="I636" s="49">
        <v>193.0</v>
      </c>
      <c r="J636" s="49">
        <v>33991.58</v>
      </c>
      <c r="K636" s="49">
        <v>33991.58</v>
      </c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>
      <c r="A637" s="48" t="s">
        <v>2343</v>
      </c>
      <c r="B637" s="48" t="s">
        <v>2344</v>
      </c>
      <c r="C637" s="48" t="s">
        <v>2345</v>
      </c>
      <c r="D637" s="48" t="s">
        <v>93</v>
      </c>
      <c r="E637" s="48" t="s">
        <v>127</v>
      </c>
      <c r="F637" s="48" t="s">
        <v>622</v>
      </c>
      <c r="G637" s="48" t="s">
        <v>623</v>
      </c>
      <c r="H637" s="49">
        <v>0.0314601623</v>
      </c>
      <c r="I637" s="49">
        <v>499.0</v>
      </c>
      <c r="J637" s="49">
        <v>33979.6</v>
      </c>
      <c r="K637" s="49">
        <v>33979.6</v>
      </c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>
      <c r="A638" s="48" t="s">
        <v>2346</v>
      </c>
      <c r="B638" s="49">
        <v>2831543.0</v>
      </c>
      <c r="C638" s="48" t="s">
        <v>2347</v>
      </c>
      <c r="D638" s="48" t="s">
        <v>93</v>
      </c>
      <c r="E638" s="48" t="s">
        <v>127</v>
      </c>
      <c r="F638" s="48" t="s">
        <v>622</v>
      </c>
      <c r="G638" s="48" t="s">
        <v>623</v>
      </c>
      <c r="H638" s="49">
        <v>0.0313822526</v>
      </c>
      <c r="I638" s="49">
        <v>769.0</v>
      </c>
      <c r="J638" s="49">
        <v>33895.45</v>
      </c>
      <c r="K638" s="49">
        <v>33895.45</v>
      </c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>
      <c r="A639" s="48" t="s">
        <v>2348</v>
      </c>
      <c r="B639" s="48" t="s">
        <v>2349</v>
      </c>
      <c r="C639" s="48" t="s">
        <v>2350</v>
      </c>
      <c r="D639" s="48" t="s">
        <v>93</v>
      </c>
      <c r="E639" s="48" t="s">
        <v>124</v>
      </c>
      <c r="F639" s="48" t="s">
        <v>1673</v>
      </c>
      <c r="G639" s="48" t="s">
        <v>1674</v>
      </c>
      <c r="H639" s="49">
        <v>0.0312887902</v>
      </c>
      <c r="I639" s="49">
        <v>2808.0</v>
      </c>
      <c r="J639" s="49">
        <v>33794.5</v>
      </c>
      <c r="K639" s="49">
        <v>33794.5</v>
      </c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>
      <c r="A640" s="48" t="s">
        <v>2351</v>
      </c>
      <c r="B640" s="48" t="s">
        <v>2352</v>
      </c>
      <c r="C640" s="48" t="s">
        <v>2353</v>
      </c>
      <c r="D640" s="48" t="s">
        <v>93</v>
      </c>
      <c r="E640" s="48" t="s">
        <v>167</v>
      </c>
      <c r="F640" s="48" t="s">
        <v>622</v>
      </c>
      <c r="G640" s="48" t="s">
        <v>623</v>
      </c>
      <c r="H640" s="49">
        <v>0.031168293</v>
      </c>
      <c r="I640" s="49">
        <v>173.0</v>
      </c>
      <c r="J640" s="49">
        <v>33664.35</v>
      </c>
      <c r="K640" s="49">
        <v>33664.35</v>
      </c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>
      <c r="A641" s="48" t="s">
        <v>2354</v>
      </c>
      <c r="B641" s="48" t="s">
        <v>2355</v>
      </c>
      <c r="C641" s="48" t="s">
        <v>2356</v>
      </c>
      <c r="D641" s="48" t="s">
        <v>93</v>
      </c>
      <c r="E641" s="48" t="s">
        <v>167</v>
      </c>
      <c r="F641" s="48" t="s">
        <v>622</v>
      </c>
      <c r="G641" s="48" t="s">
        <v>623</v>
      </c>
      <c r="H641" s="49">
        <v>0.0310910903999999</v>
      </c>
      <c r="I641" s="49">
        <v>381.0</v>
      </c>
      <c r="J641" s="49">
        <v>33580.97</v>
      </c>
      <c r="K641" s="49">
        <v>33580.97</v>
      </c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>
      <c r="A642" s="48" t="s">
        <v>2357</v>
      </c>
      <c r="B642" s="49">
        <v>2433530.0</v>
      </c>
      <c r="C642" s="48" t="s">
        <v>2358</v>
      </c>
      <c r="D642" s="48" t="s">
        <v>93</v>
      </c>
      <c r="E642" s="48" t="s">
        <v>102</v>
      </c>
      <c r="F642" s="48" t="s">
        <v>622</v>
      </c>
      <c r="G642" s="48" t="s">
        <v>623</v>
      </c>
      <c r="H642" s="49">
        <v>0.0310419404</v>
      </c>
      <c r="I642" s="49">
        <v>307.0</v>
      </c>
      <c r="J642" s="49">
        <v>33527.88</v>
      </c>
      <c r="K642" s="49">
        <v>33527.88</v>
      </c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>
      <c r="A643" s="48" t="s">
        <v>2359</v>
      </c>
      <c r="B643" s="48" t="s">
        <v>2360</v>
      </c>
      <c r="C643" s="48" t="s">
        <v>2361</v>
      </c>
      <c r="D643" s="48" t="s">
        <v>93</v>
      </c>
      <c r="E643" s="48" t="s">
        <v>115</v>
      </c>
      <c r="F643" s="48" t="s">
        <v>686</v>
      </c>
      <c r="G643" s="48" t="s">
        <v>640</v>
      </c>
      <c r="H643" s="49">
        <v>0.0310143863</v>
      </c>
      <c r="I643" s="49">
        <v>567.0</v>
      </c>
      <c r="J643" s="49">
        <v>33498.12</v>
      </c>
      <c r="K643" s="49">
        <v>33498.12</v>
      </c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>
      <c r="A644" s="48" t="s">
        <v>2362</v>
      </c>
      <c r="B644" s="49">
        <v>2965107.0</v>
      </c>
      <c r="C644" s="48" t="s">
        <v>2363</v>
      </c>
      <c r="D644" s="48" t="s">
        <v>93</v>
      </c>
      <c r="E644" s="48" t="s">
        <v>99</v>
      </c>
      <c r="F644" s="48" t="s">
        <v>622</v>
      </c>
      <c r="G644" s="48" t="s">
        <v>623</v>
      </c>
      <c r="H644" s="49">
        <v>0.0310103523</v>
      </c>
      <c r="I644" s="49">
        <v>440.0</v>
      </c>
      <c r="J644" s="49">
        <v>33493.77</v>
      </c>
      <c r="K644" s="49">
        <v>33493.77</v>
      </c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>
      <c r="A645" s="48" t="s">
        <v>2364</v>
      </c>
      <c r="B645" s="48" t="s">
        <v>2365</v>
      </c>
      <c r="C645" s="48" t="s">
        <v>2366</v>
      </c>
      <c r="D645" s="48" t="s">
        <v>93</v>
      </c>
      <c r="E645" s="48" t="s">
        <v>167</v>
      </c>
      <c r="F645" s="48" t="s">
        <v>622</v>
      </c>
      <c r="G645" s="48" t="s">
        <v>623</v>
      </c>
      <c r="H645" s="49">
        <v>0.0308136371</v>
      </c>
      <c r="I645" s="49">
        <v>312.0</v>
      </c>
      <c r="J645" s="49">
        <v>33281.3</v>
      </c>
      <c r="K645" s="49">
        <v>33281.3</v>
      </c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>
      <c r="A646" s="48" t="s">
        <v>2367</v>
      </c>
      <c r="B646" s="49">
        <v>6499260.0</v>
      </c>
      <c r="C646" s="48" t="s">
        <v>2368</v>
      </c>
      <c r="D646" s="48" t="s">
        <v>93</v>
      </c>
      <c r="E646" s="48" t="s">
        <v>167</v>
      </c>
      <c r="F646" s="48" t="s">
        <v>629</v>
      </c>
      <c r="G646" s="48" t="s">
        <v>630</v>
      </c>
      <c r="H646" s="49">
        <v>0.030702363</v>
      </c>
      <c r="I646" s="49">
        <v>409.0</v>
      </c>
      <c r="J646" s="49">
        <v>33161.11</v>
      </c>
      <c r="K646" s="49">
        <v>33161.11</v>
      </c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>
      <c r="A647" s="48" t="s">
        <v>2369</v>
      </c>
      <c r="B647" s="48" t="s">
        <v>2370</v>
      </c>
      <c r="C647" s="48" t="s">
        <v>2371</v>
      </c>
      <c r="D647" s="48" t="s">
        <v>93</v>
      </c>
      <c r="E647" s="48" t="s">
        <v>133</v>
      </c>
      <c r="F647" s="48" t="s">
        <v>622</v>
      </c>
      <c r="G647" s="48" t="s">
        <v>623</v>
      </c>
      <c r="H647" s="49">
        <v>0.0306040933</v>
      </c>
      <c r="I647" s="49">
        <v>173.0</v>
      </c>
      <c r="J647" s="49">
        <v>33054.97</v>
      </c>
      <c r="K647" s="49">
        <v>33054.97</v>
      </c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>
      <c r="A648" s="48" t="s">
        <v>2372</v>
      </c>
      <c r="B648" s="49">
        <v>6865504.0</v>
      </c>
      <c r="C648" s="48" t="s">
        <v>2373</v>
      </c>
      <c r="D648" s="48" t="s">
        <v>93</v>
      </c>
      <c r="E648" s="48" t="s">
        <v>118</v>
      </c>
      <c r="F648" s="48" t="s">
        <v>629</v>
      </c>
      <c r="G648" s="48" t="s">
        <v>630</v>
      </c>
      <c r="H648" s="49">
        <v>0.0305830402</v>
      </c>
      <c r="I648" s="49">
        <v>514.0</v>
      </c>
      <c r="J648" s="49">
        <v>33032.23</v>
      </c>
      <c r="K648" s="49">
        <v>33032.23</v>
      </c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>
      <c r="A649" s="48" t="s">
        <v>2374</v>
      </c>
      <c r="B649" s="49">
        <v>6791591.0</v>
      </c>
      <c r="C649" s="48" t="s">
        <v>2375</v>
      </c>
      <c r="D649" s="48" t="s">
        <v>93</v>
      </c>
      <c r="E649" s="48" t="s">
        <v>127</v>
      </c>
      <c r="F649" s="48" t="s">
        <v>629</v>
      </c>
      <c r="G649" s="48" t="s">
        <v>630</v>
      </c>
      <c r="H649" s="49">
        <v>0.0305689596</v>
      </c>
      <c r="I649" s="49">
        <v>305.0</v>
      </c>
      <c r="J649" s="49">
        <v>33017.02</v>
      </c>
      <c r="K649" s="49">
        <v>33017.02</v>
      </c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>
      <c r="A650" s="48" t="s">
        <v>2376</v>
      </c>
      <c r="B650" s="49">
        <v>2196888.0</v>
      </c>
      <c r="C650" s="48" t="s">
        <v>2377</v>
      </c>
      <c r="D650" s="48" t="s">
        <v>93</v>
      </c>
      <c r="E650" s="48" t="s">
        <v>99</v>
      </c>
      <c r="F650" s="48" t="s">
        <v>622</v>
      </c>
      <c r="G650" s="48" t="s">
        <v>623</v>
      </c>
      <c r="H650" s="49">
        <v>0.0305429227999999</v>
      </c>
      <c r="I650" s="49">
        <v>197.0</v>
      </c>
      <c r="J650" s="49">
        <v>32988.9</v>
      </c>
      <c r="K650" s="49">
        <v>32988.9</v>
      </c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>
      <c r="A651" s="48" t="s">
        <v>2378</v>
      </c>
      <c r="B651" s="49">
        <v>6480048.0</v>
      </c>
      <c r="C651" s="48" t="s">
        <v>2379</v>
      </c>
      <c r="D651" s="48" t="s">
        <v>93</v>
      </c>
      <c r="E651" s="48" t="s">
        <v>124</v>
      </c>
      <c r="F651" s="48" t="s">
        <v>629</v>
      </c>
      <c r="G651" s="48" t="s">
        <v>630</v>
      </c>
      <c r="H651" s="49">
        <v>0.0303780705</v>
      </c>
      <c r="I651" s="49">
        <v>1026.0</v>
      </c>
      <c r="J651" s="49">
        <v>32810.85</v>
      </c>
      <c r="K651" s="49">
        <v>32810.85</v>
      </c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>
      <c r="A652" s="48" t="s">
        <v>2380</v>
      </c>
      <c r="B652" s="49">
        <v>2166160.0</v>
      </c>
      <c r="C652" s="48" t="s">
        <v>2381</v>
      </c>
      <c r="D652" s="48" t="s">
        <v>93</v>
      </c>
      <c r="E652" s="48" t="s">
        <v>115</v>
      </c>
      <c r="F652" s="48" t="s">
        <v>694</v>
      </c>
      <c r="G652" s="48" t="s">
        <v>1003</v>
      </c>
      <c r="H652" s="49">
        <v>0.0303420536</v>
      </c>
      <c r="I652" s="49">
        <v>542.0</v>
      </c>
      <c r="J652" s="49">
        <v>32771.95</v>
      </c>
      <c r="K652" s="49">
        <v>32771.95</v>
      </c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>
      <c r="A653" s="48" t="s">
        <v>2382</v>
      </c>
      <c r="B653" s="49">
        <v>2222631.0</v>
      </c>
      <c r="C653" s="48" t="s">
        <v>2383</v>
      </c>
      <c r="D653" s="48" t="s">
        <v>93</v>
      </c>
      <c r="E653" s="48" t="s">
        <v>102</v>
      </c>
      <c r="F653" s="48" t="s">
        <v>622</v>
      </c>
      <c r="G653" s="48" t="s">
        <v>623</v>
      </c>
      <c r="H653" s="49">
        <v>0.0303283139</v>
      </c>
      <c r="I653" s="49">
        <v>64.0</v>
      </c>
      <c r="J653" s="49">
        <v>32757.11</v>
      </c>
      <c r="K653" s="49">
        <v>32757.11</v>
      </c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>
      <c r="A654" s="48" t="s">
        <v>2384</v>
      </c>
      <c r="B654" s="49">
        <v>2219224.0</v>
      </c>
      <c r="C654" s="48" t="s">
        <v>2385</v>
      </c>
      <c r="D654" s="48" t="s">
        <v>93</v>
      </c>
      <c r="E654" s="48" t="s">
        <v>170</v>
      </c>
      <c r="F654" s="48" t="s">
        <v>622</v>
      </c>
      <c r="G654" s="48" t="s">
        <v>623</v>
      </c>
      <c r="H654" s="49">
        <v>0.0300905442</v>
      </c>
      <c r="I654" s="49">
        <v>369.0</v>
      </c>
      <c r="J654" s="49">
        <v>32500.3</v>
      </c>
      <c r="K654" s="49">
        <v>32500.3</v>
      </c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>
      <c r="A655" s="48" t="s">
        <v>2386</v>
      </c>
      <c r="B655" s="49">
        <v>6483809.0</v>
      </c>
      <c r="C655" s="48" t="s">
        <v>2387</v>
      </c>
      <c r="D655" s="48" t="s">
        <v>93</v>
      </c>
      <c r="E655" s="48" t="s">
        <v>124</v>
      </c>
      <c r="F655" s="48" t="s">
        <v>629</v>
      </c>
      <c r="G655" s="48" t="s">
        <v>630</v>
      </c>
      <c r="H655" s="49">
        <v>0.0299565635</v>
      </c>
      <c r="I655" s="49">
        <v>561.0</v>
      </c>
      <c r="J655" s="49">
        <v>32355.59</v>
      </c>
      <c r="K655" s="49">
        <v>32355.59</v>
      </c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>
      <c r="A656" s="48" t="s">
        <v>2388</v>
      </c>
      <c r="B656" s="49">
        <v>6307200.0</v>
      </c>
      <c r="C656" s="48" t="s">
        <v>2389</v>
      </c>
      <c r="D656" s="48" t="s">
        <v>93</v>
      </c>
      <c r="E656" s="48" t="s">
        <v>102</v>
      </c>
      <c r="F656" s="48" t="s">
        <v>629</v>
      </c>
      <c r="G656" s="48" t="s">
        <v>630</v>
      </c>
      <c r="H656" s="49">
        <v>0.0298894755999999</v>
      </c>
      <c r="I656" s="49">
        <v>360.0</v>
      </c>
      <c r="J656" s="49">
        <v>32283.13</v>
      </c>
      <c r="K656" s="49">
        <v>32283.13</v>
      </c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>
      <c r="A657" s="48" t="s">
        <v>2390</v>
      </c>
      <c r="B657" s="48" t="s">
        <v>2391</v>
      </c>
      <c r="C657" s="48" t="s">
        <v>2392</v>
      </c>
      <c r="D657" s="48" t="s">
        <v>93</v>
      </c>
      <c r="E657" s="48" t="s">
        <v>102</v>
      </c>
      <c r="F657" s="48" t="s">
        <v>629</v>
      </c>
      <c r="G657" s="48" t="s">
        <v>630</v>
      </c>
      <c r="H657" s="49">
        <v>0.0298484072999999</v>
      </c>
      <c r="I657" s="49">
        <v>560.0</v>
      </c>
      <c r="J657" s="49">
        <v>32238.77</v>
      </c>
      <c r="K657" s="49">
        <v>32238.77</v>
      </c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>
      <c r="A658" s="48" t="s">
        <v>2393</v>
      </c>
      <c r="B658" s="48" t="s">
        <v>2394</v>
      </c>
      <c r="C658" s="48" t="s">
        <v>2395</v>
      </c>
      <c r="D658" s="48" t="s">
        <v>93</v>
      </c>
      <c r="E658" s="48" t="s">
        <v>99</v>
      </c>
      <c r="F658" s="48" t="s">
        <v>629</v>
      </c>
      <c r="G658" s="48" t="s">
        <v>630</v>
      </c>
      <c r="H658" s="49">
        <v>0.029841367</v>
      </c>
      <c r="I658" s="49">
        <v>528.0</v>
      </c>
      <c r="J658" s="49">
        <v>32231.16</v>
      </c>
      <c r="K658" s="49">
        <v>32231.16</v>
      </c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>
      <c r="A659" s="48" t="s">
        <v>2396</v>
      </c>
      <c r="B659" s="49">
        <v>2437071.0</v>
      </c>
      <c r="C659" s="48" t="s">
        <v>2397</v>
      </c>
      <c r="D659" s="48" t="s">
        <v>93</v>
      </c>
      <c r="E659" s="48" t="s">
        <v>102</v>
      </c>
      <c r="F659" s="48" t="s">
        <v>622</v>
      </c>
      <c r="G659" s="48" t="s">
        <v>623</v>
      </c>
      <c r="H659" s="49">
        <v>0.0297533635</v>
      </c>
      <c r="I659" s="49">
        <v>239.0</v>
      </c>
      <c r="J659" s="49">
        <v>32136.11</v>
      </c>
      <c r="K659" s="49">
        <v>32136.11</v>
      </c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>
      <c r="A660" s="48" t="s">
        <v>2398</v>
      </c>
      <c r="B660" s="49">
        <v>6396800.0</v>
      </c>
      <c r="C660" s="48" t="s">
        <v>2399</v>
      </c>
      <c r="D660" s="48" t="s">
        <v>93</v>
      </c>
      <c r="E660" s="48" t="s">
        <v>133</v>
      </c>
      <c r="F660" s="48" t="s">
        <v>629</v>
      </c>
      <c r="G660" s="48" t="s">
        <v>630</v>
      </c>
      <c r="H660" s="49">
        <v>0.0297255937</v>
      </c>
      <c r="I660" s="49">
        <v>5.0</v>
      </c>
      <c r="J660" s="49">
        <v>32106.12</v>
      </c>
      <c r="K660" s="49">
        <v>32106.12</v>
      </c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>
      <c r="A661" s="48" t="s">
        <v>2400</v>
      </c>
      <c r="B661" s="48" t="s">
        <v>2401</v>
      </c>
      <c r="C661" s="48" t="s">
        <v>2402</v>
      </c>
      <c r="D661" s="48" t="s">
        <v>93</v>
      </c>
      <c r="E661" s="48" t="s">
        <v>99</v>
      </c>
      <c r="F661" s="48" t="s">
        <v>622</v>
      </c>
      <c r="G661" s="48" t="s">
        <v>623</v>
      </c>
      <c r="H661" s="49">
        <v>0.0296625529</v>
      </c>
      <c r="I661" s="49">
        <v>1180.0</v>
      </c>
      <c r="J661" s="49">
        <v>32038.03</v>
      </c>
      <c r="K661" s="49">
        <v>32038.03</v>
      </c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>
      <c r="A662" s="48" t="s">
        <v>2403</v>
      </c>
      <c r="B662" s="49">
        <v>4491235.0</v>
      </c>
      <c r="C662" s="48" t="s">
        <v>2404</v>
      </c>
      <c r="D662" s="48" t="s">
        <v>93</v>
      </c>
      <c r="E662" s="48" t="s">
        <v>127</v>
      </c>
      <c r="F662" s="48" t="s">
        <v>1666</v>
      </c>
      <c r="G662" s="48" t="s">
        <v>640</v>
      </c>
      <c r="H662" s="49">
        <v>0.0295873490999999</v>
      </c>
      <c r="I662" s="49">
        <v>274.0</v>
      </c>
      <c r="J662" s="49">
        <v>31956.8</v>
      </c>
      <c r="K662" s="49">
        <v>31956.8</v>
      </c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>
      <c r="A663" s="48" t="s">
        <v>2405</v>
      </c>
      <c r="B663" s="49">
        <v>2937689.0</v>
      </c>
      <c r="C663" s="48" t="s">
        <v>2406</v>
      </c>
      <c r="D663" s="48" t="s">
        <v>93</v>
      </c>
      <c r="E663" s="48" t="s">
        <v>102</v>
      </c>
      <c r="F663" s="48" t="s">
        <v>622</v>
      </c>
      <c r="G663" s="48" t="s">
        <v>623</v>
      </c>
      <c r="H663" s="49">
        <v>0.0294872524</v>
      </c>
      <c r="I663" s="49">
        <v>76.0</v>
      </c>
      <c r="J663" s="49">
        <v>31848.69</v>
      </c>
      <c r="K663" s="49">
        <v>31848.69</v>
      </c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>
      <c r="A664" s="48" t="s">
        <v>2407</v>
      </c>
      <c r="B664" s="49">
        <v>2507457.0</v>
      </c>
      <c r="C664" s="48" t="s">
        <v>2408</v>
      </c>
      <c r="D664" s="48" t="s">
        <v>93</v>
      </c>
      <c r="E664" s="48" t="s">
        <v>167</v>
      </c>
      <c r="F664" s="48" t="s">
        <v>622</v>
      </c>
      <c r="G664" s="48" t="s">
        <v>623</v>
      </c>
      <c r="H664" s="49">
        <v>0.029436241</v>
      </c>
      <c r="I664" s="49">
        <v>189.0</v>
      </c>
      <c r="J664" s="49">
        <v>31793.59</v>
      </c>
      <c r="K664" s="49">
        <v>31793.59</v>
      </c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>
      <c r="A665" s="48" t="s">
        <v>2409</v>
      </c>
      <c r="B665" s="48" t="s">
        <v>2410</v>
      </c>
      <c r="C665" s="48" t="s">
        <v>2411</v>
      </c>
      <c r="D665" s="48" t="s">
        <v>93</v>
      </c>
      <c r="E665" s="48" t="s">
        <v>118</v>
      </c>
      <c r="F665" s="48" t="s">
        <v>622</v>
      </c>
      <c r="G665" s="48" t="s">
        <v>623</v>
      </c>
      <c r="H665" s="49">
        <v>0.0294059227</v>
      </c>
      <c r="I665" s="49">
        <v>194.0</v>
      </c>
      <c r="J665" s="49">
        <v>31760.85</v>
      </c>
      <c r="K665" s="49">
        <v>31760.85</v>
      </c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>
      <c r="A666" s="48" t="s">
        <v>2412</v>
      </c>
      <c r="B666" s="49">
        <v>2961053.0</v>
      </c>
      <c r="C666" s="48" t="s">
        <v>2413</v>
      </c>
      <c r="D666" s="48" t="s">
        <v>93</v>
      </c>
      <c r="E666" s="48" t="s">
        <v>167</v>
      </c>
      <c r="F666" s="48" t="s">
        <v>622</v>
      </c>
      <c r="G666" s="48" t="s">
        <v>623</v>
      </c>
      <c r="H666" s="49">
        <v>0.029315473</v>
      </c>
      <c r="I666" s="49">
        <v>211.0</v>
      </c>
      <c r="J666" s="49">
        <v>31663.15</v>
      </c>
      <c r="K666" s="49">
        <v>31663.15</v>
      </c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>
      <c r="A667" s="48" t="s">
        <v>2414</v>
      </c>
      <c r="B667" s="49">
        <v>6641588.0</v>
      </c>
      <c r="C667" s="48" t="s">
        <v>2415</v>
      </c>
      <c r="D667" s="48" t="s">
        <v>93</v>
      </c>
      <c r="E667" s="48" t="s">
        <v>94</v>
      </c>
      <c r="F667" s="48" t="s">
        <v>629</v>
      </c>
      <c r="G667" s="48" t="s">
        <v>630</v>
      </c>
      <c r="H667" s="49">
        <v>0.0292689342</v>
      </c>
      <c r="I667" s="49">
        <v>462.0</v>
      </c>
      <c r="J667" s="49">
        <v>31612.89</v>
      </c>
      <c r="K667" s="49">
        <v>31612.89</v>
      </c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>
      <c r="A668" s="48" t="s">
        <v>2416</v>
      </c>
      <c r="B668" s="48" t="s">
        <v>2417</v>
      </c>
      <c r="C668" s="48" t="s">
        <v>2418</v>
      </c>
      <c r="D668" s="48" t="s">
        <v>93</v>
      </c>
      <c r="E668" s="48" t="s">
        <v>118</v>
      </c>
      <c r="F668" s="48" t="s">
        <v>918</v>
      </c>
      <c r="G668" s="48" t="s">
        <v>908</v>
      </c>
      <c r="H668" s="49">
        <v>0.0292461847</v>
      </c>
      <c r="I668" s="49">
        <v>391.0</v>
      </c>
      <c r="J668" s="49">
        <v>31588.32</v>
      </c>
      <c r="K668" s="49">
        <v>31588.32</v>
      </c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>
      <c r="A669" s="48" t="s">
        <v>2419</v>
      </c>
      <c r="B669" s="49">
        <v>6859927.0</v>
      </c>
      <c r="C669" s="48" t="s">
        <v>2420</v>
      </c>
      <c r="D669" s="48" t="s">
        <v>93</v>
      </c>
      <c r="E669" s="48" t="s">
        <v>133</v>
      </c>
      <c r="F669" s="48" t="s">
        <v>822</v>
      </c>
      <c r="G669" s="48" t="s">
        <v>646</v>
      </c>
      <c r="H669" s="49">
        <v>0.0292346779</v>
      </c>
      <c r="I669" s="49">
        <v>1992.0</v>
      </c>
      <c r="J669" s="49">
        <v>31575.89</v>
      </c>
      <c r="K669" s="49">
        <v>31575.89</v>
      </c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>
      <c r="A670" s="48" t="s">
        <v>2421</v>
      </c>
      <c r="B670" s="48" t="s">
        <v>2422</v>
      </c>
      <c r="C670" s="48" t="s">
        <v>2423</v>
      </c>
      <c r="D670" s="48" t="s">
        <v>93</v>
      </c>
      <c r="E670" s="48" t="s">
        <v>99</v>
      </c>
      <c r="F670" s="48" t="s">
        <v>622</v>
      </c>
      <c r="G670" s="48" t="s">
        <v>623</v>
      </c>
      <c r="H670" s="49">
        <v>0.0291372864</v>
      </c>
      <c r="I670" s="49">
        <v>130.0</v>
      </c>
      <c r="J670" s="49">
        <v>31470.7</v>
      </c>
      <c r="K670" s="49">
        <v>31470.7</v>
      </c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>
      <c r="A671" s="48" t="s">
        <v>2424</v>
      </c>
      <c r="B671" s="48" t="s">
        <v>2425</v>
      </c>
      <c r="C671" s="48" t="s">
        <v>2426</v>
      </c>
      <c r="D671" s="48" t="s">
        <v>93</v>
      </c>
      <c r="E671" s="48" t="s">
        <v>170</v>
      </c>
      <c r="F671" s="48" t="s">
        <v>1201</v>
      </c>
      <c r="G671" s="48" t="s">
        <v>640</v>
      </c>
      <c r="H671" s="49">
        <v>0.0291092396</v>
      </c>
      <c r="I671" s="49">
        <v>1252.0</v>
      </c>
      <c r="J671" s="49">
        <v>31440.41</v>
      </c>
      <c r="K671" s="49">
        <v>31440.41</v>
      </c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>
      <c r="A672" s="48" t="s">
        <v>2427</v>
      </c>
      <c r="B672" s="49">
        <v>4588825.0</v>
      </c>
      <c r="C672" s="48" t="s">
        <v>2428</v>
      </c>
      <c r="D672" s="48" t="s">
        <v>93</v>
      </c>
      <c r="E672" s="48" t="s">
        <v>99</v>
      </c>
      <c r="F672" s="48" t="s">
        <v>883</v>
      </c>
      <c r="G672" s="48" t="s">
        <v>884</v>
      </c>
      <c r="H672" s="49">
        <v>0.0290488746</v>
      </c>
      <c r="I672" s="49">
        <v>848.0</v>
      </c>
      <c r="J672" s="49">
        <v>31375.21</v>
      </c>
      <c r="K672" s="49">
        <v>31375.21</v>
      </c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>
      <c r="A673" s="48" t="s">
        <v>2429</v>
      </c>
      <c r="B673" s="48" t="s">
        <v>2430</v>
      </c>
      <c r="C673" s="48" t="s">
        <v>2431</v>
      </c>
      <c r="D673" s="48" t="s">
        <v>93</v>
      </c>
      <c r="E673" s="48" t="s">
        <v>124</v>
      </c>
      <c r="F673" s="48" t="s">
        <v>622</v>
      </c>
      <c r="G673" s="48" t="s">
        <v>623</v>
      </c>
      <c r="H673" s="49">
        <v>0.0290031558</v>
      </c>
      <c r="I673" s="49">
        <v>937.0</v>
      </c>
      <c r="J673" s="49">
        <v>31325.83</v>
      </c>
      <c r="K673" s="49">
        <v>31325.83</v>
      </c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>
      <c r="A674" s="48" t="s">
        <v>2432</v>
      </c>
      <c r="B674" s="49">
        <v>2630643.0</v>
      </c>
      <c r="C674" s="48" t="s">
        <v>2433</v>
      </c>
      <c r="D674" s="48" t="s">
        <v>93</v>
      </c>
      <c r="E674" s="48" t="s">
        <v>167</v>
      </c>
      <c r="F674" s="48" t="s">
        <v>622</v>
      </c>
      <c r="G674" s="48" t="s">
        <v>623</v>
      </c>
      <c r="H674" s="49">
        <v>0.0289150582</v>
      </c>
      <c r="I674" s="49">
        <v>264.0</v>
      </c>
      <c r="J674" s="49">
        <v>31230.67</v>
      </c>
      <c r="K674" s="49">
        <v>31230.67</v>
      </c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>
      <c r="A675" s="48" t="s">
        <v>2434</v>
      </c>
      <c r="B675" s="49">
        <v>2328603.0</v>
      </c>
      <c r="C675" s="48" t="s">
        <v>2435</v>
      </c>
      <c r="D675" s="48" t="s">
        <v>93</v>
      </c>
      <c r="E675" s="48" t="s">
        <v>94</v>
      </c>
      <c r="F675" s="48" t="s">
        <v>622</v>
      </c>
      <c r="G675" s="48" t="s">
        <v>623</v>
      </c>
      <c r="H675" s="49">
        <v>0.0289037015</v>
      </c>
      <c r="I675" s="49">
        <v>287.0</v>
      </c>
      <c r="J675" s="49">
        <v>31218.41</v>
      </c>
      <c r="K675" s="49">
        <v>31218.41</v>
      </c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>
      <c r="A676" s="48" t="s">
        <v>2436</v>
      </c>
      <c r="B676" s="49">
        <v>6076425.0</v>
      </c>
      <c r="C676" s="48" t="s">
        <v>2437</v>
      </c>
      <c r="D676" s="48" t="s">
        <v>93</v>
      </c>
      <c r="E676" s="48" t="s">
        <v>99</v>
      </c>
      <c r="F676" s="48" t="s">
        <v>679</v>
      </c>
      <c r="G676" s="48" t="s">
        <v>2438</v>
      </c>
      <c r="H676" s="49">
        <v>0.0286995044</v>
      </c>
      <c r="I676" s="49">
        <v>2428.0</v>
      </c>
      <c r="J676" s="49">
        <v>30997.86</v>
      </c>
      <c r="K676" s="49">
        <v>30997.86</v>
      </c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>
      <c r="A677" s="48" t="s">
        <v>2439</v>
      </c>
      <c r="B677" s="49">
        <v>2885937.0</v>
      </c>
      <c r="C677" s="48" t="s">
        <v>2440</v>
      </c>
      <c r="D677" s="48" t="s">
        <v>93</v>
      </c>
      <c r="E677" s="48" t="s">
        <v>127</v>
      </c>
      <c r="F677" s="48" t="s">
        <v>622</v>
      </c>
      <c r="G677" s="48" t="s">
        <v>623</v>
      </c>
      <c r="H677" s="49">
        <v>0.0285601858</v>
      </c>
      <c r="I677" s="49">
        <v>254.0</v>
      </c>
      <c r="J677" s="49">
        <v>30847.38</v>
      </c>
      <c r="K677" s="49">
        <v>30847.38</v>
      </c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>
      <c r="A678" s="48" t="s">
        <v>2441</v>
      </c>
      <c r="B678" s="49">
        <v>5107401.0</v>
      </c>
      <c r="C678" s="48" t="s">
        <v>2442</v>
      </c>
      <c r="D678" s="48" t="s">
        <v>93</v>
      </c>
      <c r="E678" s="48" t="s">
        <v>124</v>
      </c>
      <c r="F678" s="48" t="s">
        <v>649</v>
      </c>
      <c r="G678" s="48" t="s">
        <v>640</v>
      </c>
      <c r="H678" s="49">
        <v>0.0285361297</v>
      </c>
      <c r="I678" s="49">
        <v>147.0</v>
      </c>
      <c r="J678" s="49">
        <v>30821.4</v>
      </c>
      <c r="K678" s="49">
        <v>30821.4</v>
      </c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>
      <c r="A679" s="48" t="s">
        <v>2443</v>
      </c>
      <c r="B679" s="49">
        <v>2315359.0</v>
      </c>
      <c r="C679" s="48" t="s">
        <v>2444</v>
      </c>
      <c r="D679" s="48" t="s">
        <v>93</v>
      </c>
      <c r="E679" s="48" t="s">
        <v>170</v>
      </c>
      <c r="F679" s="48" t="s">
        <v>622</v>
      </c>
      <c r="G679" s="48" t="s">
        <v>623</v>
      </c>
      <c r="H679" s="49">
        <v>0.0285148744</v>
      </c>
      <c r="I679" s="49">
        <v>177.0</v>
      </c>
      <c r="J679" s="49">
        <v>30798.44</v>
      </c>
      <c r="K679" s="49">
        <v>30798.44</v>
      </c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>
      <c r="A680" s="48" t="s">
        <v>2445</v>
      </c>
      <c r="B680" s="49">
        <v>2589132.0</v>
      </c>
      <c r="C680" s="48" t="s">
        <v>2446</v>
      </c>
      <c r="D680" s="48" t="s">
        <v>93</v>
      </c>
      <c r="E680" s="48" t="s">
        <v>133</v>
      </c>
      <c r="F680" s="48" t="s">
        <v>622</v>
      </c>
      <c r="G680" s="48" t="s">
        <v>623</v>
      </c>
      <c r="H680" s="49">
        <v>0.028420413</v>
      </c>
      <c r="I680" s="49">
        <v>149.0</v>
      </c>
      <c r="J680" s="49">
        <v>30696.42</v>
      </c>
      <c r="K680" s="49">
        <v>30696.42</v>
      </c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>
      <c r="A681" s="48" t="s">
        <v>2447</v>
      </c>
      <c r="B681" s="49">
        <v>560399.0</v>
      </c>
      <c r="C681" s="48" t="s">
        <v>2448</v>
      </c>
      <c r="D681" s="48" t="s">
        <v>93</v>
      </c>
      <c r="E681" s="48" t="s">
        <v>99</v>
      </c>
      <c r="F681" s="48" t="s">
        <v>918</v>
      </c>
      <c r="G681" s="48" t="s">
        <v>908</v>
      </c>
      <c r="H681" s="49">
        <v>0.0283966328</v>
      </c>
      <c r="I681" s="49">
        <v>6988.0</v>
      </c>
      <c r="J681" s="49">
        <v>30670.73</v>
      </c>
      <c r="K681" s="49">
        <v>30670.73</v>
      </c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>
      <c r="A682" s="48" t="s">
        <v>2449</v>
      </c>
      <c r="B682" s="49">
        <v>5959378.0</v>
      </c>
      <c r="C682" s="48" t="s">
        <v>2450</v>
      </c>
      <c r="D682" s="48" t="s">
        <v>93</v>
      </c>
      <c r="E682" s="48" t="s">
        <v>167</v>
      </c>
      <c r="F682" s="48" t="s">
        <v>1740</v>
      </c>
      <c r="G682" s="48" t="s">
        <v>1741</v>
      </c>
      <c r="H682" s="49">
        <v>0.0283679589999999</v>
      </c>
      <c r="I682" s="49">
        <v>3835.0</v>
      </c>
      <c r="J682" s="49">
        <v>30639.76</v>
      </c>
      <c r="K682" s="49">
        <v>30639.76</v>
      </c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>
      <c r="A683" s="48" t="s">
        <v>2451</v>
      </c>
      <c r="B683" s="49">
        <v>2073022.0</v>
      </c>
      <c r="C683" s="48" t="s">
        <v>2452</v>
      </c>
      <c r="D683" s="48" t="s">
        <v>93</v>
      </c>
      <c r="E683" s="48" t="s">
        <v>94</v>
      </c>
      <c r="F683" s="48" t="s">
        <v>622</v>
      </c>
      <c r="G683" s="48" t="s">
        <v>623</v>
      </c>
      <c r="H683" s="49">
        <v>0.0283643942</v>
      </c>
      <c r="I683" s="49">
        <v>390.0</v>
      </c>
      <c r="J683" s="49">
        <v>30635.91</v>
      </c>
      <c r="K683" s="49">
        <v>30635.91</v>
      </c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>
      <c r="A684" s="48" t="s">
        <v>2453</v>
      </c>
      <c r="B684" s="49">
        <v>6270948.0</v>
      </c>
      <c r="C684" s="48" t="s">
        <v>2454</v>
      </c>
      <c r="D684" s="48" t="s">
        <v>93</v>
      </c>
      <c r="E684" s="48" t="s">
        <v>167</v>
      </c>
      <c r="F684" s="48" t="s">
        <v>629</v>
      </c>
      <c r="G684" s="48" t="s">
        <v>630</v>
      </c>
      <c r="H684" s="49">
        <v>0.0283370956</v>
      </c>
      <c r="I684" s="49">
        <v>112.0</v>
      </c>
      <c r="J684" s="49">
        <v>30606.43</v>
      </c>
      <c r="K684" s="49">
        <v>30606.43</v>
      </c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>
      <c r="A685" s="48" t="s">
        <v>2455</v>
      </c>
      <c r="B685" s="48" t="s">
        <v>2456</v>
      </c>
      <c r="C685" s="48" t="s">
        <v>2457</v>
      </c>
      <c r="D685" s="48" t="s">
        <v>93</v>
      </c>
      <c r="E685" s="48" t="s">
        <v>115</v>
      </c>
      <c r="F685" s="48" t="s">
        <v>694</v>
      </c>
      <c r="G685" s="48" t="s">
        <v>1003</v>
      </c>
      <c r="H685" s="49">
        <v>0.0282652404</v>
      </c>
      <c r="I685" s="49">
        <v>396.0</v>
      </c>
      <c r="J685" s="49">
        <v>30528.82</v>
      </c>
      <c r="K685" s="49">
        <v>30528.82</v>
      </c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>
      <c r="A686" s="48" t="s">
        <v>2458</v>
      </c>
      <c r="B686" s="49">
        <v>2445416.0</v>
      </c>
      <c r="C686" s="48" t="s">
        <v>2459</v>
      </c>
      <c r="D686" s="48" t="s">
        <v>93</v>
      </c>
      <c r="E686" s="48" t="s">
        <v>127</v>
      </c>
      <c r="F686" s="48" t="s">
        <v>622</v>
      </c>
      <c r="G686" s="48" t="s">
        <v>623</v>
      </c>
      <c r="H686" s="49">
        <v>0.0282343474</v>
      </c>
      <c r="I686" s="49">
        <v>103.0</v>
      </c>
      <c r="J686" s="49">
        <v>30495.45</v>
      </c>
      <c r="K686" s="49">
        <v>30495.45</v>
      </c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>
      <c r="A687" s="48" t="s">
        <v>2460</v>
      </c>
      <c r="B687" s="48" t="s">
        <v>2461</v>
      </c>
      <c r="C687" s="48" t="s">
        <v>2462</v>
      </c>
      <c r="D687" s="48" t="s">
        <v>93</v>
      </c>
      <c r="E687" s="48" t="s">
        <v>127</v>
      </c>
      <c r="F687" s="48" t="s">
        <v>649</v>
      </c>
      <c r="G687" s="48" t="s">
        <v>640</v>
      </c>
      <c r="H687" s="49">
        <v>0.028226563</v>
      </c>
      <c r="I687" s="49">
        <v>545.0</v>
      </c>
      <c r="J687" s="49">
        <v>30487.04</v>
      </c>
      <c r="K687" s="49">
        <v>30487.04</v>
      </c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>
      <c r="A688" s="48" t="s">
        <v>2463</v>
      </c>
      <c r="B688" s="48" t="s">
        <v>2464</v>
      </c>
      <c r="C688" s="48" t="s">
        <v>2465</v>
      </c>
      <c r="D688" s="48" t="s">
        <v>93</v>
      </c>
      <c r="E688" s="48" t="s">
        <v>127</v>
      </c>
      <c r="F688" s="48" t="s">
        <v>654</v>
      </c>
      <c r="G688" s="48" t="s">
        <v>655</v>
      </c>
      <c r="H688" s="49">
        <v>0.028142211</v>
      </c>
      <c r="I688" s="49">
        <v>66.0</v>
      </c>
      <c r="J688" s="49">
        <v>30395.93</v>
      </c>
      <c r="K688" s="49">
        <v>30395.93</v>
      </c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>
      <c r="A689" s="48" t="s">
        <v>2466</v>
      </c>
      <c r="B689" s="48" t="s">
        <v>2467</v>
      </c>
      <c r="C689" s="48" t="s">
        <v>2468</v>
      </c>
      <c r="D689" s="48" t="s">
        <v>93</v>
      </c>
      <c r="E689" s="48" t="s">
        <v>102</v>
      </c>
      <c r="F689" s="48" t="s">
        <v>654</v>
      </c>
      <c r="G689" s="48" t="s">
        <v>655</v>
      </c>
      <c r="H689" s="49">
        <v>0.0281154116</v>
      </c>
      <c r="I689" s="49">
        <v>141.0</v>
      </c>
      <c r="J689" s="49">
        <v>30366.99</v>
      </c>
      <c r="K689" s="49">
        <v>30366.99</v>
      </c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>
      <c r="A690" s="48" t="s">
        <v>2469</v>
      </c>
      <c r="B690" s="49">
        <v>2708841.0</v>
      </c>
      <c r="C690" s="48" t="s">
        <v>2470</v>
      </c>
      <c r="D690" s="48" t="s">
        <v>93</v>
      </c>
      <c r="E690" s="48" t="s">
        <v>118</v>
      </c>
      <c r="F690" s="48" t="s">
        <v>622</v>
      </c>
      <c r="G690" s="48" t="s">
        <v>623</v>
      </c>
      <c r="H690" s="49">
        <v>0.0280464925</v>
      </c>
      <c r="I690" s="49">
        <v>263.0</v>
      </c>
      <c r="J690" s="49">
        <v>30292.55</v>
      </c>
      <c r="K690" s="49">
        <v>30292.55</v>
      </c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>
      <c r="A691" s="48" t="s">
        <v>2471</v>
      </c>
      <c r="B691" s="49">
        <v>2279303.0</v>
      </c>
      <c r="C691" s="48" t="s">
        <v>2472</v>
      </c>
      <c r="D691" s="48" t="s">
        <v>93</v>
      </c>
      <c r="E691" s="48" t="s">
        <v>121</v>
      </c>
      <c r="F691" s="48" t="s">
        <v>622</v>
      </c>
      <c r="G691" s="48" t="s">
        <v>623</v>
      </c>
      <c r="H691" s="49">
        <v>0.0280229709</v>
      </c>
      <c r="I691" s="49">
        <v>260.0</v>
      </c>
      <c r="J691" s="49">
        <v>30267.14</v>
      </c>
      <c r="K691" s="49">
        <v>30267.14</v>
      </c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>
      <c r="A692" s="48" t="s">
        <v>2473</v>
      </c>
      <c r="B692" s="48" t="s">
        <v>2474</v>
      </c>
      <c r="C692" s="48" t="s">
        <v>2475</v>
      </c>
      <c r="D692" s="48" t="s">
        <v>93</v>
      </c>
      <c r="E692" s="48" t="s">
        <v>167</v>
      </c>
      <c r="F692" s="48" t="s">
        <v>622</v>
      </c>
      <c r="G692" s="48" t="s">
        <v>623</v>
      </c>
      <c r="H692" s="49">
        <v>0.0277950572</v>
      </c>
      <c r="I692" s="49">
        <v>74.0</v>
      </c>
      <c r="J692" s="49">
        <v>30020.98</v>
      </c>
      <c r="K692" s="49">
        <v>30020.98</v>
      </c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>
      <c r="A693" s="48" t="s">
        <v>2476</v>
      </c>
      <c r="B693" s="48" t="s">
        <v>2477</v>
      </c>
      <c r="C693" s="48" t="s">
        <v>2478</v>
      </c>
      <c r="D693" s="48" t="s">
        <v>93</v>
      </c>
      <c r="E693" s="48" t="s">
        <v>99</v>
      </c>
      <c r="F693" s="48" t="s">
        <v>629</v>
      </c>
      <c r="G693" s="48" t="s">
        <v>630</v>
      </c>
      <c r="H693" s="49">
        <v>0.0276361973</v>
      </c>
      <c r="I693" s="49">
        <v>412.0</v>
      </c>
      <c r="J693" s="49">
        <v>29849.4</v>
      </c>
      <c r="K693" s="49">
        <v>29849.4</v>
      </c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>
      <c r="A694" s="48" t="s">
        <v>2479</v>
      </c>
      <c r="B694" s="49">
        <v>2909730.0</v>
      </c>
      <c r="C694" s="48" t="s">
        <v>2480</v>
      </c>
      <c r="D694" s="48" t="s">
        <v>93</v>
      </c>
      <c r="E694" s="48" t="s">
        <v>124</v>
      </c>
      <c r="F694" s="48" t="s">
        <v>622</v>
      </c>
      <c r="G694" s="48" t="s">
        <v>623</v>
      </c>
      <c r="H694" s="49">
        <v>0.0276357310999999</v>
      </c>
      <c r="I694" s="49">
        <v>361.0</v>
      </c>
      <c r="J694" s="49">
        <v>29848.89</v>
      </c>
      <c r="K694" s="49">
        <v>29848.89</v>
      </c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>
      <c r="A695" s="48" t="s">
        <v>2481</v>
      </c>
      <c r="B695" s="48" t="s">
        <v>2482</v>
      </c>
      <c r="C695" s="48" t="s">
        <v>2483</v>
      </c>
      <c r="D695" s="48" t="s">
        <v>93</v>
      </c>
      <c r="E695" s="48" t="s">
        <v>118</v>
      </c>
      <c r="F695" s="48" t="s">
        <v>622</v>
      </c>
      <c r="G695" s="48" t="s">
        <v>623</v>
      </c>
      <c r="H695" s="49">
        <v>0.0275841135999999</v>
      </c>
      <c r="I695" s="49">
        <v>417.0</v>
      </c>
      <c r="J695" s="49">
        <v>29793.14</v>
      </c>
      <c r="K695" s="49">
        <v>29793.14</v>
      </c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>
      <c r="A696" s="48" t="s">
        <v>2484</v>
      </c>
      <c r="B696" s="49">
        <v>5533976.0</v>
      </c>
      <c r="C696" s="48" t="s">
        <v>2485</v>
      </c>
      <c r="D696" s="48" t="s">
        <v>93</v>
      </c>
      <c r="E696" s="48" t="s">
        <v>121</v>
      </c>
      <c r="F696" s="48" t="s">
        <v>654</v>
      </c>
      <c r="G696" s="48" t="s">
        <v>655</v>
      </c>
      <c r="H696" s="49">
        <v>0.0274948785</v>
      </c>
      <c r="I696" s="49">
        <v>31.0</v>
      </c>
      <c r="J696" s="49">
        <v>29696.76</v>
      </c>
      <c r="K696" s="49">
        <v>29696.76</v>
      </c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>
      <c r="A697" s="48" t="s">
        <v>2486</v>
      </c>
      <c r="B697" s="49">
        <v>2884183.0</v>
      </c>
      <c r="C697" s="48" t="s">
        <v>2487</v>
      </c>
      <c r="D697" s="48" t="s">
        <v>93</v>
      </c>
      <c r="E697" s="48" t="s">
        <v>167</v>
      </c>
      <c r="F697" s="48" t="s">
        <v>622</v>
      </c>
      <c r="G697" s="48" t="s">
        <v>623</v>
      </c>
      <c r="H697" s="49">
        <v>0.0274558418</v>
      </c>
      <c r="I697" s="49">
        <v>199.0</v>
      </c>
      <c r="J697" s="49">
        <v>29654.6</v>
      </c>
      <c r="K697" s="49">
        <v>29654.6</v>
      </c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>
      <c r="A698" s="48" t="s">
        <v>2488</v>
      </c>
      <c r="B698" s="49">
        <v>6776606.0</v>
      </c>
      <c r="C698" s="48" t="s">
        <v>2489</v>
      </c>
      <c r="D698" s="48" t="s">
        <v>93</v>
      </c>
      <c r="E698" s="48" t="s">
        <v>102</v>
      </c>
      <c r="F698" s="48" t="s">
        <v>629</v>
      </c>
      <c r="G698" s="48" t="s">
        <v>630</v>
      </c>
      <c r="H698" s="49">
        <v>0.0274288564</v>
      </c>
      <c r="I698" s="49">
        <v>2013.0</v>
      </c>
      <c r="J698" s="49">
        <v>29625.45</v>
      </c>
      <c r="K698" s="49">
        <v>29625.45</v>
      </c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>
      <c r="A699" s="48" t="s">
        <v>2490</v>
      </c>
      <c r="B699" s="49">
        <v>2523044.0</v>
      </c>
      <c r="C699" s="48" t="s">
        <v>2491</v>
      </c>
      <c r="D699" s="48" t="s">
        <v>93</v>
      </c>
      <c r="E699" s="48" t="s">
        <v>118</v>
      </c>
      <c r="F699" s="48" t="s">
        <v>622</v>
      </c>
      <c r="G699" s="48" t="s">
        <v>623</v>
      </c>
      <c r="H699" s="49">
        <v>0.0274202852</v>
      </c>
      <c r="I699" s="49">
        <v>1315.0</v>
      </c>
      <c r="J699" s="49">
        <v>29616.19</v>
      </c>
      <c r="K699" s="49">
        <v>29616.19</v>
      </c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>
      <c r="A700" s="48" t="s">
        <v>2492</v>
      </c>
      <c r="B700" s="49">
        <v>6911485.0</v>
      </c>
      <c r="C700" s="48" t="s">
        <v>2493</v>
      </c>
      <c r="D700" s="48" t="s">
        <v>93</v>
      </c>
      <c r="E700" s="48" t="s">
        <v>124</v>
      </c>
      <c r="F700" s="48" t="s">
        <v>629</v>
      </c>
      <c r="G700" s="48" t="s">
        <v>630</v>
      </c>
      <c r="H700" s="49">
        <v>0.0272092928</v>
      </c>
      <c r="I700" s="49">
        <v>521.0</v>
      </c>
      <c r="J700" s="49">
        <v>29388.3</v>
      </c>
      <c r="K700" s="49">
        <v>29388.3</v>
      </c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>
      <c r="A701" s="48" t="s">
        <v>2494</v>
      </c>
      <c r="B701" s="49">
        <v>2554475.0</v>
      </c>
      <c r="C701" s="48" t="s">
        <v>2495</v>
      </c>
      <c r="D701" s="48" t="s">
        <v>93</v>
      </c>
      <c r="E701" s="48" t="s">
        <v>118</v>
      </c>
      <c r="F701" s="48" t="s">
        <v>694</v>
      </c>
      <c r="G701" s="48" t="s">
        <v>1003</v>
      </c>
      <c r="H701" s="49">
        <v>0.027133681</v>
      </c>
      <c r="I701" s="49">
        <v>349.0</v>
      </c>
      <c r="J701" s="49">
        <v>29306.64</v>
      </c>
      <c r="K701" s="49">
        <v>29306.64</v>
      </c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>
      <c r="A702" s="48" t="s">
        <v>2496</v>
      </c>
      <c r="B702" s="48" t="s">
        <v>2497</v>
      </c>
      <c r="C702" s="48" t="s">
        <v>2498</v>
      </c>
      <c r="D702" s="48" t="s">
        <v>93</v>
      </c>
      <c r="E702" s="48" t="s">
        <v>127</v>
      </c>
      <c r="F702" s="48" t="s">
        <v>622</v>
      </c>
      <c r="G702" s="48" t="s">
        <v>623</v>
      </c>
      <c r="H702" s="49">
        <v>0.0270976937</v>
      </c>
      <c r="I702" s="49">
        <v>255.0</v>
      </c>
      <c r="J702" s="49">
        <v>29267.77</v>
      </c>
      <c r="K702" s="49">
        <v>29267.77</v>
      </c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>
      <c r="A703" s="48" t="s">
        <v>2499</v>
      </c>
      <c r="B703" s="48" t="s">
        <v>2500</v>
      </c>
      <c r="C703" s="48" t="s">
        <v>2501</v>
      </c>
      <c r="D703" s="48" t="s">
        <v>93</v>
      </c>
      <c r="E703" s="48" t="s">
        <v>118</v>
      </c>
      <c r="F703" s="48" t="s">
        <v>622</v>
      </c>
      <c r="G703" s="48" t="s">
        <v>623</v>
      </c>
      <c r="H703" s="49">
        <v>0.0270607951</v>
      </c>
      <c r="I703" s="49">
        <v>871.0</v>
      </c>
      <c r="J703" s="49">
        <v>29227.91</v>
      </c>
      <c r="K703" s="49">
        <v>29227.91</v>
      </c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>
      <c r="A704" s="48" t="s">
        <v>2502</v>
      </c>
      <c r="B704" s="49">
        <v>6900580.0</v>
      </c>
      <c r="C704" s="48" t="s">
        <v>2503</v>
      </c>
      <c r="D704" s="48" t="s">
        <v>93</v>
      </c>
      <c r="E704" s="48" t="s">
        <v>127</v>
      </c>
      <c r="F704" s="48" t="s">
        <v>629</v>
      </c>
      <c r="G704" s="48" t="s">
        <v>630</v>
      </c>
      <c r="H704" s="49">
        <v>0.0269432781</v>
      </c>
      <c r="I704" s="49">
        <v>304.0</v>
      </c>
      <c r="J704" s="49">
        <v>29100.99</v>
      </c>
      <c r="K704" s="49">
        <v>29100.99</v>
      </c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>
      <c r="A705" s="48" t="s">
        <v>2504</v>
      </c>
      <c r="B705" s="49">
        <v>6805265.0</v>
      </c>
      <c r="C705" s="48" t="s">
        <v>2505</v>
      </c>
      <c r="D705" s="48" t="s">
        <v>93</v>
      </c>
      <c r="E705" s="48" t="s">
        <v>124</v>
      </c>
      <c r="F705" s="48" t="s">
        <v>629</v>
      </c>
      <c r="G705" s="48" t="s">
        <v>630</v>
      </c>
      <c r="H705" s="49">
        <v>0.0269187153999999</v>
      </c>
      <c r="I705" s="49">
        <v>498.0</v>
      </c>
      <c r="J705" s="49">
        <v>29074.46</v>
      </c>
      <c r="K705" s="49">
        <v>29074.46</v>
      </c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>
      <c r="A706" s="48" t="s">
        <v>2506</v>
      </c>
      <c r="B706" s="48" t="s">
        <v>2507</v>
      </c>
      <c r="C706" s="48" t="s">
        <v>2508</v>
      </c>
      <c r="D706" s="48" t="s">
        <v>93</v>
      </c>
      <c r="E706" s="48" t="s">
        <v>124</v>
      </c>
      <c r="F706" s="48" t="s">
        <v>629</v>
      </c>
      <c r="G706" s="48" t="s">
        <v>630</v>
      </c>
      <c r="H706" s="49">
        <v>0.0268999413</v>
      </c>
      <c r="I706" s="49">
        <v>592.0</v>
      </c>
      <c r="J706" s="49">
        <v>29054.18</v>
      </c>
      <c r="K706" s="49">
        <v>29054.18</v>
      </c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>
      <c r="A707" s="48" t="s">
        <v>2509</v>
      </c>
      <c r="B707" s="48" t="s">
        <v>2510</v>
      </c>
      <c r="C707" s="48" t="s">
        <v>2511</v>
      </c>
      <c r="D707" s="48" t="s">
        <v>93</v>
      </c>
      <c r="E707" s="48" t="s">
        <v>118</v>
      </c>
      <c r="F707" s="48" t="s">
        <v>622</v>
      </c>
      <c r="G707" s="48" t="s">
        <v>623</v>
      </c>
      <c r="H707" s="49">
        <v>0.0267780891999999</v>
      </c>
      <c r="I707" s="49">
        <v>182.0</v>
      </c>
      <c r="J707" s="49">
        <v>28922.57</v>
      </c>
      <c r="K707" s="49">
        <v>28922.57</v>
      </c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>
      <c r="A708" s="48" t="s">
        <v>2512</v>
      </c>
      <c r="B708" s="48" t="s">
        <v>2513</v>
      </c>
      <c r="C708" s="48" t="s">
        <v>2514</v>
      </c>
      <c r="D708" s="48" t="s">
        <v>93</v>
      </c>
      <c r="E708" s="48" t="s">
        <v>121</v>
      </c>
      <c r="F708" s="48" t="s">
        <v>622</v>
      </c>
      <c r="G708" s="48" t="s">
        <v>623</v>
      </c>
      <c r="H708" s="49">
        <v>0.0267560538999999</v>
      </c>
      <c r="I708" s="49">
        <v>701.0</v>
      </c>
      <c r="J708" s="49">
        <v>28898.77</v>
      </c>
      <c r="K708" s="49">
        <v>28898.77</v>
      </c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>
      <c r="A709" s="48" t="s">
        <v>2515</v>
      </c>
      <c r="B709" s="49">
        <v>6643960.0</v>
      </c>
      <c r="C709" s="48" t="s">
        <v>2516</v>
      </c>
      <c r="D709" s="48" t="s">
        <v>93</v>
      </c>
      <c r="E709" s="48" t="s">
        <v>127</v>
      </c>
      <c r="F709" s="48" t="s">
        <v>629</v>
      </c>
      <c r="G709" s="48" t="s">
        <v>630</v>
      </c>
      <c r="H709" s="49">
        <v>0.0267254012</v>
      </c>
      <c r="I709" s="49">
        <v>634.0</v>
      </c>
      <c r="J709" s="49">
        <v>28865.66</v>
      </c>
      <c r="K709" s="49">
        <v>28865.66</v>
      </c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>
      <c r="A710" s="48" t="s">
        <v>2517</v>
      </c>
      <c r="B710" s="49">
        <v>2954699.0</v>
      </c>
      <c r="C710" s="48" t="s">
        <v>2518</v>
      </c>
      <c r="D710" s="48" t="s">
        <v>93</v>
      </c>
      <c r="E710" s="48" t="s">
        <v>167</v>
      </c>
      <c r="F710" s="48" t="s">
        <v>622</v>
      </c>
      <c r="G710" s="48" t="s">
        <v>623</v>
      </c>
      <c r="H710" s="49">
        <v>0.0266775381</v>
      </c>
      <c r="I710" s="49">
        <v>416.0</v>
      </c>
      <c r="J710" s="49">
        <v>28813.97</v>
      </c>
      <c r="K710" s="49">
        <v>28813.97</v>
      </c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>
      <c r="A711" s="48" t="s">
        <v>2519</v>
      </c>
      <c r="B711" s="48" t="s">
        <v>2520</v>
      </c>
      <c r="C711" s="48" t="s">
        <v>2521</v>
      </c>
      <c r="D711" s="48" t="s">
        <v>93</v>
      </c>
      <c r="E711" s="48" t="s">
        <v>115</v>
      </c>
      <c r="F711" s="48" t="s">
        <v>629</v>
      </c>
      <c r="G711" s="48" t="s">
        <v>630</v>
      </c>
      <c r="H711" s="49">
        <v>0.0266238453</v>
      </c>
      <c r="I711" s="49">
        <v>1224.0</v>
      </c>
      <c r="J711" s="49">
        <v>28755.97</v>
      </c>
      <c r="K711" s="49">
        <v>28755.97</v>
      </c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>
      <c r="A712" s="48" t="s">
        <v>2522</v>
      </c>
      <c r="B712" s="48" t="s">
        <v>2523</v>
      </c>
      <c r="C712" s="48" t="s">
        <v>2524</v>
      </c>
      <c r="D712" s="48" t="s">
        <v>93</v>
      </c>
      <c r="E712" s="48" t="s">
        <v>99</v>
      </c>
      <c r="F712" s="48" t="s">
        <v>1201</v>
      </c>
      <c r="G712" s="48" t="s">
        <v>640</v>
      </c>
      <c r="H712" s="49">
        <v>0.0265929736</v>
      </c>
      <c r="I712" s="49">
        <v>4730.0</v>
      </c>
      <c r="J712" s="49">
        <v>28722.63</v>
      </c>
      <c r="K712" s="49">
        <v>28722.63</v>
      </c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>
      <c r="A713" s="48" t="s">
        <v>2525</v>
      </c>
      <c r="B713" s="49">
        <v>6869302.0</v>
      </c>
      <c r="C713" s="48" t="s">
        <v>661</v>
      </c>
      <c r="D713" s="48" t="s">
        <v>93</v>
      </c>
      <c r="E713" s="48" t="s">
        <v>167</v>
      </c>
      <c r="F713" s="48" t="s">
        <v>629</v>
      </c>
      <c r="G713" s="48" t="s">
        <v>630</v>
      </c>
      <c r="H713" s="49">
        <v>0.0263460675</v>
      </c>
      <c r="I713" s="49">
        <v>482.0</v>
      </c>
      <c r="J713" s="49">
        <v>28455.95</v>
      </c>
      <c r="K713" s="49">
        <v>28455.95</v>
      </c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>
      <c r="A714" s="48" t="s">
        <v>2526</v>
      </c>
      <c r="B714" s="48" t="s">
        <v>2527</v>
      </c>
      <c r="C714" s="48" t="s">
        <v>2528</v>
      </c>
      <c r="D714" s="48" t="s">
        <v>93</v>
      </c>
      <c r="E714" s="48" t="s">
        <v>127</v>
      </c>
      <c r="F714" s="48" t="s">
        <v>686</v>
      </c>
      <c r="G714" s="48" t="s">
        <v>640</v>
      </c>
      <c r="H714" s="49">
        <v>0.0261793617</v>
      </c>
      <c r="I714" s="49">
        <v>422.0</v>
      </c>
      <c r="J714" s="49">
        <v>28275.89</v>
      </c>
      <c r="K714" s="49">
        <v>28275.89</v>
      </c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>
      <c r="A715" s="48" t="s">
        <v>2529</v>
      </c>
      <c r="B715" s="49">
        <v>6900546.0</v>
      </c>
      <c r="C715" s="48" t="s">
        <v>2530</v>
      </c>
      <c r="D715" s="48" t="s">
        <v>93</v>
      </c>
      <c r="E715" s="48" t="s">
        <v>127</v>
      </c>
      <c r="F715" s="48" t="s">
        <v>629</v>
      </c>
      <c r="G715" s="48" t="s">
        <v>630</v>
      </c>
      <c r="H715" s="49">
        <v>0.0260592742</v>
      </c>
      <c r="I715" s="49">
        <v>218.0</v>
      </c>
      <c r="J715" s="49">
        <v>28146.19</v>
      </c>
      <c r="K715" s="49">
        <v>28146.19</v>
      </c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>
      <c r="A716" s="48" t="s">
        <v>2531</v>
      </c>
      <c r="B716" s="48" t="s">
        <v>2532</v>
      </c>
      <c r="C716" s="48" t="s">
        <v>2533</v>
      </c>
      <c r="D716" s="48" t="s">
        <v>93</v>
      </c>
      <c r="E716" s="48" t="s">
        <v>127</v>
      </c>
      <c r="F716" s="48" t="s">
        <v>622</v>
      </c>
      <c r="G716" s="48" t="s">
        <v>623</v>
      </c>
      <c r="H716" s="49">
        <v>0.0260564103999999</v>
      </c>
      <c r="I716" s="49">
        <v>69.0</v>
      </c>
      <c r="J716" s="49">
        <v>28143.1</v>
      </c>
      <c r="K716" s="49">
        <v>28143.1</v>
      </c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>
      <c r="A717" s="48" t="s">
        <v>2534</v>
      </c>
      <c r="B717" s="49">
        <v>6640400.0</v>
      </c>
      <c r="C717" s="48" t="s">
        <v>2535</v>
      </c>
      <c r="D717" s="48" t="s">
        <v>93</v>
      </c>
      <c r="E717" s="48" t="s">
        <v>167</v>
      </c>
      <c r="F717" s="48" t="s">
        <v>629</v>
      </c>
      <c r="G717" s="48" t="s">
        <v>630</v>
      </c>
      <c r="H717" s="49">
        <v>0.0259773821</v>
      </c>
      <c r="I717" s="49">
        <v>323.0</v>
      </c>
      <c r="J717" s="49">
        <v>28057.74</v>
      </c>
      <c r="K717" s="49">
        <v>28057.74</v>
      </c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>
      <c r="A718" s="48" t="s">
        <v>2536</v>
      </c>
      <c r="B718" s="49">
        <v>2094670.0</v>
      </c>
      <c r="C718" s="48" t="s">
        <v>2537</v>
      </c>
      <c r="D718" s="48" t="s">
        <v>93</v>
      </c>
      <c r="E718" s="48" t="s">
        <v>118</v>
      </c>
      <c r="F718" s="48" t="s">
        <v>622</v>
      </c>
      <c r="G718" s="48" t="s">
        <v>623</v>
      </c>
      <c r="H718" s="49">
        <v>0.0259238528</v>
      </c>
      <c r="I718" s="49">
        <v>255.0</v>
      </c>
      <c r="J718" s="49">
        <v>27999.92</v>
      </c>
      <c r="K718" s="49">
        <v>27999.92</v>
      </c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>
      <c r="A719" s="48" t="s">
        <v>2538</v>
      </c>
      <c r="B719" s="49">
        <v>2316619.0</v>
      </c>
      <c r="C719" s="48" t="s">
        <v>2539</v>
      </c>
      <c r="D719" s="48" t="s">
        <v>93</v>
      </c>
      <c r="E719" s="48" t="s">
        <v>133</v>
      </c>
      <c r="F719" s="48" t="s">
        <v>622</v>
      </c>
      <c r="G719" s="48" t="s">
        <v>623</v>
      </c>
      <c r="H719" s="49">
        <v>0.0259235786</v>
      </c>
      <c r="I719" s="49">
        <v>82.0</v>
      </c>
      <c r="J719" s="49">
        <v>27999.63</v>
      </c>
      <c r="K719" s="49">
        <v>27999.63</v>
      </c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>
      <c r="A720" s="48" t="s">
        <v>2540</v>
      </c>
      <c r="B720" s="48" t="s">
        <v>2541</v>
      </c>
      <c r="C720" s="48" t="s">
        <v>2542</v>
      </c>
      <c r="D720" s="48" t="s">
        <v>93</v>
      </c>
      <c r="E720" s="48" t="s">
        <v>127</v>
      </c>
      <c r="F720" s="48" t="s">
        <v>822</v>
      </c>
      <c r="G720" s="48" t="s">
        <v>646</v>
      </c>
      <c r="H720" s="49">
        <v>0.0257891655</v>
      </c>
      <c r="I720" s="49">
        <v>1791.0</v>
      </c>
      <c r="J720" s="49">
        <v>27854.45</v>
      </c>
      <c r="K720" s="49">
        <v>27854.45</v>
      </c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>
      <c r="A721" s="48" t="s">
        <v>2543</v>
      </c>
      <c r="B721" s="48" t="s">
        <v>2544</v>
      </c>
      <c r="C721" s="48" t="s">
        <v>2545</v>
      </c>
      <c r="D721" s="48" t="s">
        <v>93</v>
      </c>
      <c r="E721" s="48" t="s">
        <v>102</v>
      </c>
      <c r="F721" s="48" t="s">
        <v>622</v>
      </c>
      <c r="G721" s="48" t="s">
        <v>623</v>
      </c>
      <c r="H721" s="49">
        <v>0.0257726366</v>
      </c>
      <c r="I721" s="49">
        <v>828.0</v>
      </c>
      <c r="J721" s="49">
        <v>27836.6</v>
      </c>
      <c r="K721" s="49">
        <v>27836.6</v>
      </c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>
      <c r="A722" s="48" t="s">
        <v>2546</v>
      </c>
      <c r="B722" s="49">
        <v>2159795.0</v>
      </c>
      <c r="C722" s="48" t="s">
        <v>2547</v>
      </c>
      <c r="D722" s="48" t="s">
        <v>93</v>
      </c>
      <c r="E722" s="48" t="s">
        <v>94</v>
      </c>
      <c r="F722" s="48" t="s">
        <v>694</v>
      </c>
      <c r="G722" s="48" t="s">
        <v>1003</v>
      </c>
      <c r="H722" s="49">
        <v>0.0257032208</v>
      </c>
      <c r="I722" s="49">
        <v>425.0</v>
      </c>
      <c r="J722" s="49">
        <v>27761.62</v>
      </c>
      <c r="K722" s="49">
        <v>27761.62</v>
      </c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>
      <c r="A723" s="48" t="s">
        <v>735</v>
      </c>
      <c r="B723" s="48" t="s">
        <v>736</v>
      </c>
      <c r="C723" s="48" t="s">
        <v>737</v>
      </c>
      <c r="D723" s="48" t="s">
        <v>93</v>
      </c>
      <c r="E723" s="48" t="s">
        <v>121</v>
      </c>
      <c r="F723" s="48" t="s">
        <v>738</v>
      </c>
      <c r="G723" s="48" t="s">
        <v>623</v>
      </c>
      <c r="H723" s="49">
        <v>0.0256792575</v>
      </c>
      <c r="I723" s="49">
        <v>495.0</v>
      </c>
      <c r="J723" s="49">
        <v>27735.74</v>
      </c>
      <c r="K723" s="49">
        <v>27735.74</v>
      </c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>
      <c r="A724" s="48" t="s">
        <v>2548</v>
      </c>
      <c r="B724" s="49">
        <v>766937.0</v>
      </c>
      <c r="C724" s="48" t="s">
        <v>2549</v>
      </c>
      <c r="D724" s="48" t="s">
        <v>93</v>
      </c>
      <c r="E724" s="48" t="s">
        <v>99</v>
      </c>
      <c r="F724" s="48" t="s">
        <v>918</v>
      </c>
      <c r="G724" s="48" t="s">
        <v>908</v>
      </c>
      <c r="H724" s="49">
        <v>0.0255571306</v>
      </c>
      <c r="I724" s="49">
        <v>1726.0</v>
      </c>
      <c r="J724" s="49">
        <v>27603.83</v>
      </c>
      <c r="K724" s="49">
        <v>27603.83</v>
      </c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>
      <c r="A725" s="48" t="s">
        <v>2550</v>
      </c>
      <c r="B725" s="48" t="s">
        <v>2551</v>
      </c>
      <c r="C725" s="48" t="s">
        <v>2552</v>
      </c>
      <c r="D725" s="48" t="s">
        <v>93</v>
      </c>
      <c r="E725" s="48" t="s">
        <v>124</v>
      </c>
      <c r="F725" s="48" t="s">
        <v>1352</v>
      </c>
      <c r="G725" s="48" t="s">
        <v>640</v>
      </c>
      <c r="H725" s="49">
        <v>0.0255522295</v>
      </c>
      <c r="I725" s="49">
        <v>1447.0</v>
      </c>
      <c r="J725" s="49">
        <v>27598.54</v>
      </c>
      <c r="K725" s="49">
        <v>27598.54</v>
      </c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>
      <c r="A726" s="48" t="s">
        <v>2553</v>
      </c>
      <c r="B726" s="48" t="s">
        <v>2554</v>
      </c>
      <c r="C726" s="48" t="s">
        <v>2555</v>
      </c>
      <c r="D726" s="48" t="s">
        <v>93</v>
      </c>
      <c r="E726" s="48" t="s">
        <v>133</v>
      </c>
      <c r="F726" s="48" t="s">
        <v>918</v>
      </c>
      <c r="G726" s="48" t="s">
        <v>908</v>
      </c>
      <c r="H726" s="49">
        <v>0.0255515824</v>
      </c>
      <c r="I726" s="49">
        <v>1930.0</v>
      </c>
      <c r="J726" s="49">
        <v>27597.84</v>
      </c>
      <c r="K726" s="49">
        <v>27597.84</v>
      </c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>
      <c r="A727" s="48" t="s">
        <v>2556</v>
      </c>
      <c r="B727" s="49">
        <v>6421553.0</v>
      </c>
      <c r="C727" s="48" t="s">
        <v>2557</v>
      </c>
      <c r="D727" s="48" t="s">
        <v>93</v>
      </c>
      <c r="E727" s="48" t="s">
        <v>99</v>
      </c>
      <c r="F727" s="48" t="s">
        <v>629</v>
      </c>
      <c r="G727" s="48" t="s">
        <v>630</v>
      </c>
      <c r="H727" s="49">
        <v>0.0253262792</v>
      </c>
      <c r="I727" s="49">
        <v>3003.0</v>
      </c>
      <c r="J727" s="49">
        <v>27354.49</v>
      </c>
      <c r="K727" s="49">
        <v>27354.49</v>
      </c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>
      <c r="A728" s="48" t="s">
        <v>2558</v>
      </c>
      <c r="B728" s="49">
        <v>2181334.0</v>
      </c>
      <c r="C728" s="48" t="s">
        <v>2559</v>
      </c>
      <c r="D728" s="48" t="s">
        <v>93</v>
      </c>
      <c r="E728" s="48" t="s">
        <v>167</v>
      </c>
      <c r="F728" s="48" t="s">
        <v>679</v>
      </c>
      <c r="G728" s="48" t="s">
        <v>623</v>
      </c>
      <c r="H728" s="49">
        <v>0.0252924939</v>
      </c>
      <c r="I728" s="49">
        <v>129.0</v>
      </c>
      <c r="J728" s="49">
        <v>27318.0</v>
      </c>
      <c r="K728" s="49">
        <v>27318.0</v>
      </c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>
      <c r="A729" s="48" t="s">
        <v>2560</v>
      </c>
      <c r="B729" s="49">
        <v>2215460.0</v>
      </c>
      <c r="C729" s="48" t="s">
        <v>2561</v>
      </c>
      <c r="D729" s="48" t="s">
        <v>93</v>
      </c>
      <c r="E729" s="48" t="s">
        <v>124</v>
      </c>
      <c r="F729" s="48" t="s">
        <v>622</v>
      </c>
      <c r="G729" s="48" t="s">
        <v>623</v>
      </c>
      <c r="H729" s="49">
        <v>0.025260545</v>
      </c>
      <c r="I729" s="49">
        <v>603.0</v>
      </c>
      <c r="J729" s="49">
        <v>27283.49</v>
      </c>
      <c r="K729" s="49">
        <v>27283.49</v>
      </c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>
      <c r="A730" s="48" t="s">
        <v>2562</v>
      </c>
      <c r="B730" s="49">
        <v>4162791.0</v>
      </c>
      <c r="C730" s="48" t="s">
        <v>2563</v>
      </c>
      <c r="D730" s="48" t="s">
        <v>93</v>
      </c>
      <c r="E730" s="48" t="s">
        <v>127</v>
      </c>
      <c r="F730" s="48" t="s">
        <v>639</v>
      </c>
      <c r="G730" s="48" t="s">
        <v>640</v>
      </c>
      <c r="H730" s="49">
        <v>0.0252406477</v>
      </c>
      <c r="I730" s="49">
        <v>122.0</v>
      </c>
      <c r="J730" s="49">
        <v>27262.0</v>
      </c>
      <c r="K730" s="49">
        <v>27262.0</v>
      </c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>
      <c r="A731" s="48" t="s">
        <v>2564</v>
      </c>
      <c r="B731" s="48" t="s">
        <v>2565</v>
      </c>
      <c r="C731" s="48" t="s">
        <v>1739</v>
      </c>
      <c r="D731" s="48" t="s">
        <v>93</v>
      </c>
      <c r="E731" s="48" t="s">
        <v>99</v>
      </c>
      <c r="F731" s="48" t="s">
        <v>1740</v>
      </c>
      <c r="G731" s="48" t="s">
        <v>1741</v>
      </c>
      <c r="H731" s="49">
        <v>0.0251615537999999</v>
      </c>
      <c r="I731" s="49">
        <v>911.0</v>
      </c>
      <c r="J731" s="49">
        <v>27176.58</v>
      </c>
      <c r="K731" s="49">
        <v>27176.58</v>
      </c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>
      <c r="A732" s="48" t="s">
        <v>2566</v>
      </c>
      <c r="B732" s="49">
        <v>2697701.0</v>
      </c>
      <c r="C732" s="48" t="s">
        <v>2567</v>
      </c>
      <c r="D732" s="48" t="s">
        <v>93</v>
      </c>
      <c r="E732" s="48" t="s">
        <v>99</v>
      </c>
      <c r="F732" s="48" t="s">
        <v>694</v>
      </c>
      <c r="G732" s="48" t="s">
        <v>1003</v>
      </c>
      <c r="H732" s="49">
        <v>0.0251445285</v>
      </c>
      <c r="I732" s="49">
        <v>630.0</v>
      </c>
      <c r="J732" s="49">
        <v>27158.19</v>
      </c>
      <c r="K732" s="49">
        <v>27158.19</v>
      </c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>
      <c r="A733" s="48" t="s">
        <v>2568</v>
      </c>
      <c r="B733" s="49">
        <v>2347608.0</v>
      </c>
      <c r="C733" s="48" t="s">
        <v>2569</v>
      </c>
      <c r="D733" s="48" t="s">
        <v>93</v>
      </c>
      <c r="E733" s="48" t="s">
        <v>94</v>
      </c>
      <c r="F733" s="48" t="s">
        <v>2570</v>
      </c>
      <c r="G733" s="48" t="s">
        <v>1003</v>
      </c>
      <c r="H733" s="49">
        <v>0.0251284909</v>
      </c>
      <c r="I733" s="49">
        <v>718.0</v>
      </c>
      <c r="J733" s="49">
        <v>27140.86</v>
      </c>
      <c r="K733" s="49">
        <v>27140.86</v>
      </c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>
      <c r="A734" s="48" t="s">
        <v>2571</v>
      </c>
      <c r="B734" s="49">
        <v>6431897.0</v>
      </c>
      <c r="C734" s="48" t="s">
        <v>2572</v>
      </c>
      <c r="D734" s="48" t="s">
        <v>93</v>
      </c>
      <c r="E734" s="48" t="s">
        <v>99</v>
      </c>
      <c r="F734" s="48" t="s">
        <v>629</v>
      </c>
      <c r="G734" s="48" t="s">
        <v>630</v>
      </c>
      <c r="H734" s="49">
        <v>0.0251213046</v>
      </c>
      <c r="I734" s="49">
        <v>425.0</v>
      </c>
      <c r="J734" s="49">
        <v>27133.1</v>
      </c>
      <c r="K734" s="49">
        <v>27133.1</v>
      </c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>
      <c r="A735" s="48" t="s">
        <v>2573</v>
      </c>
      <c r="B735" s="48" t="s">
        <v>2574</v>
      </c>
      <c r="C735" s="48" t="s">
        <v>2575</v>
      </c>
      <c r="D735" s="48" t="s">
        <v>93</v>
      </c>
      <c r="E735" s="48" t="s">
        <v>167</v>
      </c>
      <c r="F735" s="48" t="s">
        <v>622</v>
      </c>
      <c r="G735" s="48" t="s">
        <v>623</v>
      </c>
      <c r="H735" s="49">
        <v>0.0251210607999999</v>
      </c>
      <c r="I735" s="49">
        <v>117.0</v>
      </c>
      <c r="J735" s="49">
        <v>27132.84</v>
      </c>
      <c r="K735" s="49">
        <v>27132.84</v>
      </c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>
      <c r="A736" s="48" t="s">
        <v>2576</v>
      </c>
      <c r="B736" s="48" t="s">
        <v>2577</v>
      </c>
      <c r="C736" s="48" t="s">
        <v>2578</v>
      </c>
      <c r="D736" s="48" t="s">
        <v>93</v>
      </c>
      <c r="E736" s="48" t="s">
        <v>102</v>
      </c>
      <c r="F736" s="48" t="s">
        <v>883</v>
      </c>
      <c r="G736" s="48" t="s">
        <v>884</v>
      </c>
      <c r="H736" s="49">
        <v>0.0250677788</v>
      </c>
      <c r="I736" s="49">
        <v>159.0</v>
      </c>
      <c r="J736" s="49">
        <v>27075.29</v>
      </c>
      <c r="K736" s="49">
        <v>27075.29</v>
      </c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>
      <c r="A737" s="48" t="s">
        <v>2579</v>
      </c>
      <c r="B737" s="49">
        <v>7262610.0</v>
      </c>
      <c r="C737" s="48" t="s">
        <v>2580</v>
      </c>
      <c r="D737" s="48" t="s">
        <v>93</v>
      </c>
      <c r="E737" s="48" t="s">
        <v>99</v>
      </c>
      <c r="F737" s="48" t="s">
        <v>639</v>
      </c>
      <c r="G737" s="48" t="s">
        <v>640</v>
      </c>
      <c r="H737" s="49">
        <v>0.0250357753</v>
      </c>
      <c r="I737" s="49">
        <v>1393.0</v>
      </c>
      <c r="J737" s="49">
        <v>27040.72</v>
      </c>
      <c r="K737" s="49">
        <v>27040.72</v>
      </c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>
      <c r="A738" s="48" t="s">
        <v>2581</v>
      </c>
      <c r="B738" s="48" t="s">
        <v>2582</v>
      </c>
      <c r="C738" s="48" t="s">
        <v>2583</v>
      </c>
      <c r="D738" s="48" t="s">
        <v>93</v>
      </c>
      <c r="E738" s="48" t="s">
        <v>127</v>
      </c>
      <c r="F738" s="48" t="s">
        <v>654</v>
      </c>
      <c r="G738" s="48" t="s">
        <v>655</v>
      </c>
      <c r="H738" s="49">
        <v>0.0250273583</v>
      </c>
      <c r="I738" s="49">
        <v>199.0</v>
      </c>
      <c r="J738" s="49">
        <v>27031.63</v>
      </c>
      <c r="K738" s="49">
        <v>27031.63</v>
      </c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>
      <c r="A739" s="48" t="s">
        <v>2584</v>
      </c>
      <c r="B739" s="48" t="s">
        <v>2585</v>
      </c>
      <c r="C739" s="48" t="s">
        <v>2586</v>
      </c>
      <c r="D739" s="48" t="s">
        <v>93</v>
      </c>
      <c r="E739" s="48"/>
      <c r="F739" s="48" t="s">
        <v>668</v>
      </c>
      <c r="G739" s="48" t="s">
        <v>640</v>
      </c>
      <c r="H739" s="49">
        <v>0.025011453</v>
      </c>
      <c r="I739" s="49">
        <v>542.0</v>
      </c>
      <c r="J739" s="49">
        <v>27014.45</v>
      </c>
      <c r="K739" s="49">
        <v>27014.45</v>
      </c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>
      <c r="A740" s="48" t="s">
        <v>2587</v>
      </c>
      <c r="B740" s="49">
        <v>4352097.0</v>
      </c>
      <c r="C740" s="48" t="s">
        <v>2588</v>
      </c>
      <c r="D740" s="48" t="s">
        <v>93</v>
      </c>
      <c r="E740" s="48" t="s">
        <v>102</v>
      </c>
      <c r="F740" s="48" t="s">
        <v>649</v>
      </c>
      <c r="G740" s="48" t="s">
        <v>640</v>
      </c>
      <c r="H740" s="49">
        <v>0.0249793811</v>
      </c>
      <c r="I740" s="49">
        <v>523.0</v>
      </c>
      <c r="J740" s="49">
        <v>26979.81</v>
      </c>
      <c r="K740" s="49">
        <v>26979.81</v>
      </c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>
      <c r="A741" s="48" t="s">
        <v>2589</v>
      </c>
      <c r="B741" s="49">
        <v>2702791.0</v>
      </c>
      <c r="C741" s="48" t="s">
        <v>2590</v>
      </c>
      <c r="D741" s="48" t="s">
        <v>93</v>
      </c>
      <c r="E741" s="48" t="s">
        <v>102</v>
      </c>
      <c r="F741" s="48" t="s">
        <v>622</v>
      </c>
      <c r="G741" s="48" t="s">
        <v>623</v>
      </c>
      <c r="H741" s="49">
        <v>0.0249542019999999</v>
      </c>
      <c r="I741" s="49">
        <v>140.0</v>
      </c>
      <c r="J741" s="49">
        <v>26952.62</v>
      </c>
      <c r="K741" s="49">
        <v>26952.62</v>
      </c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>
      <c r="A742" s="48" t="s">
        <v>2591</v>
      </c>
      <c r="B742" s="49">
        <v>6075808.0</v>
      </c>
      <c r="C742" s="48" t="s">
        <v>2592</v>
      </c>
      <c r="D742" s="48" t="s">
        <v>93</v>
      </c>
      <c r="E742" s="48" t="s">
        <v>99</v>
      </c>
      <c r="F742" s="48" t="s">
        <v>679</v>
      </c>
      <c r="G742" s="48" t="s">
        <v>2438</v>
      </c>
      <c r="H742" s="49">
        <v>0.0249363266</v>
      </c>
      <c r="I742" s="49">
        <v>2016.0</v>
      </c>
      <c r="J742" s="49">
        <v>26933.31</v>
      </c>
      <c r="K742" s="49">
        <v>26933.31</v>
      </c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>
      <c r="A743" s="48" t="s">
        <v>2593</v>
      </c>
      <c r="B743" s="48" t="s">
        <v>2594</v>
      </c>
      <c r="C743" s="48" t="s">
        <v>2595</v>
      </c>
      <c r="D743" s="48" t="s">
        <v>93</v>
      </c>
      <c r="E743" s="48" t="s">
        <v>127</v>
      </c>
      <c r="F743" s="48" t="s">
        <v>918</v>
      </c>
      <c r="G743" s="48" t="s">
        <v>646</v>
      </c>
      <c r="H743" s="49">
        <v>0.0249007529</v>
      </c>
      <c r="I743" s="49">
        <v>3280.0</v>
      </c>
      <c r="J743" s="49">
        <v>26894.89</v>
      </c>
      <c r="K743" s="49">
        <v>26894.89</v>
      </c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>
      <c r="A744" s="48" t="s">
        <v>2596</v>
      </c>
      <c r="B744" s="49">
        <v>6097017.0</v>
      </c>
      <c r="C744" s="48" t="s">
        <v>2597</v>
      </c>
      <c r="D744" s="48" t="s">
        <v>93</v>
      </c>
      <c r="E744" s="48" t="s">
        <v>170</v>
      </c>
      <c r="F744" s="48" t="s">
        <v>822</v>
      </c>
      <c r="G744" s="48" t="s">
        <v>646</v>
      </c>
      <c r="H744" s="49">
        <v>0.0248561344</v>
      </c>
      <c r="I744" s="49">
        <v>2309.0</v>
      </c>
      <c r="J744" s="49">
        <v>26846.7</v>
      </c>
      <c r="K744" s="49">
        <v>26846.7</v>
      </c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>
      <c r="A745" s="48" t="s">
        <v>2598</v>
      </c>
      <c r="B745" s="48" t="s">
        <v>2599</v>
      </c>
      <c r="C745" s="48" t="s">
        <v>2600</v>
      </c>
      <c r="D745" s="48" t="s">
        <v>93</v>
      </c>
      <c r="E745" s="48" t="s">
        <v>94</v>
      </c>
      <c r="F745" s="48" t="s">
        <v>622</v>
      </c>
      <c r="G745" s="48" t="s">
        <v>623</v>
      </c>
      <c r="H745" s="49">
        <v>0.0247812537</v>
      </c>
      <c r="I745" s="49">
        <v>137.0</v>
      </c>
      <c r="J745" s="49">
        <v>26765.82</v>
      </c>
      <c r="K745" s="49">
        <v>26765.82</v>
      </c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>
      <c r="A746" s="48" t="s">
        <v>2601</v>
      </c>
      <c r="B746" s="49">
        <v>4519579.0</v>
      </c>
      <c r="C746" s="48" t="s">
        <v>2602</v>
      </c>
      <c r="D746" s="48" t="s">
        <v>93</v>
      </c>
      <c r="E746" s="48" t="s">
        <v>124</v>
      </c>
      <c r="F746" s="48" t="s">
        <v>1666</v>
      </c>
      <c r="G746" s="48" t="s">
        <v>640</v>
      </c>
      <c r="H746" s="49">
        <v>0.024740111</v>
      </c>
      <c r="I746" s="49">
        <v>195.0</v>
      </c>
      <c r="J746" s="49">
        <v>26721.38</v>
      </c>
      <c r="K746" s="49">
        <v>26721.38</v>
      </c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>
      <c r="A747" s="48" t="s">
        <v>2603</v>
      </c>
      <c r="B747" s="48" t="s">
        <v>2604</v>
      </c>
      <c r="C747" s="48" t="s">
        <v>2605</v>
      </c>
      <c r="D747" s="48" t="s">
        <v>93</v>
      </c>
      <c r="E747" s="48" t="s">
        <v>121</v>
      </c>
      <c r="F747" s="48" t="s">
        <v>918</v>
      </c>
      <c r="G747" s="48" t="s">
        <v>908</v>
      </c>
      <c r="H747" s="49">
        <v>0.0246746759</v>
      </c>
      <c r="I747" s="49">
        <v>1844.0</v>
      </c>
      <c r="J747" s="49">
        <v>26650.71</v>
      </c>
      <c r="K747" s="49">
        <v>26650.71</v>
      </c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>
      <c r="A748" s="48" t="s">
        <v>2606</v>
      </c>
      <c r="B748" s="49">
        <v>2818740.0</v>
      </c>
      <c r="C748" s="48" t="s">
        <v>2607</v>
      </c>
      <c r="D748" s="48" t="s">
        <v>93</v>
      </c>
      <c r="E748" s="48" t="s">
        <v>127</v>
      </c>
      <c r="F748" s="48" t="s">
        <v>622</v>
      </c>
      <c r="G748" s="48" t="s">
        <v>623</v>
      </c>
      <c r="H748" s="49">
        <v>0.0246678740999999</v>
      </c>
      <c r="I748" s="49">
        <v>67.0</v>
      </c>
      <c r="J748" s="49">
        <v>26643.36</v>
      </c>
      <c r="K748" s="49">
        <v>26643.36</v>
      </c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>
      <c r="A749" s="48" t="s">
        <v>2608</v>
      </c>
      <c r="B749" s="48" t="s">
        <v>2609</v>
      </c>
      <c r="C749" s="48" t="s">
        <v>2610</v>
      </c>
      <c r="D749" s="48" t="s">
        <v>93</v>
      </c>
      <c r="E749" s="48" t="s">
        <v>127</v>
      </c>
      <c r="F749" s="48" t="s">
        <v>622</v>
      </c>
      <c r="G749" s="48" t="s">
        <v>623</v>
      </c>
      <c r="H749" s="49">
        <v>0.0246673257</v>
      </c>
      <c r="I749" s="49">
        <v>185.0</v>
      </c>
      <c r="J749" s="49">
        <v>26642.77</v>
      </c>
      <c r="K749" s="49">
        <v>26642.77</v>
      </c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>
      <c r="A750" s="48" t="s">
        <v>2611</v>
      </c>
      <c r="B750" s="48" t="s">
        <v>2612</v>
      </c>
      <c r="C750" s="48" t="s">
        <v>2613</v>
      </c>
      <c r="D750" s="48" t="s">
        <v>93</v>
      </c>
      <c r="E750" s="48" t="s">
        <v>124</v>
      </c>
      <c r="F750" s="48" t="s">
        <v>918</v>
      </c>
      <c r="G750" s="48" t="s">
        <v>623</v>
      </c>
      <c r="H750" s="49">
        <v>0.0246240345</v>
      </c>
      <c r="I750" s="49">
        <v>270.0</v>
      </c>
      <c r="J750" s="49">
        <v>26596.01</v>
      </c>
      <c r="K750" s="49">
        <v>26596.01</v>
      </c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>
      <c r="A751" s="48" t="s">
        <v>2614</v>
      </c>
      <c r="B751" s="49">
        <v>7251470.0</v>
      </c>
      <c r="C751" s="48" t="s">
        <v>2615</v>
      </c>
      <c r="D751" s="48" t="s">
        <v>93</v>
      </c>
      <c r="E751" s="48" t="s">
        <v>170</v>
      </c>
      <c r="F751" s="48" t="s">
        <v>1352</v>
      </c>
      <c r="G751" s="48" t="s">
        <v>640</v>
      </c>
      <c r="H751" s="49">
        <v>0.0246237878</v>
      </c>
      <c r="I751" s="49">
        <v>3398.0</v>
      </c>
      <c r="J751" s="49">
        <v>26595.74</v>
      </c>
      <c r="K751" s="49">
        <v>26595.74</v>
      </c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>
      <c r="A752" s="48" t="s">
        <v>2616</v>
      </c>
      <c r="B752" s="48" t="s">
        <v>2617</v>
      </c>
      <c r="C752" s="48" t="s">
        <v>2618</v>
      </c>
      <c r="D752" s="48" t="s">
        <v>93</v>
      </c>
      <c r="E752" s="48" t="s">
        <v>99</v>
      </c>
      <c r="F752" s="48" t="s">
        <v>1740</v>
      </c>
      <c r="G752" s="48" t="s">
        <v>1741</v>
      </c>
      <c r="H752" s="49">
        <v>0.0245894848</v>
      </c>
      <c r="I752" s="49">
        <v>1913.0</v>
      </c>
      <c r="J752" s="49">
        <v>26558.69</v>
      </c>
      <c r="K752" s="49">
        <v>26558.69</v>
      </c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>
      <c r="A753" s="48" t="s">
        <v>2619</v>
      </c>
      <c r="B753" s="48" t="s">
        <v>2620</v>
      </c>
      <c r="C753" s="48" t="s">
        <v>2621</v>
      </c>
      <c r="D753" s="48" t="s">
        <v>93</v>
      </c>
      <c r="E753" s="48" t="s">
        <v>118</v>
      </c>
      <c r="F753" s="48" t="s">
        <v>622</v>
      </c>
      <c r="G753" s="48" t="s">
        <v>623</v>
      </c>
      <c r="H753" s="49">
        <v>0.0245493572</v>
      </c>
      <c r="I753" s="49">
        <v>45.0</v>
      </c>
      <c r="J753" s="49">
        <v>26515.35</v>
      </c>
      <c r="K753" s="49">
        <v>26515.35</v>
      </c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>
      <c r="A754" s="48" t="s">
        <v>2622</v>
      </c>
      <c r="B754" s="49">
        <v>6895200.0</v>
      </c>
      <c r="C754" s="48" t="s">
        <v>2623</v>
      </c>
      <c r="D754" s="48" t="s">
        <v>93</v>
      </c>
      <c r="E754" s="48" t="s">
        <v>121</v>
      </c>
      <c r="F754" s="48" t="s">
        <v>629</v>
      </c>
      <c r="G754" s="48" t="s">
        <v>630</v>
      </c>
      <c r="H754" s="49">
        <v>0.0245393086999999</v>
      </c>
      <c r="I754" s="49">
        <v>465.0</v>
      </c>
      <c r="J754" s="49">
        <v>26504.5</v>
      </c>
      <c r="K754" s="49">
        <v>26504.5</v>
      </c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>
      <c r="A755" s="48" t="s">
        <v>2624</v>
      </c>
      <c r="B755" s="48" t="s">
        <v>2625</v>
      </c>
      <c r="C755" s="48" t="s">
        <v>2626</v>
      </c>
      <c r="D755" s="48" t="s">
        <v>93</v>
      </c>
      <c r="E755" s="48" t="s">
        <v>99</v>
      </c>
      <c r="F755" s="48" t="s">
        <v>622</v>
      </c>
      <c r="G755" s="48" t="s">
        <v>623</v>
      </c>
      <c r="H755" s="49">
        <v>0.0245122565999999</v>
      </c>
      <c r="I755" s="49">
        <v>534.0</v>
      </c>
      <c r="J755" s="49">
        <v>26475.28</v>
      </c>
      <c r="K755" s="49">
        <v>26475.28</v>
      </c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>
      <c r="A756" s="48" t="s">
        <v>2627</v>
      </c>
      <c r="B756" s="48" t="s">
        <v>2628</v>
      </c>
      <c r="C756" s="48" t="s">
        <v>2629</v>
      </c>
      <c r="D756" s="48" t="s">
        <v>93</v>
      </c>
      <c r="E756" s="48" t="s">
        <v>127</v>
      </c>
      <c r="F756" s="48" t="s">
        <v>622</v>
      </c>
      <c r="G756" s="48" t="s">
        <v>623</v>
      </c>
      <c r="H756" s="49">
        <v>0.0244803077</v>
      </c>
      <c r="I756" s="49">
        <v>201.0</v>
      </c>
      <c r="J756" s="49">
        <v>26440.77</v>
      </c>
      <c r="K756" s="49">
        <v>26440.77</v>
      </c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>
      <c r="A757" s="48" t="s">
        <v>2630</v>
      </c>
      <c r="B757" s="49">
        <v>6499550.0</v>
      </c>
      <c r="C757" s="48" t="s">
        <v>2631</v>
      </c>
      <c r="D757" s="48" t="s">
        <v>93</v>
      </c>
      <c r="E757" s="48" t="s">
        <v>102</v>
      </c>
      <c r="F757" s="48" t="s">
        <v>629</v>
      </c>
      <c r="G757" s="48" t="s">
        <v>630</v>
      </c>
      <c r="H757" s="49">
        <v>0.024450836</v>
      </c>
      <c r="I757" s="49">
        <v>939.0</v>
      </c>
      <c r="J757" s="49">
        <v>26408.94</v>
      </c>
      <c r="K757" s="49">
        <v>26408.94</v>
      </c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>
      <c r="A758" s="48" t="s">
        <v>2632</v>
      </c>
      <c r="B758" s="49">
        <v>6804682.0</v>
      </c>
      <c r="C758" s="48" t="s">
        <v>2633</v>
      </c>
      <c r="D758" s="48" t="s">
        <v>93</v>
      </c>
      <c r="E758" s="48" t="s">
        <v>102</v>
      </c>
      <c r="F758" s="48" t="s">
        <v>629</v>
      </c>
      <c r="G758" s="48" t="s">
        <v>630</v>
      </c>
      <c r="H758" s="49">
        <v>0.0244356114</v>
      </c>
      <c r="I758" s="49">
        <v>375.0</v>
      </c>
      <c r="J758" s="49">
        <v>26392.5</v>
      </c>
      <c r="K758" s="49">
        <v>26392.5</v>
      </c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>
      <c r="A759" s="48" t="s">
        <v>2634</v>
      </c>
      <c r="B759" s="48" t="s">
        <v>2635</v>
      </c>
      <c r="C759" s="48" t="s">
        <v>2636</v>
      </c>
      <c r="D759" s="48" t="s">
        <v>93</v>
      </c>
      <c r="E759" s="48" t="s">
        <v>102</v>
      </c>
      <c r="F759" s="48" t="s">
        <v>649</v>
      </c>
      <c r="G759" s="48" t="s">
        <v>640</v>
      </c>
      <c r="H759" s="49">
        <v>0.0244142852999999</v>
      </c>
      <c r="I759" s="49">
        <v>347.0</v>
      </c>
      <c r="J759" s="49">
        <v>26369.46</v>
      </c>
      <c r="K759" s="49">
        <v>26369.46</v>
      </c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>
      <c r="A760" s="48" t="s">
        <v>2637</v>
      </c>
      <c r="B760" s="48" t="s">
        <v>2638</v>
      </c>
      <c r="C760" s="48" t="s">
        <v>2639</v>
      </c>
      <c r="D760" s="48" t="s">
        <v>93</v>
      </c>
      <c r="E760" s="48" t="s">
        <v>121</v>
      </c>
      <c r="F760" s="48" t="s">
        <v>622</v>
      </c>
      <c r="G760" s="48" t="s">
        <v>623</v>
      </c>
      <c r="H760" s="49">
        <v>0.024401258</v>
      </c>
      <c r="I760" s="49">
        <v>182.0</v>
      </c>
      <c r="J760" s="49">
        <v>26355.39</v>
      </c>
      <c r="K760" s="49">
        <v>26355.39</v>
      </c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>
      <c r="A761" s="48" t="s">
        <v>2640</v>
      </c>
      <c r="B761" s="48" t="s">
        <v>2641</v>
      </c>
      <c r="C761" s="48" t="s">
        <v>2642</v>
      </c>
      <c r="D761" s="48" t="s">
        <v>93</v>
      </c>
      <c r="E761" s="48" t="s">
        <v>99</v>
      </c>
      <c r="F761" s="48" t="s">
        <v>622</v>
      </c>
      <c r="G761" s="48" t="s">
        <v>623</v>
      </c>
      <c r="H761" s="49">
        <v>0.0243631617</v>
      </c>
      <c r="I761" s="49">
        <v>626.0</v>
      </c>
      <c r="J761" s="49">
        <v>26314.25</v>
      </c>
      <c r="K761" s="49">
        <v>26314.25</v>
      </c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>
      <c r="A762" s="48" t="s">
        <v>2643</v>
      </c>
      <c r="B762" s="48" t="s">
        <v>2644</v>
      </c>
      <c r="C762" s="48" t="s">
        <v>213</v>
      </c>
      <c r="D762" s="48" t="s">
        <v>93</v>
      </c>
      <c r="E762" s="48" t="s">
        <v>94</v>
      </c>
      <c r="F762" s="48" t="s">
        <v>622</v>
      </c>
      <c r="G762" s="48" t="s">
        <v>623</v>
      </c>
      <c r="H762" s="49">
        <v>0.0243071285</v>
      </c>
      <c r="I762" s="49">
        <v>1849.0</v>
      </c>
      <c r="J762" s="49">
        <v>26253.73</v>
      </c>
      <c r="K762" s="49">
        <v>26253.73</v>
      </c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>
      <c r="A763" s="48" t="s">
        <v>2645</v>
      </c>
      <c r="B763" s="49">
        <v>2521800.0</v>
      </c>
      <c r="C763" s="48" t="s">
        <v>2646</v>
      </c>
      <c r="D763" s="48" t="s">
        <v>93</v>
      </c>
      <c r="E763" s="48" t="s">
        <v>124</v>
      </c>
      <c r="F763" s="48" t="s">
        <v>694</v>
      </c>
      <c r="G763" s="48" t="s">
        <v>1003</v>
      </c>
      <c r="H763" s="49">
        <v>0.0242212435</v>
      </c>
      <c r="I763" s="49">
        <v>200.0</v>
      </c>
      <c r="J763" s="49">
        <v>26160.96</v>
      </c>
      <c r="K763" s="49">
        <v>26160.96</v>
      </c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>
      <c r="A764" s="48" t="s">
        <v>2647</v>
      </c>
      <c r="B764" s="49">
        <v>2009210.0</v>
      </c>
      <c r="C764" s="48" t="s">
        <v>2648</v>
      </c>
      <c r="D764" s="48" t="s">
        <v>93</v>
      </c>
      <c r="E764" s="48" t="s">
        <v>133</v>
      </c>
      <c r="F764" s="48" t="s">
        <v>622</v>
      </c>
      <c r="G764" s="48" t="s">
        <v>623</v>
      </c>
      <c r="H764" s="49">
        <v>0.0242107334</v>
      </c>
      <c r="I764" s="49">
        <v>163.0</v>
      </c>
      <c r="J764" s="49">
        <v>26149.61</v>
      </c>
      <c r="K764" s="49">
        <v>26149.61</v>
      </c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>
      <c r="A765" s="48" t="s">
        <v>2649</v>
      </c>
      <c r="B765" s="48" t="s">
        <v>2650</v>
      </c>
      <c r="C765" s="48" t="s">
        <v>2651</v>
      </c>
      <c r="D765" s="48" t="s">
        <v>93</v>
      </c>
      <c r="E765" s="48" t="s">
        <v>127</v>
      </c>
      <c r="F765" s="48" t="s">
        <v>1740</v>
      </c>
      <c r="G765" s="48" t="s">
        <v>1741</v>
      </c>
      <c r="H765" s="49">
        <v>0.0240727198</v>
      </c>
      <c r="I765" s="49">
        <v>913.0</v>
      </c>
      <c r="J765" s="49">
        <v>26000.54</v>
      </c>
      <c r="K765" s="49">
        <v>26000.54</v>
      </c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>
      <c r="A766" s="48" t="s">
        <v>2652</v>
      </c>
      <c r="B766" s="48" t="s">
        <v>2653</v>
      </c>
      <c r="C766" s="48" t="s">
        <v>2654</v>
      </c>
      <c r="D766" s="48" t="s">
        <v>93</v>
      </c>
      <c r="E766" s="48" t="s">
        <v>121</v>
      </c>
      <c r="F766" s="48" t="s">
        <v>738</v>
      </c>
      <c r="G766" s="48" t="s">
        <v>1437</v>
      </c>
      <c r="H766" s="49">
        <v>0.0240066988999999</v>
      </c>
      <c r="I766" s="49">
        <v>9358.0</v>
      </c>
      <c r="J766" s="49">
        <v>25929.24</v>
      </c>
      <c r="K766" s="49">
        <v>25929.24</v>
      </c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>
      <c r="A767" s="48" t="s">
        <v>2655</v>
      </c>
      <c r="B767" s="48" t="s">
        <v>2656</v>
      </c>
      <c r="C767" s="48" t="s">
        <v>2657</v>
      </c>
      <c r="D767" s="48" t="s">
        <v>93</v>
      </c>
      <c r="E767" s="48" t="s">
        <v>99</v>
      </c>
      <c r="F767" s="48" t="s">
        <v>918</v>
      </c>
      <c r="G767" s="48" t="s">
        <v>908</v>
      </c>
      <c r="H767" s="49">
        <v>0.0239920272</v>
      </c>
      <c r="I767" s="49">
        <v>5643.0</v>
      </c>
      <c r="J767" s="49">
        <v>25913.39</v>
      </c>
      <c r="K767" s="49">
        <v>25913.39</v>
      </c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>
      <c r="A768" s="48" t="s">
        <v>2658</v>
      </c>
      <c r="B768" s="48" t="s">
        <v>2659</v>
      </c>
      <c r="C768" s="48" t="s">
        <v>2660</v>
      </c>
      <c r="D768" s="48" t="s">
        <v>93</v>
      </c>
      <c r="E768" s="48" t="s">
        <v>133</v>
      </c>
      <c r="F768" s="48" t="s">
        <v>822</v>
      </c>
      <c r="G768" s="48" t="s">
        <v>646</v>
      </c>
      <c r="H768" s="49">
        <v>0.0238910854</v>
      </c>
      <c r="I768" s="49">
        <v>3519.0</v>
      </c>
      <c r="J768" s="49">
        <v>25804.36</v>
      </c>
      <c r="K768" s="49">
        <v>25804.36</v>
      </c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>
      <c r="A769" s="48" t="s">
        <v>2661</v>
      </c>
      <c r="B769" s="49">
        <v>2093644.0</v>
      </c>
      <c r="C769" s="48" t="s">
        <v>2662</v>
      </c>
      <c r="D769" s="48" t="s">
        <v>93</v>
      </c>
      <c r="E769" s="48" t="s">
        <v>99</v>
      </c>
      <c r="F769" s="48" t="s">
        <v>622</v>
      </c>
      <c r="G769" s="48" t="s">
        <v>623</v>
      </c>
      <c r="H769" s="49">
        <v>0.0238722395</v>
      </c>
      <c r="I769" s="49">
        <v>254.0</v>
      </c>
      <c r="J769" s="49">
        <v>25784.01</v>
      </c>
      <c r="K769" s="49">
        <v>25784.01</v>
      </c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>
      <c r="A770" s="48" t="s">
        <v>2663</v>
      </c>
      <c r="B770" s="49">
        <v>6465874.0</v>
      </c>
      <c r="C770" s="48" t="s">
        <v>2664</v>
      </c>
      <c r="D770" s="48" t="s">
        <v>93</v>
      </c>
      <c r="E770" s="48" t="s">
        <v>118</v>
      </c>
      <c r="F770" s="48" t="s">
        <v>2665</v>
      </c>
      <c r="G770" s="48" t="s">
        <v>646</v>
      </c>
      <c r="H770" s="49">
        <v>0.0238655338</v>
      </c>
      <c r="I770" s="49">
        <v>2534.0</v>
      </c>
      <c r="J770" s="49">
        <v>25776.77</v>
      </c>
      <c r="K770" s="49">
        <v>25776.77</v>
      </c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>
      <c r="A771" s="48" t="s">
        <v>2666</v>
      </c>
      <c r="B771" s="48" t="s">
        <v>2667</v>
      </c>
      <c r="C771" s="48" t="s">
        <v>2668</v>
      </c>
      <c r="D771" s="48" t="s">
        <v>93</v>
      </c>
      <c r="E771" s="48" t="s">
        <v>133</v>
      </c>
      <c r="F771" s="48" t="s">
        <v>622</v>
      </c>
      <c r="G771" s="48" t="s">
        <v>623</v>
      </c>
      <c r="H771" s="49">
        <v>0.023859281</v>
      </c>
      <c r="I771" s="49">
        <v>281.0</v>
      </c>
      <c r="J771" s="49">
        <v>25770.01</v>
      </c>
      <c r="K771" s="49">
        <v>25770.01</v>
      </c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>
      <c r="A772" s="48" t="s">
        <v>2669</v>
      </c>
      <c r="B772" s="48" t="s">
        <v>2670</v>
      </c>
      <c r="C772" s="48" t="s">
        <v>2671</v>
      </c>
      <c r="D772" s="48" t="s">
        <v>93</v>
      </c>
      <c r="E772" s="48" t="s">
        <v>94</v>
      </c>
      <c r="F772" s="48" t="s">
        <v>649</v>
      </c>
      <c r="G772" s="48" t="s">
        <v>640</v>
      </c>
      <c r="H772" s="49">
        <v>0.0237904757</v>
      </c>
      <c r="I772" s="49">
        <v>172.0</v>
      </c>
      <c r="J772" s="49">
        <v>25695.7</v>
      </c>
      <c r="K772" s="49">
        <v>25695.7</v>
      </c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>
      <c r="A773" s="48" t="s">
        <v>2672</v>
      </c>
      <c r="B773" s="49">
        <v>6356406.0</v>
      </c>
      <c r="C773" s="48" t="s">
        <v>2673</v>
      </c>
      <c r="D773" s="48" t="s">
        <v>93</v>
      </c>
      <c r="E773" s="48" t="s">
        <v>118</v>
      </c>
      <c r="F773" s="48" t="s">
        <v>629</v>
      </c>
      <c r="G773" s="48" t="s">
        <v>630</v>
      </c>
      <c r="H773" s="49">
        <v>0.0237668246</v>
      </c>
      <c r="I773" s="49">
        <v>814.0</v>
      </c>
      <c r="J773" s="49">
        <v>25670.15</v>
      </c>
      <c r="K773" s="49">
        <v>25670.15</v>
      </c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>
      <c r="A774" s="48" t="s">
        <v>2674</v>
      </c>
      <c r="B774" s="49">
        <v>6513342.0</v>
      </c>
      <c r="C774" s="48" t="s">
        <v>2675</v>
      </c>
      <c r="D774" s="48" t="s">
        <v>93</v>
      </c>
      <c r="E774" s="48" t="s">
        <v>133</v>
      </c>
      <c r="F774" s="48" t="s">
        <v>629</v>
      </c>
      <c r="G774" s="48" t="s">
        <v>630</v>
      </c>
      <c r="H774" s="49">
        <v>0.0236875825</v>
      </c>
      <c r="I774" s="49">
        <v>25.0</v>
      </c>
      <c r="J774" s="49">
        <v>25584.56</v>
      </c>
      <c r="K774" s="49">
        <v>25584.56</v>
      </c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>
      <c r="A775" s="48" t="s">
        <v>2676</v>
      </c>
      <c r="B775" s="49">
        <v>6643108.0</v>
      </c>
      <c r="C775" s="48" t="s">
        <v>2677</v>
      </c>
      <c r="D775" s="48" t="s">
        <v>93</v>
      </c>
      <c r="E775" s="48" t="s">
        <v>99</v>
      </c>
      <c r="F775" s="48" t="s">
        <v>629</v>
      </c>
      <c r="G775" s="48" t="s">
        <v>630</v>
      </c>
      <c r="H775" s="49">
        <v>0.0236780546</v>
      </c>
      <c r="I775" s="49">
        <v>3786.0</v>
      </c>
      <c r="J775" s="49">
        <v>25574.27</v>
      </c>
      <c r="K775" s="49">
        <v>25574.27</v>
      </c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>
      <c r="A776" s="48" t="s">
        <v>2678</v>
      </c>
      <c r="B776" s="49">
        <v>2971029.0</v>
      </c>
      <c r="C776" s="48" t="s">
        <v>2679</v>
      </c>
      <c r="D776" s="48" t="s">
        <v>93</v>
      </c>
      <c r="E776" s="48" t="s">
        <v>118</v>
      </c>
      <c r="F776" s="48" t="s">
        <v>622</v>
      </c>
      <c r="G776" s="48" t="s">
        <v>623</v>
      </c>
      <c r="H776" s="49">
        <v>0.0236149166</v>
      </c>
      <c r="I776" s="49">
        <v>330.0</v>
      </c>
      <c r="J776" s="49">
        <v>25506.08</v>
      </c>
      <c r="K776" s="49">
        <v>25506.08</v>
      </c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>
      <c r="A777" s="48" t="s">
        <v>2680</v>
      </c>
      <c r="B777" s="48" t="s">
        <v>2681</v>
      </c>
      <c r="C777" s="48" t="s">
        <v>2682</v>
      </c>
      <c r="D777" s="48" t="s">
        <v>93</v>
      </c>
      <c r="E777" s="48" t="s">
        <v>167</v>
      </c>
      <c r="F777" s="48" t="s">
        <v>622</v>
      </c>
      <c r="G777" s="48" t="s">
        <v>623</v>
      </c>
      <c r="H777" s="49">
        <v>0.023517295</v>
      </c>
      <c r="I777" s="49">
        <v>249.0</v>
      </c>
      <c r="J777" s="49">
        <v>25400.64</v>
      </c>
      <c r="K777" s="49">
        <v>25400.64</v>
      </c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>
      <c r="A778" s="48" t="s">
        <v>2683</v>
      </c>
      <c r="B778" s="48" t="s">
        <v>2684</v>
      </c>
      <c r="C778" s="48" t="s">
        <v>2685</v>
      </c>
      <c r="D778" s="48" t="s">
        <v>93</v>
      </c>
      <c r="E778" s="48" t="s">
        <v>124</v>
      </c>
      <c r="F778" s="48" t="s">
        <v>1740</v>
      </c>
      <c r="G778" s="48" t="s">
        <v>1741</v>
      </c>
      <c r="H778" s="49">
        <v>0.0234648408</v>
      </c>
      <c r="I778" s="49">
        <v>769.0</v>
      </c>
      <c r="J778" s="49">
        <v>25343.98</v>
      </c>
      <c r="K778" s="49">
        <v>25343.98</v>
      </c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>
      <c r="A779" s="48" t="s">
        <v>2686</v>
      </c>
      <c r="B779" s="49">
        <v>2983563.0</v>
      </c>
      <c r="C779" s="48" t="s">
        <v>2687</v>
      </c>
      <c r="D779" s="48" t="s">
        <v>93</v>
      </c>
      <c r="E779" s="48" t="s">
        <v>118</v>
      </c>
      <c r="F779" s="48" t="s">
        <v>622</v>
      </c>
      <c r="G779" s="48" t="s">
        <v>623</v>
      </c>
      <c r="H779" s="49">
        <v>0.0234543062999999</v>
      </c>
      <c r="I779" s="49">
        <v>206.0</v>
      </c>
      <c r="J779" s="49">
        <v>25332.61</v>
      </c>
      <c r="K779" s="49">
        <v>25332.61</v>
      </c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>
      <c r="A780" s="48" t="s">
        <v>2688</v>
      </c>
      <c r="B780" s="48" t="s">
        <v>2689</v>
      </c>
      <c r="C780" s="48" t="s">
        <v>2690</v>
      </c>
      <c r="D780" s="48" t="s">
        <v>93</v>
      </c>
      <c r="E780" s="48" t="s">
        <v>167</v>
      </c>
      <c r="F780" s="48" t="s">
        <v>622</v>
      </c>
      <c r="G780" s="48" t="s">
        <v>623</v>
      </c>
      <c r="H780" s="49">
        <v>0.023414767</v>
      </c>
      <c r="I780" s="49">
        <v>200.0</v>
      </c>
      <c r="J780" s="49">
        <v>25289.9</v>
      </c>
      <c r="K780" s="49">
        <v>25289.9</v>
      </c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>
      <c r="A781" s="48" t="s">
        <v>2691</v>
      </c>
      <c r="B781" s="48" t="s">
        <v>2692</v>
      </c>
      <c r="C781" s="48" t="s">
        <v>2693</v>
      </c>
      <c r="D781" s="48" t="s">
        <v>93</v>
      </c>
      <c r="E781" s="48" t="s">
        <v>118</v>
      </c>
      <c r="F781" s="48" t="s">
        <v>629</v>
      </c>
      <c r="G781" s="48" t="s">
        <v>630</v>
      </c>
      <c r="H781" s="49">
        <v>0.0231356251</v>
      </c>
      <c r="I781" s="49">
        <v>754.0</v>
      </c>
      <c r="J781" s="49">
        <v>24988.4</v>
      </c>
      <c r="K781" s="49">
        <v>24988.4</v>
      </c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>
      <c r="A782" s="48" t="s">
        <v>2694</v>
      </c>
      <c r="B782" s="48" t="s">
        <v>2695</v>
      </c>
      <c r="C782" s="48" t="s">
        <v>2696</v>
      </c>
      <c r="D782" s="48" t="s">
        <v>93</v>
      </c>
      <c r="E782" s="48" t="s">
        <v>99</v>
      </c>
      <c r="F782" s="48" t="s">
        <v>918</v>
      </c>
      <c r="G782" s="48" t="s">
        <v>908</v>
      </c>
      <c r="H782" s="49">
        <v>0.0229707121</v>
      </c>
      <c r="I782" s="49">
        <v>3236.0</v>
      </c>
      <c r="J782" s="49">
        <v>24810.28</v>
      </c>
      <c r="K782" s="49">
        <v>24810.28</v>
      </c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>
      <c r="A783" s="48" t="s">
        <v>2697</v>
      </c>
      <c r="B783" s="49">
        <v>2504566.0</v>
      </c>
      <c r="C783" s="48" t="s">
        <v>2698</v>
      </c>
      <c r="D783" s="48" t="s">
        <v>93</v>
      </c>
      <c r="E783" s="48" t="s">
        <v>94</v>
      </c>
      <c r="F783" s="48" t="s">
        <v>622</v>
      </c>
      <c r="G783" s="48" t="s">
        <v>623</v>
      </c>
      <c r="H783" s="49">
        <v>0.0229152731</v>
      </c>
      <c r="I783" s="49">
        <v>106.0</v>
      </c>
      <c r="J783" s="49">
        <v>24750.41</v>
      </c>
      <c r="K783" s="49">
        <v>24750.41</v>
      </c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>
      <c r="A784" s="48" t="s">
        <v>2699</v>
      </c>
      <c r="B784" s="49">
        <v>2951452.0</v>
      </c>
      <c r="C784" s="48" t="s">
        <v>2700</v>
      </c>
      <c r="D784" s="48" t="s">
        <v>93</v>
      </c>
      <c r="E784" s="48" t="s">
        <v>124</v>
      </c>
      <c r="F784" s="48" t="s">
        <v>622</v>
      </c>
      <c r="G784" s="48" t="s">
        <v>623</v>
      </c>
      <c r="H784" s="49">
        <v>0.0226559877</v>
      </c>
      <c r="I784" s="49">
        <v>122.0</v>
      </c>
      <c r="J784" s="49">
        <v>24470.36</v>
      </c>
      <c r="K784" s="49">
        <v>24470.36</v>
      </c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>
      <c r="A785" s="48" t="s">
        <v>2701</v>
      </c>
      <c r="B785" s="48" t="s">
        <v>2702</v>
      </c>
      <c r="C785" s="48" t="s">
        <v>2703</v>
      </c>
      <c r="D785" s="48" t="s">
        <v>93</v>
      </c>
      <c r="E785" s="48" t="s">
        <v>170</v>
      </c>
      <c r="F785" s="48" t="s">
        <v>622</v>
      </c>
      <c r="G785" s="48" t="s">
        <v>623</v>
      </c>
      <c r="H785" s="49">
        <v>0.0226213403</v>
      </c>
      <c r="I785" s="49">
        <v>291.0</v>
      </c>
      <c r="J785" s="49">
        <v>24432.93</v>
      </c>
      <c r="K785" s="49">
        <v>24432.93</v>
      </c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>
      <c r="A786" s="48" t="s">
        <v>2704</v>
      </c>
      <c r="B786" s="48" t="s">
        <v>2705</v>
      </c>
      <c r="C786" s="48" t="s">
        <v>2706</v>
      </c>
      <c r="D786" s="48" t="s">
        <v>93</v>
      </c>
      <c r="E786" s="48" t="s">
        <v>99</v>
      </c>
      <c r="F786" s="48" t="s">
        <v>694</v>
      </c>
      <c r="G786" s="48" t="s">
        <v>1003</v>
      </c>
      <c r="H786" s="49">
        <v>0.0225948100999999</v>
      </c>
      <c r="I786" s="49">
        <v>459.0</v>
      </c>
      <c r="J786" s="49">
        <v>24404.28</v>
      </c>
      <c r="K786" s="49">
        <v>24404.28</v>
      </c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>
      <c r="A787" s="48" t="s">
        <v>2707</v>
      </c>
      <c r="B787" s="49">
        <v>4103596.0</v>
      </c>
      <c r="C787" s="48" t="s">
        <v>2708</v>
      </c>
      <c r="D787" s="48" t="s">
        <v>93</v>
      </c>
      <c r="E787" s="48" t="s">
        <v>170</v>
      </c>
      <c r="F787" s="48" t="s">
        <v>2709</v>
      </c>
      <c r="G787" s="48" t="s">
        <v>640</v>
      </c>
      <c r="H787" s="49">
        <v>0.0225076866</v>
      </c>
      <c r="I787" s="49">
        <v>3514.0</v>
      </c>
      <c r="J787" s="49">
        <v>24310.18</v>
      </c>
      <c r="K787" s="49">
        <v>24310.18</v>
      </c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>
      <c r="A788" s="48" t="s">
        <v>2710</v>
      </c>
      <c r="B788" s="49">
        <v>7108918.0</v>
      </c>
      <c r="C788" s="48" t="s">
        <v>932</v>
      </c>
      <c r="D788" s="48" t="s">
        <v>93</v>
      </c>
      <c r="E788" s="48" t="s">
        <v>102</v>
      </c>
      <c r="F788" s="48" t="s">
        <v>622</v>
      </c>
      <c r="G788" s="48" t="s">
        <v>655</v>
      </c>
      <c r="H788" s="49">
        <v>0.0224132072999999</v>
      </c>
      <c r="I788" s="49">
        <v>52.0</v>
      </c>
      <c r="J788" s="49">
        <v>24208.13</v>
      </c>
      <c r="K788" s="49">
        <v>24208.13</v>
      </c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>
      <c r="A789" s="48" t="s">
        <v>2711</v>
      </c>
      <c r="B789" s="48" t="s">
        <v>2712</v>
      </c>
      <c r="C789" s="48" t="s">
        <v>2713</v>
      </c>
      <c r="D789" s="48" t="s">
        <v>93</v>
      </c>
      <c r="E789" s="48" t="s">
        <v>94</v>
      </c>
      <c r="F789" s="48" t="s">
        <v>668</v>
      </c>
      <c r="G789" s="48" t="s">
        <v>640</v>
      </c>
      <c r="H789" s="49">
        <v>0.0223365196</v>
      </c>
      <c r="I789" s="49">
        <v>211.0</v>
      </c>
      <c r="J789" s="49">
        <v>24125.3</v>
      </c>
      <c r="K789" s="49">
        <v>24125.3</v>
      </c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>
      <c r="A790" s="48" t="s">
        <v>2714</v>
      </c>
      <c r="B790" s="48" t="s">
        <v>2715</v>
      </c>
      <c r="C790" s="48" t="s">
        <v>2716</v>
      </c>
      <c r="D790" s="48" t="s">
        <v>93</v>
      </c>
      <c r="E790" s="48" t="s">
        <v>127</v>
      </c>
      <c r="F790" s="48" t="s">
        <v>918</v>
      </c>
      <c r="G790" s="48" t="s">
        <v>640</v>
      </c>
      <c r="H790" s="49">
        <v>0.0223309897</v>
      </c>
      <c r="I790" s="49">
        <v>1235.0</v>
      </c>
      <c r="J790" s="49">
        <v>24119.33</v>
      </c>
      <c r="K790" s="49">
        <v>24119.33</v>
      </c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>
      <c r="A791" s="48" t="s">
        <v>2717</v>
      </c>
      <c r="B791" s="49">
        <v>6897217.0</v>
      </c>
      <c r="C791" s="48" t="s">
        <v>672</v>
      </c>
      <c r="D791" s="48" t="s">
        <v>93</v>
      </c>
      <c r="E791" s="48" t="s">
        <v>127</v>
      </c>
      <c r="F791" s="48" t="s">
        <v>629</v>
      </c>
      <c r="G791" s="48" t="s">
        <v>630</v>
      </c>
      <c r="H791" s="49">
        <v>0.0222488637</v>
      </c>
      <c r="I791" s="49">
        <v>494.0</v>
      </c>
      <c r="J791" s="49">
        <v>24030.63</v>
      </c>
      <c r="K791" s="49">
        <v>24030.63</v>
      </c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>
      <c r="A792" s="48" t="s">
        <v>2718</v>
      </c>
      <c r="B792" s="48" t="s">
        <v>2719</v>
      </c>
      <c r="C792" s="48" t="s">
        <v>2720</v>
      </c>
      <c r="D792" s="48" t="s">
        <v>93</v>
      </c>
      <c r="E792" s="48" t="s">
        <v>167</v>
      </c>
      <c r="F792" s="48" t="s">
        <v>918</v>
      </c>
      <c r="G792" s="48" t="s">
        <v>908</v>
      </c>
      <c r="H792" s="49">
        <v>0.0221990094</v>
      </c>
      <c r="I792" s="49">
        <v>1227.0</v>
      </c>
      <c r="J792" s="49">
        <v>23976.78</v>
      </c>
      <c r="K792" s="49">
        <v>23976.78</v>
      </c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>
      <c r="A793" s="48" t="s">
        <v>2721</v>
      </c>
      <c r="B793" s="49">
        <v>2570200.0</v>
      </c>
      <c r="C793" s="48" t="s">
        <v>2722</v>
      </c>
      <c r="D793" s="48" t="s">
        <v>93</v>
      </c>
      <c r="E793" s="48" t="s">
        <v>127</v>
      </c>
      <c r="F793" s="48" t="s">
        <v>622</v>
      </c>
      <c r="G793" s="48" t="s">
        <v>623</v>
      </c>
      <c r="H793" s="49">
        <v>0.0221944313</v>
      </c>
      <c r="I793" s="49">
        <v>287.0</v>
      </c>
      <c r="J793" s="49">
        <v>23971.84</v>
      </c>
      <c r="K793" s="49">
        <v>23971.84</v>
      </c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>
      <c r="A794" s="48" t="s">
        <v>2723</v>
      </c>
      <c r="B794" s="49">
        <v>6882172.0</v>
      </c>
      <c r="C794" s="48" t="s">
        <v>2724</v>
      </c>
      <c r="D794" s="48" t="s">
        <v>93</v>
      </c>
      <c r="E794" s="48" t="s">
        <v>102</v>
      </c>
      <c r="F794" s="48" t="s">
        <v>679</v>
      </c>
      <c r="G794" s="48" t="s">
        <v>2438</v>
      </c>
      <c r="H794" s="49">
        <v>0.0221546288</v>
      </c>
      <c r="I794" s="49">
        <v>1452.0</v>
      </c>
      <c r="J794" s="49">
        <v>23928.85</v>
      </c>
      <c r="K794" s="49">
        <v>23928.85</v>
      </c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>
      <c r="A795" s="48" t="s">
        <v>2725</v>
      </c>
      <c r="B795" s="49">
        <v>2727910.0</v>
      </c>
      <c r="C795" s="48" t="s">
        <v>2726</v>
      </c>
      <c r="D795" s="48" t="s">
        <v>93</v>
      </c>
      <c r="E795" s="48" t="s">
        <v>133</v>
      </c>
      <c r="F795" s="48" t="s">
        <v>622</v>
      </c>
      <c r="G795" s="48" t="s">
        <v>623</v>
      </c>
      <c r="H795" s="49">
        <v>0.0221370994</v>
      </c>
      <c r="I795" s="49">
        <v>418.0</v>
      </c>
      <c r="J795" s="49">
        <v>23909.91</v>
      </c>
      <c r="K795" s="49">
        <v>23909.91</v>
      </c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>
      <c r="A796" s="48" t="s">
        <v>2727</v>
      </c>
      <c r="B796" s="49">
        <v>4169219.0</v>
      </c>
      <c r="C796" s="48" t="s">
        <v>2728</v>
      </c>
      <c r="D796" s="48" t="s">
        <v>93</v>
      </c>
      <c r="E796" s="48" t="s">
        <v>124</v>
      </c>
      <c r="F796" s="48" t="s">
        <v>883</v>
      </c>
      <c r="G796" s="48" t="s">
        <v>884</v>
      </c>
      <c r="H796" s="49">
        <v>0.02205707</v>
      </c>
      <c r="I796" s="49">
        <v>114.0</v>
      </c>
      <c r="J796" s="49">
        <v>23823.47</v>
      </c>
      <c r="K796" s="49">
        <v>23823.47</v>
      </c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>
      <c r="A797" s="48" t="s">
        <v>2729</v>
      </c>
      <c r="B797" s="49">
        <v>6793906.0</v>
      </c>
      <c r="C797" s="48" t="s">
        <v>2730</v>
      </c>
      <c r="D797" s="48" t="s">
        <v>93</v>
      </c>
      <c r="E797" s="48" t="s">
        <v>118</v>
      </c>
      <c r="F797" s="48" t="s">
        <v>629</v>
      </c>
      <c r="G797" s="48" t="s">
        <v>630</v>
      </c>
      <c r="H797" s="49">
        <v>0.0220507583</v>
      </c>
      <c r="I797" s="49">
        <v>736.0</v>
      </c>
      <c r="J797" s="49">
        <v>23816.66</v>
      </c>
      <c r="K797" s="49">
        <v>23816.66</v>
      </c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>
      <c r="A798" s="48" t="s">
        <v>2731</v>
      </c>
      <c r="B798" s="49">
        <v>6881436.0</v>
      </c>
      <c r="C798" s="48" t="s">
        <v>526</v>
      </c>
      <c r="D798" s="48" t="s">
        <v>93</v>
      </c>
      <c r="E798" s="48" t="s">
        <v>121</v>
      </c>
      <c r="F798" s="48" t="s">
        <v>2732</v>
      </c>
      <c r="G798" s="48" t="s">
        <v>2733</v>
      </c>
      <c r="H798" s="49">
        <v>0.0220068036</v>
      </c>
      <c r="I798" s="49">
        <v>5399.0</v>
      </c>
      <c r="J798" s="49">
        <v>23769.18</v>
      </c>
      <c r="K798" s="49">
        <v>23769.18</v>
      </c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>
      <c r="A799" s="48" t="s">
        <v>2734</v>
      </c>
      <c r="B799" s="48" t="s">
        <v>2735</v>
      </c>
      <c r="C799" s="48" t="s">
        <v>2736</v>
      </c>
      <c r="D799" s="48" t="s">
        <v>93</v>
      </c>
      <c r="E799" s="48" t="s">
        <v>127</v>
      </c>
      <c r="F799" s="48" t="s">
        <v>1740</v>
      </c>
      <c r="G799" s="48" t="s">
        <v>1741</v>
      </c>
      <c r="H799" s="49">
        <v>0.0220057244</v>
      </c>
      <c r="I799" s="49">
        <v>810.0</v>
      </c>
      <c r="J799" s="49">
        <v>23768.02</v>
      </c>
      <c r="K799" s="49">
        <v>23768.02</v>
      </c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>
      <c r="A800" s="48" t="s">
        <v>2737</v>
      </c>
      <c r="B800" s="48" t="s">
        <v>2738</v>
      </c>
      <c r="C800" s="48" t="s">
        <v>2739</v>
      </c>
      <c r="D800" s="48" t="s">
        <v>93</v>
      </c>
      <c r="E800" s="48" t="s">
        <v>167</v>
      </c>
      <c r="F800" s="48" t="s">
        <v>622</v>
      </c>
      <c r="G800" s="48" t="s">
        <v>623</v>
      </c>
      <c r="H800" s="49">
        <v>0.0219385081999999</v>
      </c>
      <c r="I800" s="49">
        <v>801.0</v>
      </c>
      <c r="J800" s="49">
        <v>23695.42</v>
      </c>
      <c r="K800" s="49">
        <v>23695.42</v>
      </c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>
      <c r="A801" s="48" t="s">
        <v>2740</v>
      </c>
      <c r="B801" s="48" t="s">
        <v>2741</v>
      </c>
      <c r="C801" s="48" t="s">
        <v>2742</v>
      </c>
      <c r="D801" s="48" t="s">
        <v>93</v>
      </c>
      <c r="E801" s="48" t="s">
        <v>127</v>
      </c>
      <c r="F801" s="48" t="s">
        <v>622</v>
      </c>
      <c r="G801" s="48" t="s">
        <v>623</v>
      </c>
      <c r="H801" s="49">
        <v>0.0219009602999999</v>
      </c>
      <c r="I801" s="49">
        <v>284.0</v>
      </c>
      <c r="J801" s="49">
        <v>23654.86</v>
      </c>
      <c r="K801" s="49">
        <v>23654.86</v>
      </c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>
      <c r="A802" s="48" t="s">
        <v>2743</v>
      </c>
      <c r="B802" s="48" t="s">
        <v>2744</v>
      </c>
      <c r="C802" s="48" t="s">
        <v>2745</v>
      </c>
      <c r="D802" s="48" t="s">
        <v>93</v>
      </c>
      <c r="E802" s="48" t="s">
        <v>124</v>
      </c>
      <c r="F802" s="48" t="s">
        <v>645</v>
      </c>
      <c r="G802" s="48" t="s">
        <v>646</v>
      </c>
      <c r="H802" s="49">
        <v>0.0218703852</v>
      </c>
      <c r="I802" s="49">
        <v>4542.0</v>
      </c>
      <c r="J802" s="49">
        <v>23621.84</v>
      </c>
      <c r="K802" s="49">
        <v>23621.84</v>
      </c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>
      <c r="A803" s="48" t="s">
        <v>2746</v>
      </c>
      <c r="B803" s="48" t="s">
        <v>2747</v>
      </c>
      <c r="C803" s="48" t="s">
        <v>2748</v>
      </c>
      <c r="D803" s="48" t="s">
        <v>93</v>
      </c>
      <c r="E803" s="48" t="s">
        <v>94</v>
      </c>
      <c r="F803" s="48" t="s">
        <v>622</v>
      </c>
      <c r="G803" s="48" t="s">
        <v>623</v>
      </c>
      <c r="H803" s="49">
        <v>0.0217953442</v>
      </c>
      <c r="I803" s="49">
        <v>407.0</v>
      </c>
      <c r="J803" s="49">
        <v>23540.79</v>
      </c>
      <c r="K803" s="49">
        <v>23540.79</v>
      </c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>
      <c r="A804" s="48" t="s">
        <v>2749</v>
      </c>
      <c r="B804" s="49">
        <v>2989356.0</v>
      </c>
      <c r="C804" s="48" t="s">
        <v>2750</v>
      </c>
      <c r="D804" s="48" t="s">
        <v>93</v>
      </c>
      <c r="E804" s="48" t="s">
        <v>167</v>
      </c>
      <c r="F804" s="48" t="s">
        <v>622</v>
      </c>
      <c r="G804" s="48" t="s">
        <v>623</v>
      </c>
      <c r="H804" s="49">
        <v>0.0217796294999999</v>
      </c>
      <c r="I804" s="49">
        <v>66.0</v>
      </c>
      <c r="J804" s="49">
        <v>23523.82</v>
      </c>
      <c r="K804" s="49">
        <v>23523.82</v>
      </c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>
      <c r="A805" s="48" t="s">
        <v>2751</v>
      </c>
      <c r="B805" s="48" t="s">
        <v>2752</v>
      </c>
      <c r="C805" s="48" t="s">
        <v>2753</v>
      </c>
      <c r="D805" s="48" t="s">
        <v>93</v>
      </c>
      <c r="E805" s="48" t="s">
        <v>118</v>
      </c>
      <c r="F805" s="48" t="s">
        <v>918</v>
      </c>
      <c r="G805" s="48" t="s">
        <v>908</v>
      </c>
      <c r="H805" s="49">
        <v>0.0217713972</v>
      </c>
      <c r="I805" s="49">
        <v>199.0</v>
      </c>
      <c r="J805" s="49">
        <v>23514.92</v>
      </c>
      <c r="K805" s="49">
        <v>23514.92</v>
      </c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>
      <c r="A806" s="48" t="s">
        <v>2754</v>
      </c>
      <c r="B806" s="48" t="s">
        <v>2755</v>
      </c>
      <c r="C806" s="48" t="s">
        <v>2756</v>
      </c>
      <c r="D806" s="48" t="s">
        <v>93</v>
      </c>
      <c r="E806" s="48" t="s">
        <v>121</v>
      </c>
      <c r="F806" s="48" t="s">
        <v>622</v>
      </c>
      <c r="G806" s="48" t="s">
        <v>623</v>
      </c>
      <c r="H806" s="49">
        <v>0.0216108948</v>
      </c>
      <c r="I806" s="49">
        <v>365.0</v>
      </c>
      <c r="J806" s="49">
        <v>23341.57</v>
      </c>
      <c r="K806" s="49">
        <v>23341.57</v>
      </c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>
      <c r="A807" s="48" t="s">
        <v>2757</v>
      </c>
      <c r="B807" s="48" t="s">
        <v>2758</v>
      </c>
      <c r="C807" s="48" t="s">
        <v>2759</v>
      </c>
      <c r="D807" s="48" t="s">
        <v>93</v>
      </c>
      <c r="E807" s="48" t="s">
        <v>127</v>
      </c>
      <c r="F807" s="48" t="s">
        <v>694</v>
      </c>
      <c r="G807" s="48" t="s">
        <v>1003</v>
      </c>
      <c r="H807" s="49">
        <v>0.0215900630999999</v>
      </c>
      <c r="I807" s="49">
        <v>237.0</v>
      </c>
      <c r="J807" s="49">
        <v>23319.07</v>
      </c>
      <c r="K807" s="49">
        <v>23319.07</v>
      </c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>
      <c r="A808" s="48" t="s">
        <v>2760</v>
      </c>
      <c r="B808" s="48" t="s">
        <v>2761</v>
      </c>
      <c r="C808" s="48" t="s">
        <v>2762</v>
      </c>
      <c r="D808" s="48" t="s">
        <v>93</v>
      </c>
      <c r="E808" s="48" t="s">
        <v>94</v>
      </c>
      <c r="F808" s="48" t="s">
        <v>2763</v>
      </c>
      <c r="G808" s="48" t="s">
        <v>640</v>
      </c>
      <c r="H808" s="49">
        <v>0.0215620875</v>
      </c>
      <c r="I808" s="49">
        <v>597.0</v>
      </c>
      <c r="J808" s="49">
        <v>23288.85</v>
      </c>
      <c r="K808" s="49">
        <v>23288.85</v>
      </c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>
      <c r="A809" s="48" t="s">
        <v>2764</v>
      </c>
      <c r="B809" s="49">
        <v>6506267.0</v>
      </c>
      <c r="C809" s="48" t="s">
        <v>2765</v>
      </c>
      <c r="D809" s="48" t="s">
        <v>93</v>
      </c>
      <c r="E809" s="48" t="s">
        <v>167</v>
      </c>
      <c r="F809" s="48" t="s">
        <v>629</v>
      </c>
      <c r="G809" s="48" t="s">
        <v>630</v>
      </c>
      <c r="H809" s="49">
        <v>0.0215591713</v>
      </c>
      <c r="I809" s="49">
        <v>101.0</v>
      </c>
      <c r="J809" s="49">
        <v>23285.7</v>
      </c>
      <c r="K809" s="49">
        <v>23285.7</v>
      </c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>
      <c r="A810" s="48" t="s">
        <v>153</v>
      </c>
      <c r="B810" s="48" t="s">
        <v>154</v>
      </c>
      <c r="C810" s="48" t="s">
        <v>155</v>
      </c>
      <c r="D810" s="48" t="s">
        <v>93</v>
      </c>
      <c r="E810" s="48" t="s">
        <v>94</v>
      </c>
      <c r="F810" s="48" t="s">
        <v>622</v>
      </c>
      <c r="G810" s="48" t="s">
        <v>96</v>
      </c>
      <c r="H810" s="49">
        <v>0.021532412</v>
      </c>
      <c r="I810" s="49">
        <v>560.0</v>
      </c>
      <c r="J810" s="49">
        <v>23256.8</v>
      </c>
      <c r="K810" s="49">
        <v>23256.8</v>
      </c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>
      <c r="A811" s="48" t="s">
        <v>2766</v>
      </c>
      <c r="B811" s="48" t="s">
        <v>2767</v>
      </c>
      <c r="C811" s="48" t="s">
        <v>2768</v>
      </c>
      <c r="D811" s="48" t="s">
        <v>93</v>
      </c>
      <c r="E811" s="48" t="s">
        <v>127</v>
      </c>
      <c r="F811" s="48" t="s">
        <v>918</v>
      </c>
      <c r="G811" s="48" t="s">
        <v>908</v>
      </c>
      <c r="H811" s="49">
        <v>0.0215309319</v>
      </c>
      <c r="I811" s="49">
        <v>415.0</v>
      </c>
      <c r="J811" s="49">
        <v>23255.2</v>
      </c>
      <c r="K811" s="49">
        <v>23255.2</v>
      </c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>
      <c r="A812" s="48" t="s">
        <v>2769</v>
      </c>
      <c r="B812" s="49">
        <v>6858902.0</v>
      </c>
      <c r="C812" s="48" t="s">
        <v>2770</v>
      </c>
      <c r="D812" s="48" t="s">
        <v>93</v>
      </c>
      <c r="E812" s="48" t="s">
        <v>133</v>
      </c>
      <c r="F812" s="48" t="s">
        <v>629</v>
      </c>
      <c r="G812" s="48" t="s">
        <v>630</v>
      </c>
      <c r="H812" s="49">
        <v>0.0215112974</v>
      </c>
      <c r="I812" s="49">
        <v>554.0</v>
      </c>
      <c r="J812" s="49">
        <v>23233.99</v>
      </c>
      <c r="K812" s="49">
        <v>23233.99</v>
      </c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>
      <c r="A813" s="48" t="s">
        <v>2771</v>
      </c>
      <c r="B813" s="49">
        <v>6493745.0</v>
      </c>
      <c r="C813" s="48" t="s">
        <v>2772</v>
      </c>
      <c r="D813" s="48" t="s">
        <v>93</v>
      </c>
      <c r="E813" s="48" t="s">
        <v>124</v>
      </c>
      <c r="F813" s="48" t="s">
        <v>629</v>
      </c>
      <c r="G813" s="48" t="s">
        <v>630</v>
      </c>
      <c r="H813" s="49">
        <v>0.0214241643</v>
      </c>
      <c r="I813" s="49">
        <v>1026.0</v>
      </c>
      <c r="J813" s="49">
        <v>23139.88</v>
      </c>
      <c r="K813" s="49">
        <v>23139.88</v>
      </c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>
      <c r="A814" s="48" t="s">
        <v>2773</v>
      </c>
      <c r="B814" s="48" t="s">
        <v>2774</v>
      </c>
      <c r="C814" s="48" t="s">
        <v>2775</v>
      </c>
      <c r="D814" s="48" t="s">
        <v>93</v>
      </c>
      <c r="E814" s="48" t="s">
        <v>99</v>
      </c>
      <c r="F814" s="48" t="s">
        <v>622</v>
      </c>
      <c r="G814" s="48" t="s">
        <v>623</v>
      </c>
      <c r="H814" s="49">
        <v>0.0213708163</v>
      </c>
      <c r="I814" s="49">
        <v>199.0</v>
      </c>
      <c r="J814" s="49">
        <v>23082.26</v>
      </c>
      <c r="K814" s="49">
        <v>23082.26</v>
      </c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>
      <c r="A815" s="48" t="s">
        <v>2776</v>
      </c>
      <c r="B815" s="49">
        <v>6647133.0</v>
      </c>
      <c r="C815" s="48" t="s">
        <v>2777</v>
      </c>
      <c r="D815" s="48" t="s">
        <v>93</v>
      </c>
      <c r="E815" s="48" t="s">
        <v>167</v>
      </c>
      <c r="F815" s="48" t="s">
        <v>679</v>
      </c>
      <c r="G815" s="48" t="s">
        <v>2438</v>
      </c>
      <c r="H815" s="49">
        <v>0.0212979844</v>
      </c>
      <c r="I815" s="49">
        <v>85.0</v>
      </c>
      <c r="J815" s="49">
        <v>23003.6</v>
      </c>
      <c r="K815" s="49">
        <v>23003.6</v>
      </c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>
      <c r="A816" s="48" t="s">
        <v>2778</v>
      </c>
      <c r="B816" s="49">
        <v>6811734.0</v>
      </c>
      <c r="C816" s="48" t="s">
        <v>2779</v>
      </c>
      <c r="D816" s="48" t="s">
        <v>93</v>
      </c>
      <c r="E816" s="48" t="s">
        <v>127</v>
      </c>
      <c r="F816" s="48" t="s">
        <v>738</v>
      </c>
      <c r="G816" s="48" t="s">
        <v>1437</v>
      </c>
      <c r="H816" s="49">
        <v>0.0212668453</v>
      </c>
      <c r="I816" s="49">
        <v>3043.0</v>
      </c>
      <c r="J816" s="49">
        <v>22969.97</v>
      </c>
      <c r="K816" s="49">
        <v>22969.97</v>
      </c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>
      <c r="A817" s="48" t="s">
        <v>2780</v>
      </c>
      <c r="B817" s="49">
        <v>5072673.0</v>
      </c>
      <c r="C817" s="48" t="s">
        <v>2781</v>
      </c>
      <c r="D817" s="48" t="s">
        <v>93</v>
      </c>
      <c r="E817" s="48" t="s">
        <v>94</v>
      </c>
      <c r="F817" s="48" t="s">
        <v>686</v>
      </c>
      <c r="G817" s="48" t="s">
        <v>640</v>
      </c>
      <c r="H817" s="49">
        <v>0.021245868</v>
      </c>
      <c r="I817" s="49">
        <v>1179.0</v>
      </c>
      <c r="J817" s="49">
        <v>22947.31</v>
      </c>
      <c r="K817" s="49">
        <v>22947.31</v>
      </c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>
      <c r="A818" s="48" t="s">
        <v>2782</v>
      </c>
      <c r="B818" s="48" t="s">
        <v>2783</v>
      </c>
      <c r="C818" s="48" t="s">
        <v>2784</v>
      </c>
      <c r="D818" s="48" t="s">
        <v>93</v>
      </c>
      <c r="E818" s="48" t="s">
        <v>115</v>
      </c>
      <c r="F818" s="48" t="s">
        <v>629</v>
      </c>
      <c r="G818" s="48" t="s">
        <v>630</v>
      </c>
      <c r="H818" s="49">
        <v>0.0212451458</v>
      </c>
      <c r="I818" s="49">
        <v>3530.0</v>
      </c>
      <c r="J818" s="49">
        <v>22946.53</v>
      </c>
      <c r="K818" s="49">
        <v>22946.53</v>
      </c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>
      <c r="A819" s="48" t="s">
        <v>2785</v>
      </c>
      <c r="B819" s="48" t="s">
        <v>2786</v>
      </c>
      <c r="C819" s="48" t="s">
        <v>2787</v>
      </c>
      <c r="D819" s="48" t="s">
        <v>93</v>
      </c>
      <c r="E819" s="48" t="s">
        <v>121</v>
      </c>
      <c r="F819" s="48" t="s">
        <v>622</v>
      </c>
      <c r="G819" s="48" t="s">
        <v>623</v>
      </c>
      <c r="H819" s="49">
        <v>0.0212335832</v>
      </c>
      <c r="I819" s="49">
        <v>184.0</v>
      </c>
      <c r="J819" s="49">
        <v>22934.04</v>
      </c>
      <c r="K819" s="49">
        <v>22934.04</v>
      </c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>
      <c r="A820" s="48" t="s">
        <v>2788</v>
      </c>
      <c r="B820" s="49">
        <v>4402839.0</v>
      </c>
      <c r="C820" s="48" t="s">
        <v>2789</v>
      </c>
      <c r="D820" s="48" t="s">
        <v>93</v>
      </c>
      <c r="E820" s="48" t="s">
        <v>99</v>
      </c>
      <c r="F820" s="48" t="s">
        <v>668</v>
      </c>
      <c r="G820" s="48" t="s">
        <v>640</v>
      </c>
      <c r="H820" s="49">
        <v>0.0211809782</v>
      </c>
      <c r="I820" s="49">
        <v>121.0</v>
      </c>
      <c r="J820" s="49">
        <v>22877.22</v>
      </c>
      <c r="K820" s="49">
        <v>22877.22</v>
      </c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>
      <c r="A821" s="48" t="s">
        <v>2790</v>
      </c>
      <c r="B821" s="48" t="s">
        <v>2791</v>
      </c>
      <c r="C821" s="48" t="s">
        <v>2792</v>
      </c>
      <c r="D821" s="48" t="s">
        <v>93</v>
      </c>
      <c r="E821" s="48" t="s">
        <v>94</v>
      </c>
      <c r="F821" s="48" t="s">
        <v>2247</v>
      </c>
      <c r="G821" s="48" t="s">
        <v>908</v>
      </c>
      <c r="H821" s="49">
        <v>0.0211366305</v>
      </c>
      <c r="I821" s="49">
        <v>873.0</v>
      </c>
      <c r="J821" s="49">
        <v>22829.32</v>
      </c>
      <c r="K821" s="49">
        <v>22829.32</v>
      </c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>
      <c r="A822" s="48" t="s">
        <v>2793</v>
      </c>
      <c r="B822" s="48" t="s">
        <v>2794</v>
      </c>
      <c r="C822" s="48" t="s">
        <v>2795</v>
      </c>
      <c r="D822" s="48" t="s">
        <v>93</v>
      </c>
      <c r="E822" s="48" t="s">
        <v>102</v>
      </c>
      <c r="F822" s="48" t="s">
        <v>622</v>
      </c>
      <c r="G822" s="48" t="s">
        <v>623</v>
      </c>
      <c r="H822" s="49">
        <v>0.0210724677</v>
      </c>
      <c r="I822" s="49">
        <v>1507.0</v>
      </c>
      <c r="J822" s="49">
        <v>22760.02</v>
      </c>
      <c r="K822" s="49">
        <v>22760.02</v>
      </c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>
      <c r="A823" s="48" t="s">
        <v>2796</v>
      </c>
      <c r="B823" s="49">
        <v>2465254.0</v>
      </c>
      <c r="C823" s="48" t="s">
        <v>2797</v>
      </c>
      <c r="D823" s="48" t="s">
        <v>93</v>
      </c>
      <c r="E823" s="48" t="s">
        <v>94</v>
      </c>
      <c r="F823" s="48" t="s">
        <v>622</v>
      </c>
      <c r="G823" s="48" t="s">
        <v>623</v>
      </c>
      <c r="H823" s="49">
        <v>0.0209809069</v>
      </c>
      <c r="I823" s="49">
        <v>426.0</v>
      </c>
      <c r="J823" s="49">
        <v>22661.13</v>
      </c>
      <c r="K823" s="49">
        <v>22661.13</v>
      </c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>
      <c r="A824" s="48" t="s">
        <v>2798</v>
      </c>
      <c r="B824" s="49">
        <v>5641567.0</v>
      </c>
      <c r="C824" s="48" t="s">
        <v>2799</v>
      </c>
      <c r="D824" s="48" t="s">
        <v>93</v>
      </c>
      <c r="E824" s="48" t="s">
        <v>124</v>
      </c>
      <c r="F824" s="48" t="s">
        <v>639</v>
      </c>
      <c r="G824" s="48" t="s">
        <v>640</v>
      </c>
      <c r="H824" s="49">
        <v>0.0209392238999999</v>
      </c>
      <c r="I824" s="49">
        <v>811.0</v>
      </c>
      <c r="J824" s="49">
        <v>22616.11</v>
      </c>
      <c r="K824" s="49">
        <v>22616.11</v>
      </c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>
      <c r="A825" s="48" t="s">
        <v>2800</v>
      </c>
      <c r="B825" s="49">
        <v>6597584.0</v>
      </c>
      <c r="C825" s="48" t="s">
        <v>2801</v>
      </c>
      <c r="D825" s="48" t="s">
        <v>93</v>
      </c>
      <c r="E825" s="48" t="s">
        <v>127</v>
      </c>
      <c r="F825" s="48" t="s">
        <v>629</v>
      </c>
      <c r="G825" s="48" t="s">
        <v>630</v>
      </c>
      <c r="H825" s="49">
        <v>0.0208300435</v>
      </c>
      <c r="I825" s="49">
        <v>463.0</v>
      </c>
      <c r="J825" s="49">
        <v>22498.18</v>
      </c>
      <c r="K825" s="49">
        <v>22498.18</v>
      </c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>
      <c r="A826" s="48" t="s">
        <v>2802</v>
      </c>
      <c r="B826" s="49">
        <v>2437264.0</v>
      </c>
      <c r="C826" s="48" t="s">
        <v>2803</v>
      </c>
      <c r="D826" s="48" t="s">
        <v>93</v>
      </c>
      <c r="E826" s="48" t="s">
        <v>124</v>
      </c>
      <c r="F826" s="48" t="s">
        <v>622</v>
      </c>
      <c r="G826" s="48" t="s">
        <v>623</v>
      </c>
      <c r="H826" s="49">
        <v>0.0207154885</v>
      </c>
      <c r="I826" s="49">
        <v>365.0</v>
      </c>
      <c r="J826" s="49">
        <v>22374.45</v>
      </c>
      <c r="K826" s="49">
        <v>22374.45</v>
      </c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>
      <c r="A827" s="48" t="s">
        <v>2804</v>
      </c>
      <c r="B827" s="49">
        <v>2567503.0</v>
      </c>
      <c r="C827" s="48" t="s">
        <v>2805</v>
      </c>
      <c r="D827" s="48" t="s">
        <v>93</v>
      </c>
      <c r="E827" s="48" t="s">
        <v>133</v>
      </c>
      <c r="F827" s="48" t="s">
        <v>622</v>
      </c>
      <c r="G827" s="48" t="s">
        <v>623</v>
      </c>
      <c r="H827" s="49">
        <v>0.0206858485</v>
      </c>
      <c r="I827" s="49">
        <v>901.0</v>
      </c>
      <c r="J827" s="49">
        <v>22342.44</v>
      </c>
      <c r="K827" s="49">
        <v>22342.44</v>
      </c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>
      <c r="A828" s="48" t="s">
        <v>2806</v>
      </c>
      <c r="B828" s="49">
        <v>2645409.0</v>
      </c>
      <c r="C828" s="48" t="s">
        <v>2807</v>
      </c>
      <c r="D828" s="48" t="s">
        <v>93</v>
      </c>
      <c r="E828" s="48" t="s">
        <v>170</v>
      </c>
      <c r="F828" s="48" t="s">
        <v>622</v>
      </c>
      <c r="G828" s="48" t="s">
        <v>623</v>
      </c>
      <c r="H828" s="49">
        <v>0.0206567423999999</v>
      </c>
      <c r="I828" s="49">
        <v>529.0</v>
      </c>
      <c r="J828" s="49">
        <v>22311.0</v>
      </c>
      <c r="K828" s="49">
        <v>22311.0</v>
      </c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>
      <c r="A829" s="48" t="s">
        <v>2808</v>
      </c>
      <c r="B829" s="48" t="s">
        <v>2809</v>
      </c>
      <c r="C829" s="48" t="s">
        <v>2810</v>
      </c>
      <c r="D829" s="48" t="s">
        <v>93</v>
      </c>
      <c r="E829" s="48" t="s">
        <v>124</v>
      </c>
      <c r="F829" s="48" t="s">
        <v>622</v>
      </c>
      <c r="G829" s="48" t="s">
        <v>623</v>
      </c>
      <c r="H829" s="49">
        <v>0.0206497725</v>
      </c>
      <c r="I829" s="49">
        <v>223.0</v>
      </c>
      <c r="J829" s="49">
        <v>22303.48</v>
      </c>
      <c r="K829" s="49">
        <v>22303.48</v>
      </c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>
      <c r="A830" s="48" t="s">
        <v>2811</v>
      </c>
      <c r="B830" s="48" t="s">
        <v>2812</v>
      </c>
      <c r="C830" s="48" t="s">
        <v>2813</v>
      </c>
      <c r="D830" s="48" t="s">
        <v>93</v>
      </c>
      <c r="E830" s="48" t="s">
        <v>170</v>
      </c>
      <c r="F830" s="48" t="s">
        <v>883</v>
      </c>
      <c r="G830" s="48" t="s">
        <v>884</v>
      </c>
      <c r="H830" s="49">
        <v>0.02057879</v>
      </c>
      <c r="I830" s="49">
        <v>244.0</v>
      </c>
      <c r="J830" s="49">
        <v>22226.81</v>
      </c>
      <c r="K830" s="49">
        <v>22226.81</v>
      </c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>
      <c r="A831" s="48" t="s">
        <v>2814</v>
      </c>
      <c r="B831" s="49">
        <v>2523022.0</v>
      </c>
      <c r="C831" s="48" t="s">
        <v>2815</v>
      </c>
      <c r="D831" s="48" t="s">
        <v>93</v>
      </c>
      <c r="E831" s="48" t="s">
        <v>99</v>
      </c>
      <c r="F831" s="48" t="s">
        <v>622</v>
      </c>
      <c r="G831" s="48" t="s">
        <v>623</v>
      </c>
      <c r="H831" s="49">
        <v>0.0205635797</v>
      </c>
      <c r="I831" s="49">
        <v>222.0</v>
      </c>
      <c r="J831" s="49">
        <v>22210.38</v>
      </c>
      <c r="K831" s="49">
        <v>22210.38</v>
      </c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>
      <c r="A832" s="48" t="s">
        <v>2816</v>
      </c>
      <c r="B832" s="49">
        <v>6483489.0</v>
      </c>
      <c r="C832" s="48" t="s">
        <v>2817</v>
      </c>
      <c r="D832" s="48" t="s">
        <v>93</v>
      </c>
      <c r="E832" s="48" t="s">
        <v>170</v>
      </c>
      <c r="F832" s="48" t="s">
        <v>629</v>
      </c>
      <c r="G832" s="48" t="s">
        <v>630</v>
      </c>
      <c r="H832" s="49">
        <v>0.0205443503</v>
      </c>
      <c r="I832" s="49">
        <v>927.0</v>
      </c>
      <c r="J832" s="49">
        <v>22189.61</v>
      </c>
      <c r="K832" s="49">
        <v>22189.61</v>
      </c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>
      <c r="A833" s="48" t="s">
        <v>2818</v>
      </c>
      <c r="B833" s="49">
        <v>922320.0</v>
      </c>
      <c r="C833" s="48" t="s">
        <v>2819</v>
      </c>
      <c r="D833" s="48" t="s">
        <v>93</v>
      </c>
      <c r="E833" s="48" t="s">
        <v>102</v>
      </c>
      <c r="F833" s="48" t="s">
        <v>918</v>
      </c>
      <c r="G833" s="48" t="s">
        <v>908</v>
      </c>
      <c r="H833" s="49">
        <v>0.0204833105</v>
      </c>
      <c r="I833" s="49">
        <v>1112.0</v>
      </c>
      <c r="J833" s="49">
        <v>22123.68</v>
      </c>
      <c r="K833" s="49">
        <v>22123.68</v>
      </c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>
      <c r="A834" s="48" t="s">
        <v>2820</v>
      </c>
      <c r="B834" s="48" t="s">
        <v>2821</v>
      </c>
      <c r="C834" s="48" t="s">
        <v>2822</v>
      </c>
      <c r="D834" s="48" t="s">
        <v>93</v>
      </c>
      <c r="E834" s="48" t="s">
        <v>127</v>
      </c>
      <c r="F834" s="48" t="s">
        <v>1201</v>
      </c>
      <c r="G834" s="48" t="s">
        <v>640</v>
      </c>
      <c r="H834" s="49">
        <v>0.0204670904</v>
      </c>
      <c r="I834" s="49">
        <v>94.0</v>
      </c>
      <c r="J834" s="49">
        <v>22106.16</v>
      </c>
      <c r="K834" s="49">
        <v>22106.16</v>
      </c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>
      <c r="A835" s="48" t="s">
        <v>2823</v>
      </c>
      <c r="B835" s="48" t="s">
        <v>2824</v>
      </c>
      <c r="C835" s="48" t="s">
        <v>2825</v>
      </c>
      <c r="D835" s="48" t="s">
        <v>93</v>
      </c>
      <c r="E835" s="48" t="s">
        <v>127</v>
      </c>
      <c r="F835" s="48" t="s">
        <v>1666</v>
      </c>
      <c r="G835" s="48" t="s">
        <v>623</v>
      </c>
      <c r="H835" s="49">
        <v>0.0202925768</v>
      </c>
      <c r="I835" s="49">
        <v>223.0</v>
      </c>
      <c r="J835" s="49">
        <v>21917.67</v>
      </c>
      <c r="K835" s="49">
        <v>21917.67</v>
      </c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>
      <c r="A836" s="48" t="s">
        <v>2826</v>
      </c>
      <c r="B836" s="49">
        <v>2471950.0</v>
      </c>
      <c r="C836" s="48" t="s">
        <v>2827</v>
      </c>
      <c r="D836" s="48" t="s">
        <v>93</v>
      </c>
      <c r="E836" s="48" t="s">
        <v>102</v>
      </c>
      <c r="F836" s="48" t="s">
        <v>622</v>
      </c>
      <c r="G836" s="48" t="s">
        <v>623</v>
      </c>
      <c r="H836" s="49">
        <v>0.0202827785</v>
      </c>
      <c r="I836" s="49">
        <v>239.0</v>
      </c>
      <c r="J836" s="49">
        <v>21907.09</v>
      </c>
      <c r="K836" s="49">
        <v>21907.09</v>
      </c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>
      <c r="A837" s="48" t="s">
        <v>2828</v>
      </c>
      <c r="B837" s="48" t="s">
        <v>2829</v>
      </c>
      <c r="C837" s="48" t="s">
        <v>2830</v>
      </c>
      <c r="D837" s="48" t="s">
        <v>93</v>
      </c>
      <c r="E837" s="48" t="s">
        <v>118</v>
      </c>
      <c r="F837" s="48" t="s">
        <v>649</v>
      </c>
      <c r="G837" s="48" t="s">
        <v>640</v>
      </c>
      <c r="H837" s="49">
        <v>0.0202525703</v>
      </c>
      <c r="I837" s="49">
        <v>142.0</v>
      </c>
      <c r="J837" s="49">
        <v>21874.46</v>
      </c>
      <c r="K837" s="49">
        <v>21874.46</v>
      </c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>
      <c r="A838" s="48" t="s">
        <v>2831</v>
      </c>
      <c r="B838" s="48" t="s">
        <v>2832</v>
      </c>
      <c r="C838" s="48" t="s">
        <v>2833</v>
      </c>
      <c r="D838" s="48" t="s">
        <v>93</v>
      </c>
      <c r="E838" s="48" t="s">
        <v>99</v>
      </c>
      <c r="F838" s="48" t="s">
        <v>622</v>
      </c>
      <c r="G838" s="48" t="s">
        <v>623</v>
      </c>
      <c r="H838" s="49">
        <v>0.02014657</v>
      </c>
      <c r="I838" s="49">
        <v>334.0</v>
      </c>
      <c r="J838" s="49">
        <v>21759.98</v>
      </c>
      <c r="K838" s="49">
        <v>21759.98</v>
      </c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>
      <c r="A839" s="48" t="s">
        <v>2834</v>
      </c>
      <c r="B839" s="49">
        <v>6642860.0</v>
      </c>
      <c r="C839" s="48" t="s">
        <v>2835</v>
      </c>
      <c r="D839" s="48" t="s">
        <v>93</v>
      </c>
      <c r="E839" s="48" t="s">
        <v>118</v>
      </c>
      <c r="F839" s="48" t="s">
        <v>629</v>
      </c>
      <c r="G839" s="48" t="s">
        <v>630</v>
      </c>
      <c r="H839" s="49">
        <v>0.0201003368999999</v>
      </c>
      <c r="I839" s="49">
        <v>2968.0</v>
      </c>
      <c r="J839" s="49">
        <v>21710.04</v>
      </c>
      <c r="K839" s="49">
        <v>21710.04</v>
      </c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>
      <c r="A840" s="48" t="s">
        <v>2836</v>
      </c>
      <c r="B840" s="49">
        <v>3208986.0</v>
      </c>
      <c r="C840" s="48" t="s">
        <v>2837</v>
      </c>
      <c r="D840" s="48" t="s">
        <v>93</v>
      </c>
      <c r="E840" s="48" t="s">
        <v>118</v>
      </c>
      <c r="F840" s="48" t="s">
        <v>918</v>
      </c>
      <c r="G840" s="48" t="s">
        <v>908</v>
      </c>
      <c r="H840" s="49">
        <v>0.0200769122</v>
      </c>
      <c r="I840" s="49">
        <v>154.0</v>
      </c>
      <c r="J840" s="49">
        <v>21684.74</v>
      </c>
      <c r="K840" s="49">
        <v>21684.74</v>
      </c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>
      <c r="A841" s="48" t="s">
        <v>2838</v>
      </c>
      <c r="B841" s="48" t="s">
        <v>2839</v>
      </c>
      <c r="C841" s="48" t="s">
        <v>2840</v>
      </c>
      <c r="D841" s="48" t="s">
        <v>93</v>
      </c>
      <c r="E841" s="48" t="s">
        <v>133</v>
      </c>
      <c r="F841" s="48" t="s">
        <v>622</v>
      </c>
      <c r="G841" s="48" t="s">
        <v>623</v>
      </c>
      <c r="H841" s="49">
        <v>0.0200506656</v>
      </c>
      <c r="I841" s="49">
        <v>729.0</v>
      </c>
      <c r="J841" s="49">
        <v>21656.39</v>
      </c>
      <c r="K841" s="49">
        <v>21656.39</v>
      </c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>
      <c r="A842" s="48" t="s">
        <v>2841</v>
      </c>
      <c r="B842" s="48" t="s">
        <v>2842</v>
      </c>
      <c r="C842" s="48" t="s">
        <v>2843</v>
      </c>
      <c r="D842" s="48" t="s">
        <v>93</v>
      </c>
      <c r="E842" s="48" t="s">
        <v>133</v>
      </c>
      <c r="F842" s="48" t="s">
        <v>822</v>
      </c>
      <c r="G842" s="48" t="s">
        <v>646</v>
      </c>
      <c r="H842" s="49">
        <v>0.0200418388</v>
      </c>
      <c r="I842" s="49">
        <v>2699.0</v>
      </c>
      <c r="J842" s="49">
        <v>21646.86</v>
      </c>
      <c r="K842" s="49">
        <v>21646.86</v>
      </c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>
      <c r="A843" s="48" t="s">
        <v>2844</v>
      </c>
      <c r="B843" s="49">
        <v>6191997.0</v>
      </c>
      <c r="C843" s="48" t="s">
        <v>2845</v>
      </c>
      <c r="D843" s="48" t="s">
        <v>93</v>
      </c>
      <c r="E843" s="48" t="s">
        <v>102</v>
      </c>
      <c r="F843" s="48" t="s">
        <v>645</v>
      </c>
      <c r="G843" s="48" t="s">
        <v>646</v>
      </c>
      <c r="H843" s="49">
        <v>0.0200153629</v>
      </c>
      <c r="I843" s="49">
        <v>18967.0</v>
      </c>
      <c r="J843" s="49">
        <v>21618.26</v>
      </c>
      <c r="K843" s="49">
        <v>21618.26</v>
      </c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>
      <c r="A844" s="48" t="s">
        <v>2846</v>
      </c>
      <c r="B844" s="48" t="s">
        <v>2847</v>
      </c>
      <c r="C844" s="48" t="s">
        <v>2848</v>
      </c>
      <c r="D844" s="48" t="s">
        <v>93</v>
      </c>
      <c r="E844" s="48" t="s">
        <v>133</v>
      </c>
      <c r="F844" s="48" t="s">
        <v>629</v>
      </c>
      <c r="G844" s="48" t="s">
        <v>630</v>
      </c>
      <c r="H844" s="49">
        <v>0.0199709054</v>
      </c>
      <c r="I844" s="49">
        <v>12.0</v>
      </c>
      <c r="J844" s="49">
        <v>21570.24</v>
      </c>
      <c r="K844" s="49">
        <v>21570.24</v>
      </c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>
      <c r="A845" s="48" t="s">
        <v>2849</v>
      </c>
      <c r="B845" s="48" t="s">
        <v>2850</v>
      </c>
      <c r="C845" s="48" t="s">
        <v>2851</v>
      </c>
      <c r="D845" s="48" t="s">
        <v>93</v>
      </c>
      <c r="E845" s="48" t="s">
        <v>124</v>
      </c>
      <c r="F845" s="48" t="s">
        <v>668</v>
      </c>
      <c r="G845" s="48" t="s">
        <v>640</v>
      </c>
      <c r="H845" s="49">
        <v>0.0199001949</v>
      </c>
      <c r="I845" s="49">
        <v>503.0</v>
      </c>
      <c r="J845" s="49">
        <v>21493.87</v>
      </c>
      <c r="K845" s="49">
        <v>21493.87</v>
      </c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>
      <c r="A846" s="48" t="s">
        <v>2852</v>
      </c>
      <c r="B846" s="49">
        <v>2547419.0</v>
      </c>
      <c r="C846" s="48" t="s">
        <v>2853</v>
      </c>
      <c r="D846" s="48" t="s">
        <v>93</v>
      </c>
      <c r="E846" s="48" t="s">
        <v>118</v>
      </c>
      <c r="F846" s="48" t="s">
        <v>622</v>
      </c>
      <c r="G846" s="48" t="s">
        <v>623</v>
      </c>
      <c r="H846" s="49">
        <v>0.0198781068</v>
      </c>
      <c r="I846" s="49">
        <v>372.0</v>
      </c>
      <c r="J846" s="49">
        <v>21470.01</v>
      </c>
      <c r="K846" s="49">
        <v>21470.01</v>
      </c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>
      <c r="A847" s="48" t="s">
        <v>2854</v>
      </c>
      <c r="B847" s="49">
        <v>2490911.0</v>
      </c>
      <c r="C847" s="48" t="s">
        <v>2855</v>
      </c>
      <c r="D847" s="48" t="s">
        <v>93</v>
      </c>
      <c r="E847" s="48" t="s">
        <v>99</v>
      </c>
      <c r="F847" s="48" t="s">
        <v>622</v>
      </c>
      <c r="G847" s="48" t="s">
        <v>623</v>
      </c>
      <c r="H847" s="49">
        <v>0.0198317563999999</v>
      </c>
      <c r="I847" s="49">
        <v>1282.0</v>
      </c>
      <c r="J847" s="49">
        <v>21419.95</v>
      </c>
      <c r="K847" s="49">
        <v>21419.95</v>
      </c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>
      <c r="A848" s="48" t="s">
        <v>2856</v>
      </c>
      <c r="B848" s="49">
        <v>6390921.0</v>
      </c>
      <c r="C848" s="48" t="s">
        <v>2857</v>
      </c>
      <c r="D848" s="48" t="s">
        <v>93</v>
      </c>
      <c r="E848" s="48" t="s">
        <v>167</v>
      </c>
      <c r="F848" s="48" t="s">
        <v>629</v>
      </c>
      <c r="G848" s="48" t="s">
        <v>630</v>
      </c>
      <c r="H848" s="49">
        <v>0.0197345087</v>
      </c>
      <c r="I848" s="49">
        <v>496.0</v>
      </c>
      <c r="J848" s="49">
        <v>21314.91</v>
      </c>
      <c r="K848" s="49">
        <v>21314.91</v>
      </c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>
      <c r="A849" s="48" t="s">
        <v>2858</v>
      </c>
      <c r="B849" s="49">
        <v>6804820.0</v>
      </c>
      <c r="C849" s="48" t="s">
        <v>2859</v>
      </c>
      <c r="D849" s="48" t="s">
        <v>93</v>
      </c>
      <c r="E849" s="48" t="s">
        <v>118</v>
      </c>
      <c r="F849" s="48" t="s">
        <v>629</v>
      </c>
      <c r="G849" s="48" t="s">
        <v>630</v>
      </c>
      <c r="H849" s="49">
        <v>0.0196293544999999</v>
      </c>
      <c r="I849" s="49">
        <v>103.0</v>
      </c>
      <c r="J849" s="49">
        <v>21201.34</v>
      </c>
      <c r="K849" s="49">
        <v>21201.34</v>
      </c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>
      <c r="A850" s="48" t="s">
        <v>2860</v>
      </c>
      <c r="B850" s="48" t="s">
        <v>2861</v>
      </c>
      <c r="C850" s="48" t="s">
        <v>2862</v>
      </c>
      <c r="D850" s="48" t="s">
        <v>93</v>
      </c>
      <c r="E850" s="48" t="s">
        <v>127</v>
      </c>
      <c r="F850" s="48" t="s">
        <v>1352</v>
      </c>
      <c r="G850" s="48" t="s">
        <v>640</v>
      </c>
      <c r="H850" s="49">
        <v>0.0195754767</v>
      </c>
      <c r="I850" s="49">
        <v>339.0</v>
      </c>
      <c r="J850" s="49">
        <v>21143.15</v>
      </c>
      <c r="K850" s="49">
        <v>21143.15</v>
      </c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>
      <c r="A851" s="48" t="s">
        <v>2863</v>
      </c>
      <c r="B851" s="49">
        <v>6641801.0</v>
      </c>
      <c r="C851" s="48" t="s">
        <v>2864</v>
      </c>
      <c r="D851" s="48" t="s">
        <v>93</v>
      </c>
      <c r="E851" s="48" t="s">
        <v>94</v>
      </c>
      <c r="F851" s="48" t="s">
        <v>629</v>
      </c>
      <c r="G851" s="48" t="s">
        <v>630</v>
      </c>
      <c r="H851" s="49">
        <v>0.0195037539999999</v>
      </c>
      <c r="I851" s="49">
        <v>197.0</v>
      </c>
      <c r="J851" s="49">
        <v>21065.68</v>
      </c>
      <c r="K851" s="49">
        <v>21065.68</v>
      </c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>
      <c r="A852" s="48" t="s">
        <v>2865</v>
      </c>
      <c r="B852" s="48" t="s">
        <v>2866</v>
      </c>
      <c r="C852" s="48" t="s">
        <v>2867</v>
      </c>
      <c r="D852" s="48" t="s">
        <v>93</v>
      </c>
      <c r="E852" s="48" t="s">
        <v>167</v>
      </c>
      <c r="F852" s="48" t="s">
        <v>622</v>
      </c>
      <c r="G852" s="48" t="s">
        <v>623</v>
      </c>
      <c r="H852" s="49">
        <v>0.0194105186</v>
      </c>
      <c r="I852" s="49">
        <v>231.0</v>
      </c>
      <c r="J852" s="49">
        <v>20964.98</v>
      </c>
      <c r="K852" s="49">
        <v>20964.98</v>
      </c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>
      <c r="A853" s="48" t="s">
        <v>2868</v>
      </c>
      <c r="B853" s="49">
        <v>5596991.0</v>
      </c>
      <c r="C853" s="48" t="s">
        <v>2869</v>
      </c>
      <c r="D853" s="48" t="s">
        <v>93</v>
      </c>
      <c r="E853" s="48" t="s">
        <v>102</v>
      </c>
      <c r="F853" s="48" t="s">
        <v>1374</v>
      </c>
      <c r="G853" s="48" t="s">
        <v>640</v>
      </c>
      <c r="H853" s="49">
        <v>0.0193203168</v>
      </c>
      <c r="I853" s="49">
        <v>151.0</v>
      </c>
      <c r="J853" s="49">
        <v>20867.55</v>
      </c>
      <c r="K853" s="49">
        <v>20867.55</v>
      </c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>
      <c r="A854" s="48" t="s">
        <v>2870</v>
      </c>
      <c r="B854" s="49">
        <v>6435327.0</v>
      </c>
      <c r="C854" s="48" t="s">
        <v>2871</v>
      </c>
      <c r="D854" s="48" t="s">
        <v>93</v>
      </c>
      <c r="E854" s="48" t="s">
        <v>170</v>
      </c>
      <c r="F854" s="48" t="s">
        <v>822</v>
      </c>
      <c r="G854" s="48" t="s">
        <v>646</v>
      </c>
      <c r="H854" s="49">
        <v>0.0192950579</v>
      </c>
      <c r="I854" s="49">
        <v>2706.0</v>
      </c>
      <c r="J854" s="49">
        <v>20840.27</v>
      </c>
      <c r="K854" s="49">
        <v>20840.27</v>
      </c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>
      <c r="A855" s="48" t="s">
        <v>2872</v>
      </c>
      <c r="B855" s="49">
        <v>6642387.0</v>
      </c>
      <c r="C855" s="48" t="s">
        <v>2873</v>
      </c>
      <c r="D855" s="48" t="s">
        <v>93</v>
      </c>
      <c r="E855" s="48" t="s">
        <v>118</v>
      </c>
      <c r="F855" s="48" t="s">
        <v>629</v>
      </c>
      <c r="G855" s="48" t="s">
        <v>630</v>
      </c>
      <c r="H855" s="49">
        <v>0.0192659004</v>
      </c>
      <c r="I855" s="49">
        <v>475.0</v>
      </c>
      <c r="J855" s="49">
        <v>20808.78</v>
      </c>
      <c r="K855" s="49">
        <v>20808.78</v>
      </c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>
      <c r="A856" s="48" t="s">
        <v>2874</v>
      </c>
      <c r="B856" s="49">
        <v>6451271.0</v>
      </c>
      <c r="C856" s="48" t="s">
        <v>2875</v>
      </c>
      <c r="D856" s="48" t="s">
        <v>93</v>
      </c>
      <c r="E856" s="48" t="s">
        <v>99</v>
      </c>
      <c r="F856" s="48" t="s">
        <v>679</v>
      </c>
      <c r="G856" s="48" t="s">
        <v>2438</v>
      </c>
      <c r="H856" s="49">
        <v>0.0192546909</v>
      </c>
      <c r="I856" s="49">
        <v>2482.0</v>
      </c>
      <c r="J856" s="49">
        <v>20796.67</v>
      </c>
      <c r="K856" s="49">
        <v>20796.67</v>
      </c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>
      <c r="A857" s="48" t="s">
        <v>2876</v>
      </c>
      <c r="B857" s="49">
        <v>5076705.0</v>
      </c>
      <c r="C857" s="48" t="s">
        <v>2299</v>
      </c>
      <c r="D857" s="48" t="s">
        <v>93</v>
      </c>
      <c r="E857" s="48" t="s">
        <v>124</v>
      </c>
      <c r="F857" s="48" t="s">
        <v>649</v>
      </c>
      <c r="G857" s="48" t="s">
        <v>640</v>
      </c>
      <c r="H857" s="49">
        <v>0.0192369761</v>
      </c>
      <c r="I857" s="49">
        <v>185.0</v>
      </c>
      <c r="J857" s="49">
        <v>20777.54</v>
      </c>
      <c r="K857" s="49">
        <v>20777.54</v>
      </c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>
      <c r="A858" s="48" t="s">
        <v>2877</v>
      </c>
      <c r="B858" s="49">
        <v>7184725.0</v>
      </c>
      <c r="C858" s="48" t="s">
        <v>2878</v>
      </c>
      <c r="D858" s="48" t="s">
        <v>93</v>
      </c>
      <c r="E858" s="48" t="s">
        <v>118</v>
      </c>
      <c r="F858" s="48" t="s">
        <v>654</v>
      </c>
      <c r="G858" s="48" t="s">
        <v>655</v>
      </c>
      <c r="H858" s="49">
        <v>0.0191982399</v>
      </c>
      <c r="I858" s="49">
        <v>50.0</v>
      </c>
      <c r="J858" s="49">
        <v>20735.7</v>
      </c>
      <c r="K858" s="49">
        <v>20735.7</v>
      </c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>
      <c r="A859" s="48" t="s">
        <v>2879</v>
      </c>
      <c r="B859" s="49">
        <v>6957995.0</v>
      </c>
      <c r="C859" s="48" t="s">
        <v>2880</v>
      </c>
      <c r="D859" s="48" t="s">
        <v>93</v>
      </c>
      <c r="E859" s="48" t="s">
        <v>127</v>
      </c>
      <c r="F859" s="48" t="s">
        <v>629</v>
      </c>
      <c r="G859" s="48" t="s">
        <v>630</v>
      </c>
      <c r="H859" s="49">
        <v>0.0191839399</v>
      </c>
      <c r="I859" s="49">
        <v>301.0</v>
      </c>
      <c r="J859" s="49">
        <v>20720.25</v>
      </c>
      <c r="K859" s="49">
        <v>20720.25</v>
      </c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>
      <c r="A860" s="48" t="s">
        <v>2881</v>
      </c>
      <c r="B860" s="48" t="s">
        <v>2882</v>
      </c>
      <c r="C860" s="48" t="s">
        <v>2883</v>
      </c>
      <c r="D860" s="48" t="s">
        <v>93</v>
      </c>
      <c r="E860" s="48" t="s">
        <v>115</v>
      </c>
      <c r="F860" s="48" t="s">
        <v>1673</v>
      </c>
      <c r="G860" s="48" t="s">
        <v>1674</v>
      </c>
      <c r="H860" s="49">
        <v>0.0190218178</v>
      </c>
      <c r="I860" s="49">
        <v>476.0</v>
      </c>
      <c r="J860" s="49">
        <v>20545.15</v>
      </c>
      <c r="K860" s="49">
        <v>20545.15</v>
      </c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>
      <c r="A861" s="48" t="s">
        <v>2884</v>
      </c>
      <c r="B861" s="49">
        <v>2454241.0</v>
      </c>
      <c r="C861" s="48" t="s">
        <v>2885</v>
      </c>
      <c r="D861" s="48" t="s">
        <v>93</v>
      </c>
      <c r="E861" s="48" t="s">
        <v>115</v>
      </c>
      <c r="F861" s="48" t="s">
        <v>694</v>
      </c>
      <c r="G861" s="48" t="s">
        <v>1003</v>
      </c>
      <c r="H861" s="49">
        <v>0.0190004863</v>
      </c>
      <c r="I861" s="49">
        <v>228.0</v>
      </c>
      <c r="J861" s="49">
        <v>20522.11</v>
      </c>
      <c r="K861" s="49">
        <v>20522.11</v>
      </c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>
      <c r="A862" s="48" t="s">
        <v>2886</v>
      </c>
      <c r="B862" s="49">
        <v>6858708.0</v>
      </c>
      <c r="C862" s="48" t="s">
        <v>2887</v>
      </c>
      <c r="D862" s="48" t="s">
        <v>93</v>
      </c>
      <c r="E862" s="48" t="s">
        <v>118</v>
      </c>
      <c r="F862" s="48" t="s">
        <v>629</v>
      </c>
      <c r="G862" s="48" t="s">
        <v>630</v>
      </c>
      <c r="H862" s="49">
        <v>0.0189941263</v>
      </c>
      <c r="I862" s="49">
        <v>1041.0</v>
      </c>
      <c r="J862" s="49">
        <v>20515.24</v>
      </c>
      <c r="K862" s="49">
        <v>20515.24</v>
      </c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>
      <c r="A863" s="48" t="s">
        <v>2888</v>
      </c>
      <c r="B863" s="48" t="s">
        <v>2889</v>
      </c>
      <c r="C863" s="48" t="s">
        <v>2890</v>
      </c>
      <c r="D863" s="48" t="s">
        <v>93</v>
      </c>
      <c r="E863" s="48" t="s">
        <v>121</v>
      </c>
      <c r="F863" s="48" t="s">
        <v>918</v>
      </c>
      <c r="G863" s="48" t="s">
        <v>908</v>
      </c>
      <c r="H863" s="49">
        <v>0.0189903360999999</v>
      </c>
      <c r="I863" s="49">
        <v>1426.0</v>
      </c>
      <c r="J863" s="49">
        <v>20511.15</v>
      </c>
      <c r="K863" s="49">
        <v>20511.15</v>
      </c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>
      <c r="A864" s="48" t="s">
        <v>2891</v>
      </c>
      <c r="B864" s="49">
        <v>6986041.0</v>
      </c>
      <c r="C864" s="48" t="s">
        <v>2892</v>
      </c>
      <c r="D864" s="48" t="s">
        <v>93</v>
      </c>
      <c r="E864" s="48" t="s">
        <v>127</v>
      </c>
      <c r="F864" s="48" t="s">
        <v>629</v>
      </c>
      <c r="G864" s="48" t="s">
        <v>630</v>
      </c>
      <c r="H864" s="49">
        <v>0.0189529212</v>
      </c>
      <c r="I864" s="49">
        <v>346.0</v>
      </c>
      <c r="J864" s="49">
        <v>20470.73</v>
      </c>
      <c r="K864" s="49">
        <v>20470.73</v>
      </c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>
      <c r="A865" s="48" t="s">
        <v>2893</v>
      </c>
      <c r="B865" s="49">
        <v>6195609.0</v>
      </c>
      <c r="C865" s="48" t="s">
        <v>2894</v>
      </c>
      <c r="D865" s="48" t="s">
        <v>93</v>
      </c>
      <c r="E865" s="48" t="s">
        <v>170</v>
      </c>
      <c r="F865" s="48" t="s">
        <v>629</v>
      </c>
      <c r="G865" s="48" t="s">
        <v>630</v>
      </c>
      <c r="H865" s="49">
        <v>0.0189033411</v>
      </c>
      <c r="I865" s="49">
        <v>931.0</v>
      </c>
      <c r="J865" s="49">
        <v>20417.18</v>
      </c>
      <c r="K865" s="49">
        <v>20417.18</v>
      </c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>
      <c r="A866" s="48" t="s">
        <v>2895</v>
      </c>
      <c r="B866" s="48" t="s">
        <v>2896</v>
      </c>
      <c r="C866" s="48" t="s">
        <v>2897</v>
      </c>
      <c r="D866" s="48" t="s">
        <v>93</v>
      </c>
      <c r="E866" s="48" t="s">
        <v>102</v>
      </c>
      <c r="F866" s="48" t="s">
        <v>649</v>
      </c>
      <c r="G866" s="48" t="s">
        <v>640</v>
      </c>
      <c r="H866" s="49">
        <v>0.0188882617</v>
      </c>
      <c r="I866" s="49">
        <v>122.0</v>
      </c>
      <c r="J866" s="49">
        <v>20400.9</v>
      </c>
      <c r="K866" s="49">
        <v>20400.9</v>
      </c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>
      <c r="A867" s="48" t="s">
        <v>2898</v>
      </c>
      <c r="B867" s="48" t="s">
        <v>2899</v>
      </c>
      <c r="C867" s="48" t="s">
        <v>2900</v>
      </c>
      <c r="D867" s="48" t="s">
        <v>93</v>
      </c>
      <c r="E867" s="48" t="s">
        <v>99</v>
      </c>
      <c r="F867" s="48" t="s">
        <v>1666</v>
      </c>
      <c r="G867" s="48" t="s">
        <v>640</v>
      </c>
      <c r="H867" s="49">
        <v>0.0188488986</v>
      </c>
      <c r="I867" s="49">
        <v>1357.0</v>
      </c>
      <c r="J867" s="49">
        <v>20358.38</v>
      </c>
      <c r="K867" s="49">
        <v>20358.38</v>
      </c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>
      <c r="A868" s="48" t="s">
        <v>2901</v>
      </c>
      <c r="B868" s="48" t="s">
        <v>2902</v>
      </c>
      <c r="C868" s="48" t="s">
        <v>2903</v>
      </c>
      <c r="D868" s="48" t="s">
        <v>93</v>
      </c>
      <c r="E868" s="48" t="s">
        <v>118</v>
      </c>
      <c r="F868" s="48" t="s">
        <v>622</v>
      </c>
      <c r="G868" s="48" t="s">
        <v>623</v>
      </c>
      <c r="H868" s="49">
        <v>0.0187851195</v>
      </c>
      <c r="I868" s="49">
        <v>274.0</v>
      </c>
      <c r="J868" s="49">
        <v>20289.5</v>
      </c>
      <c r="K868" s="49">
        <v>20289.5</v>
      </c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>
      <c r="A869" s="48" t="s">
        <v>2904</v>
      </c>
      <c r="B869" s="49">
        <v>6499806.0</v>
      </c>
      <c r="C869" s="48" t="s">
        <v>2905</v>
      </c>
      <c r="D869" s="48" t="s">
        <v>93</v>
      </c>
      <c r="E869" s="48" t="s">
        <v>170</v>
      </c>
      <c r="F869" s="48" t="s">
        <v>629</v>
      </c>
      <c r="G869" s="48" t="s">
        <v>630</v>
      </c>
      <c r="H869" s="49">
        <v>0.0187500782</v>
      </c>
      <c r="I869" s="49">
        <v>1815.0</v>
      </c>
      <c r="J869" s="49">
        <v>20251.65</v>
      </c>
      <c r="K869" s="49">
        <v>20251.65</v>
      </c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>
      <c r="A870" s="48" t="s">
        <v>2906</v>
      </c>
      <c r="B870" s="49">
        <v>6895448.0</v>
      </c>
      <c r="C870" s="48" t="s">
        <v>2907</v>
      </c>
      <c r="D870" s="48" t="s">
        <v>93</v>
      </c>
      <c r="E870" s="48" t="s">
        <v>170</v>
      </c>
      <c r="F870" s="48" t="s">
        <v>629</v>
      </c>
      <c r="G870" s="48" t="s">
        <v>630</v>
      </c>
      <c r="H870" s="49">
        <v>0.0185940629</v>
      </c>
      <c r="I870" s="49">
        <v>539.0</v>
      </c>
      <c r="J870" s="49">
        <v>20083.14</v>
      </c>
      <c r="K870" s="49">
        <v>20083.14</v>
      </c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>
      <c r="A871" s="48" t="s">
        <v>2908</v>
      </c>
      <c r="B871" s="49">
        <v>2116228.0</v>
      </c>
      <c r="C871" s="48" t="s">
        <v>2909</v>
      </c>
      <c r="D871" s="48" t="s">
        <v>93</v>
      </c>
      <c r="E871" s="48" t="s">
        <v>127</v>
      </c>
      <c r="F871" s="48" t="s">
        <v>622</v>
      </c>
      <c r="G871" s="48" t="s">
        <v>623</v>
      </c>
      <c r="H871" s="49">
        <v>0.0185271905</v>
      </c>
      <c r="I871" s="49">
        <v>148.0</v>
      </c>
      <c r="J871" s="49">
        <v>20010.91</v>
      </c>
      <c r="K871" s="49">
        <v>20010.91</v>
      </c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>
      <c r="A872" s="48" t="s">
        <v>2910</v>
      </c>
      <c r="B872" s="48" t="s">
        <v>2911</v>
      </c>
      <c r="C872" s="48" t="s">
        <v>2912</v>
      </c>
      <c r="D872" s="48" t="s">
        <v>93</v>
      </c>
      <c r="E872" s="48" t="s">
        <v>127</v>
      </c>
      <c r="F872" s="48" t="s">
        <v>694</v>
      </c>
      <c r="G872" s="48" t="s">
        <v>1003</v>
      </c>
      <c r="H872" s="49">
        <v>0.01848283</v>
      </c>
      <c r="I872" s="49">
        <v>100.0</v>
      </c>
      <c r="J872" s="49">
        <v>19963.0</v>
      </c>
      <c r="K872" s="49">
        <v>19963.0</v>
      </c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>
      <c r="A873" s="48" t="s">
        <v>2913</v>
      </c>
      <c r="B873" s="49">
        <v>2256908.0</v>
      </c>
      <c r="C873" s="48" t="s">
        <v>2914</v>
      </c>
      <c r="D873" s="48" t="s">
        <v>93</v>
      </c>
      <c r="E873" s="48" t="s">
        <v>167</v>
      </c>
      <c r="F873" s="48" t="s">
        <v>622</v>
      </c>
      <c r="G873" s="48" t="s">
        <v>623</v>
      </c>
      <c r="H873" s="49">
        <v>0.0183712845</v>
      </c>
      <c r="I873" s="49">
        <v>148.0</v>
      </c>
      <c r="J873" s="49">
        <v>19842.52</v>
      </c>
      <c r="K873" s="49">
        <v>19842.52</v>
      </c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>
      <c r="A874" s="48" t="s">
        <v>164</v>
      </c>
      <c r="B874" s="48" t="s">
        <v>165</v>
      </c>
      <c r="C874" s="48" t="s">
        <v>166</v>
      </c>
      <c r="D874" s="48" t="s">
        <v>93</v>
      </c>
      <c r="E874" s="48" t="s">
        <v>167</v>
      </c>
      <c r="F874" s="48" t="s">
        <v>2732</v>
      </c>
      <c r="G874" s="48" t="s">
        <v>96</v>
      </c>
      <c r="H874" s="49">
        <v>0.0183659527</v>
      </c>
      <c r="I874" s="49">
        <v>172.0</v>
      </c>
      <c r="J874" s="49">
        <v>19836.76</v>
      </c>
      <c r="K874" s="49">
        <v>19836.76</v>
      </c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>
      <c r="A875" s="48" t="s">
        <v>2915</v>
      </c>
      <c r="B875" s="48" t="s">
        <v>2916</v>
      </c>
      <c r="C875" s="48" t="s">
        <v>2917</v>
      </c>
      <c r="D875" s="48" t="s">
        <v>93</v>
      </c>
      <c r="E875" s="48" t="s">
        <v>102</v>
      </c>
      <c r="F875" s="48" t="s">
        <v>622</v>
      </c>
      <c r="G875" s="48" t="s">
        <v>623</v>
      </c>
      <c r="H875" s="49">
        <v>0.0183029132</v>
      </c>
      <c r="I875" s="49">
        <v>483.0</v>
      </c>
      <c r="J875" s="49">
        <v>19768.67</v>
      </c>
      <c r="K875" s="49">
        <v>19768.67</v>
      </c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>
      <c r="A876" s="48" t="s">
        <v>2918</v>
      </c>
      <c r="B876" s="49">
        <v>2881407.0</v>
      </c>
      <c r="C876" s="48" t="s">
        <v>2919</v>
      </c>
      <c r="D876" s="48" t="s">
        <v>93</v>
      </c>
      <c r="E876" s="48" t="s">
        <v>102</v>
      </c>
      <c r="F876" s="48" t="s">
        <v>622</v>
      </c>
      <c r="G876" s="48" t="s">
        <v>623</v>
      </c>
      <c r="H876" s="49">
        <v>0.0182032569</v>
      </c>
      <c r="I876" s="49">
        <v>62.0</v>
      </c>
      <c r="J876" s="49">
        <v>19661.03</v>
      </c>
      <c r="K876" s="49">
        <v>19661.03</v>
      </c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>
      <c r="A877" s="48" t="s">
        <v>2920</v>
      </c>
      <c r="B877" s="49">
        <v>2650050.0</v>
      </c>
      <c r="C877" s="48" t="s">
        <v>2921</v>
      </c>
      <c r="D877" s="48" t="s">
        <v>93</v>
      </c>
      <c r="E877" s="48" t="s">
        <v>170</v>
      </c>
      <c r="F877" s="48" t="s">
        <v>694</v>
      </c>
      <c r="G877" s="48" t="s">
        <v>1003</v>
      </c>
      <c r="H877" s="49">
        <v>0.0181551409</v>
      </c>
      <c r="I877" s="49">
        <v>336.0</v>
      </c>
      <c r="J877" s="49">
        <v>19609.07</v>
      </c>
      <c r="K877" s="49">
        <v>19609.07</v>
      </c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>
      <c r="A878" s="48" t="s">
        <v>2922</v>
      </c>
      <c r="B878" s="49">
        <v>7332687.0</v>
      </c>
      <c r="C878" s="48" t="s">
        <v>2923</v>
      </c>
      <c r="D878" s="48" t="s">
        <v>93</v>
      </c>
      <c r="E878" s="48" t="s">
        <v>127</v>
      </c>
      <c r="F878" s="48" t="s">
        <v>1740</v>
      </c>
      <c r="G878" s="48" t="s">
        <v>1741</v>
      </c>
      <c r="H878" s="49">
        <v>0.0181356066</v>
      </c>
      <c r="I878" s="49">
        <v>382.0</v>
      </c>
      <c r="J878" s="49">
        <v>19587.97</v>
      </c>
      <c r="K878" s="49">
        <v>19587.97</v>
      </c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>
      <c r="A879" s="48" t="s">
        <v>2924</v>
      </c>
      <c r="B879" s="49">
        <v>6644800.0</v>
      </c>
      <c r="C879" s="48" t="s">
        <v>2925</v>
      </c>
      <c r="D879" s="48" t="s">
        <v>93</v>
      </c>
      <c r="E879" s="48" t="s">
        <v>118</v>
      </c>
      <c r="F879" s="48" t="s">
        <v>629</v>
      </c>
      <c r="G879" s="48" t="s">
        <v>630</v>
      </c>
      <c r="H879" s="49">
        <v>0.0180869482</v>
      </c>
      <c r="I879" s="49">
        <v>109.0</v>
      </c>
      <c r="J879" s="49">
        <v>19535.41</v>
      </c>
      <c r="K879" s="49">
        <v>19535.41</v>
      </c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>
      <c r="A880" s="48" t="s">
        <v>2926</v>
      </c>
      <c r="B880" s="49">
        <v>2260824.0</v>
      </c>
      <c r="C880" s="48" t="s">
        <v>2927</v>
      </c>
      <c r="D880" s="48" t="s">
        <v>93</v>
      </c>
      <c r="E880" s="48" t="s">
        <v>167</v>
      </c>
      <c r="F880" s="48" t="s">
        <v>694</v>
      </c>
      <c r="G880" s="48" t="s">
        <v>1003</v>
      </c>
      <c r="H880" s="49">
        <v>0.0179908682</v>
      </c>
      <c r="I880" s="49">
        <v>352.0</v>
      </c>
      <c r="J880" s="49">
        <v>19431.64</v>
      </c>
      <c r="K880" s="49">
        <v>19431.64</v>
      </c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>
      <c r="A881" s="48" t="s">
        <v>2928</v>
      </c>
      <c r="B881" s="48" t="s">
        <v>2929</v>
      </c>
      <c r="C881" s="48" t="s">
        <v>2930</v>
      </c>
      <c r="D881" s="48" t="s">
        <v>93</v>
      </c>
      <c r="E881" s="48" t="s">
        <v>124</v>
      </c>
      <c r="F881" s="48" t="s">
        <v>1673</v>
      </c>
      <c r="G881" s="48" t="s">
        <v>1674</v>
      </c>
      <c r="H881" s="49">
        <v>0.0178826387</v>
      </c>
      <c r="I881" s="49">
        <v>687.0</v>
      </c>
      <c r="J881" s="49">
        <v>19314.74</v>
      </c>
      <c r="K881" s="49">
        <v>19314.74</v>
      </c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>
      <c r="A882" s="48" t="s">
        <v>2931</v>
      </c>
      <c r="B882" s="48" t="s">
        <v>2932</v>
      </c>
      <c r="C882" s="48" t="s">
        <v>2933</v>
      </c>
      <c r="D882" s="48" t="s">
        <v>93</v>
      </c>
      <c r="E882" s="48" t="s">
        <v>99</v>
      </c>
      <c r="F882" s="48" t="s">
        <v>668</v>
      </c>
      <c r="G882" s="48" t="s">
        <v>640</v>
      </c>
      <c r="H882" s="49">
        <v>0.0178633458</v>
      </c>
      <c r="I882" s="49">
        <v>316.0</v>
      </c>
      <c r="J882" s="49">
        <v>19293.9</v>
      </c>
      <c r="K882" s="49">
        <v>19293.9</v>
      </c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>
      <c r="A883" s="48" t="s">
        <v>2934</v>
      </c>
      <c r="B883" s="48" t="s">
        <v>2935</v>
      </c>
      <c r="C883" s="48" t="s">
        <v>2936</v>
      </c>
      <c r="D883" s="48" t="s">
        <v>93</v>
      </c>
      <c r="E883" s="48" t="s">
        <v>118</v>
      </c>
      <c r="F883" s="48" t="s">
        <v>622</v>
      </c>
      <c r="G883" s="48" t="s">
        <v>623</v>
      </c>
      <c r="H883" s="49">
        <v>0.0178043284999999</v>
      </c>
      <c r="I883" s="49">
        <v>89.0</v>
      </c>
      <c r="J883" s="49">
        <v>19230.16</v>
      </c>
      <c r="K883" s="49">
        <v>19230.16</v>
      </c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>
      <c r="A884" s="48" t="s">
        <v>2937</v>
      </c>
      <c r="B884" s="49">
        <v>6408374.0</v>
      </c>
      <c r="C884" s="48" t="s">
        <v>2938</v>
      </c>
      <c r="D884" s="48" t="s">
        <v>93</v>
      </c>
      <c r="E884" s="48" t="s">
        <v>99</v>
      </c>
      <c r="F884" s="48" t="s">
        <v>822</v>
      </c>
      <c r="G884" s="48" t="s">
        <v>646</v>
      </c>
      <c r="H884" s="49">
        <v>0.0176325601</v>
      </c>
      <c r="I884" s="49">
        <v>1005.0</v>
      </c>
      <c r="J884" s="49">
        <v>19044.63</v>
      </c>
      <c r="K884" s="49">
        <v>19044.63</v>
      </c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>
      <c r="A885" s="48" t="s">
        <v>2939</v>
      </c>
      <c r="B885" s="48" t="s">
        <v>2940</v>
      </c>
      <c r="C885" s="48" t="s">
        <v>2941</v>
      </c>
      <c r="D885" s="48" t="s">
        <v>93</v>
      </c>
      <c r="E885" s="48" t="s">
        <v>94</v>
      </c>
      <c r="F885" s="48" t="s">
        <v>629</v>
      </c>
      <c r="G885" s="48" t="s">
        <v>630</v>
      </c>
      <c r="H885" s="49">
        <v>0.0175962803</v>
      </c>
      <c r="I885" s="49">
        <v>1860.0</v>
      </c>
      <c r="J885" s="49">
        <v>19005.45</v>
      </c>
      <c r="K885" s="49">
        <v>19005.45</v>
      </c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>
      <c r="A886" s="48" t="s">
        <v>2942</v>
      </c>
      <c r="B886" s="48" t="s">
        <v>2943</v>
      </c>
      <c r="C886" s="48" t="s">
        <v>2944</v>
      </c>
      <c r="D886" s="48" t="s">
        <v>93</v>
      </c>
      <c r="E886" s="48" t="s">
        <v>99</v>
      </c>
      <c r="F886" s="48" t="s">
        <v>1673</v>
      </c>
      <c r="G886" s="48" t="s">
        <v>1674</v>
      </c>
      <c r="H886" s="49">
        <v>0.0175502706</v>
      </c>
      <c r="I886" s="49">
        <v>812.0</v>
      </c>
      <c r="J886" s="49">
        <v>18955.76</v>
      </c>
      <c r="K886" s="49">
        <v>18955.76</v>
      </c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>
      <c r="A887" s="48" t="s">
        <v>2945</v>
      </c>
      <c r="B887" s="49">
        <v>2747305.0</v>
      </c>
      <c r="C887" s="48" t="s">
        <v>2946</v>
      </c>
      <c r="D887" s="48" t="s">
        <v>93</v>
      </c>
      <c r="E887" s="48" t="s">
        <v>127</v>
      </c>
      <c r="F887" s="48" t="s">
        <v>622</v>
      </c>
      <c r="G887" s="48" t="s">
        <v>623</v>
      </c>
      <c r="H887" s="49">
        <v>0.017464911</v>
      </c>
      <c r="I887" s="49">
        <v>319.0</v>
      </c>
      <c r="J887" s="49">
        <v>18863.56</v>
      </c>
      <c r="K887" s="49">
        <v>18863.56</v>
      </c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>
      <c r="A888" s="48" t="s">
        <v>2947</v>
      </c>
      <c r="B888" s="49">
        <v>6054603.0</v>
      </c>
      <c r="C888" s="48" t="s">
        <v>2948</v>
      </c>
      <c r="D888" s="48" t="s">
        <v>93</v>
      </c>
      <c r="E888" s="48" t="s">
        <v>94</v>
      </c>
      <c r="F888" s="48" t="s">
        <v>629</v>
      </c>
      <c r="G888" s="48" t="s">
        <v>630</v>
      </c>
      <c r="H888" s="49">
        <v>0.0174542233</v>
      </c>
      <c r="I888" s="49">
        <v>1810.0</v>
      </c>
      <c r="J888" s="49">
        <v>18852.02</v>
      </c>
      <c r="K888" s="49">
        <v>18852.02</v>
      </c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>
      <c r="A889" s="48" t="s">
        <v>2949</v>
      </c>
      <c r="B889" s="49">
        <v>6472119.0</v>
      </c>
      <c r="C889" s="48" t="s">
        <v>2950</v>
      </c>
      <c r="D889" s="48" t="s">
        <v>93</v>
      </c>
      <c r="E889" s="48" t="s">
        <v>127</v>
      </c>
      <c r="F889" s="48" t="s">
        <v>822</v>
      </c>
      <c r="G889" s="48" t="s">
        <v>623</v>
      </c>
      <c r="H889" s="49">
        <v>0.0174315768</v>
      </c>
      <c r="I889" s="49">
        <v>259.0</v>
      </c>
      <c r="J889" s="49">
        <v>18827.56</v>
      </c>
      <c r="K889" s="49">
        <v>18827.56</v>
      </c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>
      <c r="A890" s="48" t="s">
        <v>2951</v>
      </c>
      <c r="B890" s="49">
        <v>5687431.0</v>
      </c>
      <c r="C890" s="48" t="s">
        <v>2952</v>
      </c>
      <c r="D890" s="48" t="s">
        <v>93</v>
      </c>
      <c r="E890" s="48" t="s">
        <v>118</v>
      </c>
      <c r="F890" s="48" t="s">
        <v>1740</v>
      </c>
      <c r="G890" s="48" t="s">
        <v>1741</v>
      </c>
      <c r="H890" s="49">
        <v>0.0174036869</v>
      </c>
      <c r="I890" s="49">
        <v>849.0</v>
      </c>
      <c r="J890" s="49">
        <v>18797.43</v>
      </c>
      <c r="K890" s="49">
        <v>18797.43</v>
      </c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>
      <c r="A891" s="48" t="s">
        <v>2953</v>
      </c>
      <c r="B891" s="49">
        <v>3091357.0</v>
      </c>
      <c r="C891" s="48" t="s">
        <v>2954</v>
      </c>
      <c r="D891" s="48" t="s">
        <v>93</v>
      </c>
      <c r="E891" s="48" t="s">
        <v>121</v>
      </c>
      <c r="F891" s="48" t="s">
        <v>918</v>
      </c>
      <c r="G891" s="48" t="s">
        <v>908</v>
      </c>
      <c r="H891" s="49">
        <v>0.0173646321</v>
      </c>
      <c r="I891" s="49">
        <v>8121.0</v>
      </c>
      <c r="J891" s="49">
        <v>18755.25</v>
      </c>
      <c r="K891" s="49">
        <v>18755.25</v>
      </c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>
      <c r="A892" s="48" t="s">
        <v>2955</v>
      </c>
      <c r="B892" s="49">
        <v>2416962.0</v>
      </c>
      <c r="C892" s="48" t="s">
        <v>2956</v>
      </c>
      <c r="D892" s="48" t="s">
        <v>93</v>
      </c>
      <c r="E892" s="48" t="s">
        <v>102</v>
      </c>
      <c r="F892" s="48" t="s">
        <v>622</v>
      </c>
      <c r="G892" s="48" t="s">
        <v>623</v>
      </c>
      <c r="H892" s="49">
        <v>0.0173330316</v>
      </c>
      <c r="I892" s="49">
        <v>163.0</v>
      </c>
      <c r="J892" s="49">
        <v>18721.12</v>
      </c>
      <c r="K892" s="49">
        <v>18721.12</v>
      </c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>
      <c r="A893" s="48" t="s">
        <v>2957</v>
      </c>
      <c r="B893" s="49">
        <v>2954194.0</v>
      </c>
      <c r="C893" s="48" t="s">
        <v>2958</v>
      </c>
      <c r="D893" s="48" t="s">
        <v>93</v>
      </c>
      <c r="E893" s="48" t="s">
        <v>118</v>
      </c>
      <c r="F893" s="48" t="s">
        <v>622</v>
      </c>
      <c r="G893" s="48" t="s">
        <v>623</v>
      </c>
      <c r="H893" s="49">
        <v>0.0173187455</v>
      </c>
      <c r="I893" s="49">
        <v>49.0</v>
      </c>
      <c r="J893" s="49">
        <v>18705.69</v>
      </c>
      <c r="K893" s="49">
        <v>18705.69</v>
      </c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>
      <c r="A894" s="48" t="s">
        <v>2959</v>
      </c>
      <c r="B894" s="48" t="s">
        <v>2960</v>
      </c>
      <c r="C894" s="48" t="s">
        <v>2961</v>
      </c>
      <c r="D894" s="48" t="s">
        <v>93</v>
      </c>
      <c r="E894" s="48" t="s">
        <v>127</v>
      </c>
      <c r="F894" s="48" t="s">
        <v>649</v>
      </c>
      <c r="G894" s="48" t="s">
        <v>640</v>
      </c>
      <c r="H894" s="49">
        <v>0.0171093105</v>
      </c>
      <c r="I894" s="49">
        <v>69.0</v>
      </c>
      <c r="J894" s="49">
        <v>18479.48</v>
      </c>
      <c r="K894" s="49">
        <v>18479.48</v>
      </c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>
      <c r="A895" s="48" t="s">
        <v>2962</v>
      </c>
      <c r="B895" s="48" t="s">
        <v>2963</v>
      </c>
      <c r="C895" s="48" t="s">
        <v>2964</v>
      </c>
      <c r="D895" s="48" t="s">
        <v>93</v>
      </c>
      <c r="E895" s="48" t="s">
        <v>115</v>
      </c>
      <c r="F895" s="48" t="s">
        <v>694</v>
      </c>
      <c r="G895" s="48" t="s">
        <v>1003</v>
      </c>
      <c r="H895" s="49">
        <v>0.0171083086999999</v>
      </c>
      <c r="I895" s="49">
        <v>778.0</v>
      </c>
      <c r="J895" s="49">
        <v>18478.4</v>
      </c>
      <c r="K895" s="49">
        <v>18478.4</v>
      </c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>
      <c r="A896" s="48" t="s">
        <v>2965</v>
      </c>
      <c r="B896" s="49">
        <v>5810066.0</v>
      </c>
      <c r="C896" s="48" t="s">
        <v>2966</v>
      </c>
      <c r="D896" s="48" t="s">
        <v>93</v>
      </c>
      <c r="E896" s="48" t="s">
        <v>115</v>
      </c>
      <c r="F896" s="48" t="s">
        <v>2967</v>
      </c>
      <c r="G896" s="48" t="s">
        <v>2968</v>
      </c>
      <c r="H896" s="49">
        <v>0.0171025116</v>
      </c>
      <c r="I896" s="49">
        <v>861.0</v>
      </c>
      <c r="J896" s="49">
        <v>18472.14</v>
      </c>
      <c r="K896" s="49">
        <v>18472.14</v>
      </c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>
      <c r="A897" s="48" t="s">
        <v>2969</v>
      </c>
      <c r="B897" s="49">
        <v>6290054.0</v>
      </c>
      <c r="C897" s="48" t="s">
        <v>2970</v>
      </c>
      <c r="D897" s="48" t="s">
        <v>93</v>
      </c>
      <c r="E897" s="48" t="s">
        <v>127</v>
      </c>
      <c r="F897" s="48" t="s">
        <v>822</v>
      </c>
      <c r="G897" s="48" t="s">
        <v>646</v>
      </c>
      <c r="H897" s="49">
        <v>0.0170833293</v>
      </c>
      <c r="I897" s="49">
        <v>3041.0</v>
      </c>
      <c r="J897" s="49">
        <v>18451.42</v>
      </c>
      <c r="K897" s="49">
        <v>18451.42</v>
      </c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>
      <c r="A898" s="48" t="s">
        <v>2971</v>
      </c>
      <c r="B898" s="49">
        <v>3174300.0</v>
      </c>
      <c r="C898" s="48" t="s">
        <v>2972</v>
      </c>
      <c r="D898" s="48" t="s">
        <v>93</v>
      </c>
      <c r="E898" s="48" t="s">
        <v>118</v>
      </c>
      <c r="F898" s="48" t="s">
        <v>918</v>
      </c>
      <c r="G898" s="48" t="s">
        <v>908</v>
      </c>
      <c r="H898" s="49">
        <v>0.0170448887999999</v>
      </c>
      <c r="I898" s="49">
        <v>480.0</v>
      </c>
      <c r="J898" s="49">
        <v>18409.9</v>
      </c>
      <c r="K898" s="49">
        <v>18409.9</v>
      </c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>
      <c r="A899" s="48" t="s">
        <v>2973</v>
      </c>
      <c r="B899" s="49">
        <v>6916703.0</v>
      </c>
      <c r="C899" s="48" t="s">
        <v>2974</v>
      </c>
      <c r="D899" s="48" t="s">
        <v>93</v>
      </c>
      <c r="E899" s="48" t="s">
        <v>99</v>
      </c>
      <c r="F899" s="48" t="s">
        <v>679</v>
      </c>
      <c r="G899" s="48" t="s">
        <v>2438</v>
      </c>
      <c r="H899" s="49">
        <v>0.0170083257999999</v>
      </c>
      <c r="I899" s="49">
        <v>334.0</v>
      </c>
      <c r="J899" s="49">
        <v>18370.41</v>
      </c>
      <c r="K899" s="49">
        <v>18370.41</v>
      </c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>
      <c r="A900" s="48" t="s">
        <v>2975</v>
      </c>
      <c r="B900" s="49">
        <v>6619864.0</v>
      </c>
      <c r="C900" s="48" t="s">
        <v>2976</v>
      </c>
      <c r="D900" s="48" t="s">
        <v>93</v>
      </c>
      <c r="E900" s="48" t="s">
        <v>127</v>
      </c>
      <c r="F900" s="48" t="s">
        <v>629</v>
      </c>
      <c r="G900" s="48" t="s">
        <v>630</v>
      </c>
      <c r="H900" s="49">
        <v>0.0169913058</v>
      </c>
      <c r="I900" s="49">
        <v>749.0</v>
      </c>
      <c r="J900" s="49">
        <v>18352.03</v>
      </c>
      <c r="K900" s="49">
        <v>18352.03</v>
      </c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>
      <c r="A901" s="48" t="s">
        <v>2977</v>
      </c>
      <c r="B901" s="48" t="s">
        <v>2978</v>
      </c>
      <c r="C901" s="48" t="s">
        <v>2979</v>
      </c>
      <c r="D901" s="48" t="s">
        <v>93</v>
      </c>
      <c r="E901" s="48" t="s">
        <v>127</v>
      </c>
      <c r="F901" s="48" t="s">
        <v>1740</v>
      </c>
      <c r="G901" s="48" t="s">
        <v>1741</v>
      </c>
      <c r="H901" s="49">
        <v>0.0169650141</v>
      </c>
      <c r="I901" s="49">
        <v>1949.0</v>
      </c>
      <c r="J901" s="49">
        <v>18323.63</v>
      </c>
      <c r="K901" s="49">
        <v>18323.63</v>
      </c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>
      <c r="A902" s="48" t="s">
        <v>2980</v>
      </c>
      <c r="B902" s="49">
        <v>6744294.0</v>
      </c>
      <c r="C902" s="48" t="s">
        <v>2981</v>
      </c>
      <c r="D902" s="48" t="s">
        <v>93</v>
      </c>
      <c r="E902" s="48" t="s">
        <v>99</v>
      </c>
      <c r="F902" s="48" t="s">
        <v>629</v>
      </c>
      <c r="G902" s="48" t="s">
        <v>630</v>
      </c>
      <c r="H902" s="49">
        <v>0.0169635749</v>
      </c>
      <c r="I902" s="49">
        <v>692.0</v>
      </c>
      <c r="J902" s="49">
        <v>18322.08</v>
      </c>
      <c r="K902" s="49">
        <v>18322.08</v>
      </c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>
      <c r="A903" s="48" t="s">
        <v>2982</v>
      </c>
      <c r="B903" s="48" t="s">
        <v>2983</v>
      </c>
      <c r="C903" s="48" t="s">
        <v>2984</v>
      </c>
      <c r="D903" s="48" t="s">
        <v>93</v>
      </c>
      <c r="E903" s="48" t="s">
        <v>118</v>
      </c>
      <c r="F903" s="48" t="s">
        <v>883</v>
      </c>
      <c r="G903" s="48" t="s">
        <v>884</v>
      </c>
      <c r="H903" s="49">
        <v>0.0169383532</v>
      </c>
      <c r="I903" s="49">
        <v>116.0</v>
      </c>
      <c r="J903" s="49">
        <v>18294.83</v>
      </c>
      <c r="K903" s="49">
        <v>18294.83</v>
      </c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>
      <c r="A904" s="48" t="s">
        <v>2985</v>
      </c>
      <c r="B904" s="49">
        <v>5129074.0</v>
      </c>
      <c r="C904" s="48" t="s">
        <v>2986</v>
      </c>
      <c r="D904" s="48" t="s">
        <v>93</v>
      </c>
      <c r="E904" s="48" t="s">
        <v>102</v>
      </c>
      <c r="F904" s="48" t="s">
        <v>649</v>
      </c>
      <c r="G904" s="48" t="s">
        <v>640</v>
      </c>
      <c r="H904" s="49">
        <v>0.0169102340999999</v>
      </c>
      <c r="I904" s="49">
        <v>258.0</v>
      </c>
      <c r="J904" s="49">
        <v>18264.46</v>
      </c>
      <c r="K904" s="49">
        <v>18264.46</v>
      </c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>
      <c r="A905" s="48" t="s">
        <v>2987</v>
      </c>
      <c r="B905" s="49">
        <v>6420129.0</v>
      </c>
      <c r="C905" s="48" t="s">
        <v>2988</v>
      </c>
      <c r="D905" s="48" t="s">
        <v>93</v>
      </c>
      <c r="E905" s="48" t="s">
        <v>133</v>
      </c>
      <c r="F905" s="48" t="s">
        <v>738</v>
      </c>
      <c r="G905" s="48" t="s">
        <v>1437</v>
      </c>
      <c r="H905" s="49">
        <v>0.0169020591</v>
      </c>
      <c r="I905" s="49">
        <v>8471.0</v>
      </c>
      <c r="J905" s="49">
        <v>18255.63</v>
      </c>
      <c r="K905" s="49">
        <v>18255.63</v>
      </c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>
      <c r="A906" s="48" t="s">
        <v>2989</v>
      </c>
      <c r="B906" s="48" t="s">
        <v>2990</v>
      </c>
      <c r="C906" s="48" t="s">
        <v>2991</v>
      </c>
      <c r="D906" s="48" t="s">
        <v>93</v>
      </c>
      <c r="E906" s="48" t="s">
        <v>121</v>
      </c>
      <c r="F906" s="48" t="s">
        <v>622</v>
      </c>
      <c r="G906" s="48" t="s">
        <v>623</v>
      </c>
      <c r="H906" s="49">
        <v>0.0168737841</v>
      </c>
      <c r="I906" s="49">
        <v>462.0</v>
      </c>
      <c r="J906" s="49">
        <v>18225.09</v>
      </c>
      <c r="K906" s="49">
        <v>18225.09</v>
      </c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>
      <c r="A907" s="48" t="s">
        <v>2992</v>
      </c>
      <c r="B907" s="49">
        <v>4852832.0</v>
      </c>
      <c r="C907" s="48" t="s">
        <v>2993</v>
      </c>
      <c r="D907" s="48" t="s">
        <v>93</v>
      </c>
      <c r="E907" s="48" t="s">
        <v>99</v>
      </c>
      <c r="F907" s="48" t="s">
        <v>1673</v>
      </c>
      <c r="G907" s="48" t="s">
        <v>1674</v>
      </c>
      <c r="H907" s="49">
        <v>0.0168513325</v>
      </c>
      <c r="I907" s="49">
        <v>1442.0</v>
      </c>
      <c r="J907" s="49">
        <v>18200.84</v>
      </c>
      <c r="K907" s="49">
        <v>18200.84</v>
      </c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>
      <c r="A908" s="48" t="s">
        <v>2994</v>
      </c>
      <c r="B908" s="48" t="s">
        <v>2995</v>
      </c>
      <c r="C908" s="48" t="s">
        <v>2996</v>
      </c>
      <c r="D908" s="48" t="s">
        <v>93</v>
      </c>
      <c r="E908" s="48" t="s">
        <v>94</v>
      </c>
      <c r="F908" s="48" t="s">
        <v>1673</v>
      </c>
      <c r="G908" s="48" t="s">
        <v>1674</v>
      </c>
      <c r="H908" s="49">
        <v>0.0168501013</v>
      </c>
      <c r="I908" s="49">
        <v>2036.0</v>
      </c>
      <c r="J908" s="49">
        <v>18199.51</v>
      </c>
      <c r="K908" s="49">
        <v>18199.51</v>
      </c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>
      <c r="A909" s="48" t="s">
        <v>2997</v>
      </c>
      <c r="B909" s="49">
        <v>6563875.0</v>
      </c>
      <c r="C909" s="48" t="s">
        <v>2998</v>
      </c>
      <c r="D909" s="48" t="s">
        <v>93</v>
      </c>
      <c r="E909" s="48" t="s">
        <v>133</v>
      </c>
      <c r="F909" s="48" t="s">
        <v>738</v>
      </c>
      <c r="G909" s="48" t="s">
        <v>1437</v>
      </c>
      <c r="H909" s="49">
        <v>0.0168402475</v>
      </c>
      <c r="I909" s="49">
        <v>5738.0</v>
      </c>
      <c r="J909" s="49">
        <v>18188.87</v>
      </c>
      <c r="K909" s="49">
        <v>18188.87</v>
      </c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>
      <c r="A910" s="48" t="s">
        <v>2999</v>
      </c>
      <c r="B910" s="48" t="s">
        <v>3000</v>
      </c>
      <c r="C910" s="48" t="s">
        <v>3001</v>
      </c>
      <c r="D910" s="48" t="s">
        <v>93</v>
      </c>
      <c r="E910" s="48" t="s">
        <v>99</v>
      </c>
      <c r="F910" s="48" t="s">
        <v>1740</v>
      </c>
      <c r="G910" s="48" t="s">
        <v>1741</v>
      </c>
      <c r="H910" s="49">
        <v>0.01678808</v>
      </c>
      <c r="I910" s="49">
        <v>605.0</v>
      </c>
      <c r="J910" s="49">
        <v>18132.53</v>
      </c>
      <c r="K910" s="49">
        <v>18132.53</v>
      </c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>
      <c r="A911" s="48" t="s">
        <v>3002</v>
      </c>
      <c r="B911" s="49">
        <v>6743882.0</v>
      </c>
      <c r="C911" s="48" t="s">
        <v>3003</v>
      </c>
      <c r="D911" s="48" t="s">
        <v>93</v>
      </c>
      <c r="E911" s="48" t="s">
        <v>99</v>
      </c>
      <c r="F911" s="48" t="s">
        <v>629</v>
      </c>
      <c r="G911" s="48" t="s">
        <v>630</v>
      </c>
      <c r="H911" s="49">
        <v>0.01676765</v>
      </c>
      <c r="I911" s="49">
        <v>646.0</v>
      </c>
      <c r="J911" s="49">
        <v>18110.46</v>
      </c>
      <c r="K911" s="49">
        <v>18110.46</v>
      </c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>
      <c r="A912" s="48" t="s">
        <v>3004</v>
      </c>
      <c r="B912" s="49">
        <v>6014908.0</v>
      </c>
      <c r="C912" s="48" t="s">
        <v>3005</v>
      </c>
      <c r="D912" s="48" t="s">
        <v>93</v>
      </c>
      <c r="E912" s="48" t="s">
        <v>127</v>
      </c>
      <c r="F912" s="48" t="s">
        <v>629</v>
      </c>
      <c r="G912" s="48" t="s">
        <v>630</v>
      </c>
      <c r="H912" s="49">
        <v>0.0167184953</v>
      </c>
      <c r="I912" s="49">
        <v>530.0</v>
      </c>
      <c r="J912" s="49">
        <v>18057.37</v>
      </c>
      <c r="K912" s="49">
        <v>18057.37</v>
      </c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>
      <c r="A913" s="48" t="s">
        <v>3006</v>
      </c>
      <c r="B913" s="48" t="s">
        <v>3007</v>
      </c>
      <c r="C913" s="48" t="s">
        <v>3008</v>
      </c>
      <c r="D913" s="48" t="s">
        <v>93</v>
      </c>
      <c r="E913" s="48" t="s">
        <v>99</v>
      </c>
      <c r="F913" s="48" t="s">
        <v>668</v>
      </c>
      <c r="G913" s="48" t="s">
        <v>640</v>
      </c>
      <c r="H913" s="49">
        <v>0.0166728253</v>
      </c>
      <c r="I913" s="49">
        <v>128.0</v>
      </c>
      <c r="J913" s="49">
        <v>18008.04</v>
      </c>
      <c r="K913" s="49">
        <v>18008.04</v>
      </c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>
      <c r="A914" s="48" t="s">
        <v>3009</v>
      </c>
      <c r="B914" s="49">
        <v>6408664.0</v>
      </c>
      <c r="C914" s="48" t="s">
        <v>3010</v>
      </c>
      <c r="D914" s="48" t="s">
        <v>93</v>
      </c>
      <c r="E914" s="48" t="s">
        <v>127</v>
      </c>
      <c r="F914" s="48" t="s">
        <v>629</v>
      </c>
      <c r="G914" s="48" t="s">
        <v>630</v>
      </c>
      <c r="H914" s="49">
        <v>0.0166073274</v>
      </c>
      <c r="I914" s="49">
        <v>321.0</v>
      </c>
      <c r="J914" s="49">
        <v>17937.3</v>
      </c>
      <c r="K914" s="49">
        <v>17937.3</v>
      </c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>
      <c r="A915" s="48" t="s">
        <v>3011</v>
      </c>
      <c r="B915" s="49">
        <v>5120679.0</v>
      </c>
      <c r="C915" s="48" t="s">
        <v>3012</v>
      </c>
      <c r="D915" s="48" t="s">
        <v>93</v>
      </c>
      <c r="E915" s="48" t="s">
        <v>94</v>
      </c>
      <c r="F915" s="48" t="s">
        <v>649</v>
      </c>
      <c r="G915" s="48" t="s">
        <v>640</v>
      </c>
      <c r="H915" s="49">
        <v>0.016561612</v>
      </c>
      <c r="I915" s="49">
        <v>149.0</v>
      </c>
      <c r="J915" s="49">
        <v>17887.92</v>
      </c>
      <c r="K915" s="49">
        <v>17887.92</v>
      </c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>
      <c r="A916" s="48" t="s">
        <v>3013</v>
      </c>
      <c r="B916" s="49">
        <v>4732495.0</v>
      </c>
      <c r="C916" s="48" t="s">
        <v>3014</v>
      </c>
      <c r="D916" s="48" t="s">
        <v>93</v>
      </c>
      <c r="E916" s="48" t="s">
        <v>121</v>
      </c>
      <c r="F916" s="48" t="s">
        <v>1673</v>
      </c>
      <c r="G916" s="48" t="s">
        <v>1674</v>
      </c>
      <c r="H916" s="49">
        <v>0.0165053550999999</v>
      </c>
      <c r="I916" s="49">
        <v>995.0</v>
      </c>
      <c r="J916" s="49">
        <v>17827.16</v>
      </c>
      <c r="K916" s="49">
        <v>17827.16</v>
      </c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>
      <c r="A917" s="48" t="s">
        <v>3015</v>
      </c>
      <c r="B917" s="49">
        <v>6125639.0</v>
      </c>
      <c r="C917" s="48" t="s">
        <v>3016</v>
      </c>
      <c r="D917" s="48" t="s">
        <v>93</v>
      </c>
      <c r="E917" s="48" t="s">
        <v>167</v>
      </c>
      <c r="F917" s="48" t="s">
        <v>629</v>
      </c>
      <c r="G917" s="48" t="s">
        <v>630</v>
      </c>
      <c r="H917" s="49">
        <v>0.0164762121</v>
      </c>
      <c r="I917" s="49">
        <v>802.0</v>
      </c>
      <c r="J917" s="49">
        <v>17795.68</v>
      </c>
      <c r="K917" s="49">
        <v>17795.68</v>
      </c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>
      <c r="A918" s="48" t="s">
        <v>3017</v>
      </c>
      <c r="B918" s="49">
        <v>405207.0</v>
      </c>
      <c r="C918" s="48" t="s">
        <v>3018</v>
      </c>
      <c r="D918" s="48" t="s">
        <v>93</v>
      </c>
      <c r="E918" s="48" t="s">
        <v>167</v>
      </c>
      <c r="F918" s="48" t="s">
        <v>918</v>
      </c>
      <c r="G918" s="48" t="s">
        <v>908</v>
      </c>
      <c r="H918" s="49">
        <v>0.0164145918</v>
      </c>
      <c r="I918" s="49">
        <v>457.0</v>
      </c>
      <c r="J918" s="49">
        <v>17729.13</v>
      </c>
      <c r="K918" s="49">
        <v>17729.13</v>
      </c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>
      <c r="A919" s="48" t="s">
        <v>3019</v>
      </c>
      <c r="B919" s="49">
        <v>5701513.0</v>
      </c>
      <c r="C919" s="48" t="s">
        <v>3020</v>
      </c>
      <c r="D919" s="48" t="s">
        <v>93</v>
      </c>
      <c r="E919" s="48" t="s">
        <v>121</v>
      </c>
      <c r="F919" s="48" t="s">
        <v>686</v>
      </c>
      <c r="G919" s="48" t="s">
        <v>640</v>
      </c>
      <c r="H919" s="49">
        <v>0.0163468611</v>
      </c>
      <c r="I919" s="49">
        <v>233.0</v>
      </c>
      <c r="J919" s="49">
        <v>17655.97</v>
      </c>
      <c r="K919" s="49">
        <v>17655.97</v>
      </c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>
      <c r="A920" s="48" t="s">
        <v>3021</v>
      </c>
      <c r="B920" s="49">
        <v>6660107.0</v>
      </c>
      <c r="C920" s="48" t="s">
        <v>3022</v>
      </c>
      <c r="D920" s="48" t="s">
        <v>93</v>
      </c>
      <c r="E920" s="48" t="s">
        <v>102</v>
      </c>
      <c r="F920" s="48" t="s">
        <v>629</v>
      </c>
      <c r="G920" s="48" t="s">
        <v>630</v>
      </c>
      <c r="H920" s="49">
        <v>0.0162823895</v>
      </c>
      <c r="I920" s="49">
        <v>580.0</v>
      </c>
      <c r="J920" s="49">
        <v>17586.34</v>
      </c>
      <c r="K920" s="49">
        <v>17586.34</v>
      </c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>
      <c r="A921" s="48" t="s">
        <v>3023</v>
      </c>
      <c r="B921" s="48" t="s">
        <v>3024</v>
      </c>
      <c r="C921" s="48" t="s">
        <v>3025</v>
      </c>
      <c r="D921" s="48" t="s">
        <v>93</v>
      </c>
      <c r="E921" s="48" t="s">
        <v>167</v>
      </c>
      <c r="F921" s="48" t="s">
        <v>622</v>
      </c>
      <c r="G921" s="48" t="s">
        <v>623</v>
      </c>
      <c r="H921" s="49">
        <v>0.0161945741</v>
      </c>
      <c r="I921" s="49">
        <v>266.0</v>
      </c>
      <c r="J921" s="49">
        <v>17491.49</v>
      </c>
      <c r="K921" s="49">
        <v>17491.49</v>
      </c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>
      <c r="A922" s="48" t="s">
        <v>3026</v>
      </c>
      <c r="B922" s="48" t="s">
        <v>3027</v>
      </c>
      <c r="C922" s="48" t="s">
        <v>3028</v>
      </c>
      <c r="D922" s="48" t="s">
        <v>93</v>
      </c>
      <c r="E922" s="48" t="s">
        <v>102</v>
      </c>
      <c r="F922" s="48" t="s">
        <v>622</v>
      </c>
      <c r="G922" s="48" t="s">
        <v>623</v>
      </c>
      <c r="H922" s="49">
        <v>0.0161216428</v>
      </c>
      <c r="I922" s="49">
        <v>240.0</v>
      </c>
      <c r="J922" s="49">
        <v>17412.72</v>
      </c>
      <c r="K922" s="49">
        <v>17412.72</v>
      </c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>
      <c r="A923" s="48" t="s">
        <v>3029</v>
      </c>
      <c r="B923" s="49">
        <v>6897143.0</v>
      </c>
      <c r="C923" s="48" t="s">
        <v>3030</v>
      </c>
      <c r="D923" s="48" t="s">
        <v>93</v>
      </c>
      <c r="E923" s="48" t="s">
        <v>94</v>
      </c>
      <c r="F923" s="48" t="s">
        <v>629</v>
      </c>
      <c r="G923" s="48" t="s">
        <v>630</v>
      </c>
      <c r="H923" s="49">
        <v>0.0160776603</v>
      </c>
      <c r="I923" s="49">
        <v>2002.0</v>
      </c>
      <c r="J923" s="49">
        <v>17365.21</v>
      </c>
      <c r="K923" s="49">
        <v>17365.21</v>
      </c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>
      <c r="A924" s="48" t="s">
        <v>3031</v>
      </c>
      <c r="B924" s="49">
        <v>6985264.0</v>
      </c>
      <c r="C924" s="48" t="s">
        <v>3032</v>
      </c>
      <c r="D924" s="48" t="s">
        <v>93</v>
      </c>
      <c r="E924" s="48" t="s">
        <v>118</v>
      </c>
      <c r="F924" s="48" t="s">
        <v>629</v>
      </c>
      <c r="G924" s="48" t="s">
        <v>630</v>
      </c>
      <c r="H924" s="49">
        <v>0.0160471564</v>
      </c>
      <c r="I924" s="49">
        <v>411.0</v>
      </c>
      <c r="J924" s="49">
        <v>17332.27</v>
      </c>
      <c r="K924" s="49">
        <v>17332.27</v>
      </c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>
      <c r="A925" s="48" t="s">
        <v>3033</v>
      </c>
      <c r="B925" s="49">
        <v>6531827.0</v>
      </c>
      <c r="C925" s="48" t="s">
        <v>3034</v>
      </c>
      <c r="D925" s="48" t="s">
        <v>93</v>
      </c>
      <c r="E925" s="48" t="s">
        <v>118</v>
      </c>
      <c r="F925" s="48" t="s">
        <v>645</v>
      </c>
      <c r="G925" s="48" t="s">
        <v>646</v>
      </c>
      <c r="H925" s="49">
        <v>0.0159971711</v>
      </c>
      <c r="I925" s="49">
        <v>9264.0</v>
      </c>
      <c r="J925" s="49">
        <v>17278.28</v>
      </c>
      <c r="K925" s="49">
        <v>17278.28</v>
      </c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>
      <c r="A926" s="48" t="s">
        <v>3035</v>
      </c>
      <c r="B926" s="49">
        <v>6543792.0</v>
      </c>
      <c r="C926" s="48" t="s">
        <v>3036</v>
      </c>
      <c r="D926" s="48" t="s">
        <v>93</v>
      </c>
      <c r="E926" s="48" t="s">
        <v>94</v>
      </c>
      <c r="F926" s="48" t="s">
        <v>629</v>
      </c>
      <c r="G926" s="48" t="s">
        <v>630</v>
      </c>
      <c r="H926" s="49">
        <v>0.0159778977</v>
      </c>
      <c r="I926" s="49">
        <v>712.0</v>
      </c>
      <c r="J926" s="49">
        <v>17257.46</v>
      </c>
      <c r="K926" s="49">
        <v>17257.46</v>
      </c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>
      <c r="A927" s="48" t="s">
        <v>3037</v>
      </c>
      <c r="B927" s="48" t="s">
        <v>3038</v>
      </c>
      <c r="C927" s="48" t="s">
        <v>3039</v>
      </c>
      <c r="D927" s="48" t="s">
        <v>93</v>
      </c>
      <c r="E927" s="48" t="s">
        <v>118</v>
      </c>
      <c r="F927" s="48" t="s">
        <v>918</v>
      </c>
      <c r="G927" s="48" t="s">
        <v>908</v>
      </c>
      <c r="H927" s="49">
        <v>0.0159743152</v>
      </c>
      <c r="I927" s="49">
        <v>827.0</v>
      </c>
      <c r="J927" s="49">
        <v>17253.59</v>
      </c>
      <c r="K927" s="49">
        <v>17253.59</v>
      </c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>
      <c r="A928" s="48" t="s">
        <v>3040</v>
      </c>
      <c r="B928" s="49">
        <v>6659428.0</v>
      </c>
      <c r="C928" s="48" t="s">
        <v>3041</v>
      </c>
      <c r="D928" s="48" t="s">
        <v>93</v>
      </c>
      <c r="E928" s="48" t="s">
        <v>167</v>
      </c>
      <c r="F928" s="48" t="s">
        <v>629</v>
      </c>
      <c r="G928" s="48" t="s">
        <v>630</v>
      </c>
      <c r="H928" s="49">
        <v>0.0159483286</v>
      </c>
      <c r="I928" s="49">
        <v>243.0</v>
      </c>
      <c r="J928" s="49">
        <v>17225.52</v>
      </c>
      <c r="K928" s="49">
        <v>17225.52</v>
      </c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>
      <c r="A929" s="48" t="s">
        <v>3042</v>
      </c>
      <c r="B929" s="48" t="s">
        <v>3043</v>
      </c>
      <c r="C929" s="48" t="s">
        <v>3044</v>
      </c>
      <c r="D929" s="48" t="s">
        <v>93</v>
      </c>
      <c r="E929" s="48" t="s">
        <v>99</v>
      </c>
      <c r="F929" s="48" t="s">
        <v>622</v>
      </c>
      <c r="G929" s="48" t="s">
        <v>623</v>
      </c>
      <c r="H929" s="49">
        <v>0.0159361256</v>
      </c>
      <c r="I929" s="49">
        <v>124.0</v>
      </c>
      <c r="J929" s="49">
        <v>17212.34</v>
      </c>
      <c r="K929" s="49">
        <v>17212.34</v>
      </c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>
      <c r="A930" s="48" t="s">
        <v>3045</v>
      </c>
      <c r="B930" s="48" t="s">
        <v>3046</v>
      </c>
      <c r="C930" s="48" t="s">
        <v>3047</v>
      </c>
      <c r="D930" s="48" t="s">
        <v>93</v>
      </c>
      <c r="E930" s="48" t="s">
        <v>94</v>
      </c>
      <c r="F930" s="48" t="s">
        <v>918</v>
      </c>
      <c r="G930" s="48" t="s">
        <v>908</v>
      </c>
      <c r="H930" s="49">
        <v>0.0159299896</v>
      </c>
      <c r="I930" s="49">
        <v>184.0</v>
      </c>
      <c r="J930" s="49">
        <v>17205.72</v>
      </c>
      <c r="K930" s="49">
        <v>17205.72</v>
      </c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>
      <c r="A931" s="48" t="s">
        <v>3048</v>
      </c>
      <c r="B931" s="48" t="s">
        <v>3049</v>
      </c>
      <c r="C931" s="48" t="s">
        <v>3050</v>
      </c>
      <c r="D931" s="48" t="s">
        <v>93</v>
      </c>
      <c r="E931" s="48" t="s">
        <v>121</v>
      </c>
      <c r="F931" s="48" t="s">
        <v>622</v>
      </c>
      <c r="G931" s="48" t="s">
        <v>623</v>
      </c>
      <c r="H931" s="49">
        <v>0.0159154901</v>
      </c>
      <c r="I931" s="49">
        <v>1278.0</v>
      </c>
      <c r="J931" s="49">
        <v>17190.06</v>
      </c>
      <c r="K931" s="49">
        <v>17190.06</v>
      </c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>
      <c r="A932" s="48" t="s">
        <v>3051</v>
      </c>
      <c r="B932" s="49">
        <v>6986461.0</v>
      </c>
      <c r="C932" s="48" t="s">
        <v>3052</v>
      </c>
      <c r="D932" s="48" t="s">
        <v>93</v>
      </c>
      <c r="E932" s="48" t="s">
        <v>118</v>
      </c>
      <c r="F932" s="48" t="s">
        <v>629</v>
      </c>
      <c r="G932" s="48" t="s">
        <v>630</v>
      </c>
      <c r="H932" s="49">
        <v>0.0158983427</v>
      </c>
      <c r="I932" s="49">
        <v>504.0</v>
      </c>
      <c r="J932" s="49">
        <v>17171.54</v>
      </c>
      <c r="K932" s="49">
        <v>17171.54</v>
      </c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>
      <c r="A933" s="48" t="s">
        <v>3053</v>
      </c>
      <c r="B933" s="49">
        <v>5956078.0</v>
      </c>
      <c r="C933" s="48" t="s">
        <v>3054</v>
      </c>
      <c r="D933" s="48" t="s">
        <v>93</v>
      </c>
      <c r="E933" s="48" t="s">
        <v>121</v>
      </c>
      <c r="F933" s="48" t="s">
        <v>668</v>
      </c>
      <c r="G933" s="48" t="s">
        <v>640</v>
      </c>
      <c r="H933" s="49">
        <v>0.0158644631</v>
      </c>
      <c r="I933" s="49">
        <v>3226.0</v>
      </c>
      <c r="J933" s="49">
        <v>17134.94</v>
      </c>
      <c r="K933" s="49">
        <v>17134.94</v>
      </c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>
      <c r="A934" s="48" t="s">
        <v>3055</v>
      </c>
      <c r="B934" s="49">
        <v>7062713.0</v>
      </c>
      <c r="C934" s="48" t="s">
        <v>3056</v>
      </c>
      <c r="D934" s="48" t="s">
        <v>93</v>
      </c>
      <c r="E934" s="48" t="s">
        <v>118</v>
      </c>
      <c r="F934" s="48" t="s">
        <v>639</v>
      </c>
      <c r="G934" s="48" t="s">
        <v>640</v>
      </c>
      <c r="H934" s="49">
        <v>0.015859507</v>
      </c>
      <c r="I934" s="49">
        <v>103.0</v>
      </c>
      <c r="J934" s="49">
        <v>17129.59</v>
      </c>
      <c r="K934" s="49">
        <v>17129.59</v>
      </c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>
      <c r="A935" s="48" t="s">
        <v>3057</v>
      </c>
      <c r="B935" s="48" t="s">
        <v>3058</v>
      </c>
      <c r="C935" s="48" t="s">
        <v>3059</v>
      </c>
      <c r="D935" s="48" t="s">
        <v>93</v>
      </c>
      <c r="E935" s="48" t="s">
        <v>94</v>
      </c>
      <c r="F935" s="48" t="s">
        <v>883</v>
      </c>
      <c r="G935" s="48" t="s">
        <v>884</v>
      </c>
      <c r="H935" s="49">
        <v>0.0158362674</v>
      </c>
      <c r="I935" s="49">
        <v>266.0</v>
      </c>
      <c r="J935" s="49">
        <v>17104.49</v>
      </c>
      <c r="K935" s="49">
        <v>17104.49</v>
      </c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>
      <c r="A936" s="48" t="s">
        <v>3060</v>
      </c>
      <c r="B936" s="49">
        <v>6490809.0</v>
      </c>
      <c r="C936" s="48" t="s">
        <v>3061</v>
      </c>
      <c r="D936" s="48" t="s">
        <v>93</v>
      </c>
      <c r="E936" s="48" t="s">
        <v>124</v>
      </c>
      <c r="F936" s="48" t="s">
        <v>629</v>
      </c>
      <c r="G936" s="48" t="s">
        <v>630</v>
      </c>
      <c r="H936" s="49">
        <v>0.0158308343</v>
      </c>
      <c r="I936" s="49">
        <v>200.0</v>
      </c>
      <c r="J936" s="49">
        <v>17098.62</v>
      </c>
      <c r="K936" s="49">
        <v>17098.62</v>
      </c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>
      <c r="A937" s="48" t="s">
        <v>3062</v>
      </c>
      <c r="B937" s="49">
        <v>6640767.0</v>
      </c>
      <c r="C937" s="48" t="s">
        <v>3063</v>
      </c>
      <c r="D937" s="48" t="s">
        <v>93</v>
      </c>
      <c r="E937" s="48" t="s">
        <v>124</v>
      </c>
      <c r="F937" s="48" t="s">
        <v>629</v>
      </c>
      <c r="G937" s="48" t="s">
        <v>630</v>
      </c>
      <c r="H937" s="49">
        <v>0.015830052</v>
      </c>
      <c r="I937" s="49">
        <v>360.0</v>
      </c>
      <c r="J937" s="49">
        <v>17097.78</v>
      </c>
      <c r="K937" s="49">
        <v>17097.78</v>
      </c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>
      <c r="A938" s="48" t="s">
        <v>3064</v>
      </c>
      <c r="B938" s="48" t="s">
        <v>3065</v>
      </c>
      <c r="C938" s="48" t="s">
        <v>3066</v>
      </c>
      <c r="D938" s="48" t="s">
        <v>93</v>
      </c>
      <c r="E938" s="48" t="s">
        <v>127</v>
      </c>
      <c r="F938" s="48" t="s">
        <v>918</v>
      </c>
      <c r="G938" s="48" t="s">
        <v>908</v>
      </c>
      <c r="H938" s="49">
        <v>0.0158194149</v>
      </c>
      <c r="I938" s="49">
        <v>93.0</v>
      </c>
      <c r="J938" s="49">
        <v>17086.29</v>
      </c>
      <c r="K938" s="49">
        <v>17086.29</v>
      </c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>
      <c r="A939" s="48" t="s">
        <v>3067</v>
      </c>
      <c r="B939" s="49">
        <v>673123.0</v>
      </c>
      <c r="C939" s="48" t="s">
        <v>3068</v>
      </c>
      <c r="D939" s="48" t="s">
        <v>93</v>
      </c>
      <c r="E939" s="48" t="s">
        <v>124</v>
      </c>
      <c r="F939" s="48" t="s">
        <v>918</v>
      </c>
      <c r="G939" s="48" t="s">
        <v>908</v>
      </c>
      <c r="H939" s="49">
        <v>0.0157922767</v>
      </c>
      <c r="I939" s="49">
        <v>426.0</v>
      </c>
      <c r="J939" s="49">
        <v>17056.98</v>
      </c>
      <c r="K939" s="49">
        <v>17056.98</v>
      </c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>
      <c r="A940" s="48" t="s">
        <v>3069</v>
      </c>
      <c r="B940" s="49">
        <v>6098032.0</v>
      </c>
      <c r="C940" s="48" t="s">
        <v>3070</v>
      </c>
      <c r="D940" s="48" t="s">
        <v>93</v>
      </c>
      <c r="E940" s="48" t="s">
        <v>121</v>
      </c>
      <c r="F940" s="48" t="s">
        <v>679</v>
      </c>
      <c r="G940" s="48" t="s">
        <v>2438</v>
      </c>
      <c r="H940" s="49">
        <v>0.0157684138</v>
      </c>
      <c r="I940" s="49">
        <v>7670.0</v>
      </c>
      <c r="J940" s="49">
        <v>17031.2</v>
      </c>
      <c r="K940" s="49">
        <v>17031.2</v>
      </c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>
      <c r="A941" s="48" t="s">
        <v>3071</v>
      </c>
      <c r="B941" s="49">
        <v>2414580.0</v>
      </c>
      <c r="C941" s="48" t="s">
        <v>3072</v>
      </c>
      <c r="D941" s="48" t="s">
        <v>93</v>
      </c>
      <c r="E941" s="48" t="s">
        <v>118</v>
      </c>
      <c r="F941" s="48" t="s">
        <v>622</v>
      </c>
      <c r="G941" s="48" t="s">
        <v>623</v>
      </c>
      <c r="H941" s="49">
        <v>0.0157354276</v>
      </c>
      <c r="I941" s="49">
        <v>164.0</v>
      </c>
      <c r="J941" s="49">
        <v>16995.57</v>
      </c>
      <c r="K941" s="49">
        <v>16995.57</v>
      </c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>
      <c r="A942" s="48" t="s">
        <v>3073</v>
      </c>
      <c r="B942" s="49">
        <v>6484686.0</v>
      </c>
      <c r="C942" s="48" t="s">
        <v>3074</v>
      </c>
      <c r="D942" s="48" t="s">
        <v>93</v>
      </c>
      <c r="E942" s="48" t="s">
        <v>127</v>
      </c>
      <c r="F942" s="48" t="s">
        <v>629</v>
      </c>
      <c r="G942" s="48" t="s">
        <v>630</v>
      </c>
      <c r="H942" s="49">
        <v>0.015723871</v>
      </c>
      <c r="I942" s="49">
        <v>287.0</v>
      </c>
      <c r="J942" s="49">
        <v>16983.09</v>
      </c>
      <c r="K942" s="49">
        <v>16983.09</v>
      </c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>
      <c r="A943" s="48" t="s">
        <v>3075</v>
      </c>
      <c r="B943" s="48" t="s">
        <v>3076</v>
      </c>
      <c r="C943" s="48" t="s">
        <v>3077</v>
      </c>
      <c r="D943" s="48" t="s">
        <v>93</v>
      </c>
      <c r="E943" s="48" t="s">
        <v>124</v>
      </c>
      <c r="F943" s="48" t="s">
        <v>668</v>
      </c>
      <c r="G943" s="48" t="s">
        <v>640</v>
      </c>
      <c r="H943" s="49">
        <v>0.0157152219999999</v>
      </c>
      <c r="I943" s="49">
        <v>139.0</v>
      </c>
      <c r="J943" s="49">
        <v>16973.75</v>
      </c>
      <c r="K943" s="49">
        <v>16973.75</v>
      </c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>
      <c r="A944" s="48" t="s">
        <v>3078</v>
      </c>
      <c r="B944" s="49">
        <v>5843329.0</v>
      </c>
      <c r="C944" s="48" t="s">
        <v>3079</v>
      </c>
      <c r="D944" s="48" t="s">
        <v>93</v>
      </c>
      <c r="E944" s="48" t="s">
        <v>102</v>
      </c>
      <c r="F944" s="48" t="s">
        <v>649</v>
      </c>
      <c r="G944" s="48" t="s">
        <v>640</v>
      </c>
      <c r="H944" s="49">
        <v>0.0157070694</v>
      </c>
      <c r="I944" s="49">
        <v>32.0</v>
      </c>
      <c r="J944" s="49">
        <v>16964.94</v>
      </c>
      <c r="K944" s="49">
        <v>16964.94</v>
      </c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>
      <c r="A945" s="48" t="s">
        <v>3080</v>
      </c>
      <c r="B945" s="48" t="s">
        <v>3081</v>
      </c>
      <c r="C945" s="48" t="s">
        <v>3082</v>
      </c>
      <c r="D945" s="48" t="s">
        <v>93</v>
      </c>
      <c r="E945" s="48" t="s">
        <v>118</v>
      </c>
      <c r="F945" s="48" t="s">
        <v>918</v>
      </c>
      <c r="G945" s="48" t="s">
        <v>908</v>
      </c>
      <c r="H945" s="49">
        <v>0.0155878537</v>
      </c>
      <c r="I945" s="49">
        <v>245.0</v>
      </c>
      <c r="J945" s="49">
        <v>16836.18</v>
      </c>
      <c r="K945" s="49">
        <v>16836.18</v>
      </c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>
      <c r="A946" s="48" t="s">
        <v>3083</v>
      </c>
      <c r="B946" s="48" t="s">
        <v>3084</v>
      </c>
      <c r="C946" s="48" t="s">
        <v>3085</v>
      </c>
      <c r="D946" s="48" t="s">
        <v>93</v>
      </c>
      <c r="E946" s="48" t="s">
        <v>99</v>
      </c>
      <c r="F946" s="48" t="s">
        <v>2967</v>
      </c>
      <c r="G946" s="48" t="s">
        <v>2968</v>
      </c>
      <c r="H946" s="49">
        <v>0.0155677928</v>
      </c>
      <c r="I946" s="49">
        <v>1324.0</v>
      </c>
      <c r="J946" s="49">
        <v>16814.51</v>
      </c>
      <c r="K946" s="49">
        <v>16814.51</v>
      </c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>
      <c r="A947" s="48" t="s">
        <v>3086</v>
      </c>
      <c r="B947" s="49">
        <v>6251448.0</v>
      </c>
      <c r="C947" s="48" t="s">
        <v>3087</v>
      </c>
      <c r="D947" s="48" t="s">
        <v>93</v>
      </c>
      <c r="E947" s="48" t="s">
        <v>99</v>
      </c>
      <c r="F947" s="48" t="s">
        <v>629</v>
      </c>
      <c r="G947" s="48" t="s">
        <v>630</v>
      </c>
      <c r="H947" s="49">
        <v>0.0154740548</v>
      </c>
      <c r="I947" s="49">
        <v>1766.0</v>
      </c>
      <c r="J947" s="49">
        <v>16713.27</v>
      </c>
      <c r="K947" s="49">
        <v>16713.27</v>
      </c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>
      <c r="A948" s="48" t="s">
        <v>3088</v>
      </c>
      <c r="B948" s="48" t="s">
        <v>3089</v>
      </c>
      <c r="C948" s="48" t="s">
        <v>3090</v>
      </c>
      <c r="D948" s="48" t="s">
        <v>93</v>
      </c>
      <c r="E948" s="48" t="s">
        <v>121</v>
      </c>
      <c r="F948" s="48" t="s">
        <v>629</v>
      </c>
      <c r="G948" s="48" t="s">
        <v>630</v>
      </c>
      <c r="H948" s="49">
        <v>0.0154629605</v>
      </c>
      <c r="I948" s="49">
        <v>587.0</v>
      </c>
      <c r="J948" s="49">
        <v>16701.29</v>
      </c>
      <c r="K948" s="49">
        <v>16701.29</v>
      </c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>
      <c r="A949" s="48" t="s">
        <v>3091</v>
      </c>
      <c r="B949" s="49">
        <v>7101069.0</v>
      </c>
      <c r="C949" s="48" t="s">
        <v>3092</v>
      </c>
      <c r="D949" s="48" t="s">
        <v>93</v>
      </c>
      <c r="E949" s="48" t="s">
        <v>118</v>
      </c>
      <c r="F949" s="48" t="s">
        <v>649</v>
      </c>
      <c r="G949" s="48" t="s">
        <v>640</v>
      </c>
      <c r="H949" s="49">
        <v>0.0153634926</v>
      </c>
      <c r="I949" s="49">
        <v>204.0</v>
      </c>
      <c r="J949" s="49">
        <v>16593.85</v>
      </c>
      <c r="K949" s="49">
        <v>16593.85</v>
      </c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>
      <c r="A950" s="48" t="s">
        <v>3093</v>
      </c>
      <c r="B950" s="49">
        <v>6883807.0</v>
      </c>
      <c r="C950" s="48" t="s">
        <v>3094</v>
      </c>
      <c r="D950" s="48" t="s">
        <v>93</v>
      </c>
      <c r="E950" s="48" t="s">
        <v>102</v>
      </c>
      <c r="F950" s="48" t="s">
        <v>629</v>
      </c>
      <c r="G950" s="48" t="s">
        <v>630</v>
      </c>
      <c r="H950" s="49">
        <v>0.0153524086999999</v>
      </c>
      <c r="I950" s="49">
        <v>212.0</v>
      </c>
      <c r="J950" s="49">
        <v>16581.88</v>
      </c>
      <c r="K950" s="49">
        <v>16581.88</v>
      </c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>
      <c r="A951" s="48" t="s">
        <v>3095</v>
      </c>
      <c r="B951" s="48" t="s">
        <v>3096</v>
      </c>
      <c r="C951" s="48" t="s">
        <v>3097</v>
      </c>
      <c r="D951" s="48" t="s">
        <v>93</v>
      </c>
      <c r="E951" s="48" t="s">
        <v>127</v>
      </c>
      <c r="F951" s="48" t="s">
        <v>629</v>
      </c>
      <c r="G951" s="48" t="s">
        <v>630</v>
      </c>
      <c r="H951" s="49">
        <v>0.0153278606</v>
      </c>
      <c r="I951" s="49">
        <v>527.0</v>
      </c>
      <c r="J951" s="49">
        <v>16555.37</v>
      </c>
      <c r="K951" s="49">
        <v>16555.37</v>
      </c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>
      <c r="A952" s="48" t="s">
        <v>3098</v>
      </c>
      <c r="B952" s="49">
        <v>2162845.0</v>
      </c>
      <c r="C952" s="48" t="s">
        <v>3099</v>
      </c>
      <c r="D952" s="48" t="s">
        <v>93</v>
      </c>
      <c r="E952" s="48" t="s">
        <v>124</v>
      </c>
      <c r="F952" s="48" t="s">
        <v>622</v>
      </c>
      <c r="G952" s="48" t="s">
        <v>623</v>
      </c>
      <c r="H952" s="49">
        <v>0.0152289783</v>
      </c>
      <c r="I952" s="49">
        <v>246.0</v>
      </c>
      <c r="J952" s="49">
        <v>16448.57</v>
      </c>
      <c r="K952" s="49">
        <v>16448.57</v>
      </c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>
      <c r="A953" s="48" t="s">
        <v>3100</v>
      </c>
      <c r="B953" s="48" t="s">
        <v>3101</v>
      </c>
      <c r="C953" s="48" t="s">
        <v>3102</v>
      </c>
      <c r="D953" s="48" t="s">
        <v>93</v>
      </c>
      <c r="E953" s="48" t="s">
        <v>133</v>
      </c>
      <c r="F953" s="48" t="s">
        <v>629</v>
      </c>
      <c r="G953" s="48" t="s">
        <v>630</v>
      </c>
      <c r="H953" s="49">
        <v>0.015216903</v>
      </c>
      <c r="I953" s="49">
        <v>1606.0</v>
      </c>
      <c r="J953" s="49">
        <v>16435.52</v>
      </c>
      <c r="K953" s="49">
        <v>16435.52</v>
      </c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>
      <c r="A954" s="48" t="s">
        <v>3103</v>
      </c>
      <c r="B954" s="49">
        <v>6269861.0</v>
      </c>
      <c r="C954" s="48" t="s">
        <v>3104</v>
      </c>
      <c r="D954" s="48" t="s">
        <v>93</v>
      </c>
      <c r="E954" s="48" t="s">
        <v>118</v>
      </c>
      <c r="F954" s="48" t="s">
        <v>629</v>
      </c>
      <c r="G954" s="48" t="s">
        <v>630</v>
      </c>
      <c r="H954" s="49">
        <v>0.0152147616</v>
      </c>
      <c r="I954" s="49">
        <v>511.0</v>
      </c>
      <c r="J954" s="49">
        <v>16433.21</v>
      </c>
      <c r="K954" s="49">
        <v>16433.21</v>
      </c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>
      <c r="A955" s="48" t="s">
        <v>3105</v>
      </c>
      <c r="B955" s="49">
        <v>5999330.0</v>
      </c>
      <c r="C955" s="48" t="s">
        <v>3106</v>
      </c>
      <c r="D955" s="48" t="s">
        <v>93</v>
      </c>
      <c r="E955" s="48" t="s">
        <v>127</v>
      </c>
      <c r="F955" s="48" t="s">
        <v>639</v>
      </c>
      <c r="G955" s="48" t="s">
        <v>640</v>
      </c>
      <c r="H955" s="49">
        <v>0.0151802291</v>
      </c>
      <c r="I955" s="49">
        <v>82.0</v>
      </c>
      <c r="J955" s="49">
        <v>16395.91</v>
      </c>
      <c r="K955" s="49">
        <v>16395.91</v>
      </c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>
      <c r="A956" s="48" t="s">
        <v>3107</v>
      </c>
      <c r="B956" s="48" t="s">
        <v>3108</v>
      </c>
      <c r="C956" s="48" t="s">
        <v>3109</v>
      </c>
      <c r="D956" s="48" t="s">
        <v>93</v>
      </c>
      <c r="E956" s="48" t="s">
        <v>118</v>
      </c>
      <c r="F956" s="48" t="s">
        <v>2665</v>
      </c>
      <c r="G956" s="48" t="s">
        <v>646</v>
      </c>
      <c r="H956" s="49">
        <v>0.015074095</v>
      </c>
      <c r="I956" s="49">
        <v>3308.0</v>
      </c>
      <c r="J956" s="49">
        <v>16281.28</v>
      </c>
      <c r="K956" s="49">
        <v>16281.28</v>
      </c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>
      <c r="A957" s="48" t="s">
        <v>3110</v>
      </c>
      <c r="B957" s="48" t="s">
        <v>3111</v>
      </c>
      <c r="C957" s="48" t="s">
        <v>3112</v>
      </c>
      <c r="D957" s="48" t="s">
        <v>93</v>
      </c>
      <c r="E957" s="48" t="s">
        <v>121</v>
      </c>
      <c r="F957" s="48" t="s">
        <v>918</v>
      </c>
      <c r="G957" s="48" t="s">
        <v>623</v>
      </c>
      <c r="H957" s="49">
        <v>0.0150213104</v>
      </c>
      <c r="I957" s="49">
        <v>533.0</v>
      </c>
      <c r="J957" s="49">
        <v>16224.27</v>
      </c>
      <c r="K957" s="49">
        <v>16224.27</v>
      </c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>
      <c r="A958" s="48" t="s">
        <v>3113</v>
      </c>
      <c r="B958" s="48" t="s">
        <v>3114</v>
      </c>
      <c r="C958" s="48" t="s">
        <v>3115</v>
      </c>
      <c r="D958" s="48" t="s">
        <v>93</v>
      </c>
      <c r="E958" s="48" t="s">
        <v>118</v>
      </c>
      <c r="F958" s="48" t="s">
        <v>622</v>
      </c>
      <c r="G958" s="48" t="s">
        <v>623</v>
      </c>
      <c r="H958" s="49">
        <v>0.0150198817999999</v>
      </c>
      <c r="I958" s="49">
        <v>162.0</v>
      </c>
      <c r="J958" s="49">
        <v>16222.72</v>
      </c>
      <c r="K958" s="49">
        <v>16222.72</v>
      </c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>
      <c r="A959" s="48" t="s">
        <v>3116</v>
      </c>
      <c r="B959" s="49">
        <v>6481320.0</v>
      </c>
      <c r="C959" s="48" t="s">
        <v>3117</v>
      </c>
      <c r="D959" s="48" t="s">
        <v>93</v>
      </c>
      <c r="E959" s="48" t="s">
        <v>127</v>
      </c>
      <c r="F959" s="48" t="s">
        <v>629</v>
      </c>
      <c r="G959" s="48" t="s">
        <v>630</v>
      </c>
      <c r="H959" s="49">
        <v>0.0150122951</v>
      </c>
      <c r="I959" s="49">
        <v>609.0</v>
      </c>
      <c r="J959" s="49">
        <v>16214.53</v>
      </c>
      <c r="K959" s="49">
        <v>16214.53</v>
      </c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>
      <c r="A960" s="48" t="s">
        <v>3118</v>
      </c>
      <c r="B960" s="49">
        <v>4651459.0</v>
      </c>
      <c r="C960" s="48" t="s">
        <v>3119</v>
      </c>
      <c r="D960" s="48" t="s">
        <v>93</v>
      </c>
      <c r="E960" s="48" t="s">
        <v>115</v>
      </c>
      <c r="F960" s="48" t="s">
        <v>2247</v>
      </c>
      <c r="G960" s="48" t="s">
        <v>640</v>
      </c>
      <c r="H960" s="49">
        <v>0.0149611866999999</v>
      </c>
      <c r="I960" s="49">
        <v>214.0</v>
      </c>
      <c r="J960" s="49">
        <v>16159.33</v>
      </c>
      <c r="K960" s="49">
        <v>16159.33</v>
      </c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>
      <c r="A961" s="48" t="s">
        <v>3120</v>
      </c>
      <c r="B961" s="49">
        <v>6340250.0</v>
      </c>
      <c r="C961" s="48" t="s">
        <v>311</v>
      </c>
      <c r="D961" s="48" t="s">
        <v>93</v>
      </c>
      <c r="E961" s="48" t="s">
        <v>102</v>
      </c>
      <c r="F961" s="48" t="s">
        <v>2732</v>
      </c>
      <c r="G961" s="48" t="s">
        <v>2733</v>
      </c>
      <c r="H961" s="49">
        <v>0.0149345496999999</v>
      </c>
      <c r="I961" s="49">
        <v>796.0</v>
      </c>
      <c r="J961" s="49">
        <v>16130.56</v>
      </c>
      <c r="K961" s="49">
        <v>16130.56</v>
      </c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>
      <c r="A962" s="48" t="s">
        <v>3121</v>
      </c>
      <c r="B962" s="48" t="s">
        <v>3122</v>
      </c>
      <c r="C962" s="48" t="s">
        <v>3123</v>
      </c>
      <c r="D962" s="48" t="s">
        <v>93</v>
      </c>
      <c r="E962" s="48" t="s">
        <v>102</v>
      </c>
      <c r="F962" s="48" t="s">
        <v>629</v>
      </c>
      <c r="G962" s="48" t="s">
        <v>630</v>
      </c>
      <c r="H962" s="49">
        <v>0.0149155647</v>
      </c>
      <c r="I962" s="49">
        <v>549.0</v>
      </c>
      <c r="J962" s="49">
        <v>16110.05</v>
      </c>
      <c r="K962" s="49">
        <v>16110.05</v>
      </c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>
      <c r="A963" s="48" t="s">
        <v>3124</v>
      </c>
      <c r="B963" s="49">
        <v>2816023.0</v>
      </c>
      <c r="C963" s="48" t="s">
        <v>3125</v>
      </c>
      <c r="D963" s="48" t="s">
        <v>93</v>
      </c>
      <c r="E963" s="48" t="s">
        <v>127</v>
      </c>
      <c r="F963" s="48" t="s">
        <v>622</v>
      </c>
      <c r="G963" s="48" t="s">
        <v>623</v>
      </c>
      <c r="H963" s="49">
        <v>0.0148587807999999</v>
      </c>
      <c r="I963" s="49">
        <v>158.0</v>
      </c>
      <c r="J963" s="49">
        <v>16048.72</v>
      </c>
      <c r="K963" s="49">
        <v>16048.72</v>
      </c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>
      <c r="A964" s="48" t="s">
        <v>3126</v>
      </c>
      <c r="B964" s="48" t="s">
        <v>3127</v>
      </c>
      <c r="C964" s="48" t="s">
        <v>3128</v>
      </c>
      <c r="D964" s="48" t="s">
        <v>93</v>
      </c>
      <c r="E964" s="48" t="s">
        <v>167</v>
      </c>
      <c r="F964" s="48" t="s">
        <v>622</v>
      </c>
      <c r="G964" s="48" t="s">
        <v>623</v>
      </c>
      <c r="H964" s="49">
        <v>0.0146978386</v>
      </c>
      <c r="I964" s="49">
        <v>321.0</v>
      </c>
      <c r="J964" s="49">
        <v>15874.89</v>
      </c>
      <c r="K964" s="49">
        <v>15874.89</v>
      </c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>
      <c r="A965" s="48" t="s">
        <v>3129</v>
      </c>
      <c r="B965" s="48" t="s">
        <v>3130</v>
      </c>
      <c r="C965" s="48" t="s">
        <v>3131</v>
      </c>
      <c r="D965" s="48" t="s">
        <v>93</v>
      </c>
      <c r="E965" s="48" t="s">
        <v>94</v>
      </c>
      <c r="F965" s="48" t="s">
        <v>1740</v>
      </c>
      <c r="G965" s="48" t="s">
        <v>1741</v>
      </c>
      <c r="H965" s="49">
        <v>0.0146935036999999</v>
      </c>
      <c r="I965" s="49">
        <v>756.0</v>
      </c>
      <c r="J965" s="49">
        <v>15870.21</v>
      </c>
      <c r="K965" s="49">
        <v>15870.21</v>
      </c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>
      <c r="A966" s="48" t="s">
        <v>3132</v>
      </c>
      <c r="B966" s="48" t="s">
        <v>3133</v>
      </c>
      <c r="C966" s="48" t="s">
        <v>3134</v>
      </c>
      <c r="D966" s="48" t="s">
        <v>93</v>
      </c>
      <c r="E966" s="48" t="s">
        <v>170</v>
      </c>
      <c r="F966" s="48" t="s">
        <v>918</v>
      </c>
      <c r="G966" s="48" t="s">
        <v>908</v>
      </c>
      <c r="H966" s="49">
        <v>0.0146825639999999</v>
      </c>
      <c r="I966" s="49">
        <v>838.0</v>
      </c>
      <c r="J966" s="49">
        <v>15858.39</v>
      </c>
      <c r="K966" s="49">
        <v>15858.39</v>
      </c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>
      <c r="A967" s="48" t="s">
        <v>3135</v>
      </c>
      <c r="B967" s="48" t="s">
        <v>3136</v>
      </c>
      <c r="C967" s="48" t="s">
        <v>3137</v>
      </c>
      <c r="D967" s="48" t="s">
        <v>93</v>
      </c>
      <c r="E967" s="48" t="s">
        <v>127</v>
      </c>
      <c r="F967" s="48" t="s">
        <v>686</v>
      </c>
      <c r="G967" s="48" t="s">
        <v>640</v>
      </c>
      <c r="H967" s="49">
        <v>0.0146784003</v>
      </c>
      <c r="I967" s="49">
        <v>942.0</v>
      </c>
      <c r="J967" s="49">
        <v>15853.9</v>
      </c>
      <c r="K967" s="49">
        <v>15853.9</v>
      </c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>
      <c r="A968" s="48" t="s">
        <v>3138</v>
      </c>
      <c r="B968" s="49">
        <v>4598589.0</v>
      </c>
      <c r="C968" s="48" t="s">
        <v>3139</v>
      </c>
      <c r="D968" s="48" t="s">
        <v>93</v>
      </c>
      <c r="E968" s="48" t="s">
        <v>118</v>
      </c>
      <c r="F968" s="48" t="s">
        <v>649</v>
      </c>
      <c r="G968" s="48" t="s">
        <v>640</v>
      </c>
      <c r="H968" s="49">
        <v>0.0146325305999999</v>
      </c>
      <c r="I968" s="49">
        <v>144.0</v>
      </c>
      <c r="J968" s="49">
        <v>15804.35</v>
      </c>
      <c r="K968" s="49">
        <v>15804.35</v>
      </c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>
      <c r="A969" s="48" t="s">
        <v>3140</v>
      </c>
      <c r="B969" s="49">
        <v>6858849.0</v>
      </c>
      <c r="C969" s="48" t="s">
        <v>3141</v>
      </c>
      <c r="D969" s="48" t="s">
        <v>93</v>
      </c>
      <c r="E969" s="48" t="s">
        <v>94</v>
      </c>
      <c r="F969" s="48" t="s">
        <v>629</v>
      </c>
      <c r="G969" s="48" t="s">
        <v>630</v>
      </c>
      <c r="H969" s="49">
        <v>0.0146167197999999</v>
      </c>
      <c r="I969" s="49">
        <v>319.0</v>
      </c>
      <c r="J969" s="49">
        <v>15787.28</v>
      </c>
      <c r="K969" s="49">
        <v>15787.28</v>
      </c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>
      <c r="A970" s="48" t="s">
        <v>3142</v>
      </c>
      <c r="B970" s="49">
        <v>4821100.0</v>
      </c>
      <c r="C970" s="48" t="s">
        <v>3143</v>
      </c>
      <c r="D970" s="48" t="s">
        <v>93</v>
      </c>
      <c r="E970" s="48" t="s">
        <v>94</v>
      </c>
      <c r="F970" s="48" t="s">
        <v>1374</v>
      </c>
      <c r="G970" s="48" t="s">
        <v>640</v>
      </c>
      <c r="H970" s="49">
        <v>0.0145800158</v>
      </c>
      <c r="I970" s="49">
        <v>89.0</v>
      </c>
      <c r="J970" s="49">
        <v>15747.63</v>
      </c>
      <c r="K970" s="49">
        <v>15747.63</v>
      </c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>
      <c r="A971" s="48" t="s">
        <v>3144</v>
      </c>
      <c r="B971" s="49">
        <v>4574813.0</v>
      </c>
      <c r="C971" s="48" t="s">
        <v>3145</v>
      </c>
      <c r="D971" s="48" t="s">
        <v>93</v>
      </c>
      <c r="E971" s="48" t="s">
        <v>99</v>
      </c>
      <c r="F971" s="48" t="s">
        <v>1352</v>
      </c>
      <c r="G971" s="48" t="s">
        <v>640</v>
      </c>
      <c r="H971" s="49">
        <v>0.0144797623</v>
      </c>
      <c r="I971" s="49">
        <v>765.0</v>
      </c>
      <c r="J971" s="49">
        <v>15639.35</v>
      </c>
      <c r="K971" s="49">
        <v>15639.35</v>
      </c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>
      <c r="A972" s="48" t="s">
        <v>3146</v>
      </c>
      <c r="B972" s="49">
        <v>2162760.0</v>
      </c>
      <c r="C972" s="48" t="s">
        <v>3147</v>
      </c>
      <c r="D972" s="48" t="s">
        <v>93</v>
      </c>
      <c r="E972" s="48" t="s">
        <v>127</v>
      </c>
      <c r="F972" s="48" t="s">
        <v>694</v>
      </c>
      <c r="G972" s="48" t="s">
        <v>1003</v>
      </c>
      <c r="H972" s="49">
        <v>0.0144591745</v>
      </c>
      <c r="I972" s="49">
        <v>421.0</v>
      </c>
      <c r="J972" s="49">
        <v>15617.11</v>
      </c>
      <c r="K972" s="49">
        <v>15617.11</v>
      </c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>
      <c r="A973" s="48" t="s">
        <v>3148</v>
      </c>
      <c r="B973" s="49">
        <v>6661768.0</v>
      </c>
      <c r="C973" s="48" t="s">
        <v>3149</v>
      </c>
      <c r="D973" s="48" t="s">
        <v>93</v>
      </c>
      <c r="E973" s="48" t="s">
        <v>170</v>
      </c>
      <c r="F973" s="48" t="s">
        <v>629</v>
      </c>
      <c r="G973" s="48" t="s">
        <v>630</v>
      </c>
      <c r="H973" s="49">
        <v>0.0144426784</v>
      </c>
      <c r="I973" s="49">
        <v>567.0</v>
      </c>
      <c r="J973" s="49">
        <v>15599.3</v>
      </c>
      <c r="K973" s="49">
        <v>15599.3</v>
      </c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>
      <c r="A974" s="48" t="s">
        <v>3150</v>
      </c>
      <c r="B974" s="48" t="s">
        <v>3151</v>
      </c>
      <c r="C974" s="48" t="s">
        <v>3152</v>
      </c>
      <c r="D974" s="48" t="s">
        <v>93</v>
      </c>
      <c r="E974" s="48" t="s">
        <v>99</v>
      </c>
      <c r="F974" s="48" t="s">
        <v>1352</v>
      </c>
      <c r="G974" s="48" t="s">
        <v>640</v>
      </c>
      <c r="H974" s="49">
        <v>0.0144189333999999</v>
      </c>
      <c r="I974" s="49">
        <v>806.0</v>
      </c>
      <c r="J974" s="49">
        <v>15573.65</v>
      </c>
      <c r="K974" s="49">
        <v>15573.65</v>
      </c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>
      <c r="A975" s="48" t="s">
        <v>3153</v>
      </c>
      <c r="B975" s="49">
        <v>6084848.0</v>
      </c>
      <c r="C975" s="48" t="s">
        <v>3154</v>
      </c>
      <c r="D975" s="48" t="s">
        <v>93</v>
      </c>
      <c r="E975" s="48" t="s">
        <v>121</v>
      </c>
      <c r="F975" s="48" t="s">
        <v>629</v>
      </c>
      <c r="G975" s="48" t="s">
        <v>630</v>
      </c>
      <c r="H975" s="49">
        <v>0.0143893923</v>
      </c>
      <c r="I975" s="49">
        <v>3465.0</v>
      </c>
      <c r="J975" s="49">
        <v>15541.74</v>
      </c>
      <c r="K975" s="49">
        <v>15541.74</v>
      </c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>
      <c r="A976" s="48" t="s">
        <v>3155</v>
      </c>
      <c r="B976" s="49">
        <v>2956662.0</v>
      </c>
      <c r="C976" s="48" t="s">
        <v>3156</v>
      </c>
      <c r="D976" s="48" t="s">
        <v>93</v>
      </c>
      <c r="E976" s="48" t="s">
        <v>124</v>
      </c>
      <c r="F976" s="48" t="s">
        <v>694</v>
      </c>
      <c r="G976" s="48" t="s">
        <v>1003</v>
      </c>
      <c r="H976" s="49">
        <v>0.0143580242</v>
      </c>
      <c r="I976" s="49">
        <v>88.0</v>
      </c>
      <c r="J976" s="49">
        <v>15507.86</v>
      </c>
      <c r="K976" s="49">
        <v>15507.86</v>
      </c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>
      <c r="A977" s="48" t="s">
        <v>3157</v>
      </c>
      <c r="B977" s="49">
        <v>6055208.0</v>
      </c>
      <c r="C977" s="48" t="s">
        <v>3158</v>
      </c>
      <c r="D977" s="48" t="s">
        <v>93</v>
      </c>
      <c r="E977" s="48" t="s">
        <v>127</v>
      </c>
      <c r="F977" s="48" t="s">
        <v>629</v>
      </c>
      <c r="G977" s="48" t="s">
        <v>630</v>
      </c>
      <c r="H977" s="49">
        <v>0.0143461972999999</v>
      </c>
      <c r="I977" s="49">
        <v>272.0</v>
      </c>
      <c r="J977" s="49">
        <v>15495.09</v>
      </c>
      <c r="K977" s="49">
        <v>15495.09</v>
      </c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>
      <c r="A978" s="48" t="s">
        <v>3159</v>
      </c>
      <c r="B978" s="48" t="s">
        <v>3160</v>
      </c>
      <c r="C978" s="48" t="s">
        <v>3161</v>
      </c>
      <c r="D978" s="48" t="s">
        <v>93</v>
      </c>
      <c r="E978" s="48" t="s">
        <v>170</v>
      </c>
      <c r="F978" s="48" t="s">
        <v>694</v>
      </c>
      <c r="G978" s="48" t="s">
        <v>1003</v>
      </c>
      <c r="H978" s="49">
        <v>0.0143280902999999</v>
      </c>
      <c r="I978" s="49">
        <v>373.0</v>
      </c>
      <c r="J978" s="49">
        <v>15475.53</v>
      </c>
      <c r="K978" s="49">
        <v>15475.53</v>
      </c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>
      <c r="A979" s="48" t="s">
        <v>3162</v>
      </c>
      <c r="B979" s="48" t="s">
        <v>3163</v>
      </c>
      <c r="C979" s="48" t="s">
        <v>3164</v>
      </c>
      <c r="D979" s="48" t="s">
        <v>93</v>
      </c>
      <c r="E979" s="48" t="s">
        <v>127</v>
      </c>
      <c r="F979" s="48" t="s">
        <v>918</v>
      </c>
      <c r="G979" s="48" t="s">
        <v>908</v>
      </c>
      <c r="H979" s="49">
        <v>0.0143207716</v>
      </c>
      <c r="I979" s="49">
        <v>1712.0</v>
      </c>
      <c r="J979" s="49">
        <v>15467.63</v>
      </c>
      <c r="K979" s="49">
        <v>15467.63</v>
      </c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>
      <c r="A980" s="48" t="s">
        <v>3165</v>
      </c>
      <c r="B980" s="48" t="s">
        <v>3166</v>
      </c>
      <c r="C980" s="48" t="s">
        <v>3167</v>
      </c>
      <c r="D980" s="48" t="s">
        <v>93</v>
      </c>
      <c r="E980" s="48" t="s">
        <v>102</v>
      </c>
      <c r="F980" s="48" t="s">
        <v>2763</v>
      </c>
      <c r="G980" s="48" t="s">
        <v>640</v>
      </c>
      <c r="H980" s="49">
        <v>0.0142855083</v>
      </c>
      <c r="I980" s="49">
        <v>168.0</v>
      </c>
      <c r="J980" s="49">
        <v>15429.54</v>
      </c>
      <c r="K980" s="49">
        <v>15429.54</v>
      </c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>
      <c r="A981" s="48" t="s">
        <v>3168</v>
      </c>
      <c r="B981" s="49">
        <v>677608.0</v>
      </c>
      <c r="C981" s="48" t="s">
        <v>3169</v>
      </c>
      <c r="D981" s="48" t="s">
        <v>93</v>
      </c>
      <c r="E981" s="48" t="s">
        <v>118</v>
      </c>
      <c r="F981" s="48" t="s">
        <v>918</v>
      </c>
      <c r="G981" s="48" t="s">
        <v>908</v>
      </c>
      <c r="H981" s="49">
        <v>0.014257882</v>
      </c>
      <c r="I981" s="49">
        <v>928.0</v>
      </c>
      <c r="J981" s="49">
        <v>15399.7</v>
      </c>
      <c r="K981" s="49">
        <v>15399.7</v>
      </c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>
      <c r="A982" s="48" t="s">
        <v>3170</v>
      </c>
      <c r="B982" s="48" t="s">
        <v>3171</v>
      </c>
      <c r="C982" s="48" t="s">
        <v>3172</v>
      </c>
      <c r="D982" s="48" t="s">
        <v>93</v>
      </c>
      <c r="E982" s="48" t="s">
        <v>167</v>
      </c>
      <c r="F982" s="48" t="s">
        <v>622</v>
      </c>
      <c r="G982" s="48" t="s">
        <v>623</v>
      </c>
      <c r="H982" s="49">
        <v>0.0142393415</v>
      </c>
      <c r="I982" s="49">
        <v>60.0</v>
      </c>
      <c r="J982" s="49">
        <v>15379.68</v>
      </c>
      <c r="K982" s="49">
        <v>15379.68</v>
      </c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>
      <c r="A983" s="48" t="s">
        <v>3173</v>
      </c>
      <c r="B983" s="49">
        <v>7538515.0</v>
      </c>
      <c r="C983" s="48" t="s">
        <v>3174</v>
      </c>
      <c r="D983" s="48" t="s">
        <v>93</v>
      </c>
      <c r="E983" s="48" t="s">
        <v>115</v>
      </c>
      <c r="F983" s="48" t="s">
        <v>622</v>
      </c>
      <c r="G983" s="48" t="s">
        <v>640</v>
      </c>
      <c r="H983" s="49">
        <v>0.0142163807</v>
      </c>
      <c r="I983" s="49">
        <v>630.0</v>
      </c>
      <c r="J983" s="49">
        <v>15354.88</v>
      </c>
      <c r="K983" s="49">
        <v>15354.88</v>
      </c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>
      <c r="A984" s="48" t="s">
        <v>3175</v>
      </c>
      <c r="B984" s="49">
        <v>7097328.0</v>
      </c>
      <c r="C984" s="48" t="s">
        <v>3176</v>
      </c>
      <c r="D984" s="48" t="s">
        <v>93</v>
      </c>
      <c r="E984" s="48" t="s">
        <v>99</v>
      </c>
      <c r="F984" s="48" t="s">
        <v>1374</v>
      </c>
      <c r="G984" s="48" t="s">
        <v>640</v>
      </c>
      <c r="H984" s="49">
        <v>0.0141877698</v>
      </c>
      <c r="I984" s="49">
        <v>129.0</v>
      </c>
      <c r="J984" s="49">
        <v>15323.97</v>
      </c>
      <c r="K984" s="49">
        <v>15323.97</v>
      </c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>
      <c r="A985" s="48" t="s">
        <v>3177</v>
      </c>
      <c r="B985" s="49">
        <v>6900308.0</v>
      </c>
      <c r="C985" s="48" t="s">
        <v>3178</v>
      </c>
      <c r="D985" s="48" t="s">
        <v>93</v>
      </c>
      <c r="E985" s="48" t="s">
        <v>118</v>
      </c>
      <c r="F985" s="48" t="s">
        <v>629</v>
      </c>
      <c r="G985" s="48" t="s">
        <v>630</v>
      </c>
      <c r="H985" s="49">
        <v>0.0141647539</v>
      </c>
      <c r="I985" s="49">
        <v>803.0</v>
      </c>
      <c r="J985" s="49">
        <v>15299.11</v>
      </c>
      <c r="K985" s="49">
        <v>15299.11</v>
      </c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>
      <c r="A986" s="48" t="s">
        <v>3179</v>
      </c>
      <c r="B986" s="48" t="s">
        <v>3180</v>
      </c>
      <c r="C986" s="48" t="s">
        <v>3181</v>
      </c>
      <c r="D986" s="48" t="s">
        <v>93</v>
      </c>
      <c r="E986" s="48" t="s">
        <v>94</v>
      </c>
      <c r="F986" s="48" t="s">
        <v>1740</v>
      </c>
      <c r="G986" s="48" t="s">
        <v>1741</v>
      </c>
      <c r="H986" s="49">
        <v>0.0141473104</v>
      </c>
      <c r="I986" s="49">
        <v>358.0</v>
      </c>
      <c r="J986" s="49">
        <v>15280.27</v>
      </c>
      <c r="K986" s="49">
        <v>15280.27</v>
      </c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>
      <c r="A987" s="48" t="s">
        <v>3182</v>
      </c>
      <c r="B987" s="49">
        <v>7634394.0</v>
      </c>
      <c r="C987" s="48" t="s">
        <v>3183</v>
      </c>
      <c r="D987" s="48" t="s">
        <v>93</v>
      </c>
      <c r="E987" s="48" t="s">
        <v>121</v>
      </c>
      <c r="F987" s="48" t="s">
        <v>1352</v>
      </c>
      <c r="G987" s="48" t="s">
        <v>640</v>
      </c>
      <c r="H987" s="49">
        <v>0.0141270524999999</v>
      </c>
      <c r="I987" s="49">
        <v>28754.0</v>
      </c>
      <c r="J987" s="49">
        <v>15258.39</v>
      </c>
      <c r="K987" s="49">
        <v>15258.39</v>
      </c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>
      <c r="A988" s="48" t="s">
        <v>3184</v>
      </c>
      <c r="B988" s="49">
        <v>6640961.0</v>
      </c>
      <c r="C988" s="48" t="s">
        <v>3185</v>
      </c>
      <c r="D988" s="48" t="s">
        <v>93</v>
      </c>
      <c r="E988" s="48" t="s">
        <v>124</v>
      </c>
      <c r="F988" s="48" t="s">
        <v>629</v>
      </c>
      <c r="G988" s="48" t="s">
        <v>630</v>
      </c>
      <c r="H988" s="49">
        <v>0.0140907968</v>
      </c>
      <c r="I988" s="49">
        <v>743.0</v>
      </c>
      <c r="J988" s="49">
        <v>15219.24</v>
      </c>
      <c r="K988" s="49">
        <v>15219.24</v>
      </c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>
      <c r="A989" s="48" t="s">
        <v>3186</v>
      </c>
      <c r="B989" s="49">
        <v>6171494.0</v>
      </c>
      <c r="C989" s="48" t="s">
        <v>3187</v>
      </c>
      <c r="D989" s="48" t="s">
        <v>93</v>
      </c>
      <c r="E989" s="48" t="s">
        <v>118</v>
      </c>
      <c r="F989" s="48" t="s">
        <v>629</v>
      </c>
      <c r="G989" s="48" t="s">
        <v>630</v>
      </c>
      <c r="H989" s="49">
        <v>0.0140503102999999</v>
      </c>
      <c r="I989" s="49">
        <v>578.0</v>
      </c>
      <c r="J989" s="49">
        <v>15175.51</v>
      </c>
      <c r="K989" s="49">
        <v>15175.51</v>
      </c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>
      <c r="A990" s="48" t="s">
        <v>3188</v>
      </c>
      <c r="B990" s="48" t="s">
        <v>3189</v>
      </c>
      <c r="C990" s="48" t="s">
        <v>3190</v>
      </c>
      <c r="D990" s="48" t="s">
        <v>93</v>
      </c>
      <c r="E990" s="48" t="s">
        <v>127</v>
      </c>
      <c r="F990" s="48" t="s">
        <v>738</v>
      </c>
      <c r="G990" s="48" t="s">
        <v>623</v>
      </c>
      <c r="H990" s="49">
        <v>0.0140400865</v>
      </c>
      <c r="I990" s="49">
        <v>2812.0</v>
      </c>
      <c r="J990" s="49">
        <v>15164.46</v>
      </c>
      <c r="K990" s="49">
        <v>15164.46</v>
      </c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>
      <c r="A991" s="48" t="s">
        <v>3191</v>
      </c>
      <c r="B991" s="49">
        <v>4002121.0</v>
      </c>
      <c r="C991" s="48" t="s">
        <v>3192</v>
      </c>
      <c r="D991" s="48" t="s">
        <v>93</v>
      </c>
      <c r="E991" s="48" t="s">
        <v>127</v>
      </c>
      <c r="F991" s="48" t="s">
        <v>639</v>
      </c>
      <c r="G991" s="48" t="s">
        <v>640</v>
      </c>
      <c r="H991" s="49">
        <v>0.013952699</v>
      </c>
      <c r="I991" s="49">
        <v>269.0</v>
      </c>
      <c r="J991" s="49">
        <v>15070.08</v>
      </c>
      <c r="K991" s="49">
        <v>15070.08</v>
      </c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>
      <c r="A992" s="48" t="s">
        <v>3193</v>
      </c>
      <c r="B992" s="48" t="s">
        <v>3194</v>
      </c>
      <c r="C992" s="48" t="s">
        <v>3195</v>
      </c>
      <c r="D992" s="48" t="s">
        <v>93</v>
      </c>
      <c r="E992" s="48" t="s">
        <v>99</v>
      </c>
      <c r="F992" s="48" t="s">
        <v>622</v>
      </c>
      <c r="G992" s="48" t="s">
        <v>623</v>
      </c>
      <c r="H992" s="49">
        <v>0.0139352208</v>
      </c>
      <c r="I992" s="49">
        <v>357.0</v>
      </c>
      <c r="J992" s="49">
        <v>15051.2</v>
      </c>
      <c r="K992" s="49">
        <v>15051.2</v>
      </c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>
      <c r="A993" s="48" t="s">
        <v>3196</v>
      </c>
      <c r="B993" s="48" t="s">
        <v>3197</v>
      </c>
      <c r="C993" s="48" t="s">
        <v>3198</v>
      </c>
      <c r="D993" s="48" t="s">
        <v>93</v>
      </c>
      <c r="E993" s="48" t="s">
        <v>124</v>
      </c>
      <c r="F993" s="48" t="s">
        <v>645</v>
      </c>
      <c r="G993" s="48" t="s">
        <v>1437</v>
      </c>
      <c r="H993" s="49">
        <v>0.0138214341</v>
      </c>
      <c r="I993" s="49">
        <v>3548.0</v>
      </c>
      <c r="J993" s="49">
        <v>14928.3</v>
      </c>
      <c r="K993" s="49">
        <v>14928.3</v>
      </c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>
      <c r="A994" s="48" t="s">
        <v>3199</v>
      </c>
      <c r="B994" s="48" t="s">
        <v>3200</v>
      </c>
      <c r="C994" s="48" t="s">
        <v>3201</v>
      </c>
      <c r="D994" s="48" t="s">
        <v>93</v>
      </c>
      <c r="E994" s="48" t="s">
        <v>170</v>
      </c>
      <c r="F994" s="48" t="s">
        <v>918</v>
      </c>
      <c r="G994" s="48" t="s">
        <v>908</v>
      </c>
      <c r="H994" s="49">
        <v>0.0138173641</v>
      </c>
      <c r="I994" s="49">
        <v>319.0</v>
      </c>
      <c r="J994" s="49">
        <v>14923.91</v>
      </c>
      <c r="K994" s="49">
        <v>14923.91</v>
      </c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>
      <c r="A995" s="48" t="s">
        <v>3202</v>
      </c>
      <c r="B995" s="48" t="s">
        <v>3203</v>
      </c>
      <c r="C995" s="48" t="s">
        <v>3204</v>
      </c>
      <c r="D995" s="48" t="s">
        <v>93</v>
      </c>
      <c r="E995" s="48" t="s">
        <v>133</v>
      </c>
      <c r="F995" s="48" t="s">
        <v>822</v>
      </c>
      <c r="G995" s="48" t="s">
        <v>646</v>
      </c>
      <c r="H995" s="49">
        <v>0.0137326531</v>
      </c>
      <c r="I995" s="49">
        <v>2519.0</v>
      </c>
      <c r="J995" s="49">
        <v>14832.41</v>
      </c>
      <c r="K995" s="49">
        <v>14832.41</v>
      </c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>
      <c r="A996" s="48" t="s">
        <v>3205</v>
      </c>
      <c r="B996" s="49">
        <v>6484620.0</v>
      </c>
      <c r="C996" s="48" t="s">
        <v>3206</v>
      </c>
      <c r="D996" s="48" t="s">
        <v>93</v>
      </c>
      <c r="E996" s="48" t="s">
        <v>127</v>
      </c>
      <c r="F996" s="48" t="s">
        <v>629</v>
      </c>
      <c r="G996" s="48" t="s">
        <v>630</v>
      </c>
      <c r="H996" s="49">
        <v>0.0137308285999999</v>
      </c>
      <c r="I996" s="49">
        <v>371.0</v>
      </c>
      <c r="J996" s="49">
        <v>14830.44</v>
      </c>
      <c r="K996" s="49">
        <v>14830.44</v>
      </c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>
      <c r="A997" s="48" t="s">
        <v>3207</v>
      </c>
      <c r="B997" s="49">
        <v>6804369.0</v>
      </c>
      <c r="C997" s="48" t="s">
        <v>3208</v>
      </c>
      <c r="D997" s="48" t="s">
        <v>93</v>
      </c>
      <c r="E997" s="48" t="s">
        <v>167</v>
      </c>
      <c r="F997" s="48" t="s">
        <v>629</v>
      </c>
      <c r="G997" s="48" t="s">
        <v>630</v>
      </c>
      <c r="H997" s="49">
        <v>0.013719046</v>
      </c>
      <c r="I997" s="49">
        <v>346.0</v>
      </c>
      <c r="J997" s="49">
        <v>14817.71</v>
      </c>
      <c r="K997" s="49">
        <v>14817.71</v>
      </c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>
      <c r="A998" s="48" t="s">
        <v>3209</v>
      </c>
      <c r="B998" s="48" t="s">
        <v>3210</v>
      </c>
      <c r="C998" s="48" t="s">
        <v>3211</v>
      </c>
      <c r="D998" s="48" t="s">
        <v>93</v>
      </c>
      <c r="E998" s="48" t="s">
        <v>127</v>
      </c>
      <c r="F998" s="48" t="s">
        <v>1201</v>
      </c>
      <c r="G998" s="48" t="s">
        <v>640</v>
      </c>
      <c r="H998" s="49">
        <v>0.013714398</v>
      </c>
      <c r="I998" s="49">
        <v>261.0</v>
      </c>
      <c r="J998" s="49">
        <v>14812.69</v>
      </c>
      <c r="K998" s="49">
        <v>14812.69</v>
      </c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>
      <c r="A999" s="48" t="s">
        <v>3212</v>
      </c>
      <c r="B999" s="48" t="s">
        <v>3213</v>
      </c>
      <c r="C999" s="48" t="s">
        <v>3214</v>
      </c>
      <c r="D999" s="48" t="s">
        <v>93</v>
      </c>
      <c r="E999" s="48" t="s">
        <v>99</v>
      </c>
      <c r="F999" s="48" t="s">
        <v>639</v>
      </c>
      <c r="G999" s="48" t="s">
        <v>640</v>
      </c>
      <c r="H999" s="49">
        <v>0.0137055379</v>
      </c>
      <c r="I999" s="49">
        <v>324.0</v>
      </c>
      <c r="J999" s="49">
        <v>14803.12</v>
      </c>
      <c r="K999" s="49">
        <v>14803.12</v>
      </c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  <row r="1000">
      <c r="A1000" s="48" t="s">
        <v>3215</v>
      </c>
      <c r="B1000" s="49">
        <v>6895404.0</v>
      </c>
      <c r="C1000" s="48" t="s">
        <v>3216</v>
      </c>
      <c r="D1000" s="48" t="s">
        <v>93</v>
      </c>
      <c r="E1000" s="48" t="s">
        <v>170</v>
      </c>
      <c r="F1000" s="48" t="s">
        <v>629</v>
      </c>
      <c r="G1000" s="48" t="s">
        <v>630</v>
      </c>
      <c r="H1000" s="49">
        <v>0.0136225864</v>
      </c>
      <c r="I1000" s="49">
        <v>1932.0</v>
      </c>
      <c r="J1000" s="49">
        <v>14713.53</v>
      </c>
      <c r="K1000" s="49">
        <v>14713.53</v>
      </c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</row>
    <row r="1001">
      <c r="A1001" s="48" t="s">
        <v>3217</v>
      </c>
      <c r="B1001" s="48" t="s">
        <v>3218</v>
      </c>
      <c r="C1001" s="48" t="s">
        <v>3219</v>
      </c>
      <c r="D1001" s="48" t="s">
        <v>93</v>
      </c>
      <c r="E1001" s="48" t="s">
        <v>133</v>
      </c>
      <c r="F1001" s="48" t="s">
        <v>1740</v>
      </c>
      <c r="G1001" s="48" t="s">
        <v>1741</v>
      </c>
      <c r="H1001" s="49">
        <v>0.0135995346</v>
      </c>
      <c r="I1001" s="49">
        <v>937.0</v>
      </c>
      <c r="J1001" s="49">
        <v>14688.63</v>
      </c>
      <c r="K1001" s="49">
        <v>14688.63</v>
      </c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</row>
    <row r="1002">
      <c r="A1002" s="48" t="s">
        <v>3220</v>
      </c>
      <c r="B1002" s="49">
        <v>6642406.0</v>
      </c>
      <c r="C1002" s="48" t="s">
        <v>3221</v>
      </c>
      <c r="D1002" s="48" t="s">
        <v>93</v>
      </c>
      <c r="E1002" s="48" t="s">
        <v>127</v>
      </c>
      <c r="F1002" s="48" t="s">
        <v>629</v>
      </c>
      <c r="G1002" s="48" t="s">
        <v>630</v>
      </c>
      <c r="H1002" s="49">
        <v>0.0134615235999999</v>
      </c>
      <c r="I1002" s="49">
        <v>553.0</v>
      </c>
      <c r="J1002" s="49">
        <v>14539.57</v>
      </c>
      <c r="K1002" s="49">
        <v>14539.57</v>
      </c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</row>
    <row r="1003">
      <c r="A1003" s="48" t="s">
        <v>3222</v>
      </c>
      <c r="B1003" s="49">
        <v>6656407.0</v>
      </c>
      <c r="C1003" s="48" t="s">
        <v>3223</v>
      </c>
      <c r="D1003" s="48" t="s">
        <v>93</v>
      </c>
      <c r="E1003" s="48" t="s">
        <v>127</v>
      </c>
      <c r="F1003" s="48" t="s">
        <v>629</v>
      </c>
      <c r="G1003" s="48" t="s">
        <v>630</v>
      </c>
      <c r="H1003" s="49">
        <v>0.01344956</v>
      </c>
      <c r="I1003" s="49">
        <v>986.0</v>
      </c>
      <c r="J1003" s="49">
        <v>14526.65</v>
      </c>
      <c r="K1003" s="49">
        <v>14526.65</v>
      </c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</row>
    <row r="1004">
      <c r="A1004" s="48" t="s">
        <v>3224</v>
      </c>
      <c r="B1004" s="49">
        <v>6927374.0</v>
      </c>
      <c r="C1004" s="48" t="s">
        <v>3225</v>
      </c>
      <c r="D1004" s="48" t="s">
        <v>93</v>
      </c>
      <c r="E1004" s="48" t="s">
        <v>167</v>
      </c>
      <c r="F1004" s="48" t="s">
        <v>738</v>
      </c>
      <c r="G1004" s="48" t="s">
        <v>1437</v>
      </c>
      <c r="H1004" s="49">
        <v>0.0133734768</v>
      </c>
      <c r="I1004" s="49">
        <v>982.0</v>
      </c>
      <c r="J1004" s="49">
        <v>14444.47</v>
      </c>
      <c r="K1004" s="49">
        <v>14444.47</v>
      </c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</row>
    <row r="1005">
      <c r="A1005" s="48" t="s">
        <v>3226</v>
      </c>
      <c r="B1005" s="49">
        <v>6896548.0</v>
      </c>
      <c r="C1005" s="48" t="s">
        <v>3227</v>
      </c>
      <c r="D1005" s="48" t="s">
        <v>93</v>
      </c>
      <c r="E1005" s="48" t="s">
        <v>127</v>
      </c>
      <c r="F1005" s="48" t="s">
        <v>629</v>
      </c>
      <c r="G1005" s="48" t="s">
        <v>630</v>
      </c>
      <c r="H1005" s="49">
        <v>0.0133697213</v>
      </c>
      <c r="I1005" s="49">
        <v>755.0</v>
      </c>
      <c r="J1005" s="49">
        <v>14440.41</v>
      </c>
      <c r="K1005" s="49">
        <v>14440.41</v>
      </c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</row>
    <row r="1006">
      <c r="A1006" s="48" t="s">
        <v>3228</v>
      </c>
      <c r="B1006" s="48" t="s">
        <v>3229</v>
      </c>
      <c r="C1006" s="48" t="s">
        <v>3230</v>
      </c>
      <c r="D1006" s="48" t="s">
        <v>93</v>
      </c>
      <c r="E1006" s="48" t="s">
        <v>127</v>
      </c>
      <c r="F1006" s="48" t="s">
        <v>738</v>
      </c>
      <c r="G1006" s="48" t="s">
        <v>1437</v>
      </c>
      <c r="H1006" s="49">
        <v>0.0133515602999999</v>
      </c>
      <c r="I1006" s="49">
        <v>1882.0</v>
      </c>
      <c r="J1006" s="49">
        <v>14420.8</v>
      </c>
      <c r="K1006" s="49">
        <v>14420.8</v>
      </c>
      <c r="L1006" s="45"/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</row>
    <row r="1007">
      <c r="A1007" s="48" t="s">
        <v>3231</v>
      </c>
      <c r="B1007" s="48" t="s">
        <v>3232</v>
      </c>
      <c r="C1007" s="48" t="s">
        <v>3233</v>
      </c>
      <c r="D1007" s="48" t="s">
        <v>93</v>
      </c>
      <c r="E1007" s="48" t="s">
        <v>121</v>
      </c>
      <c r="F1007" s="48" t="s">
        <v>622</v>
      </c>
      <c r="G1007" s="48" t="s">
        <v>623</v>
      </c>
      <c r="H1007" s="49">
        <v>0.0133387402</v>
      </c>
      <c r="I1007" s="49">
        <v>695.0</v>
      </c>
      <c r="J1007" s="49">
        <v>14406.95</v>
      </c>
      <c r="K1007" s="49">
        <v>14406.95</v>
      </c>
      <c r="L1007" s="45"/>
      <c r="M1007" s="45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</row>
    <row r="1008">
      <c r="A1008" s="48" t="s">
        <v>3234</v>
      </c>
      <c r="B1008" s="48" t="s">
        <v>3235</v>
      </c>
      <c r="C1008" s="48" t="s">
        <v>3236</v>
      </c>
      <c r="D1008" s="48" t="s">
        <v>93</v>
      </c>
      <c r="E1008" s="48" t="s">
        <v>115</v>
      </c>
      <c r="F1008" s="48" t="s">
        <v>2709</v>
      </c>
      <c r="G1008" s="48" t="s">
        <v>640</v>
      </c>
      <c r="H1008" s="49">
        <v>0.0132845579</v>
      </c>
      <c r="I1008" s="49">
        <v>616.0</v>
      </c>
      <c r="J1008" s="49">
        <v>14348.43</v>
      </c>
      <c r="K1008" s="49">
        <v>14348.43</v>
      </c>
      <c r="L1008" s="45"/>
      <c r="M1008" s="45"/>
      <c r="N1008" s="45"/>
      <c r="O1008" s="45"/>
      <c r="P1008" s="45"/>
      <c r="Q1008" s="45"/>
      <c r="R1008" s="45"/>
      <c r="S1008" s="45"/>
      <c r="T1008" s="45"/>
      <c r="U1008" s="45"/>
      <c r="V1008" s="45"/>
      <c r="W1008" s="45"/>
      <c r="X1008" s="45"/>
      <c r="Y1008" s="45"/>
      <c r="Z1008" s="45"/>
    </row>
    <row r="1009">
      <c r="A1009" s="48" t="s">
        <v>3237</v>
      </c>
      <c r="B1009" s="49">
        <v>6747204.0</v>
      </c>
      <c r="C1009" s="48" t="s">
        <v>3238</v>
      </c>
      <c r="D1009" s="48" t="s">
        <v>93</v>
      </c>
      <c r="E1009" s="48" t="s">
        <v>167</v>
      </c>
      <c r="F1009" s="48" t="s">
        <v>629</v>
      </c>
      <c r="G1009" s="48" t="s">
        <v>630</v>
      </c>
      <c r="H1009" s="49">
        <v>0.0132301382</v>
      </c>
      <c r="I1009" s="49">
        <v>119.0</v>
      </c>
      <c r="J1009" s="49">
        <v>14289.65</v>
      </c>
      <c r="K1009" s="49">
        <v>14289.65</v>
      </c>
      <c r="L1009" s="45"/>
      <c r="M1009" s="45"/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  <c r="Y1009" s="45"/>
      <c r="Z1009" s="45"/>
    </row>
    <row r="1010">
      <c r="A1010" s="48" t="s">
        <v>3239</v>
      </c>
      <c r="B1010" s="49">
        <v>2350684.0</v>
      </c>
      <c r="C1010" s="48" t="s">
        <v>3240</v>
      </c>
      <c r="D1010" s="48" t="s">
        <v>93</v>
      </c>
      <c r="E1010" s="48" t="s">
        <v>99</v>
      </c>
      <c r="F1010" s="48" t="s">
        <v>622</v>
      </c>
      <c r="G1010" s="48" t="s">
        <v>623</v>
      </c>
      <c r="H1010" s="49">
        <v>0.0131898761999999</v>
      </c>
      <c r="I1010" s="49">
        <v>363.0</v>
      </c>
      <c r="J1010" s="49">
        <v>14246.17</v>
      </c>
      <c r="K1010" s="49">
        <v>14246.17</v>
      </c>
      <c r="L1010" s="45"/>
      <c r="M1010" s="45"/>
      <c r="N1010" s="45"/>
      <c r="O1010" s="45"/>
      <c r="P1010" s="45"/>
      <c r="Q1010" s="45"/>
      <c r="R1010" s="45"/>
      <c r="S1010" s="45"/>
      <c r="T1010" s="45"/>
      <c r="U1010" s="45"/>
      <c r="V1010" s="45"/>
      <c r="W1010" s="45"/>
      <c r="X1010" s="45"/>
      <c r="Y1010" s="45"/>
      <c r="Z1010" s="45"/>
    </row>
    <row r="1011">
      <c r="A1011" s="48" t="s">
        <v>3241</v>
      </c>
      <c r="B1011" s="49">
        <v>6518808.0</v>
      </c>
      <c r="C1011" s="48" t="s">
        <v>3242</v>
      </c>
      <c r="D1011" s="48" t="s">
        <v>93</v>
      </c>
      <c r="E1011" s="48" t="s">
        <v>124</v>
      </c>
      <c r="F1011" s="48" t="s">
        <v>629</v>
      </c>
      <c r="G1011" s="48" t="s">
        <v>630</v>
      </c>
      <c r="H1011" s="49">
        <v>0.0131849044</v>
      </c>
      <c r="I1011" s="49">
        <v>939.0</v>
      </c>
      <c r="J1011" s="49">
        <v>14240.8</v>
      </c>
      <c r="K1011" s="49">
        <v>14240.8</v>
      </c>
      <c r="L1011" s="45"/>
      <c r="M1011" s="45"/>
      <c r="N1011" s="45"/>
      <c r="O1011" s="45"/>
      <c r="P1011" s="45"/>
      <c r="Q1011" s="45"/>
      <c r="R1011" s="45"/>
      <c r="S1011" s="45"/>
      <c r="T1011" s="45"/>
      <c r="U1011" s="45"/>
      <c r="V1011" s="45"/>
      <c r="W1011" s="45"/>
      <c r="X1011" s="45"/>
      <c r="Y1011" s="45"/>
      <c r="Z1011" s="45"/>
    </row>
    <row r="1012">
      <c r="A1012" s="48" t="s">
        <v>3243</v>
      </c>
      <c r="B1012" s="49">
        <v>7751259.0</v>
      </c>
      <c r="C1012" s="48" t="s">
        <v>3244</v>
      </c>
      <c r="D1012" s="48" t="s">
        <v>93</v>
      </c>
      <c r="E1012" s="48" t="s">
        <v>94</v>
      </c>
      <c r="F1012" s="48" t="s">
        <v>1273</v>
      </c>
      <c r="G1012" s="48" t="s">
        <v>1674</v>
      </c>
      <c r="H1012" s="49">
        <v>0.0131741855999999</v>
      </c>
      <c r="I1012" s="49">
        <v>243.0</v>
      </c>
      <c r="J1012" s="49">
        <v>14229.22</v>
      </c>
      <c r="K1012" s="49">
        <v>14229.22</v>
      </c>
      <c r="L1012" s="45"/>
      <c r="M1012" s="45"/>
      <c r="N1012" s="45"/>
      <c r="O1012" s="45"/>
      <c r="P1012" s="45"/>
      <c r="Q1012" s="45"/>
      <c r="R1012" s="45"/>
      <c r="S1012" s="45"/>
      <c r="T1012" s="45"/>
      <c r="U1012" s="45"/>
      <c r="V1012" s="45"/>
      <c r="W1012" s="45"/>
      <c r="X1012" s="45"/>
      <c r="Y1012" s="45"/>
      <c r="Z1012" s="45"/>
    </row>
    <row r="1013">
      <c r="A1013" s="48" t="s">
        <v>3245</v>
      </c>
      <c r="B1013" s="48" t="s">
        <v>3246</v>
      </c>
      <c r="C1013" s="48" t="s">
        <v>3247</v>
      </c>
      <c r="D1013" s="48" t="s">
        <v>93</v>
      </c>
      <c r="E1013" s="48" t="s">
        <v>121</v>
      </c>
      <c r="F1013" s="48" t="s">
        <v>622</v>
      </c>
      <c r="G1013" s="48" t="s">
        <v>623</v>
      </c>
      <c r="H1013" s="49">
        <v>0.0131717228</v>
      </c>
      <c r="I1013" s="49">
        <v>284.0</v>
      </c>
      <c r="J1013" s="49">
        <v>14226.56</v>
      </c>
      <c r="K1013" s="49">
        <v>14226.56</v>
      </c>
      <c r="L1013" s="45"/>
      <c r="M1013" s="45"/>
      <c r="N1013" s="45"/>
      <c r="O1013" s="45"/>
      <c r="P1013" s="45"/>
      <c r="Q1013" s="45"/>
      <c r="R1013" s="45"/>
      <c r="S1013" s="45"/>
      <c r="T1013" s="45"/>
      <c r="U1013" s="45"/>
      <c r="V1013" s="45"/>
      <c r="W1013" s="45"/>
      <c r="X1013" s="45"/>
      <c r="Y1013" s="45"/>
      <c r="Z1013" s="45"/>
    </row>
    <row r="1014">
      <c r="A1014" s="48" t="s">
        <v>3248</v>
      </c>
      <c r="B1014" s="49">
        <v>6250508.0</v>
      </c>
      <c r="C1014" s="48" t="s">
        <v>3249</v>
      </c>
      <c r="D1014" s="48" t="s">
        <v>93</v>
      </c>
      <c r="E1014" s="48" t="s">
        <v>133</v>
      </c>
      <c r="F1014" s="48" t="s">
        <v>629</v>
      </c>
      <c r="G1014" s="48" t="s">
        <v>630</v>
      </c>
      <c r="H1014" s="49">
        <v>0.0131254141</v>
      </c>
      <c r="I1014" s="49">
        <v>84.0</v>
      </c>
      <c r="J1014" s="49">
        <v>14176.54</v>
      </c>
      <c r="K1014" s="49">
        <v>14176.54</v>
      </c>
      <c r="L1014" s="45"/>
      <c r="M1014" s="45"/>
      <c r="N1014" s="45"/>
      <c r="O1014" s="45"/>
      <c r="P1014" s="45"/>
      <c r="Q1014" s="45"/>
      <c r="R1014" s="45"/>
      <c r="S1014" s="45"/>
      <c r="T1014" s="45"/>
      <c r="U1014" s="45"/>
      <c r="V1014" s="45"/>
      <c r="W1014" s="45"/>
      <c r="X1014" s="45"/>
      <c r="Y1014" s="45"/>
      <c r="Z1014" s="45"/>
    </row>
    <row r="1015">
      <c r="A1015" s="48" t="s">
        <v>3250</v>
      </c>
      <c r="B1015" s="49">
        <v>4253059.0</v>
      </c>
      <c r="C1015" s="48" t="s">
        <v>3251</v>
      </c>
      <c r="D1015" s="48" t="s">
        <v>93</v>
      </c>
      <c r="E1015" s="48" t="s">
        <v>127</v>
      </c>
      <c r="F1015" s="48" t="s">
        <v>883</v>
      </c>
      <c r="G1015" s="48" t="s">
        <v>884</v>
      </c>
      <c r="H1015" s="49">
        <v>0.0130832196</v>
      </c>
      <c r="I1015" s="49">
        <v>5.0</v>
      </c>
      <c r="J1015" s="49">
        <v>14130.97</v>
      </c>
      <c r="K1015" s="49">
        <v>14130.97</v>
      </c>
      <c r="L1015" s="45"/>
      <c r="M1015" s="45"/>
      <c r="N1015" s="45"/>
      <c r="O1015" s="45"/>
      <c r="P1015" s="45"/>
      <c r="Q1015" s="45"/>
      <c r="R1015" s="45"/>
      <c r="S1015" s="45"/>
      <c r="T1015" s="45"/>
      <c r="U1015" s="45"/>
      <c r="V1015" s="45"/>
      <c r="W1015" s="45"/>
      <c r="X1015" s="45"/>
      <c r="Y1015" s="45"/>
      <c r="Z1015" s="45"/>
    </row>
    <row r="1016">
      <c r="A1016" s="48" t="s">
        <v>3252</v>
      </c>
      <c r="B1016" s="48" t="s">
        <v>3253</v>
      </c>
      <c r="C1016" s="48" t="s">
        <v>3254</v>
      </c>
      <c r="D1016" s="48" t="s">
        <v>93</v>
      </c>
      <c r="E1016" s="48" t="s">
        <v>102</v>
      </c>
      <c r="F1016" s="48" t="s">
        <v>1201</v>
      </c>
      <c r="G1016" s="48" t="s">
        <v>640</v>
      </c>
      <c r="H1016" s="49">
        <v>0.0130328052</v>
      </c>
      <c r="I1016" s="49">
        <v>677.0</v>
      </c>
      <c r="J1016" s="49">
        <v>14076.52</v>
      </c>
      <c r="K1016" s="49">
        <v>14076.52</v>
      </c>
      <c r="L1016" s="45"/>
      <c r="M1016" s="45"/>
      <c r="N1016" s="45"/>
      <c r="O1016" s="45"/>
      <c r="P1016" s="45"/>
      <c r="Q1016" s="45"/>
      <c r="R1016" s="45"/>
      <c r="S1016" s="45"/>
      <c r="T1016" s="45"/>
      <c r="U1016" s="45"/>
      <c r="V1016" s="45"/>
      <c r="W1016" s="45"/>
      <c r="X1016" s="45"/>
      <c r="Y1016" s="45"/>
      <c r="Z1016" s="45"/>
    </row>
    <row r="1017">
      <c r="A1017" s="48" t="s">
        <v>3255</v>
      </c>
      <c r="B1017" s="49">
        <v>6985112.0</v>
      </c>
      <c r="C1017" s="48" t="s">
        <v>3256</v>
      </c>
      <c r="D1017" s="48" t="s">
        <v>93</v>
      </c>
      <c r="E1017" s="48" t="s">
        <v>124</v>
      </c>
      <c r="F1017" s="48" t="s">
        <v>629</v>
      </c>
      <c r="G1017" s="48" t="s">
        <v>630</v>
      </c>
      <c r="H1017" s="49">
        <v>0.0130315438</v>
      </c>
      <c r="I1017" s="49">
        <v>180.0</v>
      </c>
      <c r="J1017" s="49">
        <v>14075.15</v>
      </c>
      <c r="K1017" s="49">
        <v>14075.15</v>
      </c>
      <c r="L1017" s="45"/>
      <c r="M1017" s="45"/>
      <c r="N1017" s="45"/>
      <c r="O1017" s="45"/>
      <c r="P1017" s="45"/>
      <c r="Q1017" s="45"/>
      <c r="R1017" s="45"/>
      <c r="S1017" s="45"/>
      <c r="T1017" s="45"/>
      <c r="U1017" s="45"/>
      <c r="V1017" s="45"/>
      <c r="W1017" s="45"/>
      <c r="X1017" s="45"/>
      <c r="Y1017" s="45"/>
      <c r="Z1017" s="45"/>
    </row>
    <row r="1018">
      <c r="A1018" s="48" t="s">
        <v>3257</v>
      </c>
      <c r="B1018" s="48" t="s">
        <v>3258</v>
      </c>
      <c r="C1018" s="48" t="s">
        <v>3259</v>
      </c>
      <c r="D1018" s="48" t="s">
        <v>93</v>
      </c>
      <c r="E1018" s="48" t="s">
        <v>118</v>
      </c>
      <c r="F1018" s="48" t="s">
        <v>658</v>
      </c>
      <c r="G1018" s="48" t="s">
        <v>640</v>
      </c>
      <c r="H1018" s="49">
        <v>0.0130015716</v>
      </c>
      <c r="I1018" s="49">
        <v>270.0</v>
      </c>
      <c r="J1018" s="49">
        <v>14042.78</v>
      </c>
      <c r="K1018" s="49">
        <v>14042.78</v>
      </c>
      <c r="L1018" s="45"/>
      <c r="M1018" s="45"/>
      <c r="N1018" s="45"/>
      <c r="O1018" s="45"/>
      <c r="P1018" s="45"/>
      <c r="Q1018" s="45"/>
      <c r="R1018" s="45"/>
      <c r="S1018" s="45"/>
      <c r="T1018" s="45"/>
      <c r="U1018" s="45"/>
      <c r="V1018" s="45"/>
      <c r="W1018" s="45"/>
      <c r="X1018" s="45"/>
      <c r="Y1018" s="45"/>
      <c r="Z1018" s="45"/>
    </row>
    <row r="1019">
      <c r="A1019" s="48" t="s">
        <v>3260</v>
      </c>
      <c r="B1019" s="49">
        <v>6897024.0</v>
      </c>
      <c r="C1019" s="48" t="s">
        <v>3261</v>
      </c>
      <c r="D1019" s="48" t="s">
        <v>93</v>
      </c>
      <c r="E1019" s="48" t="s">
        <v>127</v>
      </c>
      <c r="F1019" s="48" t="s">
        <v>629</v>
      </c>
      <c r="G1019" s="48" t="s">
        <v>630</v>
      </c>
      <c r="H1019" s="49">
        <v>0.0129174914</v>
      </c>
      <c r="I1019" s="49">
        <v>352.0</v>
      </c>
      <c r="J1019" s="49">
        <v>13951.97</v>
      </c>
      <c r="K1019" s="49">
        <v>13951.97</v>
      </c>
      <c r="L1019" s="45"/>
      <c r="M1019" s="45"/>
      <c r="N1019" s="45"/>
      <c r="O1019" s="45"/>
      <c r="P1019" s="45"/>
      <c r="Q1019" s="45"/>
      <c r="R1019" s="45"/>
      <c r="S1019" s="45"/>
      <c r="T1019" s="45"/>
      <c r="U1019" s="45"/>
      <c r="V1019" s="45"/>
      <c r="W1019" s="45"/>
      <c r="X1019" s="45"/>
      <c r="Y1019" s="45"/>
      <c r="Z1019" s="45"/>
    </row>
    <row r="1020">
      <c r="A1020" s="48" t="s">
        <v>3262</v>
      </c>
      <c r="B1020" s="48" t="s">
        <v>3263</v>
      </c>
      <c r="C1020" s="48" t="s">
        <v>3264</v>
      </c>
      <c r="D1020" s="48" t="s">
        <v>93</v>
      </c>
      <c r="E1020" s="48" t="s">
        <v>121</v>
      </c>
      <c r="F1020" s="48" t="s">
        <v>918</v>
      </c>
      <c r="G1020" s="48" t="s">
        <v>908</v>
      </c>
      <c r="H1020" s="49">
        <v>0.0129008218</v>
      </c>
      <c r="I1020" s="49">
        <v>1175.0</v>
      </c>
      <c r="J1020" s="49">
        <v>13933.96</v>
      </c>
      <c r="K1020" s="49">
        <v>13933.96</v>
      </c>
      <c r="L1020" s="45"/>
      <c r="M1020" s="45"/>
      <c r="N1020" s="45"/>
      <c r="O1020" s="45"/>
      <c r="P1020" s="45"/>
      <c r="Q1020" s="45"/>
      <c r="R1020" s="45"/>
      <c r="S1020" s="45"/>
      <c r="T1020" s="45"/>
      <c r="U1020" s="45"/>
      <c r="V1020" s="45"/>
      <c r="W1020" s="45"/>
      <c r="X1020" s="45"/>
      <c r="Y1020" s="45"/>
      <c r="Z1020" s="45"/>
    </row>
    <row r="1021">
      <c r="A1021" s="48" t="s">
        <v>3265</v>
      </c>
      <c r="B1021" s="49">
        <v>6250906.0</v>
      </c>
      <c r="C1021" s="48" t="s">
        <v>3266</v>
      </c>
      <c r="D1021" s="48" t="s">
        <v>93</v>
      </c>
      <c r="E1021" s="48" t="s">
        <v>127</v>
      </c>
      <c r="F1021" s="48" t="s">
        <v>629</v>
      </c>
      <c r="G1021" s="48" t="s">
        <v>630</v>
      </c>
      <c r="H1021" s="49">
        <v>0.0128495332</v>
      </c>
      <c r="I1021" s="49">
        <v>326.0</v>
      </c>
      <c r="J1021" s="49">
        <v>13878.57</v>
      </c>
      <c r="K1021" s="49">
        <v>13878.57</v>
      </c>
      <c r="L1021" s="45"/>
      <c r="M1021" s="45"/>
      <c r="N1021" s="45"/>
      <c r="O1021" s="45"/>
      <c r="P1021" s="45"/>
      <c r="Q1021" s="45"/>
      <c r="R1021" s="45"/>
      <c r="S1021" s="45"/>
      <c r="T1021" s="45"/>
      <c r="U1021" s="45"/>
      <c r="V1021" s="45"/>
      <c r="W1021" s="45"/>
      <c r="X1021" s="45"/>
      <c r="Y1021" s="45"/>
      <c r="Z1021" s="45"/>
    </row>
    <row r="1022">
      <c r="A1022" s="48" t="s">
        <v>3267</v>
      </c>
      <c r="B1022" s="48" t="s">
        <v>3268</v>
      </c>
      <c r="C1022" s="48" t="s">
        <v>3269</v>
      </c>
      <c r="D1022" s="48" t="s">
        <v>93</v>
      </c>
      <c r="E1022" s="48" t="s">
        <v>127</v>
      </c>
      <c r="F1022" s="48" t="s">
        <v>649</v>
      </c>
      <c r="G1022" s="48" t="s">
        <v>640</v>
      </c>
      <c r="H1022" s="49">
        <v>0.0128165006999999</v>
      </c>
      <c r="I1022" s="49">
        <v>681.0</v>
      </c>
      <c r="J1022" s="49">
        <v>13842.89</v>
      </c>
      <c r="K1022" s="49">
        <v>13842.89</v>
      </c>
      <c r="L1022" s="45"/>
      <c r="M1022" s="45"/>
      <c r="N1022" s="45"/>
      <c r="O1022" s="45"/>
      <c r="P1022" s="45"/>
      <c r="Q1022" s="45"/>
      <c r="R1022" s="45"/>
      <c r="S1022" s="45"/>
      <c r="T1022" s="45"/>
      <c r="U1022" s="45"/>
      <c r="V1022" s="45"/>
      <c r="W1022" s="45"/>
      <c r="X1022" s="45"/>
      <c r="Y1022" s="45"/>
      <c r="Z1022" s="45"/>
    </row>
    <row r="1023">
      <c r="A1023" s="48" t="s">
        <v>3270</v>
      </c>
      <c r="B1023" s="48" t="s">
        <v>3271</v>
      </c>
      <c r="C1023" s="48" t="s">
        <v>3272</v>
      </c>
      <c r="D1023" s="48" t="s">
        <v>93</v>
      </c>
      <c r="E1023" s="48" t="s">
        <v>118</v>
      </c>
      <c r="F1023" s="48" t="s">
        <v>918</v>
      </c>
      <c r="G1023" s="48" t="s">
        <v>908</v>
      </c>
      <c r="H1023" s="49">
        <v>0.0128164026</v>
      </c>
      <c r="I1023" s="49">
        <v>1236.0</v>
      </c>
      <c r="J1023" s="49">
        <v>13842.78</v>
      </c>
      <c r="K1023" s="49">
        <v>13842.78</v>
      </c>
      <c r="L1023" s="45"/>
      <c r="M1023" s="45"/>
      <c r="N1023" s="45"/>
      <c r="O1023" s="45"/>
      <c r="P1023" s="45"/>
      <c r="Q1023" s="45"/>
      <c r="R1023" s="45"/>
      <c r="S1023" s="45"/>
      <c r="T1023" s="45"/>
      <c r="U1023" s="45"/>
      <c r="V1023" s="45"/>
      <c r="W1023" s="45"/>
      <c r="X1023" s="45"/>
      <c r="Y1023" s="45"/>
      <c r="Z1023" s="45"/>
    </row>
    <row r="1024">
      <c r="A1024" s="48" t="s">
        <v>3273</v>
      </c>
      <c r="B1024" s="49">
        <v>6640507.0</v>
      </c>
      <c r="C1024" s="48" t="s">
        <v>3274</v>
      </c>
      <c r="D1024" s="48" t="s">
        <v>93</v>
      </c>
      <c r="E1024" s="48" t="s">
        <v>94</v>
      </c>
      <c r="F1024" s="48" t="s">
        <v>629</v>
      </c>
      <c r="G1024" s="48" t="s">
        <v>630</v>
      </c>
      <c r="H1024" s="49">
        <v>0.0127601266999999</v>
      </c>
      <c r="I1024" s="49">
        <v>1173.0</v>
      </c>
      <c r="J1024" s="49">
        <v>13782.0</v>
      </c>
      <c r="K1024" s="49">
        <v>13782.0</v>
      </c>
      <c r="L1024" s="45"/>
      <c r="M1024" s="45"/>
      <c r="N1024" s="45"/>
      <c r="O1024" s="45"/>
      <c r="P1024" s="45"/>
      <c r="Q1024" s="45"/>
      <c r="R1024" s="45"/>
      <c r="S1024" s="45"/>
      <c r="T1024" s="45"/>
      <c r="U1024" s="45"/>
      <c r="V1024" s="45"/>
      <c r="W1024" s="45"/>
      <c r="X1024" s="45"/>
      <c r="Y1024" s="45"/>
      <c r="Z1024" s="45"/>
    </row>
    <row r="1025">
      <c r="A1025" s="48" t="s">
        <v>3275</v>
      </c>
      <c r="B1025" s="49">
        <v>6895266.0</v>
      </c>
      <c r="C1025" s="48" t="s">
        <v>3276</v>
      </c>
      <c r="D1025" s="48" t="s">
        <v>93</v>
      </c>
      <c r="E1025" s="48" t="s">
        <v>170</v>
      </c>
      <c r="F1025" s="48" t="s">
        <v>629</v>
      </c>
      <c r="G1025" s="48" t="s">
        <v>630</v>
      </c>
      <c r="H1025" s="49">
        <v>0.0127539371</v>
      </c>
      <c r="I1025" s="49">
        <v>1223.0</v>
      </c>
      <c r="J1025" s="49">
        <v>13775.32</v>
      </c>
      <c r="K1025" s="49">
        <v>13775.32</v>
      </c>
      <c r="L1025" s="45"/>
      <c r="M1025" s="45"/>
      <c r="N1025" s="45"/>
      <c r="O1025" s="45"/>
      <c r="P1025" s="45"/>
      <c r="Q1025" s="45"/>
      <c r="R1025" s="45"/>
      <c r="S1025" s="45"/>
      <c r="T1025" s="45"/>
      <c r="U1025" s="45"/>
      <c r="V1025" s="45"/>
      <c r="W1025" s="45"/>
      <c r="X1025" s="45"/>
      <c r="Y1025" s="45"/>
      <c r="Z1025" s="45"/>
    </row>
    <row r="1026">
      <c r="A1026" s="48" t="s">
        <v>3277</v>
      </c>
      <c r="B1026" s="48" t="s">
        <v>3278</v>
      </c>
      <c r="C1026" s="48" t="s">
        <v>3279</v>
      </c>
      <c r="D1026" s="48" t="s">
        <v>93</v>
      </c>
      <c r="E1026" s="48" t="s">
        <v>118</v>
      </c>
      <c r="F1026" s="48" t="s">
        <v>629</v>
      </c>
      <c r="G1026" s="48" t="s">
        <v>630</v>
      </c>
      <c r="H1026" s="49">
        <v>0.0127185303999999</v>
      </c>
      <c r="I1026" s="49">
        <v>507.0</v>
      </c>
      <c r="J1026" s="49">
        <v>13737.07</v>
      </c>
      <c r="K1026" s="49">
        <v>13737.07</v>
      </c>
      <c r="L1026" s="45"/>
      <c r="M1026" s="45"/>
      <c r="N1026" s="45"/>
      <c r="O1026" s="45"/>
      <c r="P1026" s="45"/>
      <c r="Q1026" s="45"/>
      <c r="R1026" s="45"/>
      <c r="S1026" s="45"/>
      <c r="T1026" s="45"/>
      <c r="U1026" s="45"/>
      <c r="V1026" s="45"/>
      <c r="W1026" s="45"/>
      <c r="X1026" s="45"/>
      <c r="Y1026" s="45"/>
      <c r="Z1026" s="45"/>
    </row>
    <row r="1027">
      <c r="A1027" s="48" t="s">
        <v>3280</v>
      </c>
      <c r="B1027" s="49">
        <v>6436557.0</v>
      </c>
      <c r="C1027" s="48" t="s">
        <v>3281</v>
      </c>
      <c r="D1027" s="48" t="s">
        <v>93</v>
      </c>
      <c r="E1027" s="48" t="s">
        <v>170</v>
      </c>
      <c r="F1027" s="48" t="s">
        <v>822</v>
      </c>
      <c r="G1027" s="48" t="s">
        <v>646</v>
      </c>
      <c r="H1027" s="49">
        <v>0.0127157794</v>
      </c>
      <c r="I1027" s="49">
        <v>12509.0</v>
      </c>
      <c r="J1027" s="49">
        <v>13734.1</v>
      </c>
      <c r="K1027" s="49">
        <v>13734.1</v>
      </c>
      <c r="L1027" s="45"/>
      <c r="M1027" s="45"/>
      <c r="N1027" s="45"/>
      <c r="O1027" s="45"/>
      <c r="P1027" s="45"/>
      <c r="Q1027" s="45"/>
      <c r="R1027" s="45"/>
      <c r="S1027" s="45"/>
      <c r="T1027" s="45"/>
      <c r="U1027" s="45"/>
      <c r="V1027" s="45"/>
      <c r="W1027" s="45"/>
      <c r="X1027" s="45"/>
      <c r="Y1027" s="45"/>
      <c r="Z1027" s="45"/>
    </row>
    <row r="1028">
      <c r="A1028" s="48" t="s">
        <v>3282</v>
      </c>
      <c r="B1028" s="49">
        <v>6867748.0</v>
      </c>
      <c r="C1028" s="48" t="s">
        <v>3283</v>
      </c>
      <c r="D1028" s="48" t="s">
        <v>93</v>
      </c>
      <c r="E1028" s="48" t="s">
        <v>133</v>
      </c>
      <c r="F1028" s="48" t="s">
        <v>822</v>
      </c>
      <c r="G1028" s="48" t="s">
        <v>646</v>
      </c>
      <c r="H1028" s="49">
        <v>0.0127010222</v>
      </c>
      <c r="I1028" s="49">
        <v>1254.0</v>
      </c>
      <c r="J1028" s="49">
        <v>13718.16</v>
      </c>
      <c r="K1028" s="49">
        <v>13718.16</v>
      </c>
      <c r="L1028" s="45"/>
      <c r="M1028" s="45"/>
      <c r="N1028" s="45"/>
      <c r="O1028" s="45"/>
      <c r="P1028" s="45"/>
      <c r="Q1028" s="45"/>
      <c r="R1028" s="45"/>
      <c r="S1028" s="45"/>
      <c r="T1028" s="45"/>
      <c r="U1028" s="45"/>
      <c r="V1028" s="45"/>
      <c r="W1028" s="45"/>
      <c r="X1028" s="45"/>
      <c r="Y1028" s="45"/>
      <c r="Z1028" s="45"/>
    </row>
    <row r="1029">
      <c r="A1029" s="48" t="s">
        <v>3284</v>
      </c>
      <c r="B1029" s="48" t="s">
        <v>3285</v>
      </c>
      <c r="C1029" s="48" t="s">
        <v>3286</v>
      </c>
      <c r="D1029" s="48" t="s">
        <v>93</v>
      </c>
      <c r="E1029" s="48" t="s">
        <v>124</v>
      </c>
      <c r="F1029" s="48" t="s">
        <v>2709</v>
      </c>
      <c r="G1029" s="48" t="s">
        <v>640</v>
      </c>
      <c r="H1029" s="49">
        <v>0.01263506</v>
      </c>
      <c r="I1029" s="49">
        <v>386.0</v>
      </c>
      <c r="J1029" s="49">
        <v>13646.92</v>
      </c>
      <c r="K1029" s="49">
        <v>13646.92</v>
      </c>
      <c r="L1029" s="45"/>
      <c r="M1029" s="45"/>
      <c r="N1029" s="45"/>
      <c r="O1029" s="45"/>
      <c r="P1029" s="45"/>
      <c r="Q1029" s="45"/>
      <c r="R1029" s="45"/>
      <c r="S1029" s="45"/>
      <c r="T1029" s="45"/>
      <c r="U1029" s="45"/>
      <c r="V1029" s="45"/>
      <c r="W1029" s="45"/>
      <c r="X1029" s="45"/>
      <c r="Y1029" s="45"/>
      <c r="Z1029" s="45"/>
    </row>
    <row r="1030">
      <c r="A1030" s="48" t="s">
        <v>3287</v>
      </c>
      <c r="B1030" s="49">
        <v>2960384.0</v>
      </c>
      <c r="C1030" s="48" t="s">
        <v>3288</v>
      </c>
      <c r="D1030" s="48" t="s">
        <v>93</v>
      </c>
      <c r="E1030" s="48" t="s">
        <v>118</v>
      </c>
      <c r="F1030" s="48" t="s">
        <v>622</v>
      </c>
      <c r="G1030" s="48" t="s">
        <v>623</v>
      </c>
      <c r="H1030" s="49">
        <v>0.0126336709</v>
      </c>
      <c r="I1030" s="49">
        <v>66.0</v>
      </c>
      <c r="J1030" s="49">
        <v>13645.42</v>
      </c>
      <c r="K1030" s="49">
        <v>13645.42</v>
      </c>
      <c r="L1030" s="45"/>
      <c r="M1030" s="45"/>
      <c r="N1030" s="45"/>
      <c r="O1030" s="45"/>
      <c r="P1030" s="45"/>
      <c r="Q1030" s="45"/>
      <c r="R1030" s="45"/>
      <c r="S1030" s="45"/>
      <c r="T1030" s="45"/>
      <c r="U1030" s="45"/>
      <c r="V1030" s="45"/>
      <c r="W1030" s="45"/>
      <c r="X1030" s="45"/>
      <c r="Y1030" s="45"/>
      <c r="Z1030" s="45"/>
    </row>
    <row r="1031">
      <c r="A1031" s="48" t="s">
        <v>3289</v>
      </c>
      <c r="B1031" s="48" t="s">
        <v>3290</v>
      </c>
      <c r="C1031" s="48" t="s">
        <v>3291</v>
      </c>
      <c r="D1031" s="48" t="s">
        <v>93</v>
      </c>
      <c r="E1031" s="48" t="s">
        <v>127</v>
      </c>
      <c r="F1031" s="48" t="s">
        <v>918</v>
      </c>
      <c r="G1031" s="48" t="s">
        <v>908</v>
      </c>
      <c r="H1031" s="49">
        <v>0.0126072508</v>
      </c>
      <c r="I1031" s="49">
        <v>4670.0</v>
      </c>
      <c r="J1031" s="49">
        <v>13616.88</v>
      </c>
      <c r="K1031" s="49">
        <v>13616.88</v>
      </c>
      <c r="L1031" s="45"/>
      <c r="M1031" s="45"/>
      <c r="N1031" s="45"/>
      <c r="O1031" s="45"/>
      <c r="P1031" s="45"/>
      <c r="Q1031" s="45"/>
      <c r="R1031" s="45"/>
      <c r="S1031" s="45"/>
      <c r="T1031" s="45"/>
      <c r="U1031" s="45"/>
      <c r="V1031" s="45"/>
      <c r="W1031" s="45"/>
      <c r="X1031" s="45"/>
      <c r="Y1031" s="45"/>
      <c r="Z1031" s="45"/>
    </row>
    <row r="1032">
      <c r="A1032" s="48" t="s">
        <v>3292</v>
      </c>
      <c r="B1032" s="49">
        <v>2384951.0</v>
      </c>
      <c r="C1032" s="48" t="s">
        <v>3293</v>
      </c>
      <c r="D1032" s="48" t="s">
        <v>93</v>
      </c>
      <c r="E1032" s="48" t="s">
        <v>99</v>
      </c>
      <c r="F1032" s="48" t="s">
        <v>694</v>
      </c>
      <c r="G1032" s="48" t="s">
        <v>1003</v>
      </c>
      <c r="H1032" s="49">
        <v>0.0125741485</v>
      </c>
      <c r="I1032" s="49">
        <v>289.0</v>
      </c>
      <c r="J1032" s="49">
        <v>13581.13</v>
      </c>
      <c r="K1032" s="49">
        <v>13581.13</v>
      </c>
      <c r="L1032" s="45"/>
      <c r="M1032" s="45"/>
      <c r="N1032" s="45"/>
      <c r="O1032" s="45"/>
      <c r="P1032" s="45"/>
      <c r="Q1032" s="45"/>
      <c r="R1032" s="45"/>
      <c r="S1032" s="45"/>
      <c r="T1032" s="45"/>
      <c r="U1032" s="45"/>
      <c r="V1032" s="45"/>
      <c r="W1032" s="45"/>
      <c r="X1032" s="45"/>
      <c r="Y1032" s="45"/>
      <c r="Z1032" s="45"/>
    </row>
    <row r="1033">
      <c r="A1033" s="48" t="s">
        <v>3294</v>
      </c>
      <c r="B1033" s="49">
        <v>6416281.0</v>
      </c>
      <c r="C1033" s="48" t="s">
        <v>3295</v>
      </c>
      <c r="D1033" s="48" t="s">
        <v>93</v>
      </c>
      <c r="E1033" s="48" t="s">
        <v>121</v>
      </c>
      <c r="F1033" s="48" t="s">
        <v>629</v>
      </c>
      <c r="G1033" s="48" t="s">
        <v>630</v>
      </c>
      <c r="H1033" s="49">
        <v>0.0125630235</v>
      </c>
      <c r="I1033" s="49">
        <v>293.0</v>
      </c>
      <c r="J1033" s="49">
        <v>13569.11</v>
      </c>
      <c r="K1033" s="49">
        <v>13569.11</v>
      </c>
      <c r="L1033" s="45"/>
      <c r="M1033" s="45"/>
      <c r="N1033" s="45"/>
      <c r="O1033" s="45"/>
      <c r="P1033" s="45"/>
      <c r="Q1033" s="45"/>
      <c r="R1033" s="45"/>
      <c r="S1033" s="45"/>
      <c r="T1033" s="45"/>
      <c r="U1033" s="45"/>
      <c r="V1033" s="45"/>
      <c r="W1033" s="45"/>
      <c r="X1033" s="45"/>
      <c r="Y1033" s="45"/>
      <c r="Z1033" s="45"/>
    </row>
    <row r="1034">
      <c r="A1034" s="48" t="s">
        <v>3296</v>
      </c>
      <c r="B1034" s="48" t="s">
        <v>3297</v>
      </c>
      <c r="C1034" s="48" t="s">
        <v>3298</v>
      </c>
      <c r="D1034" s="48" t="s">
        <v>93</v>
      </c>
      <c r="E1034" s="48" t="s">
        <v>124</v>
      </c>
      <c r="F1034" s="48" t="s">
        <v>629</v>
      </c>
      <c r="G1034" s="48" t="s">
        <v>630</v>
      </c>
      <c r="H1034" s="49">
        <v>0.0125394287999999</v>
      </c>
      <c r="I1034" s="49">
        <v>162.0</v>
      </c>
      <c r="J1034" s="49">
        <v>13543.63</v>
      </c>
      <c r="K1034" s="49">
        <v>13543.63</v>
      </c>
      <c r="L1034" s="45"/>
      <c r="M1034" s="45"/>
      <c r="N1034" s="45"/>
      <c r="O1034" s="45"/>
      <c r="P1034" s="45"/>
      <c r="Q1034" s="45"/>
      <c r="R1034" s="45"/>
      <c r="S1034" s="45"/>
      <c r="T1034" s="45"/>
      <c r="U1034" s="45"/>
      <c r="V1034" s="45"/>
      <c r="W1034" s="45"/>
      <c r="X1034" s="45"/>
      <c r="Y1034" s="45"/>
      <c r="Z1034" s="45"/>
    </row>
    <row r="1035">
      <c r="A1035" s="48" t="s">
        <v>3299</v>
      </c>
      <c r="B1035" s="48" t="s">
        <v>3300</v>
      </c>
      <c r="C1035" s="48" t="s">
        <v>3301</v>
      </c>
      <c r="D1035" s="48" t="s">
        <v>93</v>
      </c>
      <c r="E1035" s="48" t="s">
        <v>133</v>
      </c>
      <c r="F1035" s="48" t="s">
        <v>694</v>
      </c>
      <c r="G1035" s="48" t="s">
        <v>1003</v>
      </c>
      <c r="H1035" s="49">
        <v>0.0124403878</v>
      </c>
      <c r="I1035" s="49">
        <v>57.0</v>
      </c>
      <c r="J1035" s="49">
        <v>13436.66</v>
      </c>
      <c r="K1035" s="49">
        <v>13436.66</v>
      </c>
      <c r="L1035" s="45"/>
      <c r="M1035" s="45"/>
      <c r="N1035" s="45"/>
      <c r="O1035" s="45"/>
      <c r="P1035" s="45"/>
      <c r="Q1035" s="45"/>
      <c r="R1035" s="45"/>
      <c r="S1035" s="45"/>
      <c r="T1035" s="45"/>
      <c r="U1035" s="45"/>
      <c r="V1035" s="45"/>
      <c r="W1035" s="45"/>
      <c r="X1035" s="45"/>
      <c r="Y1035" s="45"/>
      <c r="Z1035" s="45"/>
    </row>
    <row r="1036">
      <c r="A1036" s="48" t="s">
        <v>3302</v>
      </c>
      <c r="B1036" s="49">
        <v>6303866.0</v>
      </c>
      <c r="C1036" s="48" t="s">
        <v>3303</v>
      </c>
      <c r="D1036" s="48" t="s">
        <v>93</v>
      </c>
      <c r="E1036" s="48" t="s">
        <v>99</v>
      </c>
      <c r="F1036" s="48" t="s">
        <v>738</v>
      </c>
      <c r="G1036" s="48" t="s">
        <v>1437</v>
      </c>
      <c r="H1036" s="49">
        <v>0.0124000944</v>
      </c>
      <c r="I1036" s="49">
        <v>1201.0</v>
      </c>
      <c r="J1036" s="49">
        <v>13393.14</v>
      </c>
      <c r="K1036" s="49">
        <v>13393.14</v>
      </c>
      <c r="L1036" s="45"/>
      <c r="M1036" s="45"/>
      <c r="N1036" s="45"/>
      <c r="O1036" s="45"/>
      <c r="P1036" s="45"/>
      <c r="Q1036" s="45"/>
      <c r="R1036" s="45"/>
      <c r="S1036" s="45"/>
      <c r="T1036" s="45"/>
      <c r="U1036" s="45"/>
      <c r="V1036" s="45"/>
      <c r="W1036" s="45"/>
      <c r="X1036" s="45"/>
      <c r="Y1036" s="45"/>
      <c r="Z1036" s="45"/>
    </row>
    <row r="1037">
      <c r="A1037" s="48" t="s">
        <v>3304</v>
      </c>
      <c r="B1037" s="48" t="s">
        <v>3305</v>
      </c>
      <c r="C1037" s="48" t="s">
        <v>3306</v>
      </c>
      <c r="D1037" s="48" t="s">
        <v>93</v>
      </c>
      <c r="E1037" s="48" t="s">
        <v>99</v>
      </c>
      <c r="F1037" s="48" t="s">
        <v>2967</v>
      </c>
      <c r="G1037" s="48" t="s">
        <v>2968</v>
      </c>
      <c r="H1037" s="49">
        <v>0.0123784542</v>
      </c>
      <c r="I1037" s="49">
        <v>905.0</v>
      </c>
      <c r="J1037" s="49">
        <v>13369.76</v>
      </c>
      <c r="K1037" s="49">
        <v>13369.76</v>
      </c>
      <c r="L1037" s="45"/>
      <c r="M1037" s="45"/>
      <c r="N1037" s="45"/>
      <c r="O1037" s="45"/>
      <c r="P1037" s="45"/>
      <c r="Q1037" s="45"/>
      <c r="R1037" s="45"/>
      <c r="S1037" s="45"/>
      <c r="T1037" s="45"/>
      <c r="U1037" s="45"/>
      <c r="V1037" s="45"/>
      <c r="W1037" s="45"/>
      <c r="X1037" s="45"/>
      <c r="Y1037" s="45"/>
      <c r="Z1037" s="45"/>
    </row>
    <row r="1038">
      <c r="A1038" s="48" t="s">
        <v>3307</v>
      </c>
      <c r="B1038" s="48" t="s">
        <v>3308</v>
      </c>
      <c r="C1038" s="48" t="s">
        <v>3309</v>
      </c>
      <c r="D1038" s="48" t="s">
        <v>93</v>
      </c>
      <c r="E1038" s="48" t="s">
        <v>124</v>
      </c>
      <c r="F1038" s="48" t="s">
        <v>918</v>
      </c>
      <c r="G1038" s="48" t="s">
        <v>908</v>
      </c>
      <c r="H1038" s="49">
        <v>0.01236178</v>
      </c>
      <c r="I1038" s="49">
        <v>2538.0</v>
      </c>
      <c r="J1038" s="49">
        <v>13351.75</v>
      </c>
      <c r="K1038" s="49">
        <v>13351.75</v>
      </c>
      <c r="L1038" s="45"/>
      <c r="M1038" s="45"/>
      <c r="N1038" s="45"/>
      <c r="O1038" s="45"/>
      <c r="P1038" s="45"/>
      <c r="Q1038" s="45"/>
      <c r="R1038" s="45"/>
      <c r="S1038" s="45"/>
      <c r="T1038" s="45"/>
      <c r="U1038" s="45"/>
      <c r="V1038" s="45"/>
      <c r="W1038" s="45"/>
      <c r="X1038" s="45"/>
      <c r="Y1038" s="45"/>
      <c r="Z1038" s="45"/>
    </row>
    <row r="1039">
      <c r="A1039" s="48" t="s">
        <v>3310</v>
      </c>
      <c r="B1039" s="48" t="s">
        <v>3311</v>
      </c>
      <c r="C1039" s="48" t="s">
        <v>3312</v>
      </c>
      <c r="D1039" s="48" t="s">
        <v>93</v>
      </c>
      <c r="E1039" s="48" t="s">
        <v>124</v>
      </c>
      <c r="F1039" s="48" t="s">
        <v>629</v>
      </c>
      <c r="G1039" s="48" t="s">
        <v>630</v>
      </c>
      <c r="H1039" s="49">
        <v>0.0123097399</v>
      </c>
      <c r="I1039" s="49">
        <v>342.0</v>
      </c>
      <c r="J1039" s="49">
        <v>13295.55</v>
      </c>
      <c r="K1039" s="49">
        <v>13295.55</v>
      </c>
      <c r="L1039" s="45"/>
      <c r="M1039" s="45"/>
      <c r="N1039" s="45"/>
      <c r="O1039" s="45"/>
      <c r="P1039" s="45"/>
      <c r="Q1039" s="45"/>
      <c r="R1039" s="45"/>
      <c r="S1039" s="45"/>
      <c r="T1039" s="45"/>
      <c r="U1039" s="45"/>
      <c r="V1039" s="45"/>
      <c r="W1039" s="45"/>
      <c r="X1039" s="45"/>
      <c r="Y1039" s="45"/>
      <c r="Z1039" s="45"/>
    </row>
    <row r="1040">
      <c r="A1040" s="48" t="s">
        <v>3313</v>
      </c>
      <c r="B1040" s="49">
        <v>6555805.0</v>
      </c>
      <c r="C1040" s="48" t="s">
        <v>3314</v>
      </c>
      <c r="D1040" s="48" t="s">
        <v>93</v>
      </c>
      <c r="E1040" s="48" t="s">
        <v>127</v>
      </c>
      <c r="F1040" s="48" t="s">
        <v>629</v>
      </c>
      <c r="G1040" s="48" t="s">
        <v>630</v>
      </c>
      <c r="H1040" s="49">
        <v>0.0122827815</v>
      </c>
      <c r="I1040" s="49">
        <v>331.0</v>
      </c>
      <c r="J1040" s="49">
        <v>13266.43</v>
      </c>
      <c r="K1040" s="49">
        <v>13266.43</v>
      </c>
      <c r="L1040" s="45"/>
      <c r="M1040" s="45"/>
      <c r="N1040" s="45"/>
      <c r="O1040" s="45"/>
      <c r="P1040" s="45"/>
      <c r="Q1040" s="45"/>
      <c r="R1040" s="45"/>
      <c r="S1040" s="45"/>
      <c r="T1040" s="45"/>
      <c r="U1040" s="45"/>
      <c r="V1040" s="45"/>
      <c r="W1040" s="45"/>
      <c r="X1040" s="45"/>
      <c r="Y1040" s="45"/>
      <c r="Z1040" s="45"/>
    </row>
    <row r="1041">
      <c r="A1041" s="48" t="s">
        <v>3315</v>
      </c>
      <c r="B1041" s="49">
        <v>5699373.0</v>
      </c>
      <c r="C1041" s="48" t="s">
        <v>3316</v>
      </c>
      <c r="D1041" s="48" t="s">
        <v>93</v>
      </c>
      <c r="E1041" s="48" t="s">
        <v>94</v>
      </c>
      <c r="F1041" s="48" t="s">
        <v>2247</v>
      </c>
      <c r="G1041" s="48" t="s">
        <v>640</v>
      </c>
      <c r="H1041" s="49">
        <v>0.0122667487</v>
      </c>
      <c r="I1041" s="49">
        <v>332.0</v>
      </c>
      <c r="J1041" s="49">
        <v>13249.11</v>
      </c>
      <c r="K1041" s="49">
        <v>13249.11</v>
      </c>
      <c r="L1041" s="45"/>
      <c r="M1041" s="45"/>
      <c r="N1041" s="45"/>
      <c r="O1041" s="45"/>
      <c r="P1041" s="45"/>
      <c r="Q1041" s="45"/>
      <c r="R1041" s="45"/>
      <c r="S1041" s="45"/>
      <c r="T1041" s="45"/>
      <c r="U1041" s="45"/>
      <c r="V1041" s="45"/>
      <c r="W1041" s="45"/>
      <c r="X1041" s="45"/>
      <c r="Y1041" s="45"/>
      <c r="Z1041" s="45"/>
    </row>
    <row r="1042">
      <c r="A1042" s="48" t="s">
        <v>3317</v>
      </c>
      <c r="B1042" s="49">
        <v>6782090.0</v>
      </c>
      <c r="C1042" s="48" t="s">
        <v>3318</v>
      </c>
      <c r="D1042" s="48" t="s">
        <v>93</v>
      </c>
      <c r="E1042" s="48" t="s">
        <v>102</v>
      </c>
      <c r="F1042" s="48" t="s">
        <v>629</v>
      </c>
      <c r="G1042" s="48" t="s">
        <v>630</v>
      </c>
      <c r="H1042" s="49">
        <v>0.0122233499</v>
      </c>
      <c r="I1042" s="49">
        <v>482.0</v>
      </c>
      <c r="J1042" s="49">
        <v>13202.24</v>
      </c>
      <c r="K1042" s="49">
        <v>13202.24</v>
      </c>
      <c r="L1042" s="45"/>
      <c r="M1042" s="45"/>
      <c r="N1042" s="45"/>
      <c r="O1042" s="45"/>
      <c r="P1042" s="45"/>
      <c r="Q1042" s="45"/>
      <c r="R1042" s="45"/>
      <c r="S1042" s="45"/>
      <c r="T1042" s="45"/>
      <c r="U1042" s="45"/>
      <c r="V1042" s="45"/>
      <c r="W1042" s="45"/>
      <c r="X1042" s="45"/>
      <c r="Y1042" s="45"/>
      <c r="Z1042" s="45"/>
    </row>
    <row r="1043">
      <c r="A1043" s="48" t="s">
        <v>3319</v>
      </c>
      <c r="B1043" s="49">
        <v>6870100.0</v>
      </c>
      <c r="C1043" s="48" t="s">
        <v>3320</v>
      </c>
      <c r="D1043" s="48" t="s">
        <v>93</v>
      </c>
      <c r="E1043" s="48" t="s">
        <v>127</v>
      </c>
      <c r="F1043" s="48" t="s">
        <v>629</v>
      </c>
      <c r="G1043" s="48" t="s">
        <v>630</v>
      </c>
      <c r="H1043" s="49">
        <v>0.0121840711</v>
      </c>
      <c r="I1043" s="49">
        <v>234.0</v>
      </c>
      <c r="J1043" s="49">
        <v>13159.81</v>
      </c>
      <c r="K1043" s="49">
        <v>13159.81</v>
      </c>
      <c r="L1043" s="45"/>
      <c r="M1043" s="45"/>
      <c r="N1043" s="45"/>
      <c r="O1043" s="45"/>
      <c r="P1043" s="45"/>
      <c r="Q1043" s="45"/>
      <c r="R1043" s="45"/>
      <c r="S1043" s="45"/>
      <c r="T1043" s="45"/>
      <c r="U1043" s="45"/>
      <c r="V1043" s="45"/>
      <c r="W1043" s="45"/>
      <c r="X1043" s="45"/>
      <c r="Y1043" s="45"/>
      <c r="Z1043" s="45"/>
    </row>
    <row r="1044">
      <c r="A1044" s="48" t="s">
        <v>3321</v>
      </c>
      <c r="B1044" s="49">
        <v>6205133.0</v>
      </c>
      <c r="C1044" s="48" t="s">
        <v>3322</v>
      </c>
      <c r="D1044" s="48" t="s">
        <v>93</v>
      </c>
      <c r="E1044" s="48" t="s">
        <v>127</v>
      </c>
      <c r="F1044" s="48" t="s">
        <v>738</v>
      </c>
      <c r="G1044" s="48" t="s">
        <v>1437</v>
      </c>
      <c r="H1044" s="49">
        <v>0.0121808137</v>
      </c>
      <c r="I1044" s="49">
        <v>86105.0</v>
      </c>
      <c r="J1044" s="49">
        <v>13156.29</v>
      </c>
      <c r="K1044" s="49">
        <v>13156.29</v>
      </c>
      <c r="L1044" s="45"/>
      <c r="M1044" s="45"/>
      <c r="N1044" s="45"/>
      <c r="O1044" s="45"/>
      <c r="P1044" s="45"/>
      <c r="Q1044" s="45"/>
      <c r="R1044" s="45"/>
      <c r="S1044" s="45"/>
      <c r="T1044" s="45"/>
      <c r="U1044" s="45"/>
      <c r="V1044" s="45"/>
      <c r="W1044" s="45"/>
      <c r="X1044" s="45"/>
      <c r="Y1044" s="45"/>
      <c r="Z1044" s="45"/>
    </row>
    <row r="1045">
      <c r="A1045" s="48" t="s">
        <v>3323</v>
      </c>
      <c r="B1045" s="49">
        <v>6229597.0</v>
      </c>
      <c r="C1045" s="48" t="s">
        <v>3324</v>
      </c>
      <c r="D1045" s="48" t="s">
        <v>93</v>
      </c>
      <c r="E1045" s="48" t="s">
        <v>118</v>
      </c>
      <c r="F1045" s="48" t="s">
        <v>629</v>
      </c>
      <c r="G1045" s="48" t="s">
        <v>630</v>
      </c>
      <c r="H1045" s="49">
        <v>0.0121562796</v>
      </c>
      <c r="I1045" s="49">
        <v>1979.0</v>
      </c>
      <c r="J1045" s="49">
        <v>13129.8</v>
      </c>
      <c r="K1045" s="49">
        <v>13129.8</v>
      </c>
      <c r="L1045" s="45"/>
      <c r="M1045" s="45"/>
      <c r="N1045" s="45"/>
      <c r="O1045" s="45"/>
      <c r="P1045" s="45"/>
      <c r="Q1045" s="45"/>
      <c r="R1045" s="45"/>
      <c r="S1045" s="45"/>
      <c r="T1045" s="45"/>
      <c r="U1045" s="45"/>
      <c r="V1045" s="45"/>
      <c r="W1045" s="45"/>
      <c r="X1045" s="45"/>
      <c r="Y1045" s="45"/>
      <c r="Z1045" s="45"/>
    </row>
    <row r="1046">
      <c r="A1046" s="48" t="s">
        <v>3325</v>
      </c>
      <c r="B1046" s="48" t="s">
        <v>3326</v>
      </c>
      <c r="C1046" s="48" t="s">
        <v>3327</v>
      </c>
      <c r="D1046" s="48" t="s">
        <v>93</v>
      </c>
      <c r="E1046" s="48" t="s">
        <v>127</v>
      </c>
      <c r="F1046" s="48" t="s">
        <v>629</v>
      </c>
      <c r="G1046" s="48" t="s">
        <v>630</v>
      </c>
      <c r="H1046" s="49">
        <v>0.0121366568</v>
      </c>
      <c r="I1046" s="49">
        <v>622.0</v>
      </c>
      <c r="J1046" s="49">
        <v>13108.6</v>
      </c>
      <c r="K1046" s="49">
        <v>13108.6</v>
      </c>
      <c r="L1046" s="45"/>
      <c r="M1046" s="45"/>
      <c r="N1046" s="45"/>
      <c r="O1046" s="45"/>
      <c r="P1046" s="45"/>
      <c r="Q1046" s="45"/>
      <c r="R1046" s="45"/>
      <c r="S1046" s="45"/>
      <c r="T1046" s="45"/>
      <c r="U1046" s="45"/>
      <c r="V1046" s="45"/>
      <c r="W1046" s="45"/>
      <c r="X1046" s="45"/>
      <c r="Y1046" s="45"/>
      <c r="Z1046" s="45"/>
    </row>
    <row r="1047">
      <c r="A1047" s="48" t="s">
        <v>3328</v>
      </c>
      <c r="B1047" s="49">
        <v>6758455.0</v>
      </c>
      <c r="C1047" s="48" t="s">
        <v>3329</v>
      </c>
      <c r="D1047" s="48" t="s">
        <v>93</v>
      </c>
      <c r="E1047" s="48" t="s">
        <v>118</v>
      </c>
      <c r="F1047" s="48" t="s">
        <v>629</v>
      </c>
      <c r="G1047" s="48" t="s">
        <v>630</v>
      </c>
      <c r="H1047" s="49">
        <v>0.0120903474</v>
      </c>
      <c r="I1047" s="49">
        <v>645.0</v>
      </c>
      <c r="J1047" s="49">
        <v>13058.58</v>
      </c>
      <c r="K1047" s="49">
        <v>13058.58</v>
      </c>
      <c r="L1047" s="45"/>
      <c r="M1047" s="45"/>
      <c r="N1047" s="45"/>
      <c r="O1047" s="45"/>
      <c r="P1047" s="45"/>
      <c r="Q1047" s="45"/>
      <c r="R1047" s="45"/>
      <c r="S1047" s="45"/>
      <c r="T1047" s="45"/>
      <c r="U1047" s="45"/>
      <c r="V1047" s="45"/>
      <c r="W1047" s="45"/>
      <c r="X1047" s="45"/>
      <c r="Y1047" s="45"/>
      <c r="Z1047" s="45"/>
    </row>
    <row r="1048">
      <c r="A1048" s="48" t="s">
        <v>3330</v>
      </c>
      <c r="B1048" s="49">
        <v>6687214.0</v>
      </c>
      <c r="C1048" s="48" t="s">
        <v>3331</v>
      </c>
      <c r="D1048" s="48" t="s">
        <v>93</v>
      </c>
      <c r="E1048" s="48" t="s">
        <v>102</v>
      </c>
      <c r="F1048" s="48" t="s">
        <v>629</v>
      </c>
      <c r="G1048" s="48" t="s">
        <v>630</v>
      </c>
      <c r="H1048" s="49">
        <v>0.0120881327</v>
      </c>
      <c r="I1048" s="49">
        <v>483.0</v>
      </c>
      <c r="J1048" s="49">
        <v>13056.19</v>
      </c>
      <c r="K1048" s="49">
        <v>13056.19</v>
      </c>
      <c r="L1048" s="45"/>
      <c r="M1048" s="45"/>
      <c r="N1048" s="45"/>
      <c r="O1048" s="45"/>
      <c r="P1048" s="45"/>
      <c r="Q1048" s="45"/>
      <c r="R1048" s="45"/>
      <c r="S1048" s="45"/>
      <c r="T1048" s="45"/>
      <c r="U1048" s="45"/>
      <c r="V1048" s="45"/>
      <c r="W1048" s="45"/>
      <c r="X1048" s="45"/>
      <c r="Y1048" s="45"/>
      <c r="Z1048" s="45"/>
    </row>
    <row r="1049">
      <c r="A1049" s="48" t="s">
        <v>3332</v>
      </c>
      <c r="B1049" s="49">
        <v>6456102.0</v>
      </c>
      <c r="C1049" s="48" t="s">
        <v>3333</v>
      </c>
      <c r="D1049" s="48" t="s">
        <v>93</v>
      </c>
      <c r="E1049" s="48" t="s">
        <v>167</v>
      </c>
      <c r="F1049" s="48" t="s">
        <v>629</v>
      </c>
      <c r="G1049" s="48" t="s">
        <v>630</v>
      </c>
      <c r="H1049" s="49">
        <v>0.0120752988</v>
      </c>
      <c r="I1049" s="49">
        <v>162.0</v>
      </c>
      <c r="J1049" s="49">
        <v>13042.33</v>
      </c>
      <c r="K1049" s="49">
        <v>13042.33</v>
      </c>
      <c r="L1049" s="45"/>
      <c r="M1049" s="45"/>
      <c r="N1049" s="45"/>
      <c r="O1049" s="45"/>
      <c r="P1049" s="45"/>
      <c r="Q1049" s="45"/>
      <c r="R1049" s="45"/>
      <c r="S1049" s="45"/>
      <c r="T1049" s="45"/>
      <c r="U1049" s="45"/>
      <c r="V1049" s="45"/>
      <c r="W1049" s="45"/>
      <c r="X1049" s="45"/>
      <c r="Y1049" s="45"/>
      <c r="Z1049" s="45"/>
    </row>
    <row r="1050">
      <c r="A1050" s="48" t="s">
        <v>3334</v>
      </c>
      <c r="B1050" s="49">
        <v>6010702.0</v>
      </c>
      <c r="C1050" s="48" t="s">
        <v>3335</v>
      </c>
      <c r="D1050" s="48" t="s">
        <v>93</v>
      </c>
      <c r="E1050" s="48" t="s">
        <v>118</v>
      </c>
      <c r="F1050" s="48" t="s">
        <v>629</v>
      </c>
      <c r="G1050" s="48" t="s">
        <v>630</v>
      </c>
      <c r="H1050" s="49">
        <v>0.0120630174999999</v>
      </c>
      <c r="I1050" s="49">
        <v>215.0</v>
      </c>
      <c r="J1050" s="49">
        <v>13029.06</v>
      </c>
      <c r="K1050" s="49">
        <v>13029.06</v>
      </c>
      <c r="L1050" s="45"/>
      <c r="M1050" s="45"/>
      <c r="N1050" s="45"/>
      <c r="O1050" s="45"/>
      <c r="P1050" s="45"/>
      <c r="Q1050" s="45"/>
      <c r="R1050" s="45"/>
      <c r="S1050" s="45"/>
      <c r="T1050" s="45"/>
      <c r="U1050" s="45"/>
      <c r="V1050" s="45"/>
      <c r="W1050" s="45"/>
      <c r="X1050" s="45"/>
      <c r="Y1050" s="45"/>
      <c r="Z1050" s="45"/>
    </row>
    <row r="1051">
      <c r="A1051" s="48" t="s">
        <v>3336</v>
      </c>
      <c r="B1051" s="48" t="s">
        <v>3337</v>
      </c>
      <c r="C1051" s="48" t="s">
        <v>3338</v>
      </c>
      <c r="D1051" s="48" t="s">
        <v>93</v>
      </c>
      <c r="E1051" s="48" t="s">
        <v>127</v>
      </c>
      <c r="F1051" s="48" t="s">
        <v>654</v>
      </c>
      <c r="G1051" s="48" t="s">
        <v>655</v>
      </c>
      <c r="H1051" s="49">
        <v>0.012059717</v>
      </c>
      <c r="I1051" s="49">
        <v>42.0</v>
      </c>
      <c r="J1051" s="49">
        <v>13025.5</v>
      </c>
      <c r="K1051" s="49">
        <v>13025.5</v>
      </c>
      <c r="L1051" s="45"/>
      <c r="M1051" s="45"/>
      <c r="N1051" s="45"/>
      <c r="O1051" s="45"/>
      <c r="P1051" s="45"/>
      <c r="Q1051" s="45"/>
      <c r="R1051" s="45"/>
      <c r="S1051" s="45"/>
      <c r="T1051" s="45"/>
      <c r="U1051" s="45"/>
      <c r="V1051" s="45"/>
      <c r="W1051" s="45"/>
      <c r="X1051" s="45"/>
      <c r="Y1051" s="45"/>
      <c r="Z1051" s="45"/>
    </row>
    <row r="1052">
      <c r="A1052" s="48" t="s">
        <v>3339</v>
      </c>
      <c r="B1052" s="49">
        <v>6268976.0</v>
      </c>
      <c r="C1052" s="48" t="s">
        <v>3340</v>
      </c>
      <c r="D1052" s="48" t="s">
        <v>93</v>
      </c>
      <c r="E1052" s="48" t="s">
        <v>99</v>
      </c>
      <c r="F1052" s="48" t="s">
        <v>629</v>
      </c>
      <c r="G1052" s="48" t="s">
        <v>630</v>
      </c>
      <c r="H1052" s="49">
        <v>0.0120593506999999</v>
      </c>
      <c r="I1052" s="49">
        <v>1169.0</v>
      </c>
      <c r="J1052" s="49">
        <v>13025.1</v>
      </c>
      <c r="K1052" s="49">
        <v>13025.1</v>
      </c>
      <c r="L1052" s="45"/>
      <c r="M1052" s="45"/>
      <c r="N1052" s="45"/>
      <c r="O1052" s="45"/>
      <c r="P1052" s="45"/>
      <c r="Q1052" s="45"/>
      <c r="R1052" s="45"/>
      <c r="S1052" s="45"/>
      <c r="T1052" s="45"/>
      <c r="U1052" s="45"/>
      <c r="V1052" s="45"/>
      <c r="W1052" s="45"/>
      <c r="X1052" s="45"/>
      <c r="Y1052" s="45"/>
      <c r="Z1052" s="45"/>
    </row>
    <row r="1053">
      <c r="A1053" s="48" t="s">
        <v>3341</v>
      </c>
      <c r="B1053" s="49">
        <v>6057378.0</v>
      </c>
      <c r="C1053" s="48" t="s">
        <v>3342</v>
      </c>
      <c r="D1053" s="48" t="s">
        <v>93</v>
      </c>
      <c r="E1053" s="48" t="s">
        <v>118</v>
      </c>
      <c r="F1053" s="48" t="s">
        <v>629</v>
      </c>
      <c r="G1053" s="48" t="s">
        <v>630</v>
      </c>
      <c r="H1053" s="49">
        <v>0.012046688</v>
      </c>
      <c r="I1053" s="49">
        <v>224.0</v>
      </c>
      <c r="J1053" s="49">
        <v>13011.43</v>
      </c>
      <c r="K1053" s="49">
        <v>13011.43</v>
      </c>
      <c r="L1053" s="45"/>
      <c r="M1053" s="45"/>
      <c r="N1053" s="45"/>
      <c r="O1053" s="45"/>
      <c r="P1053" s="45"/>
      <c r="Q1053" s="45"/>
      <c r="R1053" s="45"/>
      <c r="S1053" s="45"/>
      <c r="T1053" s="45"/>
      <c r="U1053" s="45"/>
      <c r="V1053" s="45"/>
      <c r="W1053" s="45"/>
      <c r="X1053" s="45"/>
      <c r="Y1053" s="45"/>
      <c r="Z1053" s="45"/>
    </row>
    <row r="1054">
      <c r="A1054" s="48" t="s">
        <v>3343</v>
      </c>
      <c r="B1054" s="48" t="s">
        <v>3344</v>
      </c>
      <c r="C1054" s="48" t="s">
        <v>3345</v>
      </c>
      <c r="D1054" s="48" t="s">
        <v>93</v>
      </c>
      <c r="E1054" s="48" t="s">
        <v>94</v>
      </c>
      <c r="F1054" s="48" t="s">
        <v>883</v>
      </c>
      <c r="G1054" s="48" t="s">
        <v>884</v>
      </c>
      <c r="H1054" s="49">
        <v>0.0120350142999999</v>
      </c>
      <c r="I1054" s="49">
        <v>133.0</v>
      </c>
      <c r="J1054" s="49">
        <v>12998.82</v>
      </c>
      <c r="K1054" s="49">
        <v>12998.82</v>
      </c>
      <c r="L1054" s="45"/>
      <c r="M1054" s="45"/>
      <c r="N1054" s="45"/>
      <c r="O1054" s="45"/>
      <c r="P1054" s="45"/>
      <c r="Q1054" s="45"/>
      <c r="R1054" s="45"/>
      <c r="S1054" s="45"/>
      <c r="T1054" s="45"/>
      <c r="U1054" s="45"/>
      <c r="V1054" s="45"/>
      <c r="W1054" s="45"/>
      <c r="X1054" s="45"/>
      <c r="Y1054" s="45"/>
      <c r="Z1054" s="45"/>
    </row>
    <row r="1055">
      <c r="A1055" s="48" t="s">
        <v>3346</v>
      </c>
      <c r="B1055" s="48" t="s">
        <v>3347</v>
      </c>
      <c r="C1055" s="48" t="s">
        <v>3348</v>
      </c>
      <c r="D1055" s="48" t="s">
        <v>93</v>
      </c>
      <c r="E1055" s="48" t="s">
        <v>127</v>
      </c>
      <c r="F1055" s="48" t="s">
        <v>1740</v>
      </c>
      <c r="G1055" s="48" t="s">
        <v>1741</v>
      </c>
      <c r="H1055" s="49">
        <v>0.0120186745</v>
      </c>
      <c r="I1055" s="49">
        <v>515.0</v>
      </c>
      <c r="J1055" s="49">
        <v>12981.17</v>
      </c>
      <c r="K1055" s="49">
        <v>12981.17</v>
      </c>
      <c r="L1055" s="45"/>
      <c r="M1055" s="45"/>
      <c r="N1055" s="45"/>
      <c r="O1055" s="45"/>
      <c r="P1055" s="45"/>
      <c r="Q1055" s="45"/>
      <c r="R1055" s="45"/>
      <c r="S1055" s="45"/>
      <c r="T1055" s="45"/>
      <c r="U1055" s="45"/>
      <c r="V1055" s="45"/>
      <c r="W1055" s="45"/>
      <c r="X1055" s="45"/>
      <c r="Y1055" s="45"/>
      <c r="Z1055" s="45"/>
    </row>
    <row r="1056">
      <c r="A1056" s="48" t="s">
        <v>3349</v>
      </c>
      <c r="B1056" s="48" t="s">
        <v>3350</v>
      </c>
      <c r="C1056" s="48" t="s">
        <v>3351</v>
      </c>
      <c r="D1056" s="48" t="s">
        <v>93</v>
      </c>
      <c r="E1056" s="48" t="s">
        <v>99</v>
      </c>
      <c r="F1056" s="48" t="s">
        <v>694</v>
      </c>
      <c r="G1056" s="48" t="s">
        <v>1003</v>
      </c>
      <c r="H1056" s="49">
        <v>0.0120054889</v>
      </c>
      <c r="I1056" s="49">
        <v>130.0</v>
      </c>
      <c r="J1056" s="49">
        <v>12966.93</v>
      </c>
      <c r="K1056" s="49">
        <v>12966.93</v>
      </c>
      <c r="L1056" s="45"/>
      <c r="M1056" s="45"/>
      <c r="N1056" s="45"/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45"/>
    </row>
    <row r="1057">
      <c r="A1057" s="48" t="s">
        <v>3352</v>
      </c>
      <c r="B1057" s="49">
        <v>7142091.0</v>
      </c>
      <c r="C1057" s="48" t="s">
        <v>3353</v>
      </c>
      <c r="D1057" s="48" t="s">
        <v>93</v>
      </c>
      <c r="E1057" s="48" t="s">
        <v>127</v>
      </c>
      <c r="F1057" s="48" t="s">
        <v>1740</v>
      </c>
      <c r="G1057" s="48" t="s">
        <v>1741</v>
      </c>
      <c r="H1057" s="49">
        <v>0.0119347755</v>
      </c>
      <c r="I1057" s="49">
        <v>518.0</v>
      </c>
      <c r="J1057" s="49">
        <v>12890.55</v>
      </c>
      <c r="K1057" s="49">
        <v>12890.55</v>
      </c>
      <c r="L1057" s="45"/>
      <c r="M1057" s="45"/>
      <c r="N1057" s="45"/>
      <c r="O1057" s="45"/>
      <c r="P1057" s="45"/>
      <c r="Q1057" s="45"/>
      <c r="R1057" s="45"/>
      <c r="S1057" s="45"/>
      <c r="T1057" s="45"/>
      <c r="U1057" s="45"/>
      <c r="V1057" s="45"/>
      <c r="W1057" s="45"/>
      <c r="X1057" s="45"/>
      <c r="Y1057" s="45"/>
      <c r="Z1057" s="45"/>
    </row>
    <row r="1058">
      <c r="A1058" s="48" t="s">
        <v>3354</v>
      </c>
      <c r="B1058" s="48" t="s">
        <v>3355</v>
      </c>
      <c r="C1058" s="48" t="s">
        <v>3356</v>
      </c>
      <c r="D1058" s="48" t="s">
        <v>93</v>
      </c>
      <c r="E1058" s="48" t="s">
        <v>127</v>
      </c>
      <c r="F1058" s="48" t="s">
        <v>1740</v>
      </c>
      <c r="G1058" s="48" t="s">
        <v>1741</v>
      </c>
      <c r="H1058" s="49">
        <v>0.0119208363999999</v>
      </c>
      <c r="I1058" s="49">
        <v>1115.0</v>
      </c>
      <c r="J1058" s="49">
        <v>12875.5</v>
      </c>
      <c r="K1058" s="49">
        <v>12875.5</v>
      </c>
      <c r="L1058" s="45"/>
      <c r="M1058" s="45"/>
      <c r="N1058" s="45"/>
      <c r="O1058" s="45"/>
      <c r="P1058" s="45"/>
      <c r="Q1058" s="45"/>
      <c r="R1058" s="45"/>
      <c r="S1058" s="45"/>
      <c r="T1058" s="45"/>
      <c r="U1058" s="45"/>
      <c r="V1058" s="45"/>
      <c r="W1058" s="45"/>
      <c r="X1058" s="45"/>
      <c r="Y1058" s="45"/>
      <c r="Z1058" s="45"/>
    </row>
    <row r="1059">
      <c r="A1059" s="48" t="s">
        <v>3357</v>
      </c>
      <c r="B1059" s="49">
        <v>6308913.0</v>
      </c>
      <c r="C1059" s="48" t="s">
        <v>3358</v>
      </c>
      <c r="D1059" s="48" t="s">
        <v>93</v>
      </c>
      <c r="E1059" s="48" t="s">
        <v>127</v>
      </c>
      <c r="F1059" s="48" t="s">
        <v>679</v>
      </c>
      <c r="G1059" s="48" t="s">
        <v>2438</v>
      </c>
      <c r="H1059" s="49">
        <v>0.0119154826999999</v>
      </c>
      <c r="I1059" s="49">
        <v>41.0</v>
      </c>
      <c r="J1059" s="49">
        <v>12869.71</v>
      </c>
      <c r="K1059" s="49">
        <v>12869.71</v>
      </c>
      <c r="L1059" s="45"/>
      <c r="M1059" s="45"/>
      <c r="N1059" s="45"/>
      <c r="O1059" s="45"/>
      <c r="P1059" s="45"/>
      <c r="Q1059" s="45"/>
      <c r="R1059" s="45"/>
      <c r="S1059" s="45"/>
      <c r="T1059" s="45"/>
      <c r="U1059" s="45"/>
      <c r="V1059" s="45"/>
      <c r="W1059" s="45"/>
      <c r="X1059" s="45"/>
      <c r="Y1059" s="45"/>
      <c r="Z1059" s="45"/>
    </row>
    <row r="1060">
      <c r="A1060" s="48" t="s">
        <v>3359</v>
      </c>
      <c r="B1060" s="48" t="s">
        <v>3360</v>
      </c>
      <c r="C1060" s="48" t="s">
        <v>422</v>
      </c>
      <c r="D1060" s="48" t="s">
        <v>93</v>
      </c>
      <c r="E1060" s="48" t="s">
        <v>127</v>
      </c>
      <c r="F1060" s="48" t="s">
        <v>2732</v>
      </c>
      <c r="G1060" s="48" t="s">
        <v>2733</v>
      </c>
      <c r="H1060" s="49">
        <v>0.0119114876</v>
      </c>
      <c r="I1060" s="49">
        <v>1763.0</v>
      </c>
      <c r="J1060" s="49">
        <v>12865.4</v>
      </c>
      <c r="K1060" s="49">
        <v>12865.4</v>
      </c>
      <c r="L1060" s="45"/>
      <c r="M1060" s="45"/>
      <c r="N1060" s="45"/>
      <c r="O1060" s="45"/>
      <c r="P1060" s="45"/>
      <c r="Q1060" s="45"/>
      <c r="R1060" s="45"/>
      <c r="S1060" s="45"/>
      <c r="T1060" s="45"/>
      <c r="U1060" s="45"/>
      <c r="V1060" s="45"/>
      <c r="W1060" s="45"/>
      <c r="X1060" s="45"/>
      <c r="Y1060" s="45"/>
      <c r="Z1060" s="45"/>
    </row>
    <row r="1061">
      <c r="A1061" s="48" t="s">
        <v>3361</v>
      </c>
      <c r="B1061" s="49">
        <v>2823777.0</v>
      </c>
      <c r="C1061" s="48" t="s">
        <v>3362</v>
      </c>
      <c r="D1061" s="48" t="s">
        <v>93</v>
      </c>
      <c r="E1061" s="48" t="s">
        <v>94</v>
      </c>
      <c r="F1061" s="48" t="s">
        <v>3363</v>
      </c>
      <c r="G1061" s="48" t="s">
        <v>623</v>
      </c>
      <c r="H1061" s="49">
        <v>0.0118444723</v>
      </c>
      <c r="I1061" s="49">
        <v>108.0</v>
      </c>
      <c r="J1061" s="49">
        <v>12793.02</v>
      </c>
      <c r="K1061" s="49">
        <v>12793.02</v>
      </c>
      <c r="L1061" s="45"/>
      <c r="M1061" s="45"/>
      <c r="N1061" s="45"/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  <c r="Y1061" s="45"/>
      <c r="Z1061" s="45"/>
    </row>
    <row r="1062">
      <c r="A1062" s="48" t="s">
        <v>3364</v>
      </c>
      <c r="B1062" s="49">
        <v>2659518.0</v>
      </c>
      <c r="C1062" s="48" t="s">
        <v>3365</v>
      </c>
      <c r="D1062" s="48" t="s">
        <v>93</v>
      </c>
      <c r="E1062" s="48" t="s">
        <v>99</v>
      </c>
      <c r="F1062" s="48" t="s">
        <v>694</v>
      </c>
      <c r="G1062" s="48" t="s">
        <v>1003</v>
      </c>
      <c r="H1062" s="49">
        <v>0.0117821725</v>
      </c>
      <c r="I1062" s="49">
        <v>137.0</v>
      </c>
      <c r="J1062" s="49">
        <v>12725.73</v>
      </c>
      <c r="K1062" s="49">
        <v>12725.73</v>
      </c>
      <c r="L1062" s="45"/>
      <c r="M1062" s="45"/>
      <c r="N1062" s="45"/>
      <c r="O1062" s="45"/>
      <c r="P1062" s="45"/>
      <c r="Q1062" s="45"/>
      <c r="R1062" s="45"/>
      <c r="S1062" s="45"/>
      <c r="T1062" s="45"/>
      <c r="U1062" s="45"/>
      <c r="V1062" s="45"/>
      <c r="W1062" s="45"/>
      <c r="X1062" s="45"/>
      <c r="Y1062" s="45"/>
      <c r="Z1062" s="45"/>
    </row>
    <row r="1063">
      <c r="A1063" s="48" t="s">
        <v>3366</v>
      </c>
      <c r="B1063" s="48" t="s">
        <v>3367</v>
      </c>
      <c r="C1063" s="48" t="s">
        <v>3368</v>
      </c>
      <c r="D1063" s="48" t="s">
        <v>93</v>
      </c>
      <c r="E1063" s="48" t="s">
        <v>102</v>
      </c>
      <c r="F1063" s="48" t="s">
        <v>639</v>
      </c>
      <c r="G1063" s="48" t="s">
        <v>640</v>
      </c>
      <c r="H1063" s="49">
        <v>0.0117766103</v>
      </c>
      <c r="I1063" s="49">
        <v>33.0</v>
      </c>
      <c r="J1063" s="49">
        <v>12719.72</v>
      </c>
      <c r="K1063" s="49">
        <v>12719.72</v>
      </c>
      <c r="L1063" s="45"/>
      <c r="M1063" s="45"/>
      <c r="N1063" s="45"/>
      <c r="O1063" s="45"/>
      <c r="P1063" s="45"/>
      <c r="Q1063" s="45"/>
      <c r="R1063" s="45"/>
      <c r="S1063" s="45"/>
      <c r="T1063" s="45"/>
      <c r="U1063" s="45"/>
      <c r="V1063" s="45"/>
      <c r="W1063" s="45"/>
      <c r="X1063" s="45"/>
      <c r="Y1063" s="45"/>
      <c r="Z1063" s="45"/>
    </row>
    <row r="1064">
      <c r="A1064" s="48" t="s">
        <v>3369</v>
      </c>
      <c r="B1064" s="49">
        <v>4820301.0</v>
      </c>
      <c r="C1064" s="48" t="s">
        <v>3370</v>
      </c>
      <c r="D1064" s="48" t="s">
        <v>93</v>
      </c>
      <c r="E1064" s="48" t="s">
        <v>99</v>
      </c>
      <c r="F1064" s="48" t="s">
        <v>1374</v>
      </c>
      <c r="G1064" s="48" t="s">
        <v>640</v>
      </c>
      <c r="H1064" s="49">
        <v>0.0117581517</v>
      </c>
      <c r="I1064" s="49">
        <v>39.0</v>
      </c>
      <c r="J1064" s="49">
        <v>12699.78</v>
      </c>
      <c r="K1064" s="49">
        <v>12699.78</v>
      </c>
      <c r="L1064" s="45"/>
      <c r="M1064" s="45"/>
      <c r="N1064" s="45"/>
      <c r="O1064" s="45"/>
      <c r="P1064" s="45"/>
      <c r="Q1064" s="45"/>
      <c r="R1064" s="45"/>
      <c r="S1064" s="45"/>
      <c r="T1064" s="45"/>
      <c r="U1064" s="45"/>
      <c r="V1064" s="45"/>
      <c r="W1064" s="45"/>
      <c r="X1064" s="45"/>
      <c r="Y1064" s="45"/>
      <c r="Z1064" s="45"/>
    </row>
    <row r="1065">
      <c r="A1065" s="48" t="s">
        <v>3371</v>
      </c>
      <c r="B1065" s="48" t="s">
        <v>3372</v>
      </c>
      <c r="C1065" s="48" t="s">
        <v>3373</v>
      </c>
      <c r="D1065" s="48" t="s">
        <v>93</v>
      </c>
      <c r="E1065" s="48" t="s">
        <v>170</v>
      </c>
      <c r="F1065" s="48" t="s">
        <v>1201</v>
      </c>
      <c r="G1065" s="48" t="s">
        <v>640</v>
      </c>
      <c r="H1065" s="49">
        <v>0.011736432</v>
      </c>
      <c r="I1065" s="49">
        <v>472.0</v>
      </c>
      <c r="J1065" s="49">
        <v>12676.32</v>
      </c>
      <c r="K1065" s="49">
        <v>12676.32</v>
      </c>
      <c r="L1065" s="45"/>
      <c r="M1065" s="45"/>
      <c r="N1065" s="45"/>
      <c r="O1065" s="45"/>
      <c r="P1065" s="45"/>
      <c r="Q1065" s="45"/>
      <c r="R1065" s="45"/>
      <c r="S1065" s="45"/>
      <c r="T1065" s="45"/>
      <c r="U1065" s="45"/>
      <c r="V1065" s="45"/>
      <c r="W1065" s="45"/>
      <c r="X1065" s="45"/>
      <c r="Y1065" s="45"/>
      <c r="Z1065" s="45"/>
    </row>
    <row r="1066">
      <c r="A1066" s="48" t="s">
        <v>3374</v>
      </c>
      <c r="B1066" s="48" t="s">
        <v>3375</v>
      </c>
      <c r="C1066" s="48" t="s">
        <v>3376</v>
      </c>
      <c r="D1066" s="48" t="s">
        <v>93</v>
      </c>
      <c r="E1066" s="48" t="s">
        <v>99</v>
      </c>
      <c r="F1066" s="48" t="s">
        <v>1374</v>
      </c>
      <c r="G1066" s="48" t="s">
        <v>640</v>
      </c>
      <c r="H1066" s="49">
        <v>0.0117127742</v>
      </c>
      <c r="I1066" s="49">
        <v>194.0</v>
      </c>
      <c r="J1066" s="49">
        <v>12650.77</v>
      </c>
      <c r="K1066" s="49">
        <v>12650.77</v>
      </c>
      <c r="L1066" s="45"/>
      <c r="M1066" s="45"/>
      <c r="N1066" s="45"/>
      <c r="O1066" s="45"/>
      <c r="P1066" s="45"/>
      <c r="Q1066" s="45"/>
      <c r="R1066" s="45"/>
      <c r="S1066" s="45"/>
      <c r="T1066" s="45"/>
      <c r="U1066" s="45"/>
      <c r="V1066" s="45"/>
      <c r="W1066" s="45"/>
      <c r="X1066" s="45"/>
      <c r="Y1066" s="45"/>
      <c r="Z1066" s="45"/>
    </row>
    <row r="1067">
      <c r="A1067" s="48" t="s">
        <v>3377</v>
      </c>
      <c r="B1067" s="49">
        <v>5064722.0</v>
      </c>
      <c r="C1067" s="48" t="s">
        <v>3378</v>
      </c>
      <c r="D1067" s="48" t="s">
        <v>93</v>
      </c>
      <c r="E1067" s="48" t="s">
        <v>118</v>
      </c>
      <c r="F1067" s="48" t="s">
        <v>649</v>
      </c>
      <c r="G1067" s="48" t="s">
        <v>640</v>
      </c>
      <c r="H1067" s="49">
        <v>0.011711359</v>
      </c>
      <c r="I1067" s="49">
        <v>129.0</v>
      </c>
      <c r="J1067" s="49">
        <v>12649.24</v>
      </c>
      <c r="K1067" s="49">
        <v>12649.24</v>
      </c>
      <c r="L1067" s="45"/>
      <c r="M1067" s="45"/>
      <c r="N1067" s="45"/>
      <c r="O1067" s="45"/>
      <c r="P1067" s="45"/>
      <c r="Q1067" s="45"/>
      <c r="R1067" s="45"/>
      <c r="S1067" s="45"/>
      <c r="T1067" s="45"/>
      <c r="U1067" s="45"/>
      <c r="V1067" s="45"/>
      <c r="W1067" s="45"/>
      <c r="X1067" s="45"/>
      <c r="Y1067" s="45"/>
      <c r="Z1067" s="45"/>
    </row>
    <row r="1068">
      <c r="A1068" s="48" t="s">
        <v>3379</v>
      </c>
      <c r="B1068" s="49">
        <v>946580.0</v>
      </c>
      <c r="C1068" s="48" t="s">
        <v>3380</v>
      </c>
      <c r="D1068" s="48" t="s">
        <v>93</v>
      </c>
      <c r="E1068" s="48" t="s">
        <v>127</v>
      </c>
      <c r="F1068" s="48" t="s">
        <v>918</v>
      </c>
      <c r="G1068" s="48" t="s">
        <v>908</v>
      </c>
      <c r="H1068" s="49">
        <v>0.0116682885</v>
      </c>
      <c r="I1068" s="49">
        <v>342.0</v>
      </c>
      <c r="J1068" s="49">
        <v>12602.72</v>
      </c>
      <c r="K1068" s="49">
        <v>12602.72</v>
      </c>
      <c r="L1068" s="45"/>
      <c r="M1068" s="45"/>
      <c r="N1068" s="45"/>
      <c r="O1068" s="45"/>
      <c r="P1068" s="45"/>
      <c r="Q1068" s="45"/>
      <c r="R1068" s="45"/>
      <c r="S1068" s="45"/>
      <c r="T1068" s="45"/>
      <c r="U1068" s="45"/>
      <c r="V1068" s="45"/>
      <c r="W1068" s="45"/>
      <c r="X1068" s="45"/>
      <c r="Y1068" s="45"/>
      <c r="Z1068" s="45"/>
    </row>
    <row r="1069">
      <c r="A1069" s="48" t="s">
        <v>3381</v>
      </c>
      <c r="B1069" s="48" t="s">
        <v>3382</v>
      </c>
      <c r="C1069" s="48" t="s">
        <v>3383</v>
      </c>
      <c r="D1069" s="48" t="s">
        <v>93</v>
      </c>
      <c r="E1069" s="48" t="s">
        <v>94</v>
      </c>
      <c r="F1069" s="48" t="s">
        <v>694</v>
      </c>
      <c r="G1069" s="48" t="s">
        <v>1003</v>
      </c>
      <c r="H1069" s="49">
        <v>0.0116607986</v>
      </c>
      <c r="I1069" s="49">
        <v>1616.0</v>
      </c>
      <c r="J1069" s="49">
        <v>12594.63</v>
      </c>
      <c r="K1069" s="49">
        <v>12594.63</v>
      </c>
      <c r="L1069" s="45"/>
      <c r="M1069" s="45"/>
      <c r="N1069" s="45"/>
      <c r="O1069" s="45"/>
      <c r="P1069" s="45"/>
      <c r="Q1069" s="45"/>
      <c r="R1069" s="45"/>
      <c r="S1069" s="45"/>
      <c r="T1069" s="45"/>
      <c r="U1069" s="45"/>
      <c r="V1069" s="45"/>
      <c r="W1069" s="45"/>
      <c r="X1069" s="45"/>
      <c r="Y1069" s="45"/>
      <c r="Z1069" s="45"/>
    </row>
    <row r="1070">
      <c r="A1070" s="48" t="s">
        <v>3384</v>
      </c>
      <c r="B1070" s="48" t="s">
        <v>3385</v>
      </c>
      <c r="C1070" s="48" t="s">
        <v>3338</v>
      </c>
      <c r="D1070" s="48" t="s">
        <v>93</v>
      </c>
      <c r="E1070" s="48" t="s">
        <v>127</v>
      </c>
      <c r="F1070" s="48" t="s">
        <v>654</v>
      </c>
      <c r="G1070" s="48" t="s">
        <v>655</v>
      </c>
      <c r="H1070" s="49">
        <v>0.011646241</v>
      </c>
      <c r="I1070" s="49">
        <v>39.0</v>
      </c>
      <c r="J1070" s="49">
        <v>12578.91</v>
      </c>
      <c r="K1070" s="49">
        <v>12578.91</v>
      </c>
      <c r="L1070" s="45"/>
      <c r="M1070" s="45"/>
      <c r="N1070" s="45"/>
      <c r="O1070" s="45"/>
      <c r="P1070" s="45"/>
      <c r="Q1070" s="45"/>
      <c r="R1070" s="45"/>
      <c r="S1070" s="45"/>
      <c r="T1070" s="45"/>
      <c r="U1070" s="45"/>
      <c r="V1070" s="45"/>
      <c r="W1070" s="45"/>
      <c r="X1070" s="45"/>
      <c r="Y1070" s="45"/>
      <c r="Z1070" s="45"/>
    </row>
    <row r="1071">
      <c r="A1071" s="48" t="s">
        <v>3386</v>
      </c>
      <c r="B1071" s="48" t="s">
        <v>3387</v>
      </c>
      <c r="C1071" s="48" t="s">
        <v>2736</v>
      </c>
      <c r="D1071" s="48" t="s">
        <v>93</v>
      </c>
      <c r="E1071" s="48" t="s">
        <v>127</v>
      </c>
      <c r="F1071" s="48" t="s">
        <v>1740</v>
      </c>
      <c r="G1071" s="48" t="s">
        <v>1741</v>
      </c>
      <c r="H1071" s="49">
        <v>0.0114974462</v>
      </c>
      <c r="I1071" s="49">
        <v>500.0</v>
      </c>
      <c r="J1071" s="49">
        <v>12418.2</v>
      </c>
      <c r="K1071" s="49">
        <v>12418.2</v>
      </c>
      <c r="L1071" s="45"/>
      <c r="M1071" s="45"/>
      <c r="N1071" s="45"/>
      <c r="O1071" s="45"/>
      <c r="P1071" s="45"/>
      <c r="Q1071" s="45"/>
      <c r="R1071" s="45"/>
      <c r="S1071" s="45"/>
      <c r="T1071" s="45"/>
      <c r="U1071" s="45"/>
      <c r="V1071" s="45"/>
      <c r="W1071" s="45"/>
      <c r="X1071" s="45"/>
      <c r="Y1071" s="45"/>
      <c r="Z1071" s="45"/>
    </row>
    <row r="1072">
      <c r="A1072" s="48" t="s">
        <v>3388</v>
      </c>
      <c r="B1072" s="49">
        <v>5271782.0</v>
      </c>
      <c r="C1072" s="48" t="s">
        <v>3389</v>
      </c>
      <c r="D1072" s="48" t="s">
        <v>93</v>
      </c>
      <c r="E1072" s="48" t="s">
        <v>170</v>
      </c>
      <c r="F1072" s="48" t="s">
        <v>1201</v>
      </c>
      <c r="G1072" s="48" t="s">
        <v>640</v>
      </c>
      <c r="H1072" s="49">
        <v>0.0114808568</v>
      </c>
      <c r="I1072" s="49">
        <v>373.0</v>
      </c>
      <c r="J1072" s="49">
        <v>12400.28</v>
      </c>
      <c r="K1072" s="49">
        <v>12400.28</v>
      </c>
      <c r="L1072" s="45"/>
      <c r="M1072" s="45"/>
      <c r="N1072" s="45"/>
      <c r="O1072" s="45"/>
      <c r="P1072" s="45"/>
      <c r="Q1072" s="45"/>
      <c r="R1072" s="45"/>
      <c r="S1072" s="45"/>
      <c r="T1072" s="45"/>
      <c r="U1072" s="45"/>
      <c r="V1072" s="45"/>
      <c r="W1072" s="45"/>
      <c r="X1072" s="45"/>
      <c r="Y1072" s="45"/>
      <c r="Z1072" s="45"/>
    </row>
    <row r="1073">
      <c r="A1073" s="48" t="s">
        <v>3390</v>
      </c>
      <c r="B1073" s="49">
        <v>6173694.0</v>
      </c>
      <c r="C1073" s="48" t="s">
        <v>3391</v>
      </c>
      <c r="D1073" s="48" t="s">
        <v>93</v>
      </c>
      <c r="E1073" s="48" t="s">
        <v>121</v>
      </c>
      <c r="F1073" s="48" t="s">
        <v>629</v>
      </c>
      <c r="G1073" s="48" t="s">
        <v>630</v>
      </c>
      <c r="H1073" s="49">
        <v>0.0114640662999999</v>
      </c>
      <c r="I1073" s="49">
        <v>224.0</v>
      </c>
      <c r="J1073" s="49">
        <v>12382.15</v>
      </c>
      <c r="K1073" s="49">
        <v>12382.15</v>
      </c>
      <c r="L1073" s="45"/>
      <c r="M1073" s="45"/>
      <c r="N1073" s="45"/>
      <c r="O1073" s="45"/>
      <c r="P1073" s="45"/>
      <c r="Q1073" s="45"/>
      <c r="R1073" s="45"/>
      <c r="S1073" s="45"/>
      <c r="T1073" s="45"/>
      <c r="U1073" s="45"/>
      <c r="V1073" s="45"/>
      <c r="W1073" s="45"/>
      <c r="X1073" s="45"/>
      <c r="Y1073" s="45"/>
      <c r="Z1073" s="45"/>
    </row>
    <row r="1074">
      <c r="A1074" s="48" t="s">
        <v>3392</v>
      </c>
      <c r="B1074" s="48" t="s">
        <v>3393</v>
      </c>
      <c r="C1074" s="48" t="s">
        <v>3394</v>
      </c>
      <c r="D1074" s="48" t="s">
        <v>93</v>
      </c>
      <c r="E1074" s="48" t="s">
        <v>170</v>
      </c>
      <c r="F1074" s="48" t="s">
        <v>2732</v>
      </c>
      <c r="G1074" s="48" t="s">
        <v>2733</v>
      </c>
      <c r="H1074" s="49">
        <v>0.0113920688</v>
      </c>
      <c r="I1074" s="49">
        <v>2534.0</v>
      </c>
      <c r="J1074" s="49">
        <v>12304.38</v>
      </c>
      <c r="K1074" s="49">
        <v>12304.38</v>
      </c>
      <c r="L1074" s="45"/>
      <c r="M1074" s="45"/>
      <c r="N1074" s="45"/>
      <c r="O1074" s="45"/>
      <c r="P1074" s="45"/>
      <c r="Q1074" s="45"/>
      <c r="R1074" s="45"/>
      <c r="S1074" s="45"/>
      <c r="T1074" s="45"/>
      <c r="U1074" s="45"/>
      <c r="V1074" s="45"/>
      <c r="W1074" s="45"/>
      <c r="X1074" s="45"/>
      <c r="Y1074" s="45"/>
      <c r="Z1074" s="45"/>
    </row>
    <row r="1075">
      <c r="A1075" s="48" t="s">
        <v>3395</v>
      </c>
      <c r="B1075" s="49">
        <v>6405870.0</v>
      </c>
      <c r="C1075" s="48" t="s">
        <v>3396</v>
      </c>
      <c r="D1075" s="48" t="s">
        <v>93</v>
      </c>
      <c r="E1075" s="48" t="s">
        <v>167</v>
      </c>
      <c r="F1075" s="48" t="s">
        <v>629</v>
      </c>
      <c r="G1075" s="48" t="s">
        <v>630</v>
      </c>
      <c r="H1075" s="49">
        <v>0.0113682404</v>
      </c>
      <c r="I1075" s="49">
        <v>182.0</v>
      </c>
      <c r="J1075" s="49">
        <v>12278.65</v>
      </c>
      <c r="K1075" s="49">
        <v>12278.65</v>
      </c>
      <c r="L1075" s="45"/>
      <c r="M1075" s="45"/>
      <c r="N1075" s="45"/>
      <c r="O1075" s="45"/>
      <c r="P1075" s="45"/>
      <c r="Q1075" s="45"/>
      <c r="R1075" s="45"/>
      <c r="S1075" s="45"/>
      <c r="T1075" s="45"/>
      <c r="U1075" s="45"/>
      <c r="V1075" s="45"/>
      <c r="W1075" s="45"/>
      <c r="X1075" s="45"/>
      <c r="Y1075" s="45"/>
      <c r="Z1075" s="45"/>
    </row>
    <row r="1076">
      <c r="A1076" s="48" t="s">
        <v>3397</v>
      </c>
      <c r="B1076" s="48" t="s">
        <v>3398</v>
      </c>
      <c r="C1076" s="48" t="s">
        <v>3399</v>
      </c>
      <c r="D1076" s="48" t="s">
        <v>93</v>
      </c>
      <c r="E1076" s="48" t="s">
        <v>115</v>
      </c>
      <c r="F1076" s="48" t="s">
        <v>629</v>
      </c>
      <c r="G1076" s="48" t="s">
        <v>630</v>
      </c>
      <c r="H1076" s="49">
        <v>0.0113329999</v>
      </c>
      <c r="I1076" s="49">
        <v>332.0</v>
      </c>
      <c r="J1076" s="49">
        <v>12240.58</v>
      </c>
      <c r="K1076" s="49">
        <v>12240.58</v>
      </c>
      <c r="L1076" s="45"/>
      <c r="M1076" s="45"/>
      <c r="N1076" s="45"/>
      <c r="O1076" s="45"/>
      <c r="P1076" s="45"/>
      <c r="Q1076" s="45"/>
      <c r="R1076" s="45"/>
      <c r="S1076" s="45"/>
      <c r="T1076" s="45"/>
      <c r="U1076" s="45"/>
      <c r="V1076" s="45"/>
      <c r="W1076" s="45"/>
      <c r="X1076" s="45"/>
      <c r="Y1076" s="45"/>
      <c r="Z1076" s="45"/>
    </row>
    <row r="1077">
      <c r="A1077" s="48" t="s">
        <v>3400</v>
      </c>
      <c r="B1077" s="48" t="s">
        <v>3401</v>
      </c>
      <c r="C1077" s="48" t="s">
        <v>3402</v>
      </c>
      <c r="D1077" s="48" t="s">
        <v>93</v>
      </c>
      <c r="E1077" s="48" t="s">
        <v>99</v>
      </c>
      <c r="F1077" s="48" t="s">
        <v>822</v>
      </c>
      <c r="G1077" s="48" t="s">
        <v>623</v>
      </c>
      <c r="H1077" s="49">
        <v>0.011286492</v>
      </c>
      <c r="I1077" s="49">
        <v>137.0</v>
      </c>
      <c r="J1077" s="49">
        <v>12190.35</v>
      </c>
      <c r="K1077" s="49">
        <v>12190.35</v>
      </c>
      <c r="L1077" s="45"/>
      <c r="M1077" s="45"/>
      <c r="N1077" s="45"/>
      <c r="O1077" s="45"/>
      <c r="P1077" s="45"/>
      <c r="Q1077" s="45"/>
      <c r="R1077" s="45"/>
      <c r="S1077" s="45"/>
      <c r="T1077" s="45"/>
      <c r="U1077" s="45"/>
      <c r="V1077" s="45"/>
      <c r="W1077" s="45"/>
      <c r="X1077" s="45"/>
      <c r="Y1077" s="45"/>
      <c r="Z1077" s="45"/>
    </row>
    <row r="1078">
      <c r="A1078" s="48" t="s">
        <v>3403</v>
      </c>
      <c r="B1078" s="49">
        <v>6455530.0</v>
      </c>
      <c r="C1078" s="48" t="s">
        <v>3404</v>
      </c>
      <c r="D1078" s="48" t="s">
        <v>93</v>
      </c>
      <c r="E1078" s="48" t="s">
        <v>94</v>
      </c>
      <c r="F1078" s="48" t="s">
        <v>679</v>
      </c>
      <c r="G1078" s="48" t="s">
        <v>2438</v>
      </c>
      <c r="H1078" s="49">
        <v>0.0112240070999999</v>
      </c>
      <c r="I1078" s="49">
        <v>1363.0</v>
      </c>
      <c r="J1078" s="49">
        <v>12122.86</v>
      </c>
      <c r="K1078" s="49">
        <v>12122.86</v>
      </c>
      <c r="L1078" s="45"/>
      <c r="M1078" s="45"/>
      <c r="N1078" s="45"/>
      <c r="O1078" s="45"/>
      <c r="P1078" s="45"/>
      <c r="Q1078" s="45"/>
      <c r="R1078" s="45"/>
      <c r="S1078" s="45"/>
      <c r="T1078" s="45"/>
      <c r="U1078" s="45"/>
      <c r="V1078" s="45"/>
      <c r="W1078" s="45"/>
      <c r="X1078" s="45"/>
      <c r="Y1078" s="45"/>
      <c r="Z1078" s="45"/>
    </row>
    <row r="1079">
      <c r="A1079" s="48" t="s">
        <v>3405</v>
      </c>
      <c r="B1079" s="49">
        <v>2117599.0</v>
      </c>
      <c r="C1079" s="48" t="s">
        <v>3406</v>
      </c>
      <c r="D1079" s="48" t="s">
        <v>93</v>
      </c>
      <c r="E1079" s="48" t="s">
        <v>133</v>
      </c>
      <c r="F1079" s="48" t="s">
        <v>694</v>
      </c>
      <c r="G1079" s="48" t="s">
        <v>1003</v>
      </c>
      <c r="H1079" s="49">
        <v>0.0112207394</v>
      </c>
      <c r="I1079" s="49">
        <v>220.0</v>
      </c>
      <c r="J1079" s="49">
        <v>12119.33</v>
      </c>
      <c r="K1079" s="49">
        <v>12119.33</v>
      </c>
      <c r="L1079" s="45"/>
      <c r="M1079" s="45"/>
      <c r="N1079" s="45"/>
      <c r="O1079" s="45"/>
      <c r="P1079" s="45"/>
      <c r="Q1079" s="45"/>
      <c r="R1079" s="45"/>
      <c r="S1079" s="45"/>
      <c r="T1079" s="45"/>
      <c r="U1079" s="45"/>
      <c r="V1079" s="45"/>
      <c r="W1079" s="45"/>
      <c r="X1079" s="45"/>
      <c r="Y1079" s="45"/>
      <c r="Z1079" s="45"/>
    </row>
    <row r="1080">
      <c r="A1080" s="48" t="s">
        <v>3407</v>
      </c>
      <c r="B1080" s="49">
        <v>2669272.0</v>
      </c>
      <c r="C1080" s="48" t="s">
        <v>3408</v>
      </c>
      <c r="D1080" s="48" t="s">
        <v>93</v>
      </c>
      <c r="E1080" s="48" t="s">
        <v>94</v>
      </c>
      <c r="F1080" s="48" t="s">
        <v>694</v>
      </c>
      <c r="G1080" s="48" t="s">
        <v>1003</v>
      </c>
      <c r="H1080" s="49">
        <v>0.0112118106</v>
      </c>
      <c r="I1080" s="49">
        <v>503.0</v>
      </c>
      <c r="J1080" s="49">
        <v>12109.69</v>
      </c>
      <c r="K1080" s="49">
        <v>12109.69</v>
      </c>
      <c r="L1080" s="45"/>
      <c r="M1080" s="45"/>
      <c r="N1080" s="45"/>
      <c r="O1080" s="45"/>
      <c r="P1080" s="45"/>
      <c r="Q1080" s="45"/>
      <c r="R1080" s="45"/>
      <c r="S1080" s="45"/>
      <c r="T1080" s="45"/>
      <c r="U1080" s="45"/>
      <c r="V1080" s="45"/>
      <c r="W1080" s="45"/>
      <c r="X1080" s="45"/>
      <c r="Y1080" s="45"/>
      <c r="Z1080" s="45"/>
    </row>
    <row r="1081">
      <c r="A1081" s="48" t="s">
        <v>3409</v>
      </c>
      <c r="B1081" s="48" t="s">
        <v>3410</v>
      </c>
      <c r="C1081" s="48" t="s">
        <v>3411</v>
      </c>
      <c r="D1081" s="48" t="s">
        <v>93</v>
      </c>
      <c r="E1081" s="48" t="s">
        <v>118</v>
      </c>
      <c r="F1081" s="48" t="s">
        <v>649</v>
      </c>
      <c r="G1081" s="48" t="s">
        <v>640</v>
      </c>
      <c r="H1081" s="49">
        <v>0.0111655372</v>
      </c>
      <c r="I1081" s="49">
        <v>311.0</v>
      </c>
      <c r="J1081" s="49">
        <v>12059.71</v>
      </c>
      <c r="K1081" s="49">
        <v>12059.71</v>
      </c>
      <c r="L1081" s="45"/>
      <c r="M1081" s="45"/>
      <c r="N1081" s="45"/>
      <c r="O1081" s="45"/>
      <c r="P1081" s="45"/>
      <c r="Q1081" s="45"/>
      <c r="R1081" s="45"/>
      <c r="S1081" s="45"/>
      <c r="T1081" s="45"/>
      <c r="U1081" s="45"/>
      <c r="V1081" s="45"/>
      <c r="W1081" s="45"/>
      <c r="X1081" s="45"/>
      <c r="Y1081" s="45"/>
      <c r="Z1081" s="45"/>
    </row>
    <row r="1082">
      <c r="A1082" s="48" t="s">
        <v>3412</v>
      </c>
      <c r="B1082" s="49">
        <v>6487425.0</v>
      </c>
      <c r="C1082" s="48" t="s">
        <v>3413</v>
      </c>
      <c r="D1082" s="48" t="s">
        <v>93</v>
      </c>
      <c r="E1082" s="48" t="s">
        <v>127</v>
      </c>
      <c r="F1082" s="48" t="s">
        <v>629</v>
      </c>
      <c r="G1082" s="48" t="s">
        <v>630</v>
      </c>
      <c r="H1082" s="49">
        <v>0.0111251945999999</v>
      </c>
      <c r="I1082" s="49">
        <v>208.0</v>
      </c>
      <c r="J1082" s="49">
        <v>12016.14</v>
      </c>
      <c r="K1082" s="49">
        <v>12016.14</v>
      </c>
      <c r="L1082" s="45"/>
      <c r="M1082" s="45"/>
      <c r="N1082" s="45"/>
      <c r="O1082" s="45"/>
      <c r="P1082" s="45"/>
      <c r="Q1082" s="45"/>
      <c r="R1082" s="45"/>
      <c r="S1082" s="45"/>
      <c r="T1082" s="45"/>
      <c r="U1082" s="45"/>
      <c r="V1082" s="45"/>
      <c r="W1082" s="45"/>
      <c r="X1082" s="45"/>
      <c r="Y1082" s="45"/>
      <c r="Z1082" s="45"/>
    </row>
    <row r="1083">
      <c r="A1083" s="48" t="s">
        <v>3414</v>
      </c>
      <c r="B1083" s="49">
        <v>6569527.0</v>
      </c>
      <c r="C1083" s="48" t="s">
        <v>3415</v>
      </c>
      <c r="D1083" s="48" t="s">
        <v>93</v>
      </c>
      <c r="E1083" s="48" t="s">
        <v>99</v>
      </c>
      <c r="F1083" s="48" t="s">
        <v>629</v>
      </c>
      <c r="G1083" s="48" t="s">
        <v>630</v>
      </c>
      <c r="H1083" s="49">
        <v>0.0111164724</v>
      </c>
      <c r="I1083" s="49">
        <v>449.0</v>
      </c>
      <c r="J1083" s="49">
        <v>12006.72</v>
      </c>
      <c r="K1083" s="49">
        <v>12006.72</v>
      </c>
      <c r="L1083" s="45"/>
      <c r="M1083" s="45"/>
      <c r="N1083" s="45"/>
      <c r="O1083" s="45"/>
      <c r="P1083" s="45"/>
      <c r="Q1083" s="45"/>
      <c r="R1083" s="45"/>
      <c r="S1083" s="45"/>
      <c r="T1083" s="45"/>
      <c r="U1083" s="45"/>
      <c r="V1083" s="45"/>
      <c r="W1083" s="45"/>
      <c r="X1083" s="45"/>
      <c r="Y1083" s="45"/>
      <c r="Z1083" s="45"/>
    </row>
    <row r="1084">
      <c r="A1084" s="48" t="s">
        <v>3416</v>
      </c>
      <c r="B1084" s="49">
        <v>2172286.0</v>
      </c>
      <c r="C1084" s="48" t="s">
        <v>3417</v>
      </c>
      <c r="D1084" s="48" t="s">
        <v>93</v>
      </c>
      <c r="E1084" s="48" t="s">
        <v>118</v>
      </c>
      <c r="F1084" s="48" t="s">
        <v>694</v>
      </c>
      <c r="G1084" s="48" t="s">
        <v>1003</v>
      </c>
      <c r="H1084" s="49">
        <v>0.0110974063</v>
      </c>
      <c r="I1084" s="49">
        <v>70.0</v>
      </c>
      <c r="J1084" s="49">
        <v>11986.12</v>
      </c>
      <c r="K1084" s="49">
        <v>11986.12</v>
      </c>
      <c r="L1084" s="45"/>
      <c r="M1084" s="45"/>
      <c r="N1084" s="45"/>
      <c r="O1084" s="45"/>
      <c r="P1084" s="45"/>
      <c r="Q1084" s="45"/>
      <c r="R1084" s="45"/>
      <c r="S1084" s="45"/>
      <c r="T1084" s="45"/>
      <c r="U1084" s="45"/>
      <c r="V1084" s="45"/>
      <c r="W1084" s="45"/>
      <c r="X1084" s="45"/>
      <c r="Y1084" s="45"/>
      <c r="Z1084" s="45"/>
    </row>
    <row r="1085">
      <c r="A1085" s="48" t="s">
        <v>3418</v>
      </c>
      <c r="B1085" s="48" t="s">
        <v>3419</v>
      </c>
      <c r="C1085" s="48" t="s">
        <v>3420</v>
      </c>
      <c r="D1085" s="48" t="s">
        <v>93</v>
      </c>
      <c r="E1085" s="48" t="s">
        <v>127</v>
      </c>
      <c r="F1085" s="48" t="s">
        <v>694</v>
      </c>
      <c r="G1085" s="48" t="s">
        <v>1003</v>
      </c>
      <c r="H1085" s="49">
        <v>0.0110727397</v>
      </c>
      <c r="I1085" s="49">
        <v>232.0</v>
      </c>
      <c r="J1085" s="49">
        <v>11959.48</v>
      </c>
      <c r="K1085" s="49">
        <v>11959.48</v>
      </c>
      <c r="L1085" s="45"/>
      <c r="M1085" s="45"/>
      <c r="N1085" s="45"/>
      <c r="O1085" s="45"/>
      <c r="P1085" s="45"/>
      <c r="Q1085" s="45"/>
      <c r="R1085" s="45"/>
      <c r="S1085" s="45"/>
      <c r="T1085" s="45"/>
      <c r="U1085" s="45"/>
      <c r="V1085" s="45"/>
      <c r="W1085" s="45"/>
      <c r="X1085" s="45"/>
      <c r="Y1085" s="45"/>
      <c r="Z1085" s="45"/>
    </row>
    <row r="1086">
      <c r="A1086" s="48" t="s">
        <v>3421</v>
      </c>
      <c r="B1086" s="49">
        <v>6492968.0</v>
      </c>
      <c r="C1086" s="48" t="s">
        <v>3422</v>
      </c>
      <c r="D1086" s="48" t="s">
        <v>93</v>
      </c>
      <c r="E1086" s="48" t="s">
        <v>127</v>
      </c>
      <c r="F1086" s="48" t="s">
        <v>629</v>
      </c>
      <c r="G1086" s="48" t="s">
        <v>630</v>
      </c>
      <c r="H1086" s="49">
        <v>0.011001364</v>
      </c>
      <c r="I1086" s="49">
        <v>259.0</v>
      </c>
      <c r="J1086" s="49">
        <v>11882.39</v>
      </c>
      <c r="K1086" s="49">
        <v>11882.39</v>
      </c>
      <c r="L1086" s="45"/>
      <c r="M1086" s="45"/>
      <c r="N1086" s="45"/>
      <c r="O1086" s="45"/>
      <c r="P1086" s="45"/>
      <c r="Q1086" s="45"/>
      <c r="R1086" s="45"/>
      <c r="S1086" s="45"/>
      <c r="T1086" s="45"/>
      <c r="U1086" s="45"/>
      <c r="V1086" s="45"/>
      <c r="W1086" s="45"/>
      <c r="X1086" s="45"/>
      <c r="Y1086" s="45"/>
      <c r="Z1086" s="45"/>
    </row>
    <row r="1087">
      <c r="A1087" s="48" t="s">
        <v>3423</v>
      </c>
      <c r="B1087" s="48" t="s">
        <v>3424</v>
      </c>
      <c r="C1087" s="48" t="s">
        <v>3425</v>
      </c>
      <c r="D1087" s="48" t="s">
        <v>93</v>
      </c>
      <c r="E1087" s="48" t="s">
        <v>127</v>
      </c>
      <c r="F1087" s="48" t="s">
        <v>1352</v>
      </c>
      <c r="G1087" s="48" t="s">
        <v>640</v>
      </c>
      <c r="H1087" s="49">
        <v>0.0109982711</v>
      </c>
      <c r="I1087" s="49">
        <v>520.0</v>
      </c>
      <c r="J1087" s="49">
        <v>11879.05</v>
      </c>
      <c r="K1087" s="49">
        <v>11879.05</v>
      </c>
      <c r="L1087" s="45"/>
      <c r="M1087" s="45"/>
      <c r="N1087" s="45"/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45"/>
    </row>
    <row r="1088">
      <c r="A1088" s="48" t="s">
        <v>3426</v>
      </c>
      <c r="B1088" s="49">
        <v>4525189.0</v>
      </c>
      <c r="C1088" s="48" t="s">
        <v>685</v>
      </c>
      <c r="D1088" s="48" t="s">
        <v>93</v>
      </c>
      <c r="E1088" s="48" t="s">
        <v>127</v>
      </c>
      <c r="F1088" s="48" t="s">
        <v>686</v>
      </c>
      <c r="G1088" s="48" t="s">
        <v>640</v>
      </c>
      <c r="H1088" s="49">
        <v>0.0109912569</v>
      </c>
      <c r="I1088" s="49">
        <v>629.0</v>
      </c>
      <c r="J1088" s="49">
        <v>11871.47</v>
      </c>
      <c r="K1088" s="49">
        <v>11871.47</v>
      </c>
      <c r="L1088" s="45"/>
      <c r="M1088" s="45"/>
      <c r="N1088" s="45"/>
      <c r="O1088" s="45"/>
      <c r="P1088" s="45"/>
      <c r="Q1088" s="45"/>
      <c r="R1088" s="45"/>
      <c r="S1088" s="45"/>
      <c r="T1088" s="45"/>
      <c r="U1088" s="45"/>
      <c r="V1088" s="45"/>
      <c r="W1088" s="45"/>
      <c r="X1088" s="45"/>
      <c r="Y1088" s="45"/>
      <c r="Z1088" s="45"/>
    </row>
    <row r="1089">
      <c r="A1089" s="48" t="s">
        <v>3427</v>
      </c>
      <c r="B1089" s="49">
        <v>6793821.0</v>
      </c>
      <c r="C1089" s="48" t="s">
        <v>3428</v>
      </c>
      <c r="D1089" s="48" t="s">
        <v>93</v>
      </c>
      <c r="E1089" s="48" t="s">
        <v>118</v>
      </c>
      <c r="F1089" s="48" t="s">
        <v>629</v>
      </c>
      <c r="G1089" s="48" t="s">
        <v>630</v>
      </c>
      <c r="H1089" s="49">
        <v>0.0109901581999999</v>
      </c>
      <c r="I1089" s="49">
        <v>508.0</v>
      </c>
      <c r="J1089" s="49">
        <v>11870.29</v>
      </c>
      <c r="K1089" s="49">
        <v>11870.29</v>
      </c>
      <c r="L1089" s="45"/>
      <c r="M1089" s="45"/>
      <c r="N1089" s="45"/>
      <c r="O1089" s="45"/>
      <c r="P1089" s="45"/>
      <c r="Q1089" s="45"/>
      <c r="R1089" s="45"/>
      <c r="S1089" s="45"/>
      <c r="T1089" s="45"/>
      <c r="U1089" s="45"/>
      <c r="V1089" s="45"/>
      <c r="W1089" s="45"/>
      <c r="X1089" s="45"/>
      <c r="Y1089" s="45"/>
      <c r="Z1089" s="45"/>
    </row>
    <row r="1090">
      <c r="A1090" s="48" t="s">
        <v>3429</v>
      </c>
      <c r="B1090" s="48" t="s">
        <v>3430</v>
      </c>
      <c r="C1090" s="48" t="s">
        <v>3431</v>
      </c>
      <c r="D1090" s="48" t="s">
        <v>93</v>
      </c>
      <c r="E1090" s="48" t="s">
        <v>121</v>
      </c>
      <c r="F1090" s="48" t="s">
        <v>3432</v>
      </c>
      <c r="G1090" s="48" t="s">
        <v>1741</v>
      </c>
      <c r="H1090" s="49">
        <v>0.0108532404</v>
      </c>
      <c r="I1090" s="49">
        <v>467.0</v>
      </c>
      <c r="J1090" s="49">
        <v>11722.4</v>
      </c>
      <c r="K1090" s="49">
        <v>11722.4</v>
      </c>
      <c r="L1090" s="45"/>
      <c r="M1090" s="45"/>
      <c r="N1090" s="45"/>
      <c r="O1090" s="45"/>
      <c r="P1090" s="45"/>
      <c r="Q1090" s="45"/>
      <c r="R1090" s="45"/>
      <c r="S1090" s="45"/>
      <c r="T1090" s="45"/>
      <c r="U1090" s="45"/>
      <c r="V1090" s="45"/>
      <c r="W1090" s="45"/>
      <c r="X1090" s="45"/>
      <c r="Y1090" s="45"/>
      <c r="Z1090" s="45"/>
    </row>
    <row r="1091">
      <c r="A1091" s="48" t="s">
        <v>3433</v>
      </c>
      <c r="B1091" s="49">
        <v>6594143.0</v>
      </c>
      <c r="C1091" s="48" t="s">
        <v>3434</v>
      </c>
      <c r="D1091" s="48" t="s">
        <v>93</v>
      </c>
      <c r="E1091" s="48" t="s">
        <v>127</v>
      </c>
      <c r="F1091" s="48" t="s">
        <v>629</v>
      </c>
      <c r="G1091" s="48" t="s">
        <v>630</v>
      </c>
      <c r="H1091" s="49">
        <v>0.010780671</v>
      </c>
      <c r="I1091" s="49">
        <v>317.0</v>
      </c>
      <c r="J1091" s="49">
        <v>11644.02</v>
      </c>
      <c r="K1091" s="49">
        <v>11644.02</v>
      </c>
      <c r="L1091" s="45"/>
      <c r="M1091" s="45"/>
      <c r="N1091" s="45"/>
      <c r="O1091" s="45"/>
      <c r="P1091" s="45"/>
      <c r="Q1091" s="45"/>
      <c r="R1091" s="45"/>
      <c r="S1091" s="45"/>
      <c r="T1091" s="45"/>
      <c r="U1091" s="45"/>
      <c r="V1091" s="45"/>
      <c r="W1091" s="45"/>
      <c r="X1091" s="45"/>
      <c r="Y1091" s="45"/>
      <c r="Z1091" s="45"/>
    </row>
    <row r="1092">
      <c r="A1092" s="48" t="s">
        <v>3435</v>
      </c>
      <c r="B1092" s="49">
        <v>3319521.0</v>
      </c>
      <c r="C1092" s="48" t="s">
        <v>3436</v>
      </c>
      <c r="D1092" s="48" t="s">
        <v>93</v>
      </c>
      <c r="E1092" s="48" t="s">
        <v>118</v>
      </c>
      <c r="F1092" s="48" t="s">
        <v>918</v>
      </c>
      <c r="G1092" s="48" t="s">
        <v>908</v>
      </c>
      <c r="H1092" s="49">
        <v>0.0107271549999999</v>
      </c>
      <c r="I1092" s="49">
        <v>2744.0</v>
      </c>
      <c r="J1092" s="49">
        <v>11586.22</v>
      </c>
      <c r="K1092" s="49">
        <v>11586.22</v>
      </c>
      <c r="L1092" s="45"/>
      <c r="M1092" s="45"/>
      <c r="N1092" s="45"/>
      <c r="O1092" s="45"/>
      <c r="P1092" s="45"/>
      <c r="Q1092" s="45"/>
      <c r="R1092" s="45"/>
      <c r="S1092" s="45"/>
      <c r="T1092" s="45"/>
      <c r="U1092" s="45"/>
      <c r="V1092" s="45"/>
      <c r="W1092" s="45"/>
      <c r="X1092" s="45"/>
      <c r="Y1092" s="45"/>
      <c r="Z1092" s="45"/>
    </row>
    <row r="1093">
      <c r="A1093" s="48" t="s">
        <v>3437</v>
      </c>
      <c r="B1093" s="49">
        <v>6895169.0</v>
      </c>
      <c r="C1093" s="48" t="s">
        <v>3438</v>
      </c>
      <c r="D1093" s="48" t="s">
        <v>93</v>
      </c>
      <c r="E1093" s="48" t="s">
        <v>127</v>
      </c>
      <c r="F1093" s="48" t="s">
        <v>629</v>
      </c>
      <c r="G1093" s="48" t="s">
        <v>630</v>
      </c>
      <c r="H1093" s="49">
        <v>0.0107231266</v>
      </c>
      <c r="I1093" s="49">
        <v>273.0</v>
      </c>
      <c r="J1093" s="49">
        <v>11581.87</v>
      </c>
      <c r="K1093" s="49">
        <v>11581.87</v>
      </c>
      <c r="L1093" s="45"/>
      <c r="M1093" s="45"/>
      <c r="N1093" s="45"/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  <c r="Y1093" s="45"/>
      <c r="Z1093" s="45"/>
    </row>
    <row r="1094">
      <c r="A1094" s="48" t="s">
        <v>3439</v>
      </c>
      <c r="B1094" s="48" t="s">
        <v>3440</v>
      </c>
      <c r="C1094" s="48" t="s">
        <v>3441</v>
      </c>
      <c r="D1094" s="48" t="s">
        <v>93</v>
      </c>
      <c r="E1094" s="48" t="s">
        <v>121</v>
      </c>
      <c r="F1094" s="48" t="s">
        <v>918</v>
      </c>
      <c r="G1094" s="48" t="s">
        <v>908</v>
      </c>
      <c r="H1094" s="49">
        <v>0.0107186127</v>
      </c>
      <c r="I1094" s="49">
        <v>1090.0</v>
      </c>
      <c r="J1094" s="49">
        <v>11577.0</v>
      </c>
      <c r="K1094" s="49">
        <v>11577.0</v>
      </c>
      <c r="L1094" s="45"/>
      <c r="M1094" s="45"/>
      <c r="N1094" s="45"/>
      <c r="O1094" s="45"/>
      <c r="P1094" s="45"/>
      <c r="Q1094" s="45"/>
      <c r="R1094" s="45"/>
      <c r="S1094" s="45"/>
      <c r="T1094" s="45"/>
      <c r="U1094" s="45"/>
      <c r="V1094" s="45"/>
      <c r="W1094" s="45"/>
      <c r="X1094" s="45"/>
      <c r="Y1094" s="45"/>
      <c r="Z1094" s="45"/>
    </row>
    <row r="1095">
      <c r="A1095" s="48" t="s">
        <v>3442</v>
      </c>
      <c r="B1095" s="49">
        <v>4490005.0</v>
      </c>
      <c r="C1095" s="48" t="s">
        <v>3443</v>
      </c>
      <c r="D1095" s="48" t="s">
        <v>93</v>
      </c>
      <c r="E1095" s="48" t="s">
        <v>124</v>
      </c>
      <c r="F1095" s="48" t="s">
        <v>686</v>
      </c>
      <c r="G1095" s="48" t="s">
        <v>640</v>
      </c>
      <c r="H1095" s="49">
        <v>0.0107180075</v>
      </c>
      <c r="I1095" s="49">
        <v>395.0</v>
      </c>
      <c r="J1095" s="49">
        <v>11576.34</v>
      </c>
      <c r="K1095" s="49">
        <v>11576.34</v>
      </c>
      <c r="L1095" s="45"/>
      <c r="M1095" s="45"/>
      <c r="N1095" s="45"/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45"/>
    </row>
    <row r="1096">
      <c r="A1096" s="48" t="s">
        <v>3444</v>
      </c>
      <c r="B1096" s="49">
        <v>45614.0</v>
      </c>
      <c r="C1096" s="48" t="s">
        <v>3445</v>
      </c>
      <c r="D1096" s="48" t="s">
        <v>93</v>
      </c>
      <c r="E1096" s="48" t="s">
        <v>94</v>
      </c>
      <c r="F1096" s="48" t="s">
        <v>3446</v>
      </c>
      <c r="G1096" s="48" t="s">
        <v>908</v>
      </c>
      <c r="H1096" s="49">
        <v>0.0106715555</v>
      </c>
      <c r="I1096" s="49">
        <v>427.0</v>
      </c>
      <c r="J1096" s="49">
        <v>11526.17</v>
      </c>
      <c r="K1096" s="49">
        <v>11526.17</v>
      </c>
      <c r="L1096" s="45"/>
      <c r="M1096" s="45"/>
      <c r="N1096" s="45"/>
      <c r="O1096" s="45"/>
      <c r="P1096" s="45"/>
      <c r="Q1096" s="45"/>
      <c r="R1096" s="45"/>
      <c r="S1096" s="45"/>
      <c r="T1096" s="45"/>
      <c r="U1096" s="45"/>
      <c r="V1096" s="45"/>
      <c r="W1096" s="45"/>
      <c r="X1096" s="45"/>
      <c r="Y1096" s="45"/>
      <c r="Z1096" s="45"/>
    </row>
    <row r="1097">
      <c r="A1097" s="48" t="s">
        <v>3447</v>
      </c>
      <c r="B1097" s="49">
        <v>5756030.0</v>
      </c>
      <c r="C1097" s="48" t="s">
        <v>1762</v>
      </c>
      <c r="D1097" s="48" t="s">
        <v>93</v>
      </c>
      <c r="E1097" s="48" t="s">
        <v>118</v>
      </c>
      <c r="F1097" s="48" t="s">
        <v>649</v>
      </c>
      <c r="G1097" s="48" t="s">
        <v>640</v>
      </c>
      <c r="H1097" s="49">
        <v>0.0106617087</v>
      </c>
      <c r="I1097" s="49">
        <v>76.0</v>
      </c>
      <c r="J1097" s="49">
        <v>11515.53</v>
      </c>
      <c r="K1097" s="49">
        <v>11515.53</v>
      </c>
      <c r="L1097" s="45"/>
      <c r="M1097" s="45"/>
      <c r="N1097" s="45"/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  <c r="Y1097" s="45"/>
      <c r="Z1097" s="45"/>
    </row>
    <row r="1098">
      <c r="A1098" s="48" t="s">
        <v>3448</v>
      </c>
      <c r="B1098" s="49">
        <v>6534161.0</v>
      </c>
      <c r="C1098" s="48" t="s">
        <v>3449</v>
      </c>
      <c r="D1098" s="48" t="s">
        <v>93</v>
      </c>
      <c r="E1098" s="48" t="s">
        <v>167</v>
      </c>
      <c r="F1098" s="48" t="s">
        <v>679</v>
      </c>
      <c r="G1098" s="48" t="s">
        <v>2438</v>
      </c>
      <c r="H1098" s="49">
        <v>0.0106236631</v>
      </c>
      <c r="I1098" s="49">
        <v>67.0</v>
      </c>
      <c r="J1098" s="49">
        <v>11474.44</v>
      </c>
      <c r="K1098" s="49">
        <v>11474.44</v>
      </c>
      <c r="L1098" s="45"/>
      <c r="M1098" s="45"/>
      <c r="N1098" s="45"/>
      <c r="O1098" s="45"/>
      <c r="P1098" s="45"/>
      <c r="Q1098" s="45"/>
      <c r="R1098" s="45"/>
      <c r="S1098" s="45"/>
      <c r="T1098" s="45"/>
      <c r="U1098" s="45"/>
      <c r="V1098" s="45"/>
      <c r="W1098" s="45"/>
      <c r="X1098" s="45"/>
      <c r="Y1098" s="45"/>
      <c r="Z1098" s="45"/>
    </row>
    <row r="1099">
      <c r="A1099" s="48" t="s">
        <v>3450</v>
      </c>
      <c r="B1099" s="49">
        <v>4253048.0</v>
      </c>
      <c r="C1099" s="48" t="s">
        <v>3251</v>
      </c>
      <c r="D1099" s="48" t="s">
        <v>93</v>
      </c>
      <c r="E1099" s="48" t="s">
        <v>127</v>
      </c>
      <c r="F1099" s="48" t="s">
        <v>883</v>
      </c>
      <c r="G1099" s="48" t="s">
        <v>884</v>
      </c>
      <c r="H1099" s="49">
        <v>0.010619282</v>
      </c>
      <c r="I1099" s="49">
        <v>4.0</v>
      </c>
      <c r="J1099" s="49">
        <v>11469.71</v>
      </c>
      <c r="K1099" s="49">
        <v>11469.71</v>
      </c>
      <c r="L1099" s="45"/>
      <c r="M1099" s="45"/>
      <c r="N1099" s="45"/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  <c r="Y1099" s="45"/>
      <c r="Z1099" s="45"/>
    </row>
    <row r="1100">
      <c r="A1100" s="48" t="s">
        <v>3451</v>
      </c>
      <c r="B1100" s="49">
        <v>6149457.0</v>
      </c>
      <c r="C1100" s="48" t="s">
        <v>3452</v>
      </c>
      <c r="D1100" s="48" t="s">
        <v>93</v>
      </c>
      <c r="E1100" s="48" t="s">
        <v>124</v>
      </c>
      <c r="F1100" s="48" t="s">
        <v>629</v>
      </c>
      <c r="G1100" s="48" t="s">
        <v>630</v>
      </c>
      <c r="H1100" s="49">
        <v>0.0106006258</v>
      </c>
      <c r="I1100" s="49">
        <v>163.0</v>
      </c>
      <c r="J1100" s="49">
        <v>11449.56</v>
      </c>
      <c r="K1100" s="49">
        <v>11449.56</v>
      </c>
      <c r="L1100" s="45"/>
      <c r="M1100" s="45"/>
      <c r="N1100" s="45"/>
      <c r="O1100" s="45"/>
      <c r="P1100" s="45"/>
      <c r="Q1100" s="45"/>
      <c r="R1100" s="45"/>
      <c r="S1100" s="45"/>
      <c r="T1100" s="45"/>
      <c r="U1100" s="45"/>
      <c r="V1100" s="45"/>
      <c r="W1100" s="45"/>
      <c r="X1100" s="45"/>
      <c r="Y1100" s="45"/>
      <c r="Z1100" s="45"/>
    </row>
    <row r="1101">
      <c r="A1101" s="48" t="s">
        <v>3453</v>
      </c>
      <c r="B1101" s="49">
        <v>6805317.0</v>
      </c>
      <c r="C1101" s="48" t="s">
        <v>3454</v>
      </c>
      <c r="D1101" s="48" t="s">
        <v>93</v>
      </c>
      <c r="E1101" s="48" t="s">
        <v>133</v>
      </c>
      <c r="F1101" s="48" t="s">
        <v>629</v>
      </c>
      <c r="G1101" s="48" t="s">
        <v>630</v>
      </c>
      <c r="H1101" s="49">
        <v>0.0105688077</v>
      </c>
      <c r="I1101" s="49">
        <v>793.0</v>
      </c>
      <c r="J1101" s="49">
        <v>11415.19</v>
      </c>
      <c r="K1101" s="49">
        <v>11415.19</v>
      </c>
      <c r="L1101" s="45"/>
      <c r="M1101" s="45"/>
      <c r="N1101" s="45"/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45"/>
    </row>
    <row r="1102">
      <c r="A1102" s="48" t="s">
        <v>3455</v>
      </c>
      <c r="B1102" s="49">
        <v>6470986.0</v>
      </c>
      <c r="C1102" s="48" t="s">
        <v>3456</v>
      </c>
      <c r="D1102" s="48" t="s">
        <v>93</v>
      </c>
      <c r="E1102" s="48" t="s">
        <v>94</v>
      </c>
      <c r="F1102" s="48" t="s">
        <v>629</v>
      </c>
      <c r="G1102" s="48" t="s">
        <v>630</v>
      </c>
      <c r="H1102" s="49">
        <v>0.0105501119</v>
      </c>
      <c r="I1102" s="49">
        <v>267.0</v>
      </c>
      <c r="J1102" s="49">
        <v>11395.0</v>
      </c>
      <c r="K1102" s="49">
        <v>11395.0</v>
      </c>
      <c r="L1102" s="45"/>
      <c r="M1102" s="45"/>
      <c r="N1102" s="45"/>
      <c r="O1102" s="45"/>
      <c r="P1102" s="45"/>
      <c r="Q1102" s="45"/>
      <c r="R1102" s="45"/>
      <c r="S1102" s="45"/>
      <c r="T1102" s="45"/>
      <c r="U1102" s="45"/>
      <c r="V1102" s="45"/>
      <c r="W1102" s="45"/>
      <c r="X1102" s="45"/>
      <c r="Y1102" s="45"/>
      <c r="Z1102" s="45"/>
    </row>
    <row r="1103">
      <c r="A1103" s="48" t="s">
        <v>3457</v>
      </c>
      <c r="B1103" s="49">
        <v>6309466.0</v>
      </c>
      <c r="C1103" s="48" t="s">
        <v>3458</v>
      </c>
      <c r="D1103" s="48" t="s">
        <v>93</v>
      </c>
      <c r="E1103" s="48" t="s">
        <v>99</v>
      </c>
      <c r="F1103" s="48" t="s">
        <v>629</v>
      </c>
      <c r="G1103" s="48" t="s">
        <v>630</v>
      </c>
      <c r="H1103" s="49">
        <v>0.0105165239</v>
      </c>
      <c r="I1103" s="49">
        <v>328.0</v>
      </c>
      <c r="J1103" s="49">
        <v>11358.72</v>
      </c>
      <c r="K1103" s="49">
        <v>11358.72</v>
      </c>
      <c r="L1103" s="45"/>
      <c r="M1103" s="45"/>
      <c r="N1103" s="45"/>
      <c r="O1103" s="45"/>
      <c r="P1103" s="45"/>
      <c r="Q1103" s="45"/>
      <c r="R1103" s="45"/>
      <c r="S1103" s="45"/>
      <c r="T1103" s="45"/>
      <c r="U1103" s="45"/>
      <c r="V1103" s="45"/>
      <c r="W1103" s="45"/>
      <c r="X1103" s="45"/>
      <c r="Y1103" s="45"/>
      <c r="Z1103" s="45"/>
    </row>
    <row r="1104">
      <c r="A1104" s="48" t="s">
        <v>3459</v>
      </c>
      <c r="B1104" s="48" t="s">
        <v>3460</v>
      </c>
      <c r="C1104" s="48" t="s">
        <v>3461</v>
      </c>
      <c r="D1104" s="48" t="s">
        <v>93</v>
      </c>
      <c r="E1104" s="48" t="s">
        <v>118</v>
      </c>
      <c r="F1104" s="48" t="s">
        <v>1740</v>
      </c>
      <c r="G1104" s="48" t="s">
        <v>1741</v>
      </c>
      <c r="H1104" s="49">
        <v>0.0105141949</v>
      </c>
      <c r="I1104" s="49">
        <v>288.0</v>
      </c>
      <c r="J1104" s="49">
        <v>11356.21</v>
      </c>
      <c r="K1104" s="49">
        <v>11356.21</v>
      </c>
      <c r="L1104" s="45"/>
      <c r="M1104" s="45"/>
      <c r="N1104" s="45"/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45"/>
    </row>
    <row r="1105">
      <c r="A1105" s="48" t="s">
        <v>3462</v>
      </c>
      <c r="B1105" s="48" t="s">
        <v>3463</v>
      </c>
      <c r="C1105" s="48" t="s">
        <v>3464</v>
      </c>
      <c r="D1105" s="48" t="s">
        <v>93</v>
      </c>
      <c r="E1105" s="48" t="s">
        <v>99</v>
      </c>
      <c r="F1105" s="48" t="s">
        <v>918</v>
      </c>
      <c r="G1105" s="48" t="s">
        <v>908</v>
      </c>
      <c r="H1105" s="49">
        <v>0.0104907232</v>
      </c>
      <c r="I1105" s="49">
        <v>242.0</v>
      </c>
      <c r="J1105" s="49">
        <v>11330.86</v>
      </c>
      <c r="K1105" s="49">
        <v>11330.86</v>
      </c>
      <c r="L1105" s="45"/>
      <c r="M1105" s="45"/>
      <c r="N1105" s="45"/>
      <c r="O1105" s="45"/>
      <c r="P1105" s="45"/>
      <c r="Q1105" s="45"/>
      <c r="R1105" s="45"/>
      <c r="S1105" s="45"/>
      <c r="T1105" s="45"/>
      <c r="U1105" s="45"/>
      <c r="V1105" s="45"/>
      <c r="W1105" s="45"/>
      <c r="X1105" s="45"/>
      <c r="Y1105" s="45"/>
      <c r="Z1105" s="45"/>
    </row>
    <row r="1106">
      <c r="A1106" s="48" t="s">
        <v>3465</v>
      </c>
      <c r="B1106" s="49">
        <v>6747367.0</v>
      </c>
      <c r="C1106" s="48" t="s">
        <v>3466</v>
      </c>
      <c r="D1106" s="48" t="s">
        <v>93</v>
      </c>
      <c r="E1106" s="48" t="s">
        <v>124</v>
      </c>
      <c r="F1106" s="48" t="s">
        <v>629</v>
      </c>
      <c r="G1106" s="48" t="s">
        <v>630</v>
      </c>
      <c r="H1106" s="49">
        <v>0.0104529072</v>
      </c>
      <c r="I1106" s="49">
        <v>269.0</v>
      </c>
      <c r="J1106" s="49">
        <v>11290.01</v>
      </c>
      <c r="K1106" s="49">
        <v>11290.01</v>
      </c>
      <c r="L1106" s="45"/>
      <c r="M1106" s="45"/>
      <c r="N1106" s="45"/>
      <c r="O1106" s="45"/>
      <c r="P1106" s="45"/>
      <c r="Q1106" s="45"/>
      <c r="R1106" s="45"/>
      <c r="S1106" s="45"/>
      <c r="T1106" s="45"/>
      <c r="U1106" s="45"/>
      <c r="V1106" s="45"/>
      <c r="W1106" s="45"/>
      <c r="X1106" s="45"/>
      <c r="Y1106" s="45"/>
      <c r="Z1106" s="45"/>
    </row>
    <row r="1107">
      <c r="A1107" s="48" t="s">
        <v>3467</v>
      </c>
      <c r="B1107" s="49">
        <v>4902384.0</v>
      </c>
      <c r="C1107" s="48" t="s">
        <v>3468</v>
      </c>
      <c r="D1107" s="48" t="s">
        <v>93</v>
      </c>
      <c r="E1107" s="48" t="s">
        <v>127</v>
      </c>
      <c r="F1107" s="48" t="s">
        <v>1740</v>
      </c>
      <c r="G1107" s="48" t="s">
        <v>1741</v>
      </c>
      <c r="H1107" s="49">
        <v>0.0104014941</v>
      </c>
      <c r="I1107" s="49">
        <v>293.0</v>
      </c>
      <c r="J1107" s="49">
        <v>11234.48</v>
      </c>
      <c r="K1107" s="49">
        <v>11234.48</v>
      </c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45"/>
    </row>
    <row r="1108">
      <c r="A1108" s="48" t="s">
        <v>3469</v>
      </c>
      <c r="B1108" s="49">
        <v>5579550.0</v>
      </c>
      <c r="C1108" s="48" t="s">
        <v>3470</v>
      </c>
      <c r="D1108" s="48" t="s">
        <v>93</v>
      </c>
      <c r="E1108" s="48" t="s">
        <v>170</v>
      </c>
      <c r="F1108" s="48" t="s">
        <v>686</v>
      </c>
      <c r="G1108" s="48" t="s">
        <v>640</v>
      </c>
      <c r="H1108" s="49">
        <v>0.0103846445</v>
      </c>
      <c r="I1108" s="49">
        <v>564.0</v>
      </c>
      <c r="J1108" s="49">
        <v>11216.28</v>
      </c>
      <c r="K1108" s="49">
        <v>11216.28</v>
      </c>
      <c r="L1108" s="45"/>
      <c r="M1108" s="45"/>
      <c r="N1108" s="45"/>
      <c r="O1108" s="45"/>
      <c r="P1108" s="45"/>
      <c r="Q1108" s="45"/>
      <c r="R1108" s="45"/>
      <c r="S1108" s="45"/>
      <c r="T1108" s="45"/>
      <c r="U1108" s="45"/>
      <c r="V1108" s="45"/>
      <c r="W1108" s="45"/>
      <c r="X1108" s="45"/>
      <c r="Y1108" s="45"/>
      <c r="Z1108" s="45"/>
    </row>
    <row r="1109">
      <c r="A1109" s="48" t="s">
        <v>3471</v>
      </c>
      <c r="B1109" s="48" t="s">
        <v>3472</v>
      </c>
      <c r="C1109" s="48" t="s">
        <v>3473</v>
      </c>
      <c r="D1109" s="48" t="s">
        <v>93</v>
      </c>
      <c r="E1109" s="48" t="s">
        <v>167</v>
      </c>
      <c r="F1109" s="48" t="s">
        <v>679</v>
      </c>
      <c r="G1109" s="48" t="s">
        <v>623</v>
      </c>
      <c r="H1109" s="49">
        <v>0.0103818069</v>
      </c>
      <c r="I1109" s="49">
        <v>80.0</v>
      </c>
      <c r="J1109" s="49">
        <v>11213.22</v>
      </c>
      <c r="K1109" s="49">
        <v>11213.22</v>
      </c>
      <c r="L1109" s="45"/>
      <c r="M1109" s="45"/>
      <c r="N1109" s="45"/>
      <c r="O1109" s="45"/>
      <c r="P1109" s="45"/>
      <c r="Q1109" s="45"/>
      <c r="R1109" s="45"/>
      <c r="S1109" s="45"/>
      <c r="T1109" s="45"/>
      <c r="U1109" s="45"/>
      <c r="V1109" s="45"/>
      <c r="W1109" s="45"/>
      <c r="X1109" s="45"/>
      <c r="Y1109" s="45"/>
      <c r="Z1109" s="45"/>
    </row>
    <row r="1110">
      <c r="A1110" s="48" t="s">
        <v>3474</v>
      </c>
      <c r="B1110" s="48" t="s">
        <v>3475</v>
      </c>
      <c r="C1110" s="48" t="s">
        <v>3476</v>
      </c>
      <c r="D1110" s="48" t="s">
        <v>93</v>
      </c>
      <c r="E1110" s="48" t="s">
        <v>167</v>
      </c>
      <c r="F1110" s="48" t="s">
        <v>629</v>
      </c>
      <c r="G1110" s="48" t="s">
        <v>630</v>
      </c>
      <c r="H1110" s="49">
        <v>0.0103716116</v>
      </c>
      <c r="I1110" s="49">
        <v>314.0</v>
      </c>
      <c r="J1110" s="49">
        <v>11202.21</v>
      </c>
      <c r="K1110" s="49">
        <v>11202.21</v>
      </c>
      <c r="L1110" s="45"/>
      <c r="M1110" s="45"/>
      <c r="N1110" s="45"/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45"/>
    </row>
    <row r="1111">
      <c r="A1111" s="48" t="s">
        <v>3477</v>
      </c>
      <c r="B1111" s="48" t="s">
        <v>3478</v>
      </c>
      <c r="C1111" s="48" t="s">
        <v>3479</v>
      </c>
      <c r="D1111" s="48" t="s">
        <v>93</v>
      </c>
      <c r="E1111" s="48" t="s">
        <v>170</v>
      </c>
      <c r="F1111" s="48" t="s">
        <v>694</v>
      </c>
      <c r="G1111" s="48" t="s">
        <v>1003</v>
      </c>
      <c r="H1111" s="49">
        <v>0.0103670969</v>
      </c>
      <c r="I1111" s="49">
        <v>365.0</v>
      </c>
      <c r="J1111" s="49">
        <v>11197.33</v>
      </c>
      <c r="K1111" s="49">
        <v>11197.33</v>
      </c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45"/>
    </row>
    <row r="1112">
      <c r="A1112" s="48" t="s">
        <v>3480</v>
      </c>
      <c r="B1112" s="48" t="s">
        <v>3481</v>
      </c>
      <c r="C1112" s="48" t="s">
        <v>3247</v>
      </c>
      <c r="D1112" s="48" t="s">
        <v>93</v>
      </c>
      <c r="E1112" s="48" t="s">
        <v>121</v>
      </c>
      <c r="F1112" s="48" t="s">
        <v>622</v>
      </c>
      <c r="G1112" s="48" t="s">
        <v>623</v>
      </c>
      <c r="H1112" s="49">
        <v>0.0103332919</v>
      </c>
      <c r="I1112" s="49">
        <v>242.0</v>
      </c>
      <c r="J1112" s="49">
        <v>11160.82</v>
      </c>
      <c r="K1112" s="49">
        <v>11160.82</v>
      </c>
      <c r="L1112" s="45"/>
      <c r="M1112" s="45"/>
      <c r="N1112" s="45"/>
      <c r="O1112" s="45"/>
      <c r="P1112" s="45"/>
      <c r="Q1112" s="45"/>
      <c r="R1112" s="45"/>
      <c r="S1112" s="45"/>
      <c r="T1112" s="45"/>
      <c r="U1112" s="45"/>
      <c r="V1112" s="45"/>
      <c r="W1112" s="45"/>
      <c r="X1112" s="45"/>
      <c r="Y1112" s="45"/>
      <c r="Z1112" s="45"/>
    </row>
    <row r="1113">
      <c r="A1113" s="48" t="s">
        <v>3482</v>
      </c>
      <c r="B1113" s="49">
        <v>6190563.0</v>
      </c>
      <c r="C1113" s="48" t="s">
        <v>3483</v>
      </c>
      <c r="D1113" s="48" t="s">
        <v>93</v>
      </c>
      <c r="E1113" s="48" t="s">
        <v>99</v>
      </c>
      <c r="F1113" s="48" t="s">
        <v>629</v>
      </c>
      <c r="G1113" s="48" t="s">
        <v>630</v>
      </c>
      <c r="H1113" s="49">
        <v>0.0103070758</v>
      </c>
      <c r="I1113" s="49">
        <v>932.0</v>
      </c>
      <c r="J1113" s="49">
        <v>11132.5</v>
      </c>
      <c r="K1113" s="49">
        <v>11132.5</v>
      </c>
      <c r="L1113" s="45"/>
      <c r="M1113" s="45"/>
      <c r="N1113" s="45"/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45"/>
    </row>
    <row r="1114">
      <c r="A1114" s="48" t="s">
        <v>3484</v>
      </c>
      <c r="B1114" s="48" t="s">
        <v>3485</v>
      </c>
      <c r="C1114" s="48" t="s">
        <v>3486</v>
      </c>
      <c r="D1114" s="48" t="s">
        <v>93</v>
      </c>
      <c r="E1114" s="48" t="s">
        <v>99</v>
      </c>
      <c r="F1114" s="48" t="s">
        <v>918</v>
      </c>
      <c r="G1114" s="48" t="s">
        <v>908</v>
      </c>
      <c r="H1114" s="49">
        <v>0.0102938368</v>
      </c>
      <c r="I1114" s="49">
        <v>2883.0</v>
      </c>
      <c r="J1114" s="49">
        <v>11118.2</v>
      </c>
      <c r="K1114" s="49">
        <v>11118.2</v>
      </c>
      <c r="L1114" s="45"/>
      <c r="M1114" s="45"/>
      <c r="N1114" s="45"/>
      <c r="O1114" s="45"/>
      <c r="P1114" s="45"/>
      <c r="Q1114" s="45"/>
      <c r="R1114" s="45"/>
      <c r="S1114" s="45"/>
      <c r="T1114" s="45"/>
      <c r="U1114" s="45"/>
      <c r="V1114" s="45"/>
      <c r="W1114" s="45"/>
      <c r="X1114" s="45"/>
      <c r="Y1114" s="45"/>
      <c r="Z1114" s="45"/>
    </row>
    <row r="1115">
      <c r="A1115" s="48" t="s">
        <v>3487</v>
      </c>
      <c r="B1115" s="49">
        <v>81180.0</v>
      </c>
      <c r="C1115" s="48" t="s">
        <v>3488</v>
      </c>
      <c r="D1115" s="48" t="s">
        <v>93</v>
      </c>
      <c r="E1115" s="48" t="s">
        <v>118</v>
      </c>
      <c r="F1115" s="48" t="s">
        <v>918</v>
      </c>
      <c r="G1115" s="48" t="s">
        <v>908</v>
      </c>
      <c r="H1115" s="49">
        <v>0.0102632345</v>
      </c>
      <c r="I1115" s="49">
        <v>1234.0</v>
      </c>
      <c r="J1115" s="49">
        <v>11085.15</v>
      </c>
      <c r="K1115" s="49">
        <v>11085.15</v>
      </c>
      <c r="L1115" s="45"/>
      <c r="M1115" s="45"/>
      <c r="N1115" s="45"/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45"/>
    </row>
    <row r="1116">
      <c r="A1116" s="48" t="s">
        <v>3489</v>
      </c>
      <c r="B1116" s="48" t="s">
        <v>3490</v>
      </c>
      <c r="C1116" s="48" t="s">
        <v>3491</v>
      </c>
      <c r="D1116" s="48" t="s">
        <v>93</v>
      </c>
      <c r="E1116" s="48" t="s">
        <v>133</v>
      </c>
      <c r="F1116" s="48" t="s">
        <v>645</v>
      </c>
      <c r="G1116" s="48" t="s">
        <v>646</v>
      </c>
      <c r="H1116" s="49">
        <v>0.01025701</v>
      </c>
      <c r="I1116" s="49">
        <v>5082.0</v>
      </c>
      <c r="J1116" s="49">
        <v>11078.43</v>
      </c>
      <c r="K1116" s="49">
        <v>11078.43</v>
      </c>
      <c r="L1116" s="45"/>
      <c r="M1116" s="45"/>
      <c r="N1116" s="45"/>
      <c r="O1116" s="45"/>
      <c r="P1116" s="45"/>
      <c r="Q1116" s="45"/>
      <c r="R1116" s="45"/>
      <c r="S1116" s="45"/>
      <c r="T1116" s="45"/>
      <c r="U1116" s="45"/>
      <c r="V1116" s="45"/>
      <c r="W1116" s="45"/>
      <c r="X1116" s="45"/>
      <c r="Y1116" s="45"/>
      <c r="Z1116" s="45"/>
    </row>
    <row r="1117">
      <c r="A1117" s="48" t="s">
        <v>3492</v>
      </c>
      <c r="B1117" s="49">
        <v>2112226.0</v>
      </c>
      <c r="C1117" s="48" t="s">
        <v>3493</v>
      </c>
      <c r="D1117" s="48" t="s">
        <v>93</v>
      </c>
      <c r="E1117" s="48" t="s">
        <v>124</v>
      </c>
      <c r="F1117" s="48" t="s">
        <v>694</v>
      </c>
      <c r="G1117" s="48" t="s">
        <v>1003</v>
      </c>
      <c r="H1117" s="49">
        <v>0.0102502408999999</v>
      </c>
      <c r="I1117" s="49">
        <v>335.0</v>
      </c>
      <c r="J1117" s="49">
        <v>11071.11</v>
      </c>
      <c r="K1117" s="49">
        <v>11071.11</v>
      </c>
      <c r="L1117" s="45"/>
      <c r="M1117" s="45"/>
      <c r="N1117" s="45"/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45"/>
    </row>
    <row r="1118">
      <c r="A1118" s="48" t="s">
        <v>3494</v>
      </c>
      <c r="B1118" s="49">
        <v>6656106.0</v>
      </c>
      <c r="C1118" s="48" t="s">
        <v>3495</v>
      </c>
      <c r="D1118" s="48" t="s">
        <v>93</v>
      </c>
      <c r="E1118" s="48" t="s">
        <v>127</v>
      </c>
      <c r="F1118" s="48" t="s">
        <v>629</v>
      </c>
      <c r="G1118" s="48" t="s">
        <v>630</v>
      </c>
      <c r="H1118" s="49">
        <v>0.0101447095</v>
      </c>
      <c r="I1118" s="49">
        <v>447.0</v>
      </c>
      <c r="J1118" s="49">
        <v>10957.13</v>
      </c>
      <c r="K1118" s="49">
        <v>10957.13</v>
      </c>
      <c r="L1118" s="45"/>
      <c r="M1118" s="45"/>
      <c r="N1118" s="45"/>
      <c r="O1118" s="45"/>
      <c r="P1118" s="45"/>
      <c r="Q1118" s="45"/>
      <c r="R1118" s="45"/>
      <c r="S1118" s="45"/>
      <c r="T1118" s="45"/>
      <c r="U1118" s="45"/>
      <c r="V1118" s="45"/>
      <c r="W1118" s="45"/>
      <c r="X1118" s="45"/>
      <c r="Y1118" s="45"/>
      <c r="Z1118" s="45"/>
    </row>
    <row r="1119">
      <c r="A1119" s="48" t="s">
        <v>3496</v>
      </c>
      <c r="B1119" s="48" t="s">
        <v>3497</v>
      </c>
      <c r="C1119" s="48" t="s">
        <v>3498</v>
      </c>
      <c r="D1119" s="48" t="s">
        <v>93</v>
      </c>
      <c r="E1119" s="48" t="s">
        <v>133</v>
      </c>
      <c r="F1119" s="48" t="s">
        <v>1740</v>
      </c>
      <c r="G1119" s="48" t="s">
        <v>1741</v>
      </c>
      <c r="H1119" s="49">
        <v>0.0101102599</v>
      </c>
      <c r="I1119" s="49">
        <v>359.0</v>
      </c>
      <c r="J1119" s="49">
        <v>10919.92</v>
      </c>
      <c r="K1119" s="49">
        <v>10919.92</v>
      </c>
      <c r="L1119" s="45"/>
      <c r="M1119" s="45"/>
      <c r="N1119" s="45"/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45"/>
    </row>
    <row r="1120">
      <c r="A1120" s="48" t="s">
        <v>3499</v>
      </c>
      <c r="B1120" s="49">
        <v>6125286.0</v>
      </c>
      <c r="C1120" s="48" t="s">
        <v>3500</v>
      </c>
      <c r="D1120" s="48" t="s">
        <v>93</v>
      </c>
      <c r="E1120" s="48" t="s">
        <v>167</v>
      </c>
      <c r="F1120" s="48" t="s">
        <v>629</v>
      </c>
      <c r="G1120" s="48" t="s">
        <v>630</v>
      </c>
      <c r="H1120" s="49">
        <v>0.0100851704</v>
      </c>
      <c r="I1120" s="49">
        <v>179.0</v>
      </c>
      <c r="J1120" s="49">
        <v>10892.82</v>
      </c>
      <c r="K1120" s="49">
        <v>10892.82</v>
      </c>
      <c r="L1120" s="45"/>
      <c r="M1120" s="45"/>
      <c r="N1120" s="45"/>
      <c r="O1120" s="45"/>
      <c r="P1120" s="45"/>
      <c r="Q1120" s="45"/>
      <c r="R1120" s="45"/>
      <c r="S1120" s="45"/>
      <c r="T1120" s="45"/>
      <c r="U1120" s="45"/>
      <c r="V1120" s="45"/>
      <c r="W1120" s="45"/>
      <c r="X1120" s="45"/>
      <c r="Y1120" s="45"/>
      <c r="Z1120" s="45"/>
    </row>
    <row r="1121">
      <c r="A1121" s="48" t="s">
        <v>3501</v>
      </c>
      <c r="B1121" s="48" t="s">
        <v>3502</v>
      </c>
      <c r="C1121" s="48" t="s">
        <v>3503</v>
      </c>
      <c r="D1121" s="48" t="s">
        <v>93</v>
      </c>
      <c r="E1121" s="48" t="s">
        <v>99</v>
      </c>
      <c r="F1121" s="48" t="s">
        <v>629</v>
      </c>
      <c r="G1121" s="48" t="s">
        <v>630</v>
      </c>
      <c r="H1121" s="49">
        <v>0.0100831306</v>
      </c>
      <c r="I1121" s="49">
        <v>1434.0</v>
      </c>
      <c r="J1121" s="49">
        <v>10890.62</v>
      </c>
      <c r="K1121" s="49">
        <v>10890.62</v>
      </c>
      <c r="L1121" s="45"/>
      <c r="M1121" s="45"/>
      <c r="N1121" s="45"/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  <c r="Y1121" s="45"/>
      <c r="Z1121" s="45"/>
    </row>
    <row r="1122">
      <c r="A1122" s="48" t="s">
        <v>3504</v>
      </c>
      <c r="B1122" s="48" t="s">
        <v>3505</v>
      </c>
      <c r="C1122" s="48" t="s">
        <v>3506</v>
      </c>
      <c r="D1122" s="48" t="s">
        <v>93</v>
      </c>
      <c r="E1122" s="48" t="s">
        <v>127</v>
      </c>
      <c r="F1122" s="48" t="s">
        <v>918</v>
      </c>
      <c r="G1122" s="48" t="s">
        <v>908</v>
      </c>
      <c r="H1122" s="49">
        <v>0.0100210203</v>
      </c>
      <c r="I1122" s="49">
        <v>338.0</v>
      </c>
      <c r="J1122" s="49">
        <v>10823.54</v>
      </c>
      <c r="K1122" s="49">
        <v>10823.54</v>
      </c>
      <c r="L1122" s="45"/>
      <c r="M1122" s="45"/>
      <c r="N1122" s="45"/>
      <c r="O1122" s="45"/>
      <c r="P1122" s="45"/>
      <c r="Q1122" s="45"/>
      <c r="R1122" s="45"/>
      <c r="S1122" s="45"/>
      <c r="T1122" s="45"/>
      <c r="U1122" s="45"/>
      <c r="V1122" s="45"/>
      <c r="W1122" s="45"/>
      <c r="X1122" s="45"/>
      <c r="Y1122" s="45"/>
      <c r="Z1122" s="45"/>
    </row>
    <row r="1123">
      <c r="A1123" s="48" t="s">
        <v>3507</v>
      </c>
      <c r="B1123" s="49">
        <v>5978384.0</v>
      </c>
      <c r="C1123" s="48" t="s">
        <v>3508</v>
      </c>
      <c r="D1123" s="48" t="s">
        <v>93</v>
      </c>
      <c r="E1123" s="48" t="s">
        <v>121</v>
      </c>
      <c r="F1123" s="48" t="s">
        <v>1740</v>
      </c>
      <c r="G1123" s="48" t="s">
        <v>1741</v>
      </c>
      <c r="H1123" s="49">
        <v>0.0099993677</v>
      </c>
      <c r="I1123" s="49">
        <v>3240.0</v>
      </c>
      <c r="J1123" s="49">
        <v>10800.15</v>
      </c>
      <c r="K1123" s="49">
        <v>10800.15</v>
      </c>
      <c r="L1123" s="45"/>
      <c r="M1123" s="45"/>
      <c r="N1123" s="45"/>
      <c r="O1123" s="45"/>
      <c r="P1123" s="45"/>
      <c r="Q1123" s="45"/>
      <c r="R1123" s="45"/>
      <c r="S1123" s="45"/>
      <c r="T1123" s="45"/>
      <c r="U1123" s="45"/>
      <c r="V1123" s="45"/>
      <c r="W1123" s="45"/>
      <c r="X1123" s="45"/>
      <c r="Y1123" s="45"/>
      <c r="Z1123" s="45"/>
    </row>
    <row r="1124">
      <c r="A1124" s="48" t="s">
        <v>3509</v>
      </c>
      <c r="B1124" s="49">
        <v>5473113.0</v>
      </c>
      <c r="C1124" s="48" t="s">
        <v>3510</v>
      </c>
      <c r="D1124" s="48" t="s">
        <v>93</v>
      </c>
      <c r="E1124" s="48" t="s">
        <v>99</v>
      </c>
      <c r="F1124" s="48" t="s">
        <v>2967</v>
      </c>
      <c r="G1124" s="48" t="s">
        <v>2968</v>
      </c>
      <c r="H1124" s="49">
        <v>0.0099974285</v>
      </c>
      <c r="I1124" s="49">
        <v>297.0</v>
      </c>
      <c r="J1124" s="49">
        <v>10798.06</v>
      </c>
      <c r="K1124" s="49">
        <v>10798.06</v>
      </c>
      <c r="L1124" s="45"/>
      <c r="M1124" s="45"/>
      <c r="N1124" s="45"/>
      <c r="O1124" s="45"/>
      <c r="P1124" s="45"/>
      <c r="Q1124" s="45"/>
      <c r="R1124" s="45"/>
      <c r="S1124" s="45"/>
      <c r="T1124" s="45"/>
      <c r="U1124" s="45"/>
      <c r="V1124" s="45"/>
      <c r="W1124" s="45"/>
      <c r="X1124" s="45"/>
      <c r="Y1124" s="45"/>
      <c r="Z1124" s="45"/>
    </row>
    <row r="1125">
      <c r="A1125" s="48" t="s">
        <v>3511</v>
      </c>
      <c r="B1125" s="48" t="s">
        <v>3512</v>
      </c>
      <c r="C1125" s="48" t="s">
        <v>3513</v>
      </c>
      <c r="D1125" s="48" t="s">
        <v>93</v>
      </c>
      <c r="E1125" s="48" t="s">
        <v>115</v>
      </c>
      <c r="F1125" s="48" t="s">
        <v>694</v>
      </c>
      <c r="G1125" s="48" t="s">
        <v>1003</v>
      </c>
      <c r="H1125" s="49">
        <v>0.0099879441</v>
      </c>
      <c r="I1125" s="49">
        <v>290.0</v>
      </c>
      <c r="J1125" s="49">
        <v>10787.81</v>
      </c>
      <c r="K1125" s="49">
        <v>10787.81</v>
      </c>
      <c r="L1125" s="45"/>
      <c r="M1125" s="45"/>
      <c r="N1125" s="45"/>
      <c r="O1125" s="45"/>
      <c r="P1125" s="45"/>
      <c r="Q1125" s="45"/>
      <c r="R1125" s="45"/>
      <c r="S1125" s="45"/>
      <c r="T1125" s="45"/>
      <c r="U1125" s="45"/>
      <c r="V1125" s="45"/>
      <c r="W1125" s="45"/>
      <c r="X1125" s="45"/>
      <c r="Y1125" s="45"/>
      <c r="Z1125" s="45"/>
    </row>
    <row r="1126">
      <c r="A1126" s="48" t="s">
        <v>3514</v>
      </c>
      <c r="B1126" s="49">
        <v>6738220.0</v>
      </c>
      <c r="C1126" s="48" t="s">
        <v>3515</v>
      </c>
      <c r="D1126" s="48" t="s">
        <v>93</v>
      </c>
      <c r="E1126" s="48" t="s">
        <v>167</v>
      </c>
      <c r="F1126" s="48" t="s">
        <v>629</v>
      </c>
      <c r="G1126" s="48" t="s">
        <v>630</v>
      </c>
      <c r="H1126" s="49">
        <v>0.0099712695</v>
      </c>
      <c r="I1126" s="49">
        <v>763.0</v>
      </c>
      <c r="J1126" s="49">
        <v>10769.8</v>
      </c>
      <c r="K1126" s="49">
        <v>10769.8</v>
      </c>
      <c r="L1126" s="45"/>
      <c r="M1126" s="45"/>
      <c r="N1126" s="45"/>
      <c r="O1126" s="45"/>
      <c r="P1126" s="45"/>
      <c r="Q1126" s="45"/>
      <c r="R1126" s="45"/>
      <c r="S1126" s="45"/>
      <c r="T1126" s="45"/>
      <c r="U1126" s="45"/>
      <c r="V1126" s="45"/>
      <c r="W1126" s="45"/>
      <c r="X1126" s="45"/>
      <c r="Y1126" s="45"/>
      <c r="Z1126" s="45"/>
    </row>
    <row r="1127">
      <c r="A1127" s="48" t="s">
        <v>3516</v>
      </c>
      <c r="B1127" s="49">
        <v>6043214.0</v>
      </c>
      <c r="C1127" s="48" t="s">
        <v>3517</v>
      </c>
      <c r="D1127" s="48" t="s">
        <v>93</v>
      </c>
      <c r="E1127" s="48" t="s">
        <v>127</v>
      </c>
      <c r="F1127" s="48" t="s">
        <v>738</v>
      </c>
      <c r="G1127" s="48" t="s">
        <v>1437</v>
      </c>
      <c r="H1127" s="49">
        <v>0.0099416922</v>
      </c>
      <c r="I1127" s="49">
        <v>2446.0</v>
      </c>
      <c r="J1127" s="49">
        <v>10737.86</v>
      </c>
      <c r="K1127" s="49">
        <v>10737.86</v>
      </c>
      <c r="L1127" s="45"/>
      <c r="M1127" s="45"/>
      <c r="N1127" s="45"/>
      <c r="O1127" s="45"/>
      <c r="P1127" s="45"/>
      <c r="Q1127" s="45"/>
      <c r="R1127" s="45"/>
      <c r="S1127" s="45"/>
      <c r="T1127" s="45"/>
      <c r="U1127" s="45"/>
      <c r="V1127" s="45"/>
      <c r="W1127" s="45"/>
      <c r="X1127" s="45"/>
      <c r="Y1127" s="45"/>
      <c r="Z1127" s="45"/>
    </row>
    <row r="1128">
      <c r="A1128" s="48" t="s">
        <v>3518</v>
      </c>
      <c r="B1128" s="49">
        <v>6597368.0</v>
      </c>
      <c r="C1128" s="48" t="s">
        <v>3519</v>
      </c>
      <c r="D1128" s="48" t="s">
        <v>93</v>
      </c>
      <c r="E1128" s="48" t="s">
        <v>94</v>
      </c>
      <c r="F1128" s="48" t="s">
        <v>629</v>
      </c>
      <c r="G1128" s="48" t="s">
        <v>630</v>
      </c>
      <c r="H1128" s="49">
        <v>0.0099047536</v>
      </c>
      <c r="I1128" s="49">
        <v>247.0</v>
      </c>
      <c r="J1128" s="49">
        <v>10697.96</v>
      </c>
      <c r="K1128" s="49">
        <v>10697.96</v>
      </c>
      <c r="L1128" s="45"/>
      <c r="M1128" s="45"/>
      <c r="N1128" s="45"/>
      <c r="O1128" s="45"/>
      <c r="P1128" s="45"/>
      <c r="Q1128" s="45"/>
      <c r="R1128" s="45"/>
      <c r="S1128" s="45"/>
      <c r="T1128" s="45"/>
      <c r="U1128" s="45"/>
      <c r="V1128" s="45"/>
      <c r="W1128" s="45"/>
      <c r="X1128" s="45"/>
      <c r="Y1128" s="45"/>
      <c r="Z1128" s="45"/>
    </row>
    <row r="1129">
      <c r="A1129" s="48" t="s">
        <v>3520</v>
      </c>
      <c r="B1129" s="49">
        <v>878230.0</v>
      </c>
      <c r="C1129" s="48" t="s">
        <v>3521</v>
      </c>
      <c r="D1129" s="48" t="s">
        <v>93</v>
      </c>
      <c r="E1129" s="48" t="s">
        <v>118</v>
      </c>
      <c r="F1129" s="48" t="s">
        <v>918</v>
      </c>
      <c r="G1129" s="48" t="s">
        <v>908</v>
      </c>
      <c r="H1129" s="49">
        <v>0.0098420282</v>
      </c>
      <c r="I1129" s="49">
        <v>4565.0</v>
      </c>
      <c r="J1129" s="49">
        <v>10630.21</v>
      </c>
      <c r="K1129" s="49">
        <v>10630.21</v>
      </c>
      <c r="L1129" s="45"/>
      <c r="M1129" s="45"/>
      <c r="N1129" s="45"/>
      <c r="O1129" s="45"/>
      <c r="P1129" s="45"/>
      <c r="Q1129" s="45"/>
      <c r="R1129" s="45"/>
      <c r="S1129" s="45"/>
      <c r="T1129" s="45"/>
      <c r="U1129" s="45"/>
      <c r="V1129" s="45"/>
      <c r="W1129" s="45"/>
      <c r="X1129" s="45"/>
      <c r="Y1129" s="45"/>
      <c r="Z1129" s="45"/>
    </row>
    <row r="1130">
      <c r="A1130" s="48" t="s">
        <v>3522</v>
      </c>
      <c r="B1130" s="48" t="s">
        <v>3523</v>
      </c>
      <c r="C1130" s="48" t="s">
        <v>3524</v>
      </c>
      <c r="D1130" s="48" t="s">
        <v>93</v>
      </c>
      <c r="E1130" s="48" t="s">
        <v>170</v>
      </c>
      <c r="F1130" s="48" t="s">
        <v>738</v>
      </c>
      <c r="G1130" s="48" t="s">
        <v>1437</v>
      </c>
      <c r="H1130" s="49">
        <v>0.0098074908</v>
      </c>
      <c r="I1130" s="49">
        <v>1818.0</v>
      </c>
      <c r="J1130" s="49">
        <v>10592.91</v>
      </c>
      <c r="K1130" s="49">
        <v>10592.91</v>
      </c>
      <c r="L1130" s="45"/>
      <c r="M1130" s="45"/>
      <c r="N1130" s="45"/>
      <c r="O1130" s="45"/>
      <c r="P1130" s="45"/>
      <c r="Q1130" s="45"/>
      <c r="R1130" s="45"/>
      <c r="S1130" s="45"/>
      <c r="T1130" s="45"/>
      <c r="U1130" s="45"/>
      <c r="V1130" s="45"/>
      <c r="W1130" s="45"/>
      <c r="X1130" s="45"/>
      <c r="Y1130" s="45"/>
      <c r="Z1130" s="45"/>
    </row>
    <row r="1131">
      <c r="A1131" s="48" t="s">
        <v>3525</v>
      </c>
      <c r="B1131" s="49">
        <v>6985565.0</v>
      </c>
      <c r="C1131" s="48" t="s">
        <v>3526</v>
      </c>
      <c r="D1131" s="48" t="s">
        <v>93</v>
      </c>
      <c r="E1131" s="48" t="s">
        <v>127</v>
      </c>
      <c r="F1131" s="48" t="s">
        <v>629</v>
      </c>
      <c r="G1131" s="48" t="s">
        <v>630</v>
      </c>
      <c r="H1131" s="49">
        <v>0.009777618</v>
      </c>
      <c r="I1131" s="49">
        <v>405.0</v>
      </c>
      <c r="J1131" s="49">
        <v>10560.64</v>
      </c>
      <c r="K1131" s="49">
        <v>10560.64</v>
      </c>
      <c r="L1131" s="45"/>
      <c r="M1131" s="45"/>
      <c r="N1131" s="45"/>
      <c r="O1131" s="45"/>
      <c r="P1131" s="45"/>
      <c r="Q1131" s="45"/>
      <c r="R1131" s="45"/>
      <c r="S1131" s="45"/>
      <c r="T1131" s="45"/>
      <c r="U1131" s="45"/>
      <c r="V1131" s="45"/>
      <c r="W1131" s="45"/>
      <c r="X1131" s="45"/>
      <c r="Y1131" s="45"/>
      <c r="Z1131" s="45"/>
    </row>
    <row r="1132">
      <c r="A1132" s="48" t="s">
        <v>3527</v>
      </c>
      <c r="B1132" s="48" t="s">
        <v>3528</v>
      </c>
      <c r="C1132" s="48" t="s">
        <v>3529</v>
      </c>
      <c r="D1132" s="48" t="s">
        <v>93</v>
      </c>
      <c r="E1132" s="48" t="s">
        <v>170</v>
      </c>
      <c r="F1132" s="48" t="s">
        <v>694</v>
      </c>
      <c r="G1132" s="48" t="s">
        <v>1003</v>
      </c>
      <c r="H1132" s="49">
        <v>0.0097524764</v>
      </c>
      <c r="I1132" s="49">
        <v>988.0</v>
      </c>
      <c r="J1132" s="49">
        <v>10533.49</v>
      </c>
      <c r="K1132" s="49">
        <v>10533.49</v>
      </c>
      <c r="L1132" s="45"/>
      <c r="M1132" s="45"/>
      <c r="N1132" s="45"/>
      <c r="O1132" s="45"/>
      <c r="P1132" s="45"/>
      <c r="Q1132" s="45"/>
      <c r="R1132" s="45"/>
      <c r="S1132" s="45"/>
      <c r="T1132" s="45"/>
      <c r="U1132" s="45"/>
      <c r="V1132" s="45"/>
      <c r="W1132" s="45"/>
      <c r="X1132" s="45"/>
      <c r="Y1132" s="45"/>
      <c r="Z1132" s="45"/>
    </row>
    <row r="1133">
      <c r="A1133" s="48" t="s">
        <v>3530</v>
      </c>
      <c r="B1133" s="49">
        <v>6496681.0</v>
      </c>
      <c r="C1133" s="48" t="s">
        <v>3531</v>
      </c>
      <c r="D1133" s="48" t="s">
        <v>93</v>
      </c>
      <c r="E1133" s="48" t="s">
        <v>121</v>
      </c>
      <c r="F1133" s="48" t="s">
        <v>629</v>
      </c>
      <c r="G1133" s="48" t="s">
        <v>630</v>
      </c>
      <c r="H1133" s="49">
        <v>0.0097359142</v>
      </c>
      <c r="I1133" s="49">
        <v>127.0</v>
      </c>
      <c r="J1133" s="49">
        <v>10515.6</v>
      </c>
      <c r="K1133" s="49">
        <v>10515.6</v>
      </c>
      <c r="L1133" s="45"/>
      <c r="M1133" s="45"/>
      <c r="N1133" s="45"/>
      <c r="O1133" s="45"/>
      <c r="P1133" s="45"/>
      <c r="Q1133" s="45"/>
      <c r="R1133" s="45"/>
      <c r="S1133" s="45"/>
      <c r="T1133" s="45"/>
      <c r="U1133" s="45"/>
      <c r="V1133" s="45"/>
      <c r="W1133" s="45"/>
      <c r="X1133" s="45"/>
      <c r="Y1133" s="45"/>
      <c r="Z1133" s="45"/>
    </row>
    <row r="1134">
      <c r="A1134" s="48" t="s">
        <v>3532</v>
      </c>
      <c r="B1134" s="48" t="s">
        <v>3533</v>
      </c>
      <c r="C1134" s="48" t="s">
        <v>3534</v>
      </c>
      <c r="D1134" s="48" t="s">
        <v>93</v>
      </c>
      <c r="E1134" s="48" t="s">
        <v>133</v>
      </c>
      <c r="F1134" s="48" t="s">
        <v>918</v>
      </c>
      <c r="G1134" s="48" t="s">
        <v>908</v>
      </c>
      <c r="H1134" s="49">
        <v>0.0097027589</v>
      </c>
      <c r="I1134" s="49">
        <v>895.0</v>
      </c>
      <c r="J1134" s="49">
        <v>10479.79</v>
      </c>
      <c r="K1134" s="49">
        <v>10479.79</v>
      </c>
      <c r="L1134" s="45"/>
      <c r="M1134" s="45"/>
      <c r="N1134" s="45"/>
      <c r="O1134" s="45"/>
      <c r="P1134" s="45"/>
      <c r="Q1134" s="45"/>
      <c r="R1134" s="45"/>
      <c r="S1134" s="45"/>
      <c r="T1134" s="45"/>
      <c r="U1134" s="45"/>
      <c r="V1134" s="45"/>
      <c r="W1134" s="45"/>
      <c r="X1134" s="45"/>
      <c r="Y1134" s="45"/>
      <c r="Z1134" s="45"/>
    </row>
    <row r="1135">
      <c r="A1135" s="48" t="s">
        <v>3535</v>
      </c>
      <c r="B1135" s="49">
        <v>6595179.0</v>
      </c>
      <c r="C1135" s="48" t="s">
        <v>3536</v>
      </c>
      <c r="D1135" s="48" t="s">
        <v>93</v>
      </c>
      <c r="E1135" s="48" t="s">
        <v>127</v>
      </c>
      <c r="F1135" s="48" t="s">
        <v>629</v>
      </c>
      <c r="G1135" s="48" t="s">
        <v>630</v>
      </c>
      <c r="H1135" s="49">
        <v>0.00967927419999999</v>
      </c>
      <c r="I1135" s="49">
        <v>419.0</v>
      </c>
      <c r="J1135" s="49">
        <v>10454.42</v>
      </c>
      <c r="K1135" s="49">
        <v>10454.42</v>
      </c>
      <c r="L1135" s="45"/>
      <c r="M1135" s="45"/>
      <c r="N1135" s="45"/>
      <c r="O1135" s="45"/>
      <c r="P1135" s="45"/>
      <c r="Q1135" s="45"/>
      <c r="R1135" s="45"/>
      <c r="S1135" s="45"/>
      <c r="T1135" s="45"/>
      <c r="U1135" s="45"/>
      <c r="V1135" s="45"/>
      <c r="W1135" s="45"/>
      <c r="X1135" s="45"/>
      <c r="Y1135" s="45"/>
      <c r="Z1135" s="45"/>
    </row>
    <row r="1136">
      <c r="A1136" s="48" t="s">
        <v>3537</v>
      </c>
      <c r="B1136" s="48" t="s">
        <v>3538</v>
      </c>
      <c r="C1136" s="48" t="s">
        <v>3539</v>
      </c>
      <c r="D1136" s="48" t="s">
        <v>93</v>
      </c>
      <c r="E1136" s="48" t="s">
        <v>170</v>
      </c>
      <c r="F1136" s="48" t="s">
        <v>694</v>
      </c>
      <c r="G1136" s="48" t="s">
        <v>1003</v>
      </c>
      <c r="H1136" s="49">
        <v>0.0095911478</v>
      </c>
      <c r="I1136" s="49">
        <v>389.0</v>
      </c>
      <c r="J1136" s="49">
        <v>10359.24</v>
      </c>
      <c r="K1136" s="49">
        <v>10359.24</v>
      </c>
      <c r="L1136" s="45"/>
      <c r="M1136" s="45"/>
      <c r="N1136" s="45"/>
      <c r="O1136" s="45"/>
      <c r="P1136" s="45"/>
      <c r="Q1136" s="45"/>
      <c r="R1136" s="45"/>
      <c r="S1136" s="45"/>
      <c r="T1136" s="45"/>
      <c r="U1136" s="45"/>
      <c r="V1136" s="45"/>
      <c r="W1136" s="45"/>
      <c r="X1136" s="45"/>
      <c r="Y1136" s="45"/>
      <c r="Z1136" s="45"/>
    </row>
    <row r="1137">
      <c r="A1137" s="48" t="s">
        <v>3540</v>
      </c>
      <c r="B1137" s="49">
        <v>6641760.0</v>
      </c>
      <c r="C1137" s="48" t="s">
        <v>3541</v>
      </c>
      <c r="D1137" s="48" t="s">
        <v>93</v>
      </c>
      <c r="E1137" s="48" t="s">
        <v>124</v>
      </c>
      <c r="F1137" s="48" t="s">
        <v>629</v>
      </c>
      <c r="G1137" s="48" t="s">
        <v>630</v>
      </c>
      <c r="H1137" s="49">
        <v>0.009586504</v>
      </c>
      <c r="I1137" s="49">
        <v>80.0</v>
      </c>
      <c r="J1137" s="49">
        <v>10354.22</v>
      </c>
      <c r="K1137" s="49">
        <v>10354.22</v>
      </c>
      <c r="L1137" s="45"/>
      <c r="M1137" s="45"/>
      <c r="N1137" s="45"/>
      <c r="O1137" s="45"/>
      <c r="P1137" s="45"/>
      <c r="Q1137" s="45"/>
      <c r="R1137" s="45"/>
      <c r="S1137" s="45"/>
      <c r="T1137" s="45"/>
      <c r="U1137" s="45"/>
      <c r="V1137" s="45"/>
      <c r="W1137" s="45"/>
      <c r="X1137" s="45"/>
      <c r="Y1137" s="45"/>
      <c r="Z1137" s="45"/>
    </row>
    <row r="1138">
      <c r="A1138" s="48" t="s">
        <v>3542</v>
      </c>
      <c r="B1138" s="48" t="s">
        <v>3543</v>
      </c>
      <c r="C1138" s="48" t="s">
        <v>3544</v>
      </c>
      <c r="D1138" s="48" t="s">
        <v>93</v>
      </c>
      <c r="E1138" s="48" t="s">
        <v>94</v>
      </c>
      <c r="F1138" s="48" t="s">
        <v>694</v>
      </c>
      <c r="G1138" s="48" t="s">
        <v>1003</v>
      </c>
      <c r="H1138" s="49">
        <v>0.0094622583</v>
      </c>
      <c r="I1138" s="49">
        <v>758.0</v>
      </c>
      <c r="J1138" s="49">
        <v>10220.03</v>
      </c>
      <c r="K1138" s="49">
        <v>10220.03</v>
      </c>
      <c r="L1138" s="45"/>
      <c r="M1138" s="45"/>
      <c r="N1138" s="45"/>
      <c r="O1138" s="45"/>
      <c r="P1138" s="45"/>
      <c r="Q1138" s="45"/>
      <c r="R1138" s="45"/>
      <c r="S1138" s="45"/>
      <c r="T1138" s="45"/>
      <c r="U1138" s="45"/>
      <c r="V1138" s="45"/>
      <c r="W1138" s="45"/>
      <c r="X1138" s="45"/>
      <c r="Y1138" s="45"/>
      <c r="Z1138" s="45"/>
    </row>
    <row r="1139">
      <c r="A1139" s="48" t="s">
        <v>3545</v>
      </c>
      <c r="B1139" s="49">
        <v>6619604.0</v>
      </c>
      <c r="C1139" s="48" t="s">
        <v>3546</v>
      </c>
      <c r="D1139" s="48" t="s">
        <v>93</v>
      </c>
      <c r="E1139" s="48" t="s">
        <v>118</v>
      </c>
      <c r="F1139" s="48" t="s">
        <v>629</v>
      </c>
      <c r="G1139" s="48" t="s">
        <v>630</v>
      </c>
      <c r="H1139" s="49">
        <v>0.0094603071</v>
      </c>
      <c r="I1139" s="49">
        <v>274.0</v>
      </c>
      <c r="J1139" s="49">
        <v>10217.92</v>
      </c>
      <c r="K1139" s="49">
        <v>10217.92</v>
      </c>
      <c r="L1139" s="45"/>
      <c r="M1139" s="45"/>
      <c r="N1139" s="45"/>
      <c r="O1139" s="45"/>
      <c r="P1139" s="45"/>
      <c r="Q1139" s="45"/>
      <c r="R1139" s="45"/>
      <c r="S1139" s="45"/>
      <c r="T1139" s="45"/>
      <c r="U1139" s="45"/>
      <c r="V1139" s="45"/>
      <c r="W1139" s="45"/>
      <c r="X1139" s="45"/>
      <c r="Y1139" s="45"/>
      <c r="Z1139" s="45"/>
    </row>
    <row r="1140">
      <c r="A1140" s="48" t="s">
        <v>3547</v>
      </c>
      <c r="B1140" s="48" t="s">
        <v>3548</v>
      </c>
      <c r="C1140" s="48" t="s">
        <v>3549</v>
      </c>
      <c r="D1140" s="48" t="s">
        <v>93</v>
      </c>
      <c r="E1140" s="48" t="s">
        <v>124</v>
      </c>
      <c r="F1140" s="48" t="s">
        <v>918</v>
      </c>
      <c r="G1140" s="48" t="s">
        <v>908</v>
      </c>
      <c r="H1140" s="49">
        <v>0.0093875413</v>
      </c>
      <c r="I1140" s="49">
        <v>817.0</v>
      </c>
      <c r="J1140" s="49">
        <v>10139.33</v>
      </c>
      <c r="K1140" s="49">
        <v>10139.33</v>
      </c>
      <c r="L1140" s="45"/>
      <c r="M1140" s="45"/>
      <c r="N1140" s="45"/>
      <c r="O1140" s="45"/>
      <c r="P1140" s="45"/>
      <c r="Q1140" s="45"/>
      <c r="R1140" s="45"/>
      <c r="S1140" s="45"/>
      <c r="T1140" s="45"/>
      <c r="U1140" s="45"/>
      <c r="V1140" s="45"/>
      <c r="W1140" s="45"/>
      <c r="X1140" s="45"/>
      <c r="Y1140" s="45"/>
      <c r="Z1140" s="45"/>
    </row>
    <row r="1141">
      <c r="A1141" s="48" t="s">
        <v>3550</v>
      </c>
      <c r="B1141" s="49">
        <v>5497102.0</v>
      </c>
      <c r="C1141" s="48" t="s">
        <v>2161</v>
      </c>
      <c r="D1141" s="48" t="s">
        <v>93</v>
      </c>
      <c r="E1141" s="48" t="s">
        <v>118</v>
      </c>
      <c r="F1141" s="48" t="s">
        <v>649</v>
      </c>
      <c r="G1141" s="48" t="s">
        <v>640</v>
      </c>
      <c r="H1141" s="49">
        <v>0.0093840633</v>
      </c>
      <c r="I1141" s="49">
        <v>47.0</v>
      </c>
      <c r="J1141" s="49">
        <v>10135.57</v>
      </c>
      <c r="K1141" s="49">
        <v>10135.57</v>
      </c>
      <c r="L1141" s="45"/>
      <c r="M1141" s="45"/>
      <c r="N1141" s="45"/>
      <c r="O1141" s="45"/>
      <c r="P1141" s="45"/>
      <c r="Q1141" s="45"/>
      <c r="R1141" s="45"/>
      <c r="S1141" s="45"/>
      <c r="T1141" s="45"/>
      <c r="U1141" s="45"/>
      <c r="V1141" s="45"/>
      <c r="W1141" s="45"/>
      <c r="X1141" s="45"/>
      <c r="Y1141" s="45"/>
      <c r="Z1141" s="45"/>
    </row>
    <row r="1142">
      <c r="A1142" s="48" t="s">
        <v>3551</v>
      </c>
      <c r="B1142" s="48" t="s">
        <v>3552</v>
      </c>
      <c r="C1142" s="48" t="s">
        <v>3553</v>
      </c>
      <c r="D1142" s="48" t="s">
        <v>93</v>
      </c>
      <c r="E1142" s="48" t="s">
        <v>94</v>
      </c>
      <c r="F1142" s="48" t="s">
        <v>1374</v>
      </c>
      <c r="G1142" s="48" t="s">
        <v>640</v>
      </c>
      <c r="H1142" s="49">
        <v>0.0093065678</v>
      </c>
      <c r="I1142" s="49">
        <v>267.0</v>
      </c>
      <c r="J1142" s="49">
        <v>10051.87</v>
      </c>
      <c r="K1142" s="49">
        <v>10051.87</v>
      </c>
      <c r="L1142" s="45"/>
      <c r="M1142" s="45"/>
      <c r="N1142" s="45"/>
      <c r="O1142" s="45"/>
      <c r="P1142" s="45"/>
      <c r="Q1142" s="45"/>
      <c r="R1142" s="45"/>
      <c r="S1142" s="45"/>
      <c r="T1142" s="45"/>
      <c r="U1142" s="45"/>
      <c r="V1142" s="45"/>
      <c r="W1142" s="45"/>
      <c r="X1142" s="45"/>
      <c r="Y1142" s="45"/>
      <c r="Z1142" s="45"/>
    </row>
    <row r="1143">
      <c r="A1143" s="48" t="s">
        <v>3554</v>
      </c>
      <c r="B1143" s="49">
        <v>6459286.0</v>
      </c>
      <c r="C1143" s="48" t="s">
        <v>3555</v>
      </c>
      <c r="D1143" s="48" t="s">
        <v>93</v>
      </c>
      <c r="E1143" s="48" t="s">
        <v>170</v>
      </c>
      <c r="F1143" s="48" t="s">
        <v>2732</v>
      </c>
      <c r="G1143" s="48" t="s">
        <v>2733</v>
      </c>
      <c r="H1143" s="49">
        <v>0.00928474799999999</v>
      </c>
      <c r="I1143" s="49">
        <v>1063.0</v>
      </c>
      <c r="J1143" s="49">
        <v>10028.3</v>
      </c>
      <c r="K1143" s="49">
        <v>10028.3</v>
      </c>
      <c r="L1143" s="45"/>
      <c r="M1143" s="45"/>
      <c r="N1143" s="45"/>
      <c r="O1143" s="45"/>
      <c r="P1143" s="45"/>
      <c r="Q1143" s="45"/>
      <c r="R1143" s="45"/>
      <c r="S1143" s="45"/>
      <c r="T1143" s="45"/>
      <c r="U1143" s="45"/>
      <c r="V1143" s="45"/>
      <c r="W1143" s="45"/>
      <c r="X1143" s="45"/>
      <c r="Y1143" s="45"/>
      <c r="Z1143" s="45"/>
    </row>
    <row r="1144">
      <c r="A1144" s="48" t="s">
        <v>3556</v>
      </c>
      <c r="B1144" s="49">
        <v>242493.0</v>
      </c>
      <c r="C1144" s="48" t="s">
        <v>3557</v>
      </c>
      <c r="D1144" s="48" t="s">
        <v>93</v>
      </c>
      <c r="E1144" s="48" t="s">
        <v>127</v>
      </c>
      <c r="F1144" s="48" t="s">
        <v>918</v>
      </c>
      <c r="G1144" s="48" t="s">
        <v>908</v>
      </c>
      <c r="H1144" s="49">
        <v>0.00925946699999999</v>
      </c>
      <c r="I1144" s="49">
        <v>112.0</v>
      </c>
      <c r="J1144" s="49">
        <v>10001.0</v>
      </c>
      <c r="K1144" s="49">
        <v>10001.0</v>
      </c>
      <c r="L1144" s="45"/>
      <c r="M1144" s="45"/>
      <c r="N1144" s="45"/>
      <c r="O1144" s="45"/>
      <c r="P1144" s="45"/>
      <c r="Q1144" s="45"/>
      <c r="R1144" s="45"/>
      <c r="S1144" s="45"/>
      <c r="T1144" s="45"/>
      <c r="U1144" s="45"/>
      <c r="V1144" s="45"/>
      <c r="W1144" s="45"/>
      <c r="X1144" s="45"/>
      <c r="Y1144" s="45"/>
      <c r="Z1144" s="45"/>
    </row>
    <row r="1145">
      <c r="A1145" s="48" t="s">
        <v>3558</v>
      </c>
      <c r="B1145" s="49">
        <v>6302700.0</v>
      </c>
      <c r="C1145" s="48" t="s">
        <v>3559</v>
      </c>
      <c r="D1145" s="48" t="s">
        <v>93</v>
      </c>
      <c r="E1145" s="48" t="s">
        <v>127</v>
      </c>
      <c r="F1145" s="48" t="s">
        <v>629</v>
      </c>
      <c r="G1145" s="48" t="s">
        <v>630</v>
      </c>
      <c r="H1145" s="49">
        <v>0.0092517195</v>
      </c>
      <c r="I1145" s="49">
        <v>133.0</v>
      </c>
      <c r="J1145" s="49">
        <v>9992.63</v>
      </c>
      <c r="K1145" s="49">
        <v>9992.63</v>
      </c>
      <c r="L1145" s="45"/>
      <c r="M1145" s="45"/>
      <c r="N1145" s="45"/>
      <c r="O1145" s="45"/>
      <c r="P1145" s="45"/>
      <c r="Q1145" s="45"/>
      <c r="R1145" s="45"/>
      <c r="S1145" s="45"/>
      <c r="T1145" s="45"/>
      <c r="U1145" s="45"/>
      <c r="V1145" s="45"/>
      <c r="W1145" s="45"/>
      <c r="X1145" s="45"/>
      <c r="Y1145" s="45"/>
      <c r="Z1145" s="45"/>
    </row>
    <row r="1146">
      <c r="A1146" s="48" t="s">
        <v>3560</v>
      </c>
      <c r="B1146" s="48" t="s">
        <v>3561</v>
      </c>
      <c r="C1146" s="48" t="s">
        <v>1808</v>
      </c>
      <c r="D1146" s="48" t="s">
        <v>93</v>
      </c>
      <c r="E1146" s="48" t="s">
        <v>127</v>
      </c>
      <c r="F1146" s="48" t="s">
        <v>1740</v>
      </c>
      <c r="G1146" s="48" t="s">
        <v>1741</v>
      </c>
      <c r="H1146" s="49">
        <v>0.0092501476</v>
      </c>
      <c r="I1146" s="49">
        <v>306.0</v>
      </c>
      <c r="J1146" s="49">
        <v>9990.93</v>
      </c>
      <c r="K1146" s="49">
        <v>9990.93</v>
      </c>
      <c r="L1146" s="45"/>
      <c r="M1146" s="45"/>
      <c r="N1146" s="45"/>
      <c r="O1146" s="45"/>
      <c r="P1146" s="45"/>
      <c r="Q1146" s="45"/>
      <c r="R1146" s="45"/>
      <c r="S1146" s="45"/>
      <c r="T1146" s="45"/>
      <c r="U1146" s="45"/>
      <c r="V1146" s="45"/>
      <c r="W1146" s="45"/>
      <c r="X1146" s="45"/>
      <c r="Y1146" s="45"/>
      <c r="Z1146" s="45"/>
    </row>
    <row r="1147">
      <c r="A1147" s="48" t="s">
        <v>3562</v>
      </c>
      <c r="B1147" s="48" t="s">
        <v>3563</v>
      </c>
      <c r="C1147" s="48" t="s">
        <v>3564</v>
      </c>
      <c r="D1147" s="48" t="s">
        <v>93</v>
      </c>
      <c r="E1147" s="48" t="s">
        <v>124</v>
      </c>
      <c r="F1147" s="48" t="s">
        <v>2967</v>
      </c>
      <c r="G1147" s="48" t="s">
        <v>2968</v>
      </c>
      <c r="H1147" s="49">
        <v>0.0092016869</v>
      </c>
      <c r="I1147" s="49">
        <v>74.0</v>
      </c>
      <c r="J1147" s="49">
        <v>9938.59</v>
      </c>
      <c r="K1147" s="49">
        <v>9938.59</v>
      </c>
      <c r="L1147" s="45"/>
      <c r="M1147" s="45"/>
      <c r="N1147" s="45"/>
      <c r="O1147" s="45"/>
      <c r="P1147" s="45"/>
      <c r="Q1147" s="45"/>
      <c r="R1147" s="45"/>
      <c r="S1147" s="45"/>
      <c r="T1147" s="45"/>
      <c r="U1147" s="45"/>
      <c r="V1147" s="45"/>
      <c r="W1147" s="45"/>
      <c r="X1147" s="45"/>
      <c r="Y1147" s="45"/>
      <c r="Z1147" s="45"/>
    </row>
    <row r="1148">
      <c r="A1148" s="48" t="s">
        <v>3565</v>
      </c>
      <c r="B1148" s="49">
        <v>2866857.0</v>
      </c>
      <c r="C1148" s="48" t="s">
        <v>3566</v>
      </c>
      <c r="D1148" s="48" t="s">
        <v>93</v>
      </c>
      <c r="E1148" s="48" t="s">
        <v>94</v>
      </c>
      <c r="F1148" s="48" t="s">
        <v>3446</v>
      </c>
      <c r="G1148" s="48" t="s">
        <v>1003</v>
      </c>
      <c r="H1148" s="49">
        <v>0.0091991263</v>
      </c>
      <c r="I1148" s="49">
        <v>875.0</v>
      </c>
      <c r="J1148" s="49">
        <v>9935.82</v>
      </c>
      <c r="K1148" s="49">
        <v>9935.82</v>
      </c>
      <c r="L1148" s="45"/>
      <c r="M1148" s="45"/>
      <c r="N1148" s="45"/>
      <c r="O1148" s="45"/>
      <c r="P1148" s="45"/>
      <c r="Q1148" s="45"/>
      <c r="R1148" s="45"/>
      <c r="S1148" s="45"/>
      <c r="T1148" s="45"/>
      <c r="U1148" s="45"/>
      <c r="V1148" s="45"/>
      <c r="W1148" s="45"/>
      <c r="X1148" s="45"/>
      <c r="Y1148" s="45"/>
      <c r="Z1148" s="45"/>
    </row>
    <row r="1149">
      <c r="A1149" s="48" t="s">
        <v>3567</v>
      </c>
      <c r="B1149" s="48" t="s">
        <v>3568</v>
      </c>
      <c r="C1149" s="48" t="s">
        <v>3569</v>
      </c>
      <c r="D1149" s="48" t="s">
        <v>93</v>
      </c>
      <c r="E1149" s="48" t="s">
        <v>99</v>
      </c>
      <c r="F1149" s="48" t="s">
        <v>918</v>
      </c>
      <c r="G1149" s="48" t="s">
        <v>908</v>
      </c>
      <c r="H1149" s="49">
        <v>0.0091808692</v>
      </c>
      <c r="I1149" s="49">
        <v>773.0</v>
      </c>
      <c r="J1149" s="49">
        <v>9916.1</v>
      </c>
      <c r="K1149" s="49">
        <v>9916.1</v>
      </c>
      <c r="L1149" s="45"/>
      <c r="M1149" s="45"/>
      <c r="N1149" s="45"/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  <c r="Y1149" s="45"/>
      <c r="Z1149" s="45"/>
    </row>
    <row r="1150">
      <c r="A1150" s="48" t="s">
        <v>3570</v>
      </c>
      <c r="B1150" s="48" t="s">
        <v>3571</v>
      </c>
      <c r="C1150" s="48" t="s">
        <v>3572</v>
      </c>
      <c r="D1150" s="48" t="s">
        <v>93</v>
      </c>
      <c r="E1150" s="48" t="s">
        <v>102</v>
      </c>
      <c r="F1150" s="48" t="s">
        <v>1740</v>
      </c>
      <c r="G1150" s="48" t="s">
        <v>1741</v>
      </c>
      <c r="H1150" s="49">
        <v>0.0090964177</v>
      </c>
      <c r="I1150" s="49">
        <v>323.0</v>
      </c>
      <c r="J1150" s="49">
        <v>9824.89</v>
      </c>
      <c r="K1150" s="49">
        <v>9824.89</v>
      </c>
      <c r="L1150" s="45"/>
      <c r="M1150" s="45"/>
      <c r="N1150" s="45"/>
      <c r="O1150" s="45"/>
      <c r="P1150" s="45"/>
      <c r="Q1150" s="45"/>
      <c r="R1150" s="45"/>
      <c r="S1150" s="45"/>
      <c r="T1150" s="45"/>
      <c r="U1150" s="45"/>
      <c r="V1150" s="45"/>
      <c r="W1150" s="45"/>
      <c r="X1150" s="45"/>
      <c r="Y1150" s="45"/>
      <c r="Z1150" s="45"/>
    </row>
    <row r="1151">
      <c r="A1151" s="48" t="s">
        <v>3573</v>
      </c>
      <c r="B1151" s="49">
        <v>2254645.0</v>
      </c>
      <c r="C1151" s="48" t="s">
        <v>3574</v>
      </c>
      <c r="D1151" s="48" t="s">
        <v>93</v>
      </c>
      <c r="E1151" s="48" t="s">
        <v>118</v>
      </c>
      <c r="F1151" s="48" t="s">
        <v>694</v>
      </c>
      <c r="G1151" s="48" t="s">
        <v>1003</v>
      </c>
      <c r="H1151" s="49">
        <v>0.0090344146</v>
      </c>
      <c r="I1151" s="49">
        <v>229.0</v>
      </c>
      <c r="J1151" s="49">
        <v>9757.92</v>
      </c>
      <c r="K1151" s="49">
        <v>9757.92</v>
      </c>
      <c r="L1151" s="45"/>
      <c r="M1151" s="45"/>
      <c r="N1151" s="45"/>
      <c r="O1151" s="45"/>
      <c r="P1151" s="45"/>
      <c r="Q1151" s="45"/>
      <c r="R1151" s="45"/>
      <c r="S1151" s="45"/>
      <c r="T1151" s="45"/>
      <c r="U1151" s="45"/>
      <c r="V1151" s="45"/>
      <c r="W1151" s="45"/>
      <c r="X1151" s="45"/>
      <c r="Y1151" s="45"/>
      <c r="Z1151" s="45"/>
    </row>
    <row r="1152">
      <c r="A1152" s="48" t="s">
        <v>3575</v>
      </c>
      <c r="B1152" s="48" t="s">
        <v>3576</v>
      </c>
      <c r="C1152" s="48" t="s">
        <v>3577</v>
      </c>
      <c r="D1152" s="48" t="s">
        <v>93</v>
      </c>
      <c r="E1152" s="48" t="s">
        <v>99</v>
      </c>
      <c r="F1152" s="48" t="s">
        <v>918</v>
      </c>
      <c r="G1152" s="48" t="s">
        <v>908</v>
      </c>
      <c r="H1152" s="49">
        <v>0.0089947901</v>
      </c>
      <c r="I1152" s="49">
        <v>380.0</v>
      </c>
      <c r="J1152" s="49">
        <v>9715.12</v>
      </c>
      <c r="K1152" s="49">
        <v>9715.12</v>
      </c>
      <c r="L1152" s="45"/>
      <c r="M1152" s="45"/>
      <c r="N1152" s="45"/>
      <c r="O1152" s="45"/>
      <c r="P1152" s="45"/>
      <c r="Q1152" s="45"/>
      <c r="R1152" s="45"/>
      <c r="S1152" s="45"/>
      <c r="T1152" s="45"/>
      <c r="U1152" s="45"/>
      <c r="V1152" s="45"/>
      <c r="W1152" s="45"/>
      <c r="X1152" s="45"/>
      <c r="Y1152" s="45"/>
      <c r="Z1152" s="45"/>
    </row>
    <row r="1153">
      <c r="A1153" s="48" t="s">
        <v>3578</v>
      </c>
      <c r="B1153" s="48" t="s">
        <v>3579</v>
      </c>
      <c r="C1153" s="48" t="s">
        <v>3580</v>
      </c>
      <c r="D1153" s="48" t="s">
        <v>93</v>
      </c>
      <c r="E1153" s="48" t="s">
        <v>102</v>
      </c>
      <c r="F1153" s="48" t="s">
        <v>1352</v>
      </c>
      <c r="G1153" s="48" t="s">
        <v>640</v>
      </c>
      <c r="H1153" s="49">
        <v>0.0089785886</v>
      </c>
      <c r="I1153" s="49">
        <v>130.0</v>
      </c>
      <c r="J1153" s="49">
        <v>9697.62</v>
      </c>
      <c r="K1153" s="49">
        <v>9697.62</v>
      </c>
      <c r="L1153" s="45"/>
      <c r="M1153" s="45"/>
      <c r="N1153" s="45"/>
      <c r="O1153" s="45"/>
      <c r="P1153" s="45"/>
      <c r="Q1153" s="45"/>
      <c r="R1153" s="45"/>
      <c r="S1153" s="45"/>
      <c r="T1153" s="45"/>
      <c r="U1153" s="45"/>
      <c r="V1153" s="45"/>
      <c r="W1153" s="45"/>
      <c r="X1153" s="45"/>
      <c r="Y1153" s="45"/>
      <c r="Z1153" s="45"/>
    </row>
    <row r="1154">
      <c r="A1154" s="48" t="s">
        <v>3581</v>
      </c>
      <c r="B1154" s="48" t="s">
        <v>3582</v>
      </c>
      <c r="C1154" s="48" t="s">
        <v>3583</v>
      </c>
      <c r="D1154" s="48" t="s">
        <v>93</v>
      </c>
      <c r="E1154" s="48" t="s">
        <v>99</v>
      </c>
      <c r="F1154" s="48" t="s">
        <v>629</v>
      </c>
      <c r="G1154" s="48" t="s">
        <v>630</v>
      </c>
      <c r="H1154" s="49">
        <v>0.0089490855</v>
      </c>
      <c r="I1154" s="49">
        <v>731.0</v>
      </c>
      <c r="J1154" s="49">
        <v>9665.76</v>
      </c>
      <c r="K1154" s="49">
        <v>9665.76</v>
      </c>
      <c r="L1154" s="45"/>
      <c r="M1154" s="45"/>
      <c r="N1154" s="45"/>
      <c r="O1154" s="45"/>
      <c r="P1154" s="45"/>
      <c r="Q1154" s="45"/>
      <c r="R1154" s="45"/>
      <c r="S1154" s="45"/>
      <c r="T1154" s="45"/>
      <c r="U1154" s="45"/>
      <c r="V1154" s="45"/>
      <c r="W1154" s="45"/>
      <c r="X1154" s="45"/>
      <c r="Y1154" s="45"/>
      <c r="Z1154" s="45"/>
    </row>
    <row r="1155">
      <c r="A1155" s="48" t="s">
        <v>3584</v>
      </c>
      <c r="B1155" s="48" t="s">
        <v>3585</v>
      </c>
      <c r="C1155" s="48" t="s">
        <v>3586</v>
      </c>
      <c r="D1155" s="48" t="s">
        <v>93</v>
      </c>
      <c r="E1155" s="48" t="s">
        <v>99</v>
      </c>
      <c r="F1155" s="48" t="s">
        <v>918</v>
      </c>
      <c r="G1155" s="48" t="s">
        <v>908</v>
      </c>
      <c r="H1155" s="49">
        <v>0.0088702384</v>
      </c>
      <c r="I1155" s="49">
        <v>933.0</v>
      </c>
      <c r="J1155" s="49">
        <v>9580.6</v>
      </c>
      <c r="K1155" s="49">
        <v>9580.6</v>
      </c>
      <c r="L1155" s="45"/>
      <c r="M1155" s="45"/>
      <c r="N1155" s="45"/>
      <c r="O1155" s="45"/>
      <c r="P1155" s="45"/>
      <c r="Q1155" s="45"/>
      <c r="R1155" s="45"/>
      <c r="S1155" s="45"/>
      <c r="T1155" s="45"/>
      <c r="U1155" s="45"/>
      <c r="V1155" s="45"/>
      <c r="W1155" s="45"/>
      <c r="X1155" s="45"/>
      <c r="Y1155" s="45"/>
      <c r="Z1155" s="45"/>
    </row>
    <row r="1156">
      <c r="A1156" s="48" t="s">
        <v>3587</v>
      </c>
      <c r="B1156" s="48" t="s">
        <v>3588</v>
      </c>
      <c r="C1156" s="48" t="s">
        <v>3589</v>
      </c>
      <c r="D1156" s="48" t="s">
        <v>93</v>
      </c>
      <c r="E1156" s="48" t="s">
        <v>99</v>
      </c>
      <c r="F1156" s="48" t="s">
        <v>1352</v>
      </c>
      <c r="G1156" s="48" t="s">
        <v>640</v>
      </c>
      <c r="H1156" s="49">
        <v>0.0088113534</v>
      </c>
      <c r="I1156" s="49">
        <v>568.0</v>
      </c>
      <c r="J1156" s="49">
        <v>9517.0</v>
      </c>
      <c r="K1156" s="49">
        <v>9517.0</v>
      </c>
      <c r="L1156" s="45"/>
      <c r="M1156" s="45"/>
      <c r="N1156" s="45"/>
      <c r="O1156" s="45"/>
      <c r="P1156" s="45"/>
      <c r="Q1156" s="45"/>
      <c r="R1156" s="45"/>
      <c r="S1156" s="45"/>
      <c r="T1156" s="45"/>
      <c r="U1156" s="45"/>
      <c r="V1156" s="45"/>
      <c r="W1156" s="45"/>
      <c r="X1156" s="45"/>
      <c r="Y1156" s="45"/>
      <c r="Z1156" s="45"/>
    </row>
    <row r="1157">
      <c r="A1157" s="48" t="s">
        <v>3590</v>
      </c>
      <c r="B1157" s="48" t="s">
        <v>3591</v>
      </c>
      <c r="C1157" s="48" t="s">
        <v>3592</v>
      </c>
      <c r="D1157" s="48" t="s">
        <v>93</v>
      </c>
      <c r="E1157" s="48" t="s">
        <v>167</v>
      </c>
      <c r="F1157" s="48" t="s">
        <v>622</v>
      </c>
      <c r="G1157" s="48" t="s">
        <v>623</v>
      </c>
      <c r="H1157" s="49">
        <v>0.008766266</v>
      </c>
      <c r="I1157" s="49">
        <v>106.0</v>
      </c>
      <c r="J1157" s="49">
        <v>9468.3</v>
      </c>
      <c r="K1157" s="49">
        <v>9468.3</v>
      </c>
      <c r="L1157" s="45"/>
      <c r="M1157" s="45"/>
      <c r="N1157" s="45"/>
      <c r="O1157" s="45"/>
      <c r="P1157" s="45"/>
      <c r="Q1157" s="45"/>
      <c r="R1157" s="45"/>
      <c r="S1157" s="45"/>
      <c r="T1157" s="45"/>
      <c r="U1157" s="45"/>
      <c r="V1157" s="45"/>
      <c r="W1157" s="45"/>
      <c r="X1157" s="45"/>
      <c r="Y1157" s="45"/>
      <c r="Z1157" s="45"/>
    </row>
    <row r="1158">
      <c r="A1158" s="48" t="s">
        <v>3593</v>
      </c>
      <c r="B1158" s="48" t="s">
        <v>3594</v>
      </c>
      <c r="C1158" s="48" t="s">
        <v>3595</v>
      </c>
      <c r="D1158" s="48" t="s">
        <v>93</v>
      </c>
      <c r="E1158" s="48" t="s">
        <v>127</v>
      </c>
      <c r="F1158" s="48" t="s">
        <v>694</v>
      </c>
      <c r="G1158" s="48" t="s">
        <v>1003</v>
      </c>
      <c r="H1158" s="49">
        <v>0.0087475261</v>
      </c>
      <c r="I1158" s="49">
        <v>426.0</v>
      </c>
      <c r="J1158" s="49">
        <v>9448.06</v>
      </c>
      <c r="K1158" s="49">
        <v>9448.06</v>
      </c>
      <c r="L1158" s="45"/>
      <c r="M1158" s="45"/>
      <c r="N1158" s="45"/>
      <c r="O1158" s="45"/>
      <c r="P1158" s="45"/>
      <c r="Q1158" s="45"/>
      <c r="R1158" s="45"/>
      <c r="S1158" s="45"/>
      <c r="T1158" s="45"/>
      <c r="U1158" s="45"/>
      <c r="V1158" s="45"/>
      <c r="W1158" s="45"/>
      <c r="X1158" s="45"/>
      <c r="Y1158" s="45"/>
      <c r="Z1158" s="45"/>
    </row>
    <row r="1159">
      <c r="A1159" s="48" t="s">
        <v>3596</v>
      </c>
      <c r="B1159" s="48" t="s">
        <v>3597</v>
      </c>
      <c r="C1159" s="48" t="s">
        <v>3598</v>
      </c>
      <c r="D1159" s="48" t="s">
        <v>93</v>
      </c>
      <c r="E1159" s="48" t="s">
        <v>102</v>
      </c>
      <c r="F1159" s="48" t="s">
        <v>918</v>
      </c>
      <c r="G1159" s="48" t="s">
        <v>908</v>
      </c>
      <c r="H1159" s="49">
        <v>0.0087415007</v>
      </c>
      <c r="I1159" s="49">
        <v>2210.0</v>
      </c>
      <c r="J1159" s="49">
        <v>9441.55</v>
      </c>
      <c r="K1159" s="49">
        <v>9441.55</v>
      </c>
      <c r="L1159" s="45"/>
      <c r="M1159" s="45"/>
      <c r="N1159" s="45"/>
      <c r="O1159" s="45"/>
      <c r="P1159" s="45"/>
      <c r="Q1159" s="45"/>
      <c r="R1159" s="45"/>
      <c r="S1159" s="45"/>
      <c r="T1159" s="45"/>
      <c r="U1159" s="45"/>
      <c r="V1159" s="45"/>
      <c r="W1159" s="45"/>
      <c r="X1159" s="45"/>
      <c r="Y1159" s="45"/>
      <c r="Z1159" s="45"/>
    </row>
    <row r="1160">
      <c r="A1160" s="48" t="s">
        <v>3599</v>
      </c>
      <c r="B1160" s="48" t="s">
        <v>3600</v>
      </c>
      <c r="C1160" s="48" t="s">
        <v>3601</v>
      </c>
      <c r="D1160" s="48" t="s">
        <v>93</v>
      </c>
      <c r="E1160" s="48" t="s">
        <v>127</v>
      </c>
      <c r="F1160" s="48" t="s">
        <v>629</v>
      </c>
      <c r="G1160" s="48" t="s">
        <v>630</v>
      </c>
      <c r="H1160" s="49">
        <v>0.0087260263</v>
      </c>
      <c r="I1160" s="49">
        <v>184.0</v>
      </c>
      <c r="J1160" s="49">
        <v>9424.84</v>
      </c>
      <c r="K1160" s="49">
        <v>9424.84</v>
      </c>
      <c r="L1160" s="45"/>
      <c r="M1160" s="45"/>
      <c r="N1160" s="45"/>
      <c r="O1160" s="45"/>
      <c r="P1160" s="45"/>
      <c r="Q1160" s="45"/>
      <c r="R1160" s="45"/>
      <c r="S1160" s="45"/>
      <c r="T1160" s="45"/>
      <c r="U1160" s="45"/>
      <c r="V1160" s="45"/>
      <c r="W1160" s="45"/>
      <c r="X1160" s="45"/>
      <c r="Y1160" s="45"/>
      <c r="Z1160" s="45"/>
    </row>
    <row r="1161">
      <c r="A1161" s="48" t="s">
        <v>3602</v>
      </c>
      <c r="B1161" s="49">
        <v>6986427.0</v>
      </c>
      <c r="C1161" s="48" t="s">
        <v>3603</v>
      </c>
      <c r="D1161" s="48" t="s">
        <v>93</v>
      </c>
      <c r="E1161" s="48" t="s">
        <v>167</v>
      </c>
      <c r="F1161" s="48" t="s">
        <v>629</v>
      </c>
      <c r="G1161" s="48" t="s">
        <v>630</v>
      </c>
      <c r="H1161" s="49">
        <v>0.00871879039999999</v>
      </c>
      <c r="I1161" s="49">
        <v>308.0</v>
      </c>
      <c r="J1161" s="49">
        <v>9417.02</v>
      </c>
      <c r="K1161" s="49">
        <v>9417.02</v>
      </c>
      <c r="L1161" s="45"/>
      <c r="M1161" s="45"/>
      <c r="N1161" s="45"/>
      <c r="O1161" s="45"/>
      <c r="P1161" s="45"/>
      <c r="Q1161" s="45"/>
      <c r="R1161" s="45"/>
      <c r="S1161" s="45"/>
      <c r="T1161" s="45"/>
      <c r="U1161" s="45"/>
      <c r="V1161" s="45"/>
      <c r="W1161" s="45"/>
      <c r="X1161" s="45"/>
      <c r="Y1161" s="45"/>
      <c r="Z1161" s="45"/>
    </row>
    <row r="1162">
      <c r="A1162" s="48" t="s">
        <v>3604</v>
      </c>
      <c r="B1162" s="49">
        <v>6251028.0</v>
      </c>
      <c r="C1162" s="48" t="s">
        <v>3605</v>
      </c>
      <c r="D1162" s="48" t="s">
        <v>93</v>
      </c>
      <c r="E1162" s="48" t="s">
        <v>167</v>
      </c>
      <c r="F1162" s="48" t="s">
        <v>629</v>
      </c>
      <c r="G1162" s="48" t="s">
        <v>630</v>
      </c>
      <c r="H1162" s="49">
        <v>0.0087105768</v>
      </c>
      <c r="I1162" s="49">
        <v>63.0</v>
      </c>
      <c r="J1162" s="49">
        <v>9408.15</v>
      </c>
      <c r="K1162" s="49">
        <v>9408.15</v>
      </c>
      <c r="L1162" s="45"/>
      <c r="M1162" s="45"/>
      <c r="N1162" s="45"/>
      <c r="O1162" s="45"/>
      <c r="P1162" s="45"/>
      <c r="Q1162" s="45"/>
      <c r="R1162" s="45"/>
      <c r="S1162" s="45"/>
      <c r="T1162" s="45"/>
      <c r="U1162" s="45"/>
      <c r="V1162" s="45"/>
      <c r="W1162" s="45"/>
      <c r="X1162" s="45"/>
      <c r="Y1162" s="45"/>
      <c r="Z1162" s="45"/>
    </row>
    <row r="1163">
      <c r="A1163" s="48" t="s">
        <v>3606</v>
      </c>
      <c r="B1163" s="49">
        <v>4572709.0</v>
      </c>
      <c r="C1163" s="48" t="s">
        <v>691</v>
      </c>
      <c r="D1163" s="48" t="s">
        <v>93</v>
      </c>
      <c r="E1163" s="48" t="s">
        <v>121</v>
      </c>
      <c r="F1163" s="48" t="s">
        <v>639</v>
      </c>
      <c r="G1163" s="48" t="s">
        <v>640</v>
      </c>
      <c r="H1163" s="49">
        <v>0.0086321662</v>
      </c>
      <c r="I1163" s="49">
        <v>1073.0</v>
      </c>
      <c r="J1163" s="49">
        <v>9323.46</v>
      </c>
      <c r="K1163" s="49">
        <v>9323.46</v>
      </c>
      <c r="L1163" s="45"/>
      <c r="M1163" s="45"/>
      <c r="N1163" s="45"/>
      <c r="O1163" s="45"/>
      <c r="P1163" s="45"/>
      <c r="Q1163" s="45"/>
      <c r="R1163" s="45"/>
      <c r="S1163" s="45"/>
      <c r="T1163" s="45"/>
      <c r="U1163" s="45"/>
      <c r="V1163" s="45"/>
      <c r="W1163" s="45"/>
      <c r="X1163" s="45"/>
      <c r="Y1163" s="45"/>
      <c r="Z1163" s="45"/>
    </row>
    <row r="1164">
      <c r="A1164" s="48" t="s">
        <v>3607</v>
      </c>
      <c r="B1164" s="49">
        <v>6616508.0</v>
      </c>
      <c r="C1164" s="48" t="s">
        <v>3608</v>
      </c>
      <c r="D1164" s="48" t="s">
        <v>93</v>
      </c>
      <c r="E1164" s="48" t="s">
        <v>167</v>
      </c>
      <c r="F1164" s="48" t="s">
        <v>629</v>
      </c>
      <c r="G1164" s="48" t="s">
        <v>630</v>
      </c>
      <c r="H1164" s="49">
        <v>0.0086262304</v>
      </c>
      <c r="I1164" s="49">
        <v>362.0</v>
      </c>
      <c r="J1164" s="49">
        <v>9317.05</v>
      </c>
      <c r="K1164" s="49">
        <v>9317.05</v>
      </c>
      <c r="L1164" s="45"/>
      <c r="M1164" s="45"/>
      <c r="N1164" s="45"/>
      <c r="O1164" s="45"/>
      <c r="P1164" s="45"/>
      <c r="Q1164" s="45"/>
      <c r="R1164" s="45"/>
      <c r="S1164" s="45"/>
      <c r="T1164" s="45"/>
      <c r="U1164" s="45"/>
      <c r="V1164" s="45"/>
      <c r="W1164" s="45"/>
      <c r="X1164" s="45"/>
      <c r="Y1164" s="45"/>
      <c r="Z1164" s="45"/>
    </row>
    <row r="1165">
      <c r="A1165" s="48" t="s">
        <v>3609</v>
      </c>
      <c r="B1165" s="48" t="s">
        <v>3610</v>
      </c>
      <c r="C1165" s="48" t="s">
        <v>3611</v>
      </c>
      <c r="D1165" s="48" t="s">
        <v>93</v>
      </c>
      <c r="E1165" s="48" t="s">
        <v>133</v>
      </c>
      <c r="F1165" s="48" t="s">
        <v>1374</v>
      </c>
      <c r="G1165" s="48" t="s">
        <v>640</v>
      </c>
      <c r="H1165" s="49">
        <v>0.0086104926</v>
      </c>
      <c r="I1165" s="49">
        <v>235.0</v>
      </c>
      <c r="J1165" s="49">
        <v>9300.05</v>
      </c>
      <c r="K1165" s="49">
        <v>9300.05</v>
      </c>
      <c r="L1165" s="45"/>
      <c r="M1165" s="45"/>
      <c r="N1165" s="45"/>
      <c r="O1165" s="45"/>
      <c r="P1165" s="45"/>
      <c r="Q1165" s="45"/>
      <c r="R1165" s="45"/>
      <c r="S1165" s="45"/>
      <c r="T1165" s="45"/>
      <c r="U1165" s="45"/>
      <c r="V1165" s="45"/>
      <c r="W1165" s="45"/>
      <c r="X1165" s="45"/>
      <c r="Y1165" s="45"/>
      <c r="Z1165" s="45"/>
    </row>
    <row r="1166">
      <c r="A1166" s="48" t="s">
        <v>3612</v>
      </c>
      <c r="B1166" s="48" t="s">
        <v>3613</v>
      </c>
      <c r="C1166" s="48" t="s">
        <v>3614</v>
      </c>
      <c r="D1166" s="48" t="s">
        <v>93</v>
      </c>
      <c r="E1166" s="48" t="s">
        <v>99</v>
      </c>
      <c r="F1166" s="48" t="s">
        <v>629</v>
      </c>
      <c r="G1166" s="48" t="s">
        <v>630</v>
      </c>
      <c r="H1166" s="49">
        <v>0.0086000054</v>
      </c>
      <c r="I1166" s="49">
        <v>232.0</v>
      </c>
      <c r="J1166" s="49">
        <v>9288.72</v>
      </c>
      <c r="K1166" s="49">
        <v>9288.72</v>
      </c>
      <c r="L1166" s="45"/>
      <c r="M1166" s="45"/>
      <c r="N1166" s="45"/>
      <c r="O1166" s="45"/>
      <c r="P1166" s="45"/>
      <c r="Q1166" s="45"/>
      <c r="R1166" s="45"/>
      <c r="S1166" s="45"/>
      <c r="T1166" s="45"/>
      <c r="U1166" s="45"/>
      <c r="V1166" s="45"/>
      <c r="W1166" s="45"/>
      <c r="X1166" s="45"/>
      <c r="Y1166" s="45"/>
      <c r="Z1166" s="45"/>
    </row>
    <row r="1167">
      <c r="A1167" s="48" t="s">
        <v>3615</v>
      </c>
      <c r="B1167" s="48" t="s">
        <v>3616</v>
      </c>
      <c r="C1167" s="48" t="s">
        <v>3617</v>
      </c>
      <c r="D1167" s="48" t="s">
        <v>93</v>
      </c>
      <c r="E1167" s="48" t="s">
        <v>121</v>
      </c>
      <c r="F1167" s="48" t="s">
        <v>622</v>
      </c>
      <c r="G1167" s="48" t="s">
        <v>623</v>
      </c>
      <c r="H1167" s="49">
        <v>0.0085611234</v>
      </c>
      <c r="I1167" s="49">
        <v>1447.0</v>
      </c>
      <c r="J1167" s="49">
        <v>9246.73</v>
      </c>
      <c r="K1167" s="49">
        <v>9246.73</v>
      </c>
      <c r="L1167" s="45"/>
      <c r="M1167" s="45"/>
      <c r="N1167" s="45"/>
      <c r="O1167" s="45"/>
      <c r="P1167" s="45"/>
      <c r="Q1167" s="45"/>
      <c r="R1167" s="45"/>
      <c r="S1167" s="45"/>
      <c r="T1167" s="45"/>
      <c r="U1167" s="45"/>
      <c r="V1167" s="45"/>
      <c r="W1167" s="45"/>
      <c r="X1167" s="45"/>
      <c r="Y1167" s="45"/>
      <c r="Z1167" s="45"/>
    </row>
    <row r="1168">
      <c r="A1168" s="48" t="s">
        <v>3618</v>
      </c>
      <c r="B1168" s="49">
        <v>6267058.0</v>
      </c>
      <c r="C1168" s="48" t="s">
        <v>3619</v>
      </c>
      <c r="D1168" s="48" t="s">
        <v>93</v>
      </c>
      <c r="E1168" s="48" t="s">
        <v>167</v>
      </c>
      <c r="F1168" s="48" t="s">
        <v>629</v>
      </c>
      <c r="G1168" s="48" t="s">
        <v>630</v>
      </c>
      <c r="H1168" s="49">
        <v>0.0085370341</v>
      </c>
      <c r="I1168" s="49">
        <v>144.0</v>
      </c>
      <c r="J1168" s="49">
        <v>9220.71</v>
      </c>
      <c r="K1168" s="49">
        <v>9220.71</v>
      </c>
      <c r="L1168" s="45"/>
      <c r="M1168" s="45"/>
      <c r="N1168" s="45"/>
      <c r="O1168" s="45"/>
      <c r="P1168" s="45"/>
      <c r="Q1168" s="45"/>
      <c r="R1168" s="45"/>
      <c r="S1168" s="45"/>
      <c r="T1168" s="45"/>
      <c r="U1168" s="45"/>
      <c r="V1168" s="45"/>
      <c r="W1168" s="45"/>
      <c r="X1168" s="45"/>
      <c r="Y1168" s="45"/>
      <c r="Z1168" s="45"/>
    </row>
    <row r="1169">
      <c r="A1169" s="48" t="s">
        <v>3620</v>
      </c>
      <c r="B1169" s="49">
        <v>6146500.0</v>
      </c>
      <c r="C1169" s="48" t="s">
        <v>3621</v>
      </c>
      <c r="D1169" s="48" t="s">
        <v>93</v>
      </c>
      <c r="E1169" s="48" t="s">
        <v>167</v>
      </c>
      <c r="F1169" s="48" t="s">
        <v>629</v>
      </c>
      <c r="G1169" s="48" t="s">
        <v>630</v>
      </c>
      <c r="H1169" s="49">
        <v>0.0085149648</v>
      </c>
      <c r="I1169" s="49">
        <v>355.0</v>
      </c>
      <c r="J1169" s="49">
        <v>9196.87</v>
      </c>
      <c r="K1169" s="49">
        <v>9196.87</v>
      </c>
      <c r="L1169" s="45"/>
      <c r="M1169" s="45"/>
      <c r="N1169" s="45"/>
      <c r="O1169" s="45"/>
      <c r="P1169" s="45"/>
      <c r="Q1169" s="45"/>
      <c r="R1169" s="45"/>
      <c r="S1169" s="45"/>
      <c r="T1169" s="45"/>
      <c r="U1169" s="45"/>
      <c r="V1169" s="45"/>
      <c r="W1169" s="45"/>
      <c r="X1169" s="45"/>
      <c r="Y1169" s="45"/>
      <c r="Z1169" s="45"/>
    </row>
    <row r="1170">
      <c r="A1170" s="48" t="s">
        <v>3622</v>
      </c>
      <c r="B1170" s="49">
        <v>822011.0</v>
      </c>
      <c r="C1170" s="48" t="s">
        <v>3623</v>
      </c>
      <c r="D1170" s="48" t="s">
        <v>93</v>
      </c>
      <c r="E1170" s="48" t="s">
        <v>94</v>
      </c>
      <c r="F1170" s="48" t="s">
        <v>918</v>
      </c>
      <c r="G1170" s="48" t="s">
        <v>908</v>
      </c>
      <c r="H1170" s="49">
        <v>0.0084924949</v>
      </c>
      <c r="I1170" s="49">
        <v>1655.0</v>
      </c>
      <c r="J1170" s="49">
        <v>9172.6</v>
      </c>
      <c r="K1170" s="49">
        <v>9172.6</v>
      </c>
      <c r="L1170" s="45"/>
      <c r="M1170" s="45"/>
      <c r="N1170" s="45"/>
      <c r="O1170" s="45"/>
      <c r="P1170" s="45"/>
      <c r="Q1170" s="45"/>
      <c r="R1170" s="45"/>
      <c r="S1170" s="45"/>
      <c r="T1170" s="45"/>
      <c r="U1170" s="45"/>
      <c r="V1170" s="45"/>
      <c r="W1170" s="45"/>
      <c r="X1170" s="45"/>
      <c r="Y1170" s="45"/>
      <c r="Z1170" s="45"/>
    </row>
    <row r="1171">
      <c r="A1171" s="48" t="s">
        <v>3624</v>
      </c>
      <c r="B1171" s="48" t="s">
        <v>3625</v>
      </c>
      <c r="C1171" s="48" t="s">
        <v>3626</v>
      </c>
      <c r="D1171" s="48" t="s">
        <v>93</v>
      </c>
      <c r="E1171" s="48" t="s">
        <v>167</v>
      </c>
      <c r="F1171" s="48" t="s">
        <v>629</v>
      </c>
      <c r="G1171" s="48" t="s">
        <v>630</v>
      </c>
      <c r="H1171" s="49">
        <v>0.0084886371</v>
      </c>
      <c r="I1171" s="49">
        <v>439.0</v>
      </c>
      <c r="J1171" s="49">
        <v>9168.44</v>
      </c>
      <c r="K1171" s="49">
        <v>9168.44</v>
      </c>
      <c r="L1171" s="45"/>
      <c r="M1171" s="45"/>
      <c r="N1171" s="45"/>
      <c r="O1171" s="45"/>
      <c r="P1171" s="45"/>
      <c r="Q1171" s="45"/>
      <c r="R1171" s="45"/>
      <c r="S1171" s="45"/>
      <c r="T1171" s="45"/>
      <c r="U1171" s="45"/>
      <c r="V1171" s="45"/>
      <c r="W1171" s="45"/>
      <c r="X1171" s="45"/>
      <c r="Y1171" s="45"/>
      <c r="Z1171" s="45"/>
    </row>
    <row r="1172">
      <c r="A1172" s="48" t="s">
        <v>3627</v>
      </c>
      <c r="B1172" s="48" t="s">
        <v>3628</v>
      </c>
      <c r="C1172" s="48" t="s">
        <v>3629</v>
      </c>
      <c r="D1172" s="48" t="s">
        <v>93</v>
      </c>
      <c r="E1172" s="48" t="s">
        <v>94</v>
      </c>
      <c r="F1172" s="48" t="s">
        <v>694</v>
      </c>
      <c r="G1172" s="48" t="s">
        <v>1003</v>
      </c>
      <c r="H1172" s="49">
        <v>0.008484287</v>
      </c>
      <c r="I1172" s="49">
        <v>1905.0</v>
      </c>
      <c r="J1172" s="49">
        <v>9163.74</v>
      </c>
      <c r="K1172" s="49">
        <v>9163.74</v>
      </c>
      <c r="L1172" s="45"/>
      <c r="M1172" s="45"/>
      <c r="N1172" s="45"/>
      <c r="O1172" s="45"/>
      <c r="P1172" s="45"/>
      <c r="Q1172" s="45"/>
      <c r="R1172" s="45"/>
      <c r="S1172" s="45"/>
      <c r="T1172" s="45"/>
      <c r="U1172" s="45"/>
      <c r="V1172" s="45"/>
      <c r="W1172" s="45"/>
      <c r="X1172" s="45"/>
      <c r="Y1172" s="45"/>
      <c r="Z1172" s="45"/>
    </row>
    <row r="1173">
      <c r="A1173" s="48" t="s">
        <v>3630</v>
      </c>
      <c r="B1173" s="48" t="s">
        <v>3631</v>
      </c>
      <c r="C1173" s="48" t="s">
        <v>3632</v>
      </c>
      <c r="D1173" s="48" t="s">
        <v>93</v>
      </c>
      <c r="E1173" s="48" t="s">
        <v>127</v>
      </c>
      <c r="F1173" s="48" t="s">
        <v>629</v>
      </c>
      <c r="G1173" s="48" t="s">
        <v>630</v>
      </c>
      <c r="H1173" s="49">
        <v>0.0084659273</v>
      </c>
      <c r="I1173" s="49">
        <v>111.0</v>
      </c>
      <c r="J1173" s="49">
        <v>9143.91</v>
      </c>
      <c r="K1173" s="49">
        <v>9143.91</v>
      </c>
      <c r="L1173" s="45"/>
      <c r="M1173" s="45"/>
      <c r="N1173" s="45"/>
      <c r="O1173" s="45"/>
      <c r="P1173" s="45"/>
      <c r="Q1173" s="45"/>
      <c r="R1173" s="45"/>
      <c r="S1173" s="45"/>
      <c r="T1173" s="45"/>
      <c r="U1173" s="45"/>
      <c r="V1173" s="45"/>
      <c r="W1173" s="45"/>
      <c r="X1173" s="45"/>
      <c r="Y1173" s="45"/>
      <c r="Z1173" s="45"/>
    </row>
    <row r="1174">
      <c r="A1174" s="48" t="s">
        <v>3633</v>
      </c>
      <c r="B1174" s="48" t="s">
        <v>3634</v>
      </c>
      <c r="C1174" s="48" t="s">
        <v>3635</v>
      </c>
      <c r="D1174" s="48" t="s">
        <v>93</v>
      </c>
      <c r="E1174" s="48" t="s">
        <v>118</v>
      </c>
      <c r="F1174" s="48" t="s">
        <v>2967</v>
      </c>
      <c r="G1174" s="48" t="s">
        <v>2968</v>
      </c>
      <c r="H1174" s="49">
        <v>0.0083991747</v>
      </c>
      <c r="I1174" s="49">
        <v>843.0</v>
      </c>
      <c r="J1174" s="49">
        <v>9071.81</v>
      </c>
      <c r="K1174" s="49">
        <v>9071.81</v>
      </c>
      <c r="L1174" s="45"/>
      <c r="M1174" s="45"/>
      <c r="N1174" s="45"/>
      <c r="O1174" s="45"/>
      <c r="P1174" s="45"/>
      <c r="Q1174" s="45"/>
      <c r="R1174" s="45"/>
      <c r="S1174" s="45"/>
      <c r="T1174" s="45"/>
      <c r="U1174" s="45"/>
      <c r="V1174" s="45"/>
      <c r="W1174" s="45"/>
      <c r="X1174" s="45"/>
      <c r="Y1174" s="45"/>
      <c r="Z1174" s="45"/>
    </row>
    <row r="1175">
      <c r="A1175" s="48" t="s">
        <v>3636</v>
      </c>
      <c r="B1175" s="48" t="s">
        <v>3637</v>
      </c>
      <c r="C1175" s="48" t="s">
        <v>3638</v>
      </c>
      <c r="D1175" s="48" t="s">
        <v>93</v>
      </c>
      <c r="E1175" s="48" t="s">
        <v>127</v>
      </c>
      <c r="F1175" s="48" t="s">
        <v>649</v>
      </c>
      <c r="G1175" s="48" t="s">
        <v>640</v>
      </c>
      <c r="H1175" s="49">
        <v>0.0083486569</v>
      </c>
      <c r="I1175" s="49">
        <v>93.0</v>
      </c>
      <c r="J1175" s="49">
        <v>9017.25</v>
      </c>
      <c r="K1175" s="49">
        <v>9017.25</v>
      </c>
      <c r="L1175" s="45"/>
      <c r="M1175" s="45"/>
      <c r="N1175" s="45"/>
      <c r="O1175" s="45"/>
      <c r="P1175" s="45"/>
      <c r="Q1175" s="45"/>
      <c r="R1175" s="45"/>
      <c r="S1175" s="45"/>
      <c r="T1175" s="45"/>
      <c r="U1175" s="45"/>
      <c r="V1175" s="45"/>
      <c r="W1175" s="45"/>
      <c r="X1175" s="45"/>
      <c r="Y1175" s="45"/>
      <c r="Z1175" s="45"/>
    </row>
    <row r="1176">
      <c r="A1176" s="48" t="s">
        <v>3639</v>
      </c>
      <c r="B1176" s="49">
        <v>6497963.0</v>
      </c>
      <c r="C1176" s="48" t="s">
        <v>3640</v>
      </c>
      <c r="D1176" s="48" t="s">
        <v>93</v>
      </c>
      <c r="E1176" s="48" t="s">
        <v>127</v>
      </c>
      <c r="F1176" s="48" t="s">
        <v>629</v>
      </c>
      <c r="G1176" s="48" t="s">
        <v>630</v>
      </c>
      <c r="H1176" s="49">
        <v>0.0083437004</v>
      </c>
      <c r="I1176" s="49">
        <v>161.0</v>
      </c>
      <c r="J1176" s="49">
        <v>9011.89</v>
      </c>
      <c r="K1176" s="49">
        <v>9011.89</v>
      </c>
      <c r="L1176" s="45"/>
      <c r="M1176" s="45"/>
      <c r="N1176" s="45"/>
      <c r="O1176" s="45"/>
      <c r="P1176" s="45"/>
      <c r="Q1176" s="45"/>
      <c r="R1176" s="45"/>
      <c r="S1176" s="45"/>
      <c r="T1176" s="45"/>
      <c r="U1176" s="45"/>
      <c r="V1176" s="45"/>
      <c r="W1176" s="45"/>
      <c r="X1176" s="45"/>
      <c r="Y1176" s="45"/>
      <c r="Z1176" s="45"/>
    </row>
    <row r="1177">
      <c r="A1177" s="48" t="s">
        <v>3641</v>
      </c>
      <c r="B1177" s="49">
        <v>6897466.0</v>
      </c>
      <c r="C1177" s="48" t="s">
        <v>3642</v>
      </c>
      <c r="D1177" s="48" t="s">
        <v>93</v>
      </c>
      <c r="E1177" s="48" t="s">
        <v>127</v>
      </c>
      <c r="F1177" s="48" t="s">
        <v>629</v>
      </c>
      <c r="G1177" s="48" t="s">
        <v>630</v>
      </c>
      <c r="H1177" s="49">
        <v>0.0082879844</v>
      </c>
      <c r="I1177" s="49">
        <v>217.0</v>
      </c>
      <c r="J1177" s="49">
        <v>8951.71</v>
      </c>
      <c r="K1177" s="49">
        <v>8951.71</v>
      </c>
      <c r="L1177" s="45"/>
      <c r="M1177" s="45"/>
      <c r="N1177" s="45"/>
      <c r="O1177" s="45"/>
      <c r="P1177" s="45"/>
      <c r="Q1177" s="45"/>
      <c r="R1177" s="45"/>
      <c r="S1177" s="45"/>
      <c r="T1177" s="45"/>
      <c r="U1177" s="45"/>
      <c r="V1177" s="45"/>
      <c r="W1177" s="45"/>
      <c r="X1177" s="45"/>
      <c r="Y1177" s="45"/>
      <c r="Z1177" s="45"/>
    </row>
    <row r="1178">
      <c r="A1178" s="48" t="s">
        <v>3643</v>
      </c>
      <c r="B1178" s="49">
        <v>2229610.0</v>
      </c>
      <c r="C1178" s="48" t="s">
        <v>3644</v>
      </c>
      <c r="D1178" s="48" t="s">
        <v>93</v>
      </c>
      <c r="E1178" s="48" t="s">
        <v>133</v>
      </c>
      <c r="F1178" s="48" t="s">
        <v>694</v>
      </c>
      <c r="G1178" s="48" t="s">
        <v>1003</v>
      </c>
      <c r="H1178" s="49">
        <v>0.0082556391</v>
      </c>
      <c r="I1178" s="49">
        <v>401.0</v>
      </c>
      <c r="J1178" s="49">
        <v>8916.78</v>
      </c>
      <c r="K1178" s="49">
        <v>8916.78</v>
      </c>
      <c r="L1178" s="45"/>
      <c r="M1178" s="45"/>
      <c r="N1178" s="45"/>
      <c r="O1178" s="45"/>
      <c r="P1178" s="45"/>
      <c r="Q1178" s="45"/>
      <c r="R1178" s="45"/>
      <c r="S1178" s="45"/>
      <c r="T1178" s="45"/>
      <c r="U1178" s="45"/>
      <c r="V1178" s="45"/>
      <c r="W1178" s="45"/>
      <c r="X1178" s="45"/>
      <c r="Y1178" s="45"/>
      <c r="Z1178" s="45"/>
    </row>
    <row r="1179">
      <c r="A1179" s="48" t="s">
        <v>3645</v>
      </c>
      <c r="B1179" s="49">
        <v>682538.0</v>
      </c>
      <c r="C1179" s="48" t="s">
        <v>3646</v>
      </c>
      <c r="D1179" s="48" t="s">
        <v>93</v>
      </c>
      <c r="E1179" s="48" t="s">
        <v>118</v>
      </c>
      <c r="F1179" s="48" t="s">
        <v>918</v>
      </c>
      <c r="G1179" s="48" t="s">
        <v>908</v>
      </c>
      <c r="H1179" s="49">
        <v>0.0082125373</v>
      </c>
      <c r="I1179" s="49">
        <v>424.0</v>
      </c>
      <c r="J1179" s="49">
        <v>8870.22</v>
      </c>
      <c r="K1179" s="49">
        <v>8870.22</v>
      </c>
      <c r="L1179" s="45"/>
      <c r="M1179" s="45"/>
      <c r="N1179" s="45"/>
      <c r="O1179" s="45"/>
      <c r="P1179" s="45"/>
      <c r="Q1179" s="45"/>
      <c r="R1179" s="45"/>
      <c r="S1179" s="45"/>
      <c r="T1179" s="45"/>
      <c r="U1179" s="45"/>
      <c r="V1179" s="45"/>
      <c r="W1179" s="45"/>
      <c r="X1179" s="45"/>
      <c r="Y1179" s="45"/>
      <c r="Z1179" s="45"/>
    </row>
    <row r="1180">
      <c r="A1180" s="48" t="s">
        <v>3647</v>
      </c>
      <c r="B1180" s="49">
        <v>6985543.0</v>
      </c>
      <c r="C1180" s="48" t="s">
        <v>3648</v>
      </c>
      <c r="D1180" s="48" t="s">
        <v>93</v>
      </c>
      <c r="E1180" s="48" t="s">
        <v>167</v>
      </c>
      <c r="F1180" s="48" t="s">
        <v>629</v>
      </c>
      <c r="G1180" s="48" t="s">
        <v>630</v>
      </c>
      <c r="H1180" s="49">
        <v>0.0082001081</v>
      </c>
      <c r="I1180" s="49">
        <v>179.0</v>
      </c>
      <c r="J1180" s="49">
        <v>8856.8</v>
      </c>
      <c r="K1180" s="49">
        <v>8856.8</v>
      </c>
      <c r="L1180" s="45"/>
      <c r="M1180" s="45"/>
      <c r="N1180" s="45"/>
      <c r="O1180" s="45"/>
      <c r="P1180" s="45"/>
      <c r="Q1180" s="45"/>
      <c r="R1180" s="45"/>
      <c r="S1180" s="45"/>
      <c r="T1180" s="45"/>
      <c r="U1180" s="45"/>
      <c r="V1180" s="45"/>
      <c r="W1180" s="45"/>
      <c r="X1180" s="45"/>
      <c r="Y1180" s="45"/>
      <c r="Z1180" s="45"/>
    </row>
    <row r="1181">
      <c r="A1181" s="48" t="s">
        <v>3649</v>
      </c>
      <c r="B1181" s="48" t="s">
        <v>3650</v>
      </c>
      <c r="C1181" s="48" t="s">
        <v>3651</v>
      </c>
      <c r="D1181" s="48" t="s">
        <v>93</v>
      </c>
      <c r="E1181" s="48" t="s">
        <v>102</v>
      </c>
      <c r="F1181" s="48" t="s">
        <v>686</v>
      </c>
      <c r="G1181" s="48" t="s">
        <v>640</v>
      </c>
      <c r="H1181" s="49">
        <v>0.0080897283</v>
      </c>
      <c r="I1181" s="49">
        <v>145.0</v>
      </c>
      <c r="J1181" s="49">
        <v>8737.58</v>
      </c>
      <c r="K1181" s="49">
        <v>8737.58</v>
      </c>
      <c r="L1181" s="45"/>
      <c r="M1181" s="45"/>
      <c r="N1181" s="45"/>
      <c r="O1181" s="45"/>
      <c r="P1181" s="45"/>
      <c r="Q1181" s="45"/>
      <c r="R1181" s="45"/>
      <c r="S1181" s="45"/>
      <c r="T1181" s="45"/>
      <c r="U1181" s="45"/>
      <c r="V1181" s="45"/>
      <c r="W1181" s="45"/>
      <c r="X1181" s="45"/>
      <c r="Y1181" s="45"/>
      <c r="Z1181" s="45"/>
    </row>
    <row r="1182">
      <c r="A1182" s="48" t="s">
        <v>3652</v>
      </c>
      <c r="B1182" s="48" t="s">
        <v>3653</v>
      </c>
      <c r="C1182" s="48" t="s">
        <v>3654</v>
      </c>
      <c r="D1182" s="48" t="s">
        <v>93</v>
      </c>
      <c r="E1182" s="48" t="s">
        <v>127</v>
      </c>
      <c r="F1182" s="48" t="s">
        <v>1740</v>
      </c>
      <c r="G1182" s="48" t="s">
        <v>1741</v>
      </c>
      <c r="H1182" s="49">
        <v>0.0080737392</v>
      </c>
      <c r="I1182" s="49">
        <v>536.0</v>
      </c>
      <c r="J1182" s="49">
        <v>8720.31</v>
      </c>
      <c r="K1182" s="49">
        <v>8720.31</v>
      </c>
      <c r="L1182" s="45"/>
      <c r="M1182" s="45"/>
      <c r="N1182" s="45"/>
      <c r="O1182" s="45"/>
      <c r="P1182" s="45"/>
      <c r="Q1182" s="45"/>
      <c r="R1182" s="45"/>
      <c r="S1182" s="45"/>
      <c r="T1182" s="45"/>
      <c r="U1182" s="45"/>
      <c r="V1182" s="45"/>
      <c r="W1182" s="45"/>
      <c r="X1182" s="45"/>
      <c r="Y1182" s="45"/>
      <c r="Z1182" s="45"/>
    </row>
    <row r="1183">
      <c r="A1183" s="48" t="s">
        <v>3655</v>
      </c>
      <c r="B1183" s="48" t="s">
        <v>3656</v>
      </c>
      <c r="C1183" s="48" t="s">
        <v>3657</v>
      </c>
      <c r="D1183" s="48" t="s">
        <v>93</v>
      </c>
      <c r="E1183" s="48" t="s">
        <v>133</v>
      </c>
      <c r="F1183" s="48" t="s">
        <v>629</v>
      </c>
      <c r="G1183" s="48" t="s">
        <v>630</v>
      </c>
      <c r="H1183" s="49">
        <v>0.0080024427</v>
      </c>
      <c r="I1183" s="49">
        <v>3.0</v>
      </c>
      <c r="J1183" s="49">
        <v>8643.31</v>
      </c>
      <c r="K1183" s="49">
        <v>8643.31</v>
      </c>
      <c r="L1183" s="45"/>
      <c r="M1183" s="45"/>
      <c r="N1183" s="45"/>
      <c r="O1183" s="45"/>
      <c r="P1183" s="45"/>
      <c r="Q1183" s="45"/>
      <c r="R1183" s="45"/>
      <c r="S1183" s="45"/>
      <c r="T1183" s="45"/>
      <c r="U1183" s="45"/>
      <c r="V1183" s="45"/>
      <c r="W1183" s="45"/>
      <c r="X1183" s="45"/>
      <c r="Y1183" s="45"/>
      <c r="Z1183" s="45"/>
    </row>
    <row r="1184">
      <c r="A1184" s="48" t="s">
        <v>3658</v>
      </c>
      <c r="B1184" s="48" t="s">
        <v>3659</v>
      </c>
      <c r="C1184" s="48" t="s">
        <v>3660</v>
      </c>
      <c r="D1184" s="48" t="s">
        <v>93</v>
      </c>
      <c r="E1184" s="48" t="s">
        <v>102</v>
      </c>
      <c r="F1184" s="48" t="s">
        <v>639</v>
      </c>
      <c r="G1184" s="48" t="s">
        <v>640</v>
      </c>
      <c r="H1184" s="49">
        <v>0.0079050958</v>
      </c>
      <c r="I1184" s="49">
        <v>57.0</v>
      </c>
      <c r="J1184" s="49">
        <v>8538.16</v>
      </c>
      <c r="K1184" s="49">
        <v>8538.16</v>
      </c>
      <c r="L1184" s="45"/>
      <c r="M1184" s="45"/>
      <c r="N1184" s="45"/>
      <c r="O1184" s="45"/>
      <c r="P1184" s="45"/>
      <c r="Q1184" s="45"/>
      <c r="R1184" s="45"/>
      <c r="S1184" s="45"/>
      <c r="T1184" s="45"/>
      <c r="U1184" s="45"/>
      <c r="V1184" s="45"/>
      <c r="W1184" s="45"/>
      <c r="X1184" s="45"/>
      <c r="Y1184" s="45"/>
      <c r="Z1184" s="45"/>
    </row>
    <row r="1185">
      <c r="A1185" s="48" t="s">
        <v>3661</v>
      </c>
      <c r="B1185" s="48" t="s">
        <v>3662</v>
      </c>
      <c r="C1185" s="48" t="s">
        <v>3663</v>
      </c>
      <c r="D1185" s="48" t="s">
        <v>93</v>
      </c>
      <c r="E1185" s="48" t="s">
        <v>133</v>
      </c>
      <c r="F1185" s="48" t="s">
        <v>629</v>
      </c>
      <c r="G1185" s="48" t="s">
        <v>630</v>
      </c>
      <c r="H1185" s="49">
        <v>0.0078851049</v>
      </c>
      <c r="I1185" s="49">
        <v>6.0</v>
      </c>
      <c r="J1185" s="49">
        <v>8516.57</v>
      </c>
      <c r="K1185" s="49">
        <v>8516.57</v>
      </c>
      <c r="L1185" s="45"/>
      <c r="M1185" s="45"/>
      <c r="N1185" s="45"/>
      <c r="O1185" s="45"/>
      <c r="P1185" s="45"/>
      <c r="Q1185" s="45"/>
      <c r="R1185" s="45"/>
      <c r="S1185" s="45"/>
      <c r="T1185" s="45"/>
      <c r="U1185" s="45"/>
      <c r="V1185" s="45"/>
      <c r="W1185" s="45"/>
      <c r="X1185" s="45"/>
      <c r="Y1185" s="45"/>
      <c r="Z1185" s="45"/>
    </row>
    <row r="1186">
      <c r="A1186" s="48" t="s">
        <v>3664</v>
      </c>
      <c r="B1186" s="48" t="s">
        <v>3665</v>
      </c>
      <c r="C1186" s="48" t="s">
        <v>3666</v>
      </c>
      <c r="D1186" s="48" t="s">
        <v>93</v>
      </c>
      <c r="E1186" s="48" t="s">
        <v>102</v>
      </c>
      <c r="F1186" s="48" t="s">
        <v>629</v>
      </c>
      <c r="G1186" s="48" t="s">
        <v>630</v>
      </c>
      <c r="H1186" s="49">
        <v>0.0077681092</v>
      </c>
      <c r="I1186" s="49">
        <v>295.0</v>
      </c>
      <c r="J1186" s="49">
        <v>8390.21</v>
      </c>
      <c r="K1186" s="49">
        <v>8390.21</v>
      </c>
      <c r="L1186" s="45"/>
      <c r="M1186" s="45"/>
      <c r="N1186" s="45"/>
      <c r="O1186" s="45"/>
      <c r="P1186" s="45"/>
      <c r="Q1186" s="45"/>
      <c r="R1186" s="45"/>
      <c r="S1186" s="45"/>
      <c r="T1186" s="45"/>
      <c r="U1186" s="45"/>
      <c r="V1186" s="45"/>
      <c r="W1186" s="45"/>
      <c r="X1186" s="45"/>
      <c r="Y1186" s="45"/>
      <c r="Z1186" s="45"/>
    </row>
    <row r="1187">
      <c r="A1187" s="48" t="s">
        <v>3667</v>
      </c>
      <c r="B1187" s="48" t="s">
        <v>3668</v>
      </c>
      <c r="C1187" s="48" t="s">
        <v>3669</v>
      </c>
      <c r="D1187" s="48" t="s">
        <v>93</v>
      </c>
      <c r="E1187" s="48" t="s">
        <v>127</v>
      </c>
      <c r="F1187" s="48" t="s">
        <v>1740</v>
      </c>
      <c r="G1187" s="48" t="s">
        <v>1741</v>
      </c>
      <c r="H1187" s="49">
        <v>0.0077391377</v>
      </c>
      <c r="I1187" s="49">
        <v>310.0</v>
      </c>
      <c r="J1187" s="49">
        <v>8358.91</v>
      </c>
      <c r="K1187" s="49">
        <v>8358.91</v>
      </c>
      <c r="L1187" s="45"/>
      <c r="M1187" s="45"/>
      <c r="N1187" s="45"/>
      <c r="O1187" s="45"/>
      <c r="P1187" s="45"/>
      <c r="Q1187" s="45"/>
      <c r="R1187" s="45"/>
      <c r="S1187" s="45"/>
      <c r="T1187" s="45"/>
      <c r="U1187" s="45"/>
      <c r="V1187" s="45"/>
      <c r="W1187" s="45"/>
      <c r="X1187" s="45"/>
      <c r="Y1187" s="45"/>
      <c r="Z1187" s="45"/>
    </row>
    <row r="1188">
      <c r="A1188" s="48" t="s">
        <v>3670</v>
      </c>
      <c r="B1188" s="48" t="s">
        <v>3671</v>
      </c>
      <c r="C1188" s="48" t="s">
        <v>3672</v>
      </c>
      <c r="D1188" s="48" t="s">
        <v>93</v>
      </c>
      <c r="E1188" s="48" t="s">
        <v>118</v>
      </c>
      <c r="F1188" s="48" t="s">
        <v>622</v>
      </c>
      <c r="G1188" s="48" t="s">
        <v>623</v>
      </c>
      <c r="H1188" s="49">
        <v>0.0077216349</v>
      </c>
      <c r="I1188" s="49">
        <v>1035.0</v>
      </c>
      <c r="J1188" s="49">
        <v>8340.01</v>
      </c>
      <c r="K1188" s="49">
        <v>8340.01</v>
      </c>
      <c r="L1188" s="45"/>
      <c r="M1188" s="45"/>
      <c r="N1188" s="45"/>
      <c r="O1188" s="45"/>
      <c r="P1188" s="45"/>
      <c r="Q1188" s="45"/>
      <c r="R1188" s="45"/>
      <c r="S1188" s="45"/>
      <c r="T1188" s="45"/>
      <c r="U1188" s="45"/>
      <c r="V1188" s="45"/>
      <c r="W1188" s="45"/>
      <c r="X1188" s="45"/>
      <c r="Y1188" s="45"/>
      <c r="Z1188" s="45"/>
    </row>
    <row r="1189">
      <c r="A1189" s="48" t="s">
        <v>3673</v>
      </c>
      <c r="B1189" s="48" t="s">
        <v>3674</v>
      </c>
      <c r="C1189" s="48" t="s">
        <v>3675</v>
      </c>
      <c r="D1189" s="48" t="s">
        <v>93</v>
      </c>
      <c r="E1189" s="48" t="s">
        <v>133</v>
      </c>
      <c r="F1189" s="48" t="s">
        <v>629</v>
      </c>
      <c r="G1189" s="48" t="s">
        <v>630</v>
      </c>
      <c r="H1189" s="49">
        <v>0.00767976359999999</v>
      </c>
      <c r="I1189" s="49">
        <v>3.0</v>
      </c>
      <c r="J1189" s="49">
        <v>8294.78</v>
      </c>
      <c r="K1189" s="49">
        <v>8294.78</v>
      </c>
      <c r="L1189" s="45"/>
      <c r="M1189" s="45"/>
      <c r="N1189" s="45"/>
      <c r="O1189" s="45"/>
      <c r="P1189" s="45"/>
      <c r="Q1189" s="45"/>
      <c r="R1189" s="45"/>
      <c r="S1189" s="45"/>
      <c r="T1189" s="45"/>
      <c r="U1189" s="45"/>
      <c r="V1189" s="45"/>
      <c r="W1189" s="45"/>
      <c r="X1189" s="45"/>
      <c r="Y1189" s="45"/>
      <c r="Z1189" s="45"/>
    </row>
    <row r="1190">
      <c r="A1190" s="48" t="s">
        <v>3676</v>
      </c>
      <c r="B1190" s="49">
        <v>6496324.0</v>
      </c>
      <c r="C1190" s="48" t="s">
        <v>3677</v>
      </c>
      <c r="D1190" s="48" t="s">
        <v>93</v>
      </c>
      <c r="E1190" s="48" t="s">
        <v>118</v>
      </c>
      <c r="F1190" s="48" t="s">
        <v>629</v>
      </c>
      <c r="G1190" s="48" t="s">
        <v>630</v>
      </c>
      <c r="H1190" s="49">
        <v>0.0076423328</v>
      </c>
      <c r="I1190" s="49">
        <v>341.0</v>
      </c>
      <c r="J1190" s="49">
        <v>8254.36</v>
      </c>
      <c r="K1190" s="49">
        <v>8254.36</v>
      </c>
      <c r="L1190" s="45"/>
      <c r="M1190" s="45"/>
      <c r="N1190" s="45"/>
      <c r="O1190" s="45"/>
      <c r="P1190" s="45"/>
      <c r="Q1190" s="45"/>
      <c r="R1190" s="45"/>
      <c r="S1190" s="45"/>
      <c r="T1190" s="45"/>
      <c r="U1190" s="45"/>
      <c r="V1190" s="45"/>
      <c r="W1190" s="45"/>
      <c r="X1190" s="45"/>
      <c r="Y1190" s="45"/>
      <c r="Z1190" s="45"/>
    </row>
    <row r="1191">
      <c r="A1191" s="48" t="s">
        <v>3678</v>
      </c>
      <c r="B1191" s="48" t="s">
        <v>3679</v>
      </c>
      <c r="C1191" s="48" t="s">
        <v>3680</v>
      </c>
      <c r="D1191" s="48" t="s">
        <v>93</v>
      </c>
      <c r="E1191" s="48" t="s">
        <v>102</v>
      </c>
      <c r="F1191" s="48" t="s">
        <v>3681</v>
      </c>
      <c r="G1191" s="48" t="s">
        <v>908</v>
      </c>
      <c r="H1191" s="49">
        <v>0.0075225897</v>
      </c>
      <c r="I1191" s="49">
        <v>201.0</v>
      </c>
      <c r="J1191" s="49">
        <v>8125.02</v>
      </c>
      <c r="K1191" s="49">
        <v>8125.02</v>
      </c>
      <c r="L1191" s="45"/>
      <c r="M1191" s="45"/>
      <c r="N1191" s="45"/>
      <c r="O1191" s="45"/>
      <c r="P1191" s="45"/>
      <c r="Q1191" s="45"/>
      <c r="R1191" s="45"/>
      <c r="S1191" s="45"/>
      <c r="T1191" s="45"/>
      <c r="U1191" s="45"/>
      <c r="V1191" s="45"/>
      <c r="W1191" s="45"/>
      <c r="X1191" s="45"/>
      <c r="Y1191" s="45"/>
      <c r="Z1191" s="45"/>
    </row>
    <row r="1192">
      <c r="A1192" s="48" t="s">
        <v>3682</v>
      </c>
      <c r="B1192" s="48" t="s">
        <v>3683</v>
      </c>
      <c r="C1192" s="48" t="s">
        <v>3684</v>
      </c>
      <c r="D1192" s="48" t="s">
        <v>93</v>
      </c>
      <c r="E1192" s="48" t="s">
        <v>99</v>
      </c>
      <c r="F1192" s="48" t="s">
        <v>918</v>
      </c>
      <c r="G1192" s="48" t="s">
        <v>908</v>
      </c>
      <c r="H1192" s="49">
        <v>0.00737573859999999</v>
      </c>
      <c r="I1192" s="49">
        <v>1012.0</v>
      </c>
      <c r="J1192" s="49">
        <v>7966.41</v>
      </c>
      <c r="K1192" s="49">
        <v>7966.41</v>
      </c>
      <c r="L1192" s="45"/>
      <c r="M1192" s="45"/>
      <c r="N1192" s="45"/>
      <c r="O1192" s="45"/>
      <c r="P1192" s="45"/>
      <c r="Q1192" s="45"/>
      <c r="R1192" s="45"/>
      <c r="S1192" s="45"/>
      <c r="T1192" s="45"/>
      <c r="U1192" s="45"/>
      <c r="V1192" s="45"/>
      <c r="W1192" s="45"/>
      <c r="X1192" s="45"/>
      <c r="Y1192" s="45"/>
      <c r="Z1192" s="45"/>
    </row>
    <row r="1193">
      <c r="A1193" s="48" t="s">
        <v>3685</v>
      </c>
      <c r="B1193" s="49">
        <v>2951098.0</v>
      </c>
      <c r="C1193" s="48" t="s">
        <v>3686</v>
      </c>
      <c r="D1193" s="48" t="s">
        <v>93</v>
      </c>
      <c r="E1193" s="48" t="s">
        <v>94</v>
      </c>
      <c r="F1193" s="48" t="s">
        <v>694</v>
      </c>
      <c r="G1193" s="48" t="s">
        <v>1003</v>
      </c>
      <c r="H1193" s="49">
        <v>0.0073706923</v>
      </c>
      <c r="I1193" s="49">
        <v>72.0</v>
      </c>
      <c r="J1193" s="49">
        <v>7960.96</v>
      </c>
      <c r="K1193" s="49">
        <v>7960.96</v>
      </c>
      <c r="L1193" s="45"/>
      <c r="M1193" s="45"/>
      <c r="N1193" s="45"/>
      <c r="O1193" s="45"/>
      <c r="P1193" s="45"/>
      <c r="Q1193" s="45"/>
      <c r="R1193" s="45"/>
      <c r="S1193" s="45"/>
      <c r="T1193" s="45"/>
      <c r="U1193" s="45"/>
      <c r="V1193" s="45"/>
      <c r="W1193" s="45"/>
      <c r="X1193" s="45"/>
      <c r="Y1193" s="45"/>
      <c r="Z1193" s="45"/>
    </row>
    <row r="1194">
      <c r="A1194" s="48" t="s">
        <v>3687</v>
      </c>
      <c r="B1194" s="48" t="s">
        <v>3688</v>
      </c>
      <c r="C1194" s="48" t="s">
        <v>3689</v>
      </c>
      <c r="D1194" s="48" t="s">
        <v>93</v>
      </c>
      <c r="E1194" s="48" t="s">
        <v>99</v>
      </c>
      <c r="F1194" s="48" t="s">
        <v>918</v>
      </c>
      <c r="G1194" s="48" t="s">
        <v>908</v>
      </c>
      <c r="H1194" s="49">
        <v>0.00728112129999999</v>
      </c>
      <c r="I1194" s="49">
        <v>2639.0</v>
      </c>
      <c r="J1194" s="49">
        <v>7864.22</v>
      </c>
      <c r="K1194" s="49">
        <v>7864.22</v>
      </c>
      <c r="L1194" s="45"/>
      <c r="M1194" s="45"/>
      <c r="N1194" s="45"/>
      <c r="O1194" s="45"/>
      <c r="P1194" s="45"/>
      <c r="Q1194" s="45"/>
      <c r="R1194" s="45"/>
      <c r="S1194" s="45"/>
      <c r="T1194" s="45"/>
      <c r="U1194" s="45"/>
      <c r="V1194" s="45"/>
      <c r="W1194" s="45"/>
      <c r="X1194" s="45"/>
      <c r="Y1194" s="45"/>
      <c r="Z1194" s="45"/>
    </row>
    <row r="1195">
      <c r="A1195" s="48" t="s">
        <v>3690</v>
      </c>
      <c r="B1195" s="49">
        <v>2314000.0</v>
      </c>
      <c r="C1195" s="48" t="s">
        <v>3691</v>
      </c>
      <c r="D1195" s="48" t="s">
        <v>93</v>
      </c>
      <c r="E1195" s="48" t="s">
        <v>124</v>
      </c>
      <c r="F1195" s="48" t="s">
        <v>694</v>
      </c>
      <c r="G1195" s="48" t="s">
        <v>1003</v>
      </c>
      <c r="H1195" s="49">
        <v>0.0071824166</v>
      </c>
      <c r="I1195" s="49">
        <v>183.0</v>
      </c>
      <c r="J1195" s="49">
        <v>7757.61</v>
      </c>
      <c r="K1195" s="49">
        <v>7757.61</v>
      </c>
      <c r="L1195" s="45"/>
      <c r="M1195" s="45"/>
      <c r="N1195" s="45"/>
      <c r="O1195" s="45"/>
      <c r="P1195" s="45"/>
      <c r="Q1195" s="45"/>
      <c r="R1195" s="45"/>
      <c r="S1195" s="45"/>
      <c r="T1195" s="45"/>
      <c r="U1195" s="45"/>
      <c r="V1195" s="45"/>
      <c r="W1195" s="45"/>
      <c r="X1195" s="45"/>
      <c r="Y1195" s="45"/>
      <c r="Z1195" s="45"/>
    </row>
    <row r="1196">
      <c r="A1196" s="48" t="s">
        <v>3692</v>
      </c>
      <c r="B1196" s="48" t="s">
        <v>3693</v>
      </c>
      <c r="C1196" s="48" t="s">
        <v>3694</v>
      </c>
      <c r="D1196" s="48" t="s">
        <v>93</v>
      </c>
      <c r="E1196" s="48" t="s">
        <v>121</v>
      </c>
      <c r="F1196" s="48" t="s">
        <v>622</v>
      </c>
      <c r="G1196" s="48" t="s">
        <v>623</v>
      </c>
      <c r="H1196" s="49">
        <v>0.0070752828</v>
      </c>
      <c r="I1196" s="49">
        <v>163.0</v>
      </c>
      <c r="J1196" s="49">
        <v>7641.9</v>
      </c>
      <c r="K1196" s="49">
        <v>7641.9</v>
      </c>
      <c r="L1196" s="45"/>
      <c r="M1196" s="45"/>
      <c r="N1196" s="45"/>
      <c r="O1196" s="45"/>
      <c r="P1196" s="45"/>
      <c r="Q1196" s="45"/>
      <c r="R1196" s="45"/>
      <c r="S1196" s="45"/>
      <c r="T1196" s="45"/>
      <c r="U1196" s="45"/>
      <c r="V1196" s="45"/>
      <c r="W1196" s="45"/>
      <c r="X1196" s="45"/>
      <c r="Y1196" s="45"/>
      <c r="Z1196" s="45"/>
    </row>
    <row r="1197">
      <c r="A1197" s="48" t="s">
        <v>3695</v>
      </c>
      <c r="B1197" s="49">
        <v>5208241.0</v>
      </c>
      <c r="C1197" s="48" t="s">
        <v>3696</v>
      </c>
      <c r="D1197" s="48" t="s">
        <v>93</v>
      </c>
      <c r="E1197" s="48" t="s">
        <v>127</v>
      </c>
      <c r="F1197" s="48" t="s">
        <v>1673</v>
      </c>
      <c r="G1197" s="48" t="s">
        <v>1674</v>
      </c>
      <c r="H1197" s="49">
        <v>0.0068655072</v>
      </c>
      <c r="I1197" s="49">
        <v>114.0</v>
      </c>
      <c r="J1197" s="49">
        <v>7415.32</v>
      </c>
      <c r="K1197" s="49">
        <v>7415.32</v>
      </c>
      <c r="L1197" s="45"/>
      <c r="M1197" s="45"/>
      <c r="N1197" s="45"/>
      <c r="O1197" s="45"/>
      <c r="P1197" s="45"/>
      <c r="Q1197" s="45"/>
      <c r="R1197" s="45"/>
      <c r="S1197" s="45"/>
      <c r="T1197" s="45"/>
      <c r="U1197" s="45"/>
      <c r="V1197" s="45"/>
      <c r="W1197" s="45"/>
      <c r="X1197" s="45"/>
      <c r="Y1197" s="45"/>
      <c r="Z1197" s="45"/>
    </row>
    <row r="1198">
      <c r="A1198" s="48" t="s">
        <v>3697</v>
      </c>
      <c r="B1198" s="48" t="s">
        <v>3698</v>
      </c>
      <c r="C1198" s="48" t="s">
        <v>3699</v>
      </c>
      <c r="D1198" s="48" t="s">
        <v>93</v>
      </c>
      <c r="E1198" s="48" t="s">
        <v>124</v>
      </c>
      <c r="F1198" s="48" t="s">
        <v>622</v>
      </c>
      <c r="G1198" s="48" t="s">
        <v>623</v>
      </c>
      <c r="H1198" s="49">
        <v>0.0067964875</v>
      </c>
      <c r="I1198" s="49">
        <v>226.0</v>
      </c>
      <c r="J1198" s="49">
        <v>7340.77</v>
      </c>
      <c r="K1198" s="49">
        <v>7340.77</v>
      </c>
      <c r="L1198" s="45"/>
      <c r="M1198" s="45"/>
      <c r="N1198" s="45"/>
      <c r="O1198" s="45"/>
      <c r="P1198" s="45"/>
      <c r="Q1198" s="45"/>
      <c r="R1198" s="45"/>
      <c r="S1198" s="45"/>
      <c r="T1198" s="45"/>
      <c r="U1198" s="45"/>
      <c r="V1198" s="45"/>
      <c r="W1198" s="45"/>
      <c r="X1198" s="45"/>
      <c r="Y1198" s="45"/>
      <c r="Z1198" s="45"/>
    </row>
    <row r="1199">
      <c r="A1199" s="48" t="s">
        <v>3700</v>
      </c>
      <c r="B1199" s="48" t="s">
        <v>3701</v>
      </c>
      <c r="C1199" s="48" t="s">
        <v>3702</v>
      </c>
      <c r="D1199" s="48" t="s">
        <v>93</v>
      </c>
      <c r="E1199" s="48" t="s">
        <v>118</v>
      </c>
      <c r="F1199" s="48" t="s">
        <v>629</v>
      </c>
      <c r="G1199" s="48" t="s">
        <v>630</v>
      </c>
      <c r="H1199" s="49">
        <v>0.0066860096</v>
      </c>
      <c r="I1199" s="49">
        <v>404.0</v>
      </c>
      <c r="J1199" s="49">
        <v>7221.45</v>
      </c>
      <c r="K1199" s="49">
        <v>7221.45</v>
      </c>
      <c r="L1199" s="45"/>
      <c r="M1199" s="45"/>
      <c r="N1199" s="45"/>
      <c r="O1199" s="45"/>
      <c r="P1199" s="45"/>
      <c r="Q1199" s="45"/>
      <c r="R1199" s="45"/>
      <c r="S1199" s="45"/>
      <c r="T1199" s="45"/>
      <c r="U1199" s="45"/>
      <c r="V1199" s="45"/>
      <c r="W1199" s="45"/>
      <c r="X1199" s="45"/>
      <c r="Y1199" s="45"/>
      <c r="Z1199" s="45"/>
    </row>
    <row r="1200">
      <c r="A1200" s="48" t="s">
        <v>3703</v>
      </c>
      <c r="B1200" s="49">
        <v>6657701.0</v>
      </c>
      <c r="C1200" s="48" t="s">
        <v>3704</v>
      </c>
      <c r="D1200" s="48" t="s">
        <v>93</v>
      </c>
      <c r="E1200" s="48" t="s">
        <v>94</v>
      </c>
      <c r="F1200" s="48" t="s">
        <v>629</v>
      </c>
      <c r="G1200" s="48" t="s">
        <v>630</v>
      </c>
      <c r="H1200" s="49">
        <v>0.0065865677</v>
      </c>
      <c r="I1200" s="49">
        <v>1022.0</v>
      </c>
      <c r="J1200" s="49">
        <v>7114.04</v>
      </c>
      <c r="K1200" s="49">
        <v>7114.04</v>
      </c>
      <c r="L1200" s="45"/>
      <c r="M1200" s="45"/>
      <c r="N1200" s="45"/>
      <c r="O1200" s="45"/>
      <c r="P1200" s="45"/>
      <c r="Q1200" s="45"/>
      <c r="R1200" s="45"/>
      <c r="S1200" s="45"/>
      <c r="T1200" s="45"/>
      <c r="U1200" s="45"/>
      <c r="V1200" s="45"/>
      <c r="W1200" s="45"/>
      <c r="X1200" s="45"/>
      <c r="Y1200" s="45"/>
      <c r="Z1200" s="45"/>
    </row>
    <row r="1201">
      <c r="A1201" s="48" t="s">
        <v>3705</v>
      </c>
      <c r="B1201" s="48" t="s">
        <v>3706</v>
      </c>
      <c r="C1201" s="48" t="s">
        <v>3707</v>
      </c>
      <c r="D1201" s="48" t="s">
        <v>93</v>
      </c>
      <c r="E1201" s="48" t="s">
        <v>99</v>
      </c>
      <c r="F1201" s="48" t="s">
        <v>2247</v>
      </c>
      <c r="G1201" s="48" t="s">
        <v>640</v>
      </c>
      <c r="H1201" s="49">
        <v>0.0065785351</v>
      </c>
      <c r="I1201" s="49">
        <v>98.0</v>
      </c>
      <c r="J1201" s="49">
        <v>7105.37</v>
      </c>
      <c r="K1201" s="49">
        <v>7105.37</v>
      </c>
      <c r="L1201" s="45"/>
      <c r="M1201" s="45"/>
      <c r="N1201" s="45"/>
      <c r="O1201" s="45"/>
      <c r="P1201" s="45"/>
      <c r="Q1201" s="45"/>
      <c r="R1201" s="45"/>
      <c r="S1201" s="45"/>
      <c r="T1201" s="45"/>
      <c r="U1201" s="45"/>
      <c r="V1201" s="45"/>
      <c r="W1201" s="45"/>
      <c r="X1201" s="45"/>
      <c r="Y1201" s="45"/>
      <c r="Z1201" s="45"/>
    </row>
    <row r="1202">
      <c r="A1202" s="48" t="s">
        <v>3708</v>
      </c>
      <c r="B1202" s="49">
        <v>6804400.0</v>
      </c>
      <c r="C1202" s="48" t="s">
        <v>3709</v>
      </c>
      <c r="D1202" s="48" t="s">
        <v>93</v>
      </c>
      <c r="E1202" s="48" t="s">
        <v>127</v>
      </c>
      <c r="F1202" s="48" t="s">
        <v>629</v>
      </c>
      <c r="G1202" s="48" t="s">
        <v>630</v>
      </c>
      <c r="H1202" s="49">
        <v>0.0065165933</v>
      </c>
      <c r="I1202" s="49">
        <v>632.0</v>
      </c>
      <c r="J1202" s="49">
        <v>7038.46</v>
      </c>
      <c r="K1202" s="49">
        <v>7038.46</v>
      </c>
      <c r="L1202" s="45"/>
      <c r="M1202" s="45"/>
      <c r="N1202" s="45"/>
      <c r="O1202" s="45"/>
      <c r="P1202" s="45"/>
      <c r="Q1202" s="45"/>
      <c r="R1202" s="45"/>
      <c r="S1202" s="45"/>
      <c r="T1202" s="45"/>
      <c r="U1202" s="45"/>
      <c r="V1202" s="45"/>
      <c r="W1202" s="45"/>
      <c r="X1202" s="45"/>
      <c r="Y1202" s="45"/>
      <c r="Z1202" s="45"/>
    </row>
    <row r="1203">
      <c r="A1203" s="48" t="s">
        <v>3710</v>
      </c>
      <c r="B1203" s="49">
        <v>6723839.0</v>
      </c>
      <c r="C1203" s="48" t="s">
        <v>3711</v>
      </c>
      <c r="D1203" s="48" t="s">
        <v>93</v>
      </c>
      <c r="E1203" s="48" t="s">
        <v>133</v>
      </c>
      <c r="F1203" s="48" t="s">
        <v>629</v>
      </c>
      <c r="G1203" s="48" t="s">
        <v>630</v>
      </c>
      <c r="H1203" s="49">
        <v>0.0061993508</v>
      </c>
      <c r="I1203" s="49">
        <v>4.0</v>
      </c>
      <c r="J1203" s="49">
        <v>6695.82</v>
      </c>
      <c r="K1203" s="49">
        <v>6695.82</v>
      </c>
      <c r="L1203" s="45"/>
      <c r="M1203" s="45"/>
      <c r="N1203" s="45"/>
      <c r="O1203" s="45"/>
      <c r="P1203" s="45"/>
      <c r="Q1203" s="45"/>
      <c r="R1203" s="45"/>
      <c r="S1203" s="45"/>
      <c r="T1203" s="45"/>
      <c r="U1203" s="45"/>
      <c r="V1203" s="45"/>
      <c r="W1203" s="45"/>
      <c r="X1203" s="45"/>
      <c r="Y1203" s="45"/>
      <c r="Z1203" s="45"/>
    </row>
    <row r="1204">
      <c r="A1204" s="48" t="s">
        <v>3712</v>
      </c>
      <c r="B1204" s="48" t="s">
        <v>3713</v>
      </c>
      <c r="C1204" s="48" t="s">
        <v>3714</v>
      </c>
      <c r="D1204" s="48" t="s">
        <v>93</v>
      </c>
      <c r="E1204" s="48" t="s">
        <v>133</v>
      </c>
      <c r="F1204" s="48" t="s">
        <v>738</v>
      </c>
      <c r="G1204" s="48" t="s">
        <v>1437</v>
      </c>
      <c r="H1204" s="49">
        <v>0.00617589269999999</v>
      </c>
      <c r="I1204" s="49">
        <v>3503.0</v>
      </c>
      <c r="J1204" s="49">
        <v>6670.48</v>
      </c>
      <c r="K1204" s="49">
        <v>6670.48</v>
      </c>
      <c r="L1204" s="45"/>
      <c r="M1204" s="45"/>
      <c r="N1204" s="45"/>
      <c r="O1204" s="45"/>
      <c r="P1204" s="45"/>
      <c r="Q1204" s="45"/>
      <c r="R1204" s="45"/>
      <c r="S1204" s="45"/>
      <c r="T1204" s="45"/>
      <c r="U1204" s="45"/>
      <c r="V1204" s="45"/>
      <c r="W1204" s="45"/>
      <c r="X1204" s="45"/>
      <c r="Y1204" s="45"/>
      <c r="Z1204" s="45"/>
    </row>
    <row r="1205">
      <c r="A1205" s="48" t="s">
        <v>3715</v>
      </c>
      <c r="B1205" s="48" t="s">
        <v>3716</v>
      </c>
      <c r="C1205" s="48" t="s">
        <v>3717</v>
      </c>
      <c r="D1205" s="48" t="s">
        <v>93</v>
      </c>
      <c r="E1205" s="48" t="s">
        <v>127</v>
      </c>
      <c r="F1205" s="48" t="s">
        <v>629</v>
      </c>
      <c r="G1205" s="48" t="s">
        <v>630</v>
      </c>
      <c r="H1205" s="49">
        <v>0.0061655184</v>
      </c>
      <c r="I1205" s="49">
        <v>113.0</v>
      </c>
      <c r="J1205" s="49">
        <v>6659.27</v>
      </c>
      <c r="K1205" s="49">
        <v>6659.27</v>
      </c>
      <c r="L1205" s="45"/>
      <c r="M1205" s="45"/>
      <c r="N1205" s="45"/>
      <c r="O1205" s="45"/>
      <c r="P1205" s="45"/>
      <c r="Q1205" s="45"/>
      <c r="R1205" s="45"/>
      <c r="S1205" s="45"/>
      <c r="T1205" s="45"/>
      <c r="U1205" s="45"/>
      <c r="V1205" s="45"/>
      <c r="W1205" s="45"/>
      <c r="X1205" s="45"/>
      <c r="Y1205" s="45"/>
      <c r="Z1205" s="45"/>
    </row>
    <row r="1206">
      <c r="A1206" s="48" t="s">
        <v>3718</v>
      </c>
      <c r="B1206" s="49">
        <v>6420538.0</v>
      </c>
      <c r="C1206" s="48" t="s">
        <v>3719</v>
      </c>
      <c r="D1206" s="48" t="s">
        <v>93</v>
      </c>
      <c r="E1206" s="48" t="s">
        <v>133</v>
      </c>
      <c r="F1206" s="48" t="s">
        <v>822</v>
      </c>
      <c r="G1206" s="48" t="s">
        <v>646</v>
      </c>
      <c r="H1206" s="49">
        <v>0.0061477769</v>
      </c>
      <c r="I1206" s="49">
        <v>1683.0</v>
      </c>
      <c r="J1206" s="49">
        <v>6640.11</v>
      </c>
      <c r="K1206" s="49">
        <v>6640.11</v>
      </c>
      <c r="L1206" s="45"/>
      <c r="M1206" s="45"/>
      <c r="N1206" s="45"/>
      <c r="O1206" s="45"/>
      <c r="P1206" s="45"/>
      <c r="Q1206" s="45"/>
      <c r="R1206" s="45"/>
      <c r="S1206" s="45"/>
      <c r="T1206" s="45"/>
      <c r="U1206" s="45"/>
      <c r="V1206" s="45"/>
      <c r="W1206" s="45"/>
      <c r="X1206" s="45"/>
      <c r="Y1206" s="45"/>
      <c r="Z1206" s="45"/>
    </row>
    <row r="1207">
      <c r="A1207" s="48" t="s">
        <v>3720</v>
      </c>
      <c r="B1207" s="49">
        <v>6487362.0</v>
      </c>
      <c r="C1207" s="48" t="s">
        <v>3721</v>
      </c>
      <c r="D1207" s="48" t="s">
        <v>93</v>
      </c>
      <c r="E1207" s="48" t="s">
        <v>127</v>
      </c>
      <c r="F1207" s="48" t="s">
        <v>629</v>
      </c>
      <c r="G1207" s="48" t="s">
        <v>630</v>
      </c>
      <c r="H1207" s="49">
        <v>0.0061320771</v>
      </c>
      <c r="I1207" s="49">
        <v>120.0</v>
      </c>
      <c r="J1207" s="49">
        <v>6623.15</v>
      </c>
      <c r="K1207" s="49">
        <v>6623.15</v>
      </c>
      <c r="L1207" s="45"/>
      <c r="M1207" s="45"/>
      <c r="N1207" s="45"/>
      <c r="O1207" s="45"/>
      <c r="P1207" s="45"/>
      <c r="Q1207" s="45"/>
      <c r="R1207" s="45"/>
      <c r="S1207" s="45"/>
      <c r="T1207" s="45"/>
      <c r="U1207" s="45"/>
      <c r="V1207" s="45"/>
      <c r="W1207" s="45"/>
      <c r="X1207" s="45"/>
      <c r="Y1207" s="45"/>
      <c r="Z1207" s="45"/>
    </row>
    <row r="1208">
      <c r="A1208" s="48" t="s">
        <v>3722</v>
      </c>
      <c r="B1208" s="49">
        <v>6619507.0</v>
      </c>
      <c r="C1208" s="48" t="s">
        <v>3723</v>
      </c>
      <c r="D1208" s="48" t="s">
        <v>93</v>
      </c>
      <c r="E1208" s="48" t="s">
        <v>127</v>
      </c>
      <c r="F1208" s="48" t="s">
        <v>629</v>
      </c>
      <c r="G1208" s="48" t="s">
        <v>630</v>
      </c>
      <c r="H1208" s="49">
        <v>0.0061169258</v>
      </c>
      <c r="I1208" s="49">
        <v>309.0</v>
      </c>
      <c r="J1208" s="49">
        <v>6606.79</v>
      </c>
      <c r="K1208" s="49">
        <v>6606.79</v>
      </c>
      <c r="L1208" s="45"/>
      <c r="M1208" s="45"/>
      <c r="N1208" s="45"/>
      <c r="O1208" s="45"/>
      <c r="P1208" s="45"/>
      <c r="Q1208" s="45"/>
      <c r="R1208" s="45"/>
      <c r="S1208" s="45"/>
      <c r="T1208" s="45"/>
      <c r="U1208" s="45"/>
      <c r="V1208" s="45"/>
      <c r="W1208" s="45"/>
      <c r="X1208" s="45"/>
      <c r="Y1208" s="45"/>
      <c r="Z1208" s="45"/>
    </row>
    <row r="1209">
      <c r="A1209" s="48" t="s">
        <v>3724</v>
      </c>
      <c r="B1209" s="49">
        <v>6152529.0</v>
      </c>
      <c r="C1209" s="48" t="s">
        <v>3725</v>
      </c>
      <c r="D1209" s="48" t="s">
        <v>93</v>
      </c>
      <c r="E1209" s="48" t="s">
        <v>170</v>
      </c>
      <c r="F1209" s="48" t="s">
        <v>2732</v>
      </c>
      <c r="G1209" s="48" t="s">
        <v>2733</v>
      </c>
      <c r="H1209" s="49">
        <v>0.0060857034</v>
      </c>
      <c r="I1209" s="49">
        <v>872.0</v>
      </c>
      <c r="J1209" s="49">
        <v>6573.07</v>
      </c>
      <c r="K1209" s="49">
        <v>6573.07</v>
      </c>
      <c r="L1209" s="45"/>
      <c r="M1209" s="45"/>
      <c r="N1209" s="45"/>
      <c r="O1209" s="45"/>
      <c r="P1209" s="45"/>
      <c r="Q1209" s="45"/>
      <c r="R1209" s="45"/>
      <c r="S1209" s="45"/>
      <c r="T1209" s="45"/>
      <c r="U1209" s="45"/>
      <c r="V1209" s="45"/>
      <c r="W1209" s="45"/>
      <c r="X1209" s="45"/>
      <c r="Y1209" s="45"/>
      <c r="Z1209" s="45"/>
    </row>
    <row r="1210">
      <c r="A1210" s="48" t="s">
        <v>3726</v>
      </c>
      <c r="B1210" s="49">
        <v>6810429.0</v>
      </c>
      <c r="C1210" s="48" t="s">
        <v>3727</v>
      </c>
      <c r="D1210" s="48" t="s">
        <v>93</v>
      </c>
      <c r="E1210" s="48" t="s">
        <v>133</v>
      </c>
      <c r="F1210" s="48" t="s">
        <v>822</v>
      </c>
      <c r="G1210" s="48" t="s">
        <v>646</v>
      </c>
      <c r="H1210" s="49">
        <v>0.0060551195</v>
      </c>
      <c r="I1210" s="49">
        <v>3898.0</v>
      </c>
      <c r="J1210" s="49">
        <v>6540.03</v>
      </c>
      <c r="K1210" s="49">
        <v>6540.03</v>
      </c>
      <c r="L1210" s="45"/>
      <c r="M1210" s="45"/>
      <c r="N1210" s="45"/>
      <c r="O1210" s="45"/>
      <c r="P1210" s="45"/>
      <c r="Q1210" s="45"/>
      <c r="R1210" s="45"/>
      <c r="S1210" s="45"/>
      <c r="T1210" s="45"/>
      <c r="U1210" s="45"/>
      <c r="V1210" s="45"/>
      <c r="W1210" s="45"/>
      <c r="X1210" s="45"/>
      <c r="Y1210" s="45"/>
      <c r="Z1210" s="45"/>
    </row>
    <row r="1211">
      <c r="A1211" s="48" t="s">
        <v>3728</v>
      </c>
      <c r="B1211" s="49">
        <v>6900289.0</v>
      </c>
      <c r="C1211" s="48" t="s">
        <v>3729</v>
      </c>
      <c r="D1211" s="48" t="s">
        <v>93</v>
      </c>
      <c r="E1211" s="48" t="s">
        <v>94</v>
      </c>
      <c r="F1211" s="48" t="s">
        <v>629</v>
      </c>
      <c r="G1211" s="48" t="s">
        <v>630</v>
      </c>
      <c r="H1211" s="49">
        <v>0.0060126565</v>
      </c>
      <c r="I1211" s="49">
        <v>306.0</v>
      </c>
      <c r="J1211" s="49">
        <v>6494.17</v>
      </c>
      <c r="K1211" s="49">
        <v>6494.17</v>
      </c>
      <c r="L1211" s="45"/>
      <c r="M1211" s="45"/>
      <c r="N1211" s="45"/>
      <c r="O1211" s="45"/>
      <c r="P1211" s="45"/>
      <c r="Q1211" s="45"/>
      <c r="R1211" s="45"/>
      <c r="S1211" s="45"/>
      <c r="T1211" s="45"/>
      <c r="U1211" s="45"/>
      <c r="V1211" s="45"/>
      <c r="W1211" s="45"/>
      <c r="X1211" s="45"/>
      <c r="Y1211" s="45"/>
      <c r="Z1211" s="45"/>
    </row>
    <row r="1212">
      <c r="A1212" s="48" t="s">
        <v>3730</v>
      </c>
      <c r="B1212" s="48" t="s">
        <v>3731</v>
      </c>
      <c r="C1212" s="48" t="s">
        <v>3732</v>
      </c>
      <c r="D1212" s="48" t="s">
        <v>93</v>
      </c>
      <c r="E1212" s="48" t="s">
        <v>121</v>
      </c>
      <c r="F1212" s="48" t="s">
        <v>1740</v>
      </c>
      <c r="G1212" s="48" t="s">
        <v>1741</v>
      </c>
      <c r="H1212" s="49">
        <v>0.0059924121</v>
      </c>
      <c r="I1212" s="49">
        <v>538.0</v>
      </c>
      <c r="J1212" s="49">
        <v>6472.3</v>
      </c>
      <c r="K1212" s="49">
        <v>6472.3</v>
      </c>
      <c r="L1212" s="45"/>
      <c r="M1212" s="45"/>
      <c r="N1212" s="45"/>
      <c r="O1212" s="45"/>
      <c r="P1212" s="45"/>
      <c r="Q1212" s="45"/>
      <c r="R1212" s="45"/>
      <c r="S1212" s="45"/>
      <c r="T1212" s="45"/>
      <c r="U1212" s="45"/>
      <c r="V1212" s="45"/>
      <c r="W1212" s="45"/>
      <c r="X1212" s="45"/>
      <c r="Y1212" s="45"/>
      <c r="Z1212" s="45"/>
    </row>
    <row r="1213">
      <c r="A1213" s="48" t="s">
        <v>3733</v>
      </c>
      <c r="B1213" s="48" t="s">
        <v>3734</v>
      </c>
      <c r="C1213" s="48" t="s">
        <v>3735</v>
      </c>
      <c r="D1213" s="48" t="s">
        <v>93</v>
      </c>
      <c r="E1213" s="48" t="s">
        <v>127</v>
      </c>
      <c r="F1213" s="48" t="s">
        <v>2247</v>
      </c>
      <c r="G1213" s="48" t="s">
        <v>640</v>
      </c>
      <c r="H1213" s="49">
        <v>0.0059083328</v>
      </c>
      <c r="I1213" s="49">
        <v>81.0</v>
      </c>
      <c r="J1213" s="49">
        <v>6381.49</v>
      </c>
      <c r="K1213" s="49">
        <v>6381.49</v>
      </c>
      <c r="L1213" s="45"/>
      <c r="M1213" s="45"/>
      <c r="N1213" s="45"/>
      <c r="O1213" s="45"/>
      <c r="P1213" s="45"/>
      <c r="Q1213" s="45"/>
      <c r="R1213" s="45"/>
      <c r="S1213" s="45"/>
      <c r="T1213" s="45"/>
      <c r="U1213" s="45"/>
      <c r="V1213" s="45"/>
      <c r="W1213" s="45"/>
      <c r="X1213" s="45"/>
      <c r="Y1213" s="45"/>
      <c r="Z1213" s="45"/>
    </row>
    <row r="1214">
      <c r="A1214" s="48" t="s">
        <v>3736</v>
      </c>
      <c r="B1214" s="49">
        <v>6858560.0</v>
      </c>
      <c r="C1214" s="48" t="s">
        <v>3737</v>
      </c>
      <c r="D1214" s="48" t="s">
        <v>93</v>
      </c>
      <c r="E1214" s="48" t="s">
        <v>94</v>
      </c>
      <c r="F1214" s="48" t="s">
        <v>629</v>
      </c>
      <c r="G1214" s="48" t="s">
        <v>630</v>
      </c>
      <c r="H1214" s="49">
        <v>0.0058758542</v>
      </c>
      <c r="I1214" s="49">
        <v>1426.0</v>
      </c>
      <c r="J1214" s="49">
        <v>6346.41</v>
      </c>
      <c r="K1214" s="49">
        <v>6346.41</v>
      </c>
      <c r="L1214" s="45"/>
      <c r="M1214" s="45"/>
      <c r="N1214" s="45"/>
      <c r="O1214" s="45"/>
      <c r="P1214" s="45"/>
      <c r="Q1214" s="45"/>
      <c r="R1214" s="45"/>
      <c r="S1214" s="45"/>
      <c r="T1214" s="45"/>
      <c r="U1214" s="45"/>
      <c r="V1214" s="45"/>
      <c r="W1214" s="45"/>
      <c r="X1214" s="45"/>
      <c r="Y1214" s="45"/>
      <c r="Z1214" s="45"/>
    </row>
    <row r="1215">
      <c r="A1215" s="48" t="s">
        <v>3738</v>
      </c>
      <c r="B1215" s="48" t="s">
        <v>3739</v>
      </c>
      <c r="C1215" s="48" t="s">
        <v>3740</v>
      </c>
      <c r="D1215" s="48" t="s">
        <v>93</v>
      </c>
      <c r="E1215" s="48" t="s">
        <v>133</v>
      </c>
      <c r="F1215" s="48" t="s">
        <v>738</v>
      </c>
      <c r="G1215" s="48" t="s">
        <v>1437</v>
      </c>
      <c r="H1215" s="49">
        <v>0.0056716134</v>
      </c>
      <c r="I1215" s="49">
        <v>2346.0</v>
      </c>
      <c r="J1215" s="49">
        <v>6125.82</v>
      </c>
      <c r="K1215" s="49">
        <v>6125.82</v>
      </c>
      <c r="L1215" s="45"/>
      <c r="M1215" s="45"/>
      <c r="N1215" s="45"/>
      <c r="O1215" s="45"/>
      <c r="P1215" s="45"/>
      <c r="Q1215" s="45"/>
      <c r="R1215" s="45"/>
      <c r="S1215" s="45"/>
      <c r="T1215" s="45"/>
      <c r="U1215" s="45"/>
      <c r="V1215" s="45"/>
      <c r="W1215" s="45"/>
      <c r="X1215" s="45"/>
      <c r="Y1215" s="45"/>
      <c r="Z1215" s="45"/>
    </row>
    <row r="1216">
      <c r="A1216" s="48" t="s">
        <v>3741</v>
      </c>
      <c r="B1216" s="48" t="s">
        <v>3742</v>
      </c>
      <c r="C1216" s="48" t="s">
        <v>3743</v>
      </c>
      <c r="D1216" s="48" t="s">
        <v>93</v>
      </c>
      <c r="E1216" s="48" t="s">
        <v>118</v>
      </c>
      <c r="F1216" s="48" t="s">
        <v>918</v>
      </c>
      <c r="G1216" s="48" t="s">
        <v>908</v>
      </c>
      <c r="H1216" s="49">
        <v>0.0056260425</v>
      </c>
      <c r="I1216" s="49">
        <v>2189.0</v>
      </c>
      <c r="J1216" s="49">
        <v>6076.59</v>
      </c>
      <c r="K1216" s="49">
        <v>6076.59</v>
      </c>
      <c r="L1216" s="45"/>
      <c r="M1216" s="45"/>
      <c r="N1216" s="45"/>
      <c r="O1216" s="45"/>
      <c r="P1216" s="45"/>
      <c r="Q1216" s="45"/>
      <c r="R1216" s="45"/>
      <c r="S1216" s="45"/>
      <c r="T1216" s="45"/>
      <c r="U1216" s="45"/>
      <c r="V1216" s="45"/>
      <c r="W1216" s="45"/>
      <c r="X1216" s="45"/>
      <c r="Y1216" s="45"/>
      <c r="Z1216" s="45"/>
    </row>
    <row r="1217">
      <c r="A1217" s="48" t="s">
        <v>3744</v>
      </c>
      <c r="B1217" s="48" t="s">
        <v>3745</v>
      </c>
      <c r="C1217" s="48" t="s">
        <v>3746</v>
      </c>
      <c r="D1217" s="48" t="s">
        <v>93</v>
      </c>
      <c r="E1217" s="48" t="s">
        <v>118</v>
      </c>
      <c r="F1217" s="48" t="s">
        <v>738</v>
      </c>
      <c r="G1217" s="48" t="s">
        <v>1437</v>
      </c>
      <c r="H1217" s="49">
        <v>0.0056226709</v>
      </c>
      <c r="I1217" s="49">
        <v>6193.0</v>
      </c>
      <c r="J1217" s="49">
        <v>6072.95</v>
      </c>
      <c r="K1217" s="49">
        <v>6072.95</v>
      </c>
      <c r="L1217" s="45"/>
      <c r="M1217" s="45"/>
      <c r="N1217" s="45"/>
      <c r="O1217" s="45"/>
      <c r="P1217" s="45"/>
      <c r="Q1217" s="45"/>
      <c r="R1217" s="45"/>
      <c r="S1217" s="45"/>
      <c r="T1217" s="45"/>
      <c r="U1217" s="45"/>
      <c r="V1217" s="45"/>
      <c r="W1217" s="45"/>
      <c r="X1217" s="45"/>
      <c r="Y1217" s="45"/>
      <c r="Z1217" s="45"/>
    </row>
    <row r="1218">
      <c r="A1218" s="48" t="s">
        <v>3747</v>
      </c>
      <c r="B1218" s="48" t="s">
        <v>3748</v>
      </c>
      <c r="C1218" s="48" t="s">
        <v>3749</v>
      </c>
      <c r="D1218" s="48" t="s">
        <v>93</v>
      </c>
      <c r="E1218" s="48" t="s">
        <v>121</v>
      </c>
      <c r="F1218" s="48" t="s">
        <v>1352</v>
      </c>
      <c r="G1218" s="48" t="s">
        <v>640</v>
      </c>
      <c r="H1218" s="49">
        <v>0.0056100181</v>
      </c>
      <c r="I1218" s="49">
        <v>317.0</v>
      </c>
      <c r="J1218" s="49">
        <v>6059.29</v>
      </c>
      <c r="K1218" s="49">
        <v>6059.29</v>
      </c>
      <c r="L1218" s="45"/>
      <c r="M1218" s="45"/>
      <c r="N1218" s="45"/>
      <c r="O1218" s="45"/>
      <c r="P1218" s="45"/>
      <c r="Q1218" s="45"/>
      <c r="R1218" s="45"/>
      <c r="S1218" s="45"/>
      <c r="T1218" s="45"/>
      <c r="U1218" s="45"/>
      <c r="V1218" s="45"/>
      <c r="W1218" s="45"/>
      <c r="X1218" s="45"/>
      <c r="Y1218" s="45"/>
      <c r="Z1218" s="45"/>
    </row>
    <row r="1219">
      <c r="A1219" s="48" t="s">
        <v>3750</v>
      </c>
      <c r="B1219" s="48" t="s">
        <v>3751</v>
      </c>
      <c r="C1219" s="48" t="s">
        <v>3752</v>
      </c>
      <c r="D1219" s="48" t="s">
        <v>93</v>
      </c>
      <c r="E1219" s="48" t="s">
        <v>94</v>
      </c>
      <c r="F1219" s="48" t="s">
        <v>649</v>
      </c>
      <c r="G1219" s="48" t="s">
        <v>640</v>
      </c>
      <c r="H1219" s="49">
        <v>0.00556189489999999</v>
      </c>
      <c r="I1219" s="49">
        <v>202.0</v>
      </c>
      <c r="J1219" s="49">
        <v>6007.31</v>
      </c>
      <c r="K1219" s="49">
        <v>6007.31</v>
      </c>
      <c r="L1219" s="45"/>
      <c r="M1219" s="45"/>
      <c r="N1219" s="45"/>
      <c r="O1219" s="45"/>
      <c r="P1219" s="45"/>
      <c r="Q1219" s="45"/>
      <c r="R1219" s="45"/>
      <c r="S1219" s="45"/>
      <c r="T1219" s="45"/>
      <c r="U1219" s="45"/>
      <c r="V1219" s="45"/>
      <c r="W1219" s="45"/>
      <c r="X1219" s="45"/>
      <c r="Y1219" s="45"/>
      <c r="Z1219" s="45"/>
    </row>
    <row r="1220">
      <c r="A1220" s="48" t="s">
        <v>3753</v>
      </c>
      <c r="B1220" s="49">
        <v>6428725.0</v>
      </c>
      <c r="C1220" s="48" t="s">
        <v>3754</v>
      </c>
      <c r="D1220" s="48" t="s">
        <v>93</v>
      </c>
      <c r="E1220" s="48" t="s">
        <v>167</v>
      </c>
      <c r="F1220" s="48" t="s">
        <v>629</v>
      </c>
      <c r="G1220" s="48" t="s">
        <v>630</v>
      </c>
      <c r="H1220" s="49">
        <v>0.0055508635</v>
      </c>
      <c r="I1220" s="49">
        <v>32.0</v>
      </c>
      <c r="J1220" s="49">
        <v>5995.4</v>
      </c>
      <c r="K1220" s="49">
        <v>5995.4</v>
      </c>
      <c r="L1220" s="45"/>
      <c r="M1220" s="45"/>
      <c r="N1220" s="45"/>
      <c r="O1220" s="45"/>
      <c r="P1220" s="45"/>
      <c r="Q1220" s="45"/>
      <c r="R1220" s="45"/>
      <c r="S1220" s="45"/>
      <c r="T1220" s="45"/>
      <c r="U1220" s="45"/>
      <c r="V1220" s="45"/>
      <c r="W1220" s="45"/>
      <c r="X1220" s="45"/>
      <c r="Y1220" s="45"/>
      <c r="Z1220" s="45"/>
    </row>
    <row r="1221">
      <c r="A1221" s="48" t="s">
        <v>3755</v>
      </c>
      <c r="B1221" s="49">
        <v>5263251.0</v>
      </c>
      <c r="C1221" s="48" t="s">
        <v>3756</v>
      </c>
      <c r="D1221" s="48" t="s">
        <v>93</v>
      </c>
      <c r="E1221" s="48" t="s">
        <v>94</v>
      </c>
      <c r="F1221" s="48" t="s">
        <v>2967</v>
      </c>
      <c r="G1221" s="48" t="s">
        <v>2968</v>
      </c>
      <c r="H1221" s="49">
        <v>0.0055468947</v>
      </c>
      <c r="I1221" s="49">
        <v>149.0</v>
      </c>
      <c r="J1221" s="49">
        <v>5991.11</v>
      </c>
      <c r="K1221" s="49">
        <v>5991.11</v>
      </c>
      <c r="L1221" s="45"/>
      <c r="M1221" s="45"/>
      <c r="N1221" s="45"/>
      <c r="O1221" s="45"/>
      <c r="P1221" s="45"/>
      <c r="Q1221" s="45"/>
      <c r="R1221" s="45"/>
      <c r="S1221" s="45"/>
      <c r="T1221" s="45"/>
      <c r="U1221" s="45"/>
      <c r="V1221" s="45"/>
      <c r="W1221" s="45"/>
      <c r="X1221" s="45"/>
      <c r="Y1221" s="45"/>
      <c r="Z1221" s="45"/>
    </row>
    <row r="1222">
      <c r="A1222" s="48" t="s">
        <v>3757</v>
      </c>
      <c r="B1222" s="49">
        <v>6899967.0</v>
      </c>
      <c r="C1222" s="48" t="s">
        <v>3758</v>
      </c>
      <c r="D1222" s="48" t="s">
        <v>93</v>
      </c>
      <c r="E1222" s="48" t="s">
        <v>124</v>
      </c>
      <c r="F1222" s="48" t="s">
        <v>629</v>
      </c>
      <c r="G1222" s="48" t="s">
        <v>630</v>
      </c>
      <c r="H1222" s="49">
        <v>0.005498345</v>
      </c>
      <c r="I1222" s="49">
        <v>97.0</v>
      </c>
      <c r="J1222" s="49">
        <v>5938.67</v>
      </c>
      <c r="K1222" s="49">
        <v>5938.67</v>
      </c>
      <c r="L1222" s="45"/>
      <c r="M1222" s="45"/>
      <c r="N1222" s="45"/>
      <c r="O1222" s="45"/>
      <c r="P1222" s="45"/>
      <c r="Q1222" s="45"/>
      <c r="R1222" s="45"/>
      <c r="S1222" s="45"/>
      <c r="T1222" s="45"/>
      <c r="U1222" s="45"/>
      <c r="V1222" s="45"/>
      <c r="W1222" s="45"/>
      <c r="X1222" s="45"/>
      <c r="Y1222" s="45"/>
      <c r="Z1222" s="45"/>
    </row>
    <row r="1223">
      <c r="A1223" s="48" t="s">
        <v>3759</v>
      </c>
      <c r="B1223" s="49">
        <v>5554041.0</v>
      </c>
      <c r="C1223" s="48" t="s">
        <v>3760</v>
      </c>
      <c r="D1223" s="48" t="s">
        <v>93</v>
      </c>
      <c r="E1223" s="48" t="s">
        <v>127</v>
      </c>
      <c r="F1223" s="48" t="s">
        <v>1740</v>
      </c>
      <c r="G1223" s="48" t="s">
        <v>1741</v>
      </c>
      <c r="H1223" s="49">
        <v>0.0054191055</v>
      </c>
      <c r="I1223" s="49">
        <v>488.0</v>
      </c>
      <c r="J1223" s="49">
        <v>5853.09</v>
      </c>
      <c r="K1223" s="49">
        <v>5853.09</v>
      </c>
      <c r="L1223" s="45"/>
      <c r="M1223" s="45"/>
      <c r="N1223" s="45"/>
      <c r="O1223" s="45"/>
      <c r="P1223" s="45"/>
      <c r="Q1223" s="45"/>
      <c r="R1223" s="45"/>
      <c r="S1223" s="45"/>
      <c r="T1223" s="45"/>
      <c r="U1223" s="45"/>
      <c r="V1223" s="45"/>
      <c r="W1223" s="45"/>
      <c r="X1223" s="45"/>
      <c r="Y1223" s="45"/>
      <c r="Z1223" s="45"/>
    </row>
    <row r="1224">
      <c r="A1224" s="48" t="s">
        <v>3761</v>
      </c>
      <c r="B1224" s="48" t="s">
        <v>3762</v>
      </c>
      <c r="C1224" s="48" t="s">
        <v>3763</v>
      </c>
      <c r="D1224" s="48" t="s">
        <v>93</v>
      </c>
      <c r="E1224" s="48" t="s">
        <v>94</v>
      </c>
      <c r="F1224" s="48" t="s">
        <v>1740</v>
      </c>
      <c r="G1224" s="48" t="s">
        <v>1741</v>
      </c>
      <c r="H1224" s="49">
        <v>0.00538361069999999</v>
      </c>
      <c r="I1224" s="49">
        <v>723.0</v>
      </c>
      <c r="J1224" s="49">
        <v>5814.75</v>
      </c>
      <c r="K1224" s="49">
        <v>5814.75</v>
      </c>
      <c r="L1224" s="45"/>
      <c r="M1224" s="45"/>
      <c r="N1224" s="45"/>
      <c r="O1224" s="45"/>
      <c r="P1224" s="45"/>
      <c r="Q1224" s="45"/>
      <c r="R1224" s="45"/>
      <c r="S1224" s="45"/>
      <c r="T1224" s="45"/>
      <c r="U1224" s="45"/>
      <c r="V1224" s="45"/>
      <c r="W1224" s="45"/>
      <c r="X1224" s="45"/>
      <c r="Y1224" s="45"/>
      <c r="Z1224" s="45"/>
    </row>
    <row r="1225">
      <c r="A1225" s="48" t="s">
        <v>3764</v>
      </c>
      <c r="B1225" s="49">
        <v>6642321.0</v>
      </c>
      <c r="C1225" s="48" t="s">
        <v>3765</v>
      </c>
      <c r="D1225" s="48" t="s">
        <v>93</v>
      </c>
      <c r="E1225" s="48" t="s">
        <v>118</v>
      </c>
      <c r="F1225" s="48" t="s">
        <v>629</v>
      </c>
      <c r="G1225" s="48" t="s">
        <v>630</v>
      </c>
      <c r="H1225" s="49">
        <v>0.0053808214</v>
      </c>
      <c r="I1225" s="49">
        <v>340.0</v>
      </c>
      <c r="J1225" s="49">
        <v>5811.74</v>
      </c>
      <c r="K1225" s="49">
        <v>5811.74</v>
      </c>
      <c r="L1225" s="45"/>
      <c r="M1225" s="45"/>
      <c r="N1225" s="45"/>
      <c r="O1225" s="45"/>
      <c r="P1225" s="45"/>
      <c r="Q1225" s="45"/>
      <c r="R1225" s="45"/>
      <c r="S1225" s="45"/>
      <c r="T1225" s="45"/>
      <c r="U1225" s="45"/>
      <c r="V1225" s="45"/>
      <c r="W1225" s="45"/>
      <c r="X1225" s="45"/>
      <c r="Y1225" s="45"/>
      <c r="Z1225" s="45"/>
    </row>
    <row r="1226">
      <c r="A1226" s="48" t="s">
        <v>3766</v>
      </c>
      <c r="B1226" s="48" t="s">
        <v>3767</v>
      </c>
      <c r="C1226" s="48" t="s">
        <v>3768</v>
      </c>
      <c r="D1226" s="48" t="s">
        <v>93</v>
      </c>
      <c r="E1226" s="48" t="s">
        <v>127</v>
      </c>
      <c r="F1226" s="48" t="s">
        <v>1740</v>
      </c>
      <c r="G1226" s="48" t="s">
        <v>1741</v>
      </c>
      <c r="H1226" s="49">
        <v>0.0052524597</v>
      </c>
      <c r="I1226" s="49">
        <v>233.0</v>
      </c>
      <c r="J1226" s="49">
        <v>5673.09</v>
      </c>
      <c r="K1226" s="49">
        <v>5673.09</v>
      </c>
      <c r="L1226" s="45"/>
      <c r="M1226" s="45"/>
      <c r="N1226" s="45"/>
      <c r="O1226" s="45"/>
      <c r="P1226" s="45"/>
      <c r="Q1226" s="45"/>
      <c r="R1226" s="45"/>
      <c r="S1226" s="45"/>
      <c r="T1226" s="45"/>
      <c r="U1226" s="45"/>
      <c r="V1226" s="45"/>
      <c r="W1226" s="45"/>
      <c r="X1226" s="45"/>
      <c r="Y1226" s="45"/>
      <c r="Z1226" s="45"/>
    </row>
    <row r="1227">
      <c r="A1227" s="48" t="s">
        <v>3769</v>
      </c>
      <c r="B1227" s="49">
        <v>6434915.0</v>
      </c>
      <c r="C1227" s="48" t="s">
        <v>3770</v>
      </c>
      <c r="D1227" s="48" t="s">
        <v>93</v>
      </c>
      <c r="E1227" s="48" t="s">
        <v>133</v>
      </c>
      <c r="F1227" s="48" t="s">
        <v>822</v>
      </c>
      <c r="G1227" s="48" t="s">
        <v>623</v>
      </c>
      <c r="H1227" s="49">
        <v>0.0052061708</v>
      </c>
      <c r="I1227" s="49">
        <v>1058.0</v>
      </c>
      <c r="J1227" s="49">
        <v>5623.1</v>
      </c>
      <c r="K1227" s="49">
        <v>5623.1</v>
      </c>
      <c r="L1227" s="45"/>
      <c r="M1227" s="45"/>
      <c r="N1227" s="45"/>
      <c r="O1227" s="45"/>
      <c r="P1227" s="45"/>
      <c r="Q1227" s="45"/>
      <c r="R1227" s="45"/>
      <c r="S1227" s="45"/>
      <c r="T1227" s="45"/>
      <c r="U1227" s="45"/>
      <c r="V1227" s="45"/>
      <c r="W1227" s="45"/>
      <c r="X1227" s="45"/>
      <c r="Y1227" s="45"/>
      <c r="Z1227" s="45"/>
    </row>
    <row r="1228">
      <c r="A1228" s="48" t="s">
        <v>3771</v>
      </c>
      <c r="B1228" s="49">
        <v>4943402.0</v>
      </c>
      <c r="C1228" s="48" t="s">
        <v>3772</v>
      </c>
      <c r="D1228" s="48" t="s">
        <v>93</v>
      </c>
      <c r="E1228" s="48" t="s">
        <v>94</v>
      </c>
      <c r="F1228" s="48" t="s">
        <v>2247</v>
      </c>
      <c r="G1228" s="48" t="s">
        <v>640</v>
      </c>
      <c r="H1228" s="49">
        <v>0.0051182724</v>
      </c>
      <c r="I1228" s="49">
        <v>127.0</v>
      </c>
      <c r="J1228" s="49">
        <v>5528.16</v>
      </c>
      <c r="K1228" s="49">
        <v>5528.16</v>
      </c>
      <c r="L1228" s="45"/>
      <c r="M1228" s="45"/>
      <c r="N1228" s="45"/>
      <c r="O1228" s="45"/>
      <c r="P1228" s="45"/>
      <c r="Q1228" s="45"/>
      <c r="R1228" s="45"/>
      <c r="S1228" s="45"/>
      <c r="T1228" s="45"/>
      <c r="U1228" s="45"/>
      <c r="V1228" s="45"/>
      <c r="W1228" s="45"/>
      <c r="X1228" s="45"/>
      <c r="Y1228" s="45"/>
      <c r="Z1228" s="45"/>
    </row>
    <row r="1229">
      <c r="A1229" s="48" t="s">
        <v>3773</v>
      </c>
      <c r="B1229" s="48" t="s">
        <v>3774</v>
      </c>
      <c r="C1229" s="48" t="s">
        <v>3775</v>
      </c>
      <c r="D1229" s="48" t="s">
        <v>93</v>
      </c>
      <c r="E1229" s="48" t="s">
        <v>102</v>
      </c>
      <c r="F1229" s="48" t="s">
        <v>1352</v>
      </c>
      <c r="G1229" s="48" t="s">
        <v>640</v>
      </c>
      <c r="H1229" s="49">
        <v>0.00510375159999999</v>
      </c>
      <c r="I1229" s="49">
        <v>109.0</v>
      </c>
      <c r="J1229" s="49">
        <v>5512.48</v>
      </c>
      <c r="K1229" s="49">
        <v>5512.48</v>
      </c>
      <c r="L1229" s="45"/>
      <c r="M1229" s="45"/>
      <c r="N1229" s="45"/>
      <c r="O1229" s="45"/>
      <c r="P1229" s="45"/>
      <c r="Q1229" s="45"/>
      <c r="R1229" s="45"/>
      <c r="S1229" s="45"/>
      <c r="T1229" s="45"/>
      <c r="U1229" s="45"/>
      <c r="V1229" s="45"/>
      <c r="W1229" s="45"/>
      <c r="X1229" s="45"/>
      <c r="Y1229" s="45"/>
      <c r="Z1229" s="45"/>
    </row>
    <row r="1230">
      <c r="A1230" s="48" t="s">
        <v>3776</v>
      </c>
      <c r="B1230" s="48" t="s">
        <v>3777</v>
      </c>
      <c r="C1230" s="48" t="s">
        <v>3778</v>
      </c>
      <c r="D1230" s="48" t="s">
        <v>93</v>
      </c>
      <c r="E1230" s="48" t="s">
        <v>124</v>
      </c>
      <c r="F1230" s="48" t="s">
        <v>1740</v>
      </c>
      <c r="G1230" s="48" t="s">
        <v>1741</v>
      </c>
      <c r="H1230" s="49">
        <v>0.0050741718</v>
      </c>
      <c r="I1230" s="49">
        <v>196.0</v>
      </c>
      <c r="J1230" s="49">
        <v>5480.53</v>
      </c>
      <c r="K1230" s="49">
        <v>5480.53</v>
      </c>
      <c r="L1230" s="45"/>
      <c r="M1230" s="45"/>
      <c r="N1230" s="45"/>
      <c r="O1230" s="45"/>
      <c r="P1230" s="45"/>
      <c r="Q1230" s="45"/>
      <c r="R1230" s="45"/>
      <c r="S1230" s="45"/>
      <c r="T1230" s="45"/>
      <c r="U1230" s="45"/>
      <c r="V1230" s="45"/>
      <c r="W1230" s="45"/>
      <c r="X1230" s="45"/>
      <c r="Y1230" s="45"/>
      <c r="Z1230" s="45"/>
    </row>
    <row r="1231">
      <c r="A1231" s="48" t="s">
        <v>3779</v>
      </c>
      <c r="B1231" s="49">
        <v>2715777.0</v>
      </c>
      <c r="C1231" s="48" t="s">
        <v>3780</v>
      </c>
      <c r="D1231" s="48" t="s">
        <v>93</v>
      </c>
      <c r="E1231" s="48" t="s">
        <v>121</v>
      </c>
      <c r="F1231" s="48" t="s">
        <v>694</v>
      </c>
      <c r="G1231" s="48" t="s">
        <v>1003</v>
      </c>
      <c r="H1231" s="49">
        <v>0.0050549427</v>
      </c>
      <c r="I1231" s="49">
        <v>160.0</v>
      </c>
      <c r="J1231" s="49">
        <v>5459.76</v>
      </c>
      <c r="K1231" s="49">
        <v>5459.76</v>
      </c>
      <c r="L1231" s="45"/>
      <c r="M1231" s="45"/>
      <c r="N1231" s="45"/>
      <c r="O1231" s="45"/>
      <c r="P1231" s="45"/>
      <c r="Q1231" s="45"/>
      <c r="R1231" s="45"/>
      <c r="S1231" s="45"/>
      <c r="T1231" s="45"/>
      <c r="U1231" s="45"/>
      <c r="V1231" s="45"/>
      <c r="W1231" s="45"/>
      <c r="X1231" s="45"/>
      <c r="Y1231" s="45"/>
      <c r="Z1231" s="45"/>
    </row>
    <row r="1232">
      <c r="A1232" s="48" t="s">
        <v>3781</v>
      </c>
      <c r="B1232" s="48" t="s">
        <v>3782</v>
      </c>
      <c r="C1232" s="48" t="s">
        <v>3783</v>
      </c>
      <c r="D1232" s="48" t="s">
        <v>93</v>
      </c>
      <c r="E1232" s="48" t="s">
        <v>133</v>
      </c>
      <c r="F1232" s="48" t="s">
        <v>822</v>
      </c>
      <c r="G1232" s="48" t="s">
        <v>646</v>
      </c>
      <c r="H1232" s="49">
        <v>0.0050444337</v>
      </c>
      <c r="I1232" s="49">
        <v>1806.0</v>
      </c>
      <c r="J1232" s="49">
        <v>5448.41</v>
      </c>
      <c r="K1232" s="49">
        <v>5448.41</v>
      </c>
      <c r="L1232" s="45"/>
      <c r="M1232" s="45"/>
      <c r="N1232" s="45"/>
      <c r="O1232" s="45"/>
      <c r="P1232" s="45"/>
      <c r="Q1232" s="45"/>
      <c r="R1232" s="45"/>
      <c r="S1232" s="45"/>
      <c r="T1232" s="45"/>
      <c r="U1232" s="45"/>
      <c r="V1232" s="45"/>
      <c r="W1232" s="45"/>
      <c r="X1232" s="45"/>
      <c r="Y1232" s="45"/>
      <c r="Z1232" s="45"/>
    </row>
    <row r="1233">
      <c r="A1233" s="48" t="s">
        <v>3784</v>
      </c>
      <c r="B1233" s="48" t="s">
        <v>3785</v>
      </c>
      <c r="C1233" s="48" t="s">
        <v>3786</v>
      </c>
      <c r="D1233" s="48" t="s">
        <v>93</v>
      </c>
      <c r="E1233" s="48" t="s">
        <v>124</v>
      </c>
      <c r="F1233" s="48" t="s">
        <v>822</v>
      </c>
      <c r="G1233" s="48" t="s">
        <v>646</v>
      </c>
      <c r="H1233" s="49">
        <v>0.0050160741</v>
      </c>
      <c r="I1233" s="49">
        <v>6664.0</v>
      </c>
      <c r="J1233" s="49">
        <v>5417.78</v>
      </c>
      <c r="K1233" s="49">
        <v>5417.78</v>
      </c>
      <c r="L1233" s="45"/>
      <c r="M1233" s="45"/>
      <c r="N1233" s="45"/>
      <c r="O1233" s="45"/>
      <c r="P1233" s="45"/>
      <c r="Q1233" s="45"/>
      <c r="R1233" s="45"/>
      <c r="S1233" s="45"/>
      <c r="T1233" s="45"/>
      <c r="U1233" s="45"/>
      <c r="V1233" s="45"/>
      <c r="W1233" s="45"/>
      <c r="X1233" s="45"/>
      <c r="Y1233" s="45"/>
      <c r="Z1233" s="45"/>
    </row>
    <row r="1234">
      <c r="A1234" s="48" t="s">
        <v>3787</v>
      </c>
      <c r="B1234" s="49">
        <v>5161407.0</v>
      </c>
      <c r="C1234" s="48" t="s">
        <v>3788</v>
      </c>
      <c r="D1234" s="48" t="s">
        <v>93</v>
      </c>
      <c r="E1234" s="48" t="s">
        <v>127</v>
      </c>
      <c r="F1234" s="48" t="s">
        <v>1352</v>
      </c>
      <c r="G1234" s="48" t="s">
        <v>640</v>
      </c>
      <c r="H1234" s="49">
        <v>0.0049640505</v>
      </c>
      <c r="I1234" s="49">
        <v>74.0</v>
      </c>
      <c r="J1234" s="49">
        <v>5361.59</v>
      </c>
      <c r="K1234" s="49">
        <v>5361.59</v>
      </c>
      <c r="L1234" s="45"/>
      <c r="M1234" s="45"/>
      <c r="N1234" s="45"/>
      <c r="O1234" s="45"/>
      <c r="P1234" s="45"/>
      <c r="Q1234" s="45"/>
      <c r="R1234" s="45"/>
      <c r="S1234" s="45"/>
      <c r="T1234" s="45"/>
      <c r="U1234" s="45"/>
      <c r="V1234" s="45"/>
      <c r="W1234" s="45"/>
      <c r="X1234" s="45"/>
      <c r="Y1234" s="45"/>
      <c r="Z1234" s="45"/>
    </row>
    <row r="1235">
      <c r="A1235" s="48" t="s">
        <v>3789</v>
      </c>
      <c r="B1235" s="49">
        <v>6900212.0</v>
      </c>
      <c r="C1235" s="48" t="s">
        <v>3790</v>
      </c>
      <c r="D1235" s="48" t="s">
        <v>93</v>
      </c>
      <c r="E1235" s="48" t="s">
        <v>127</v>
      </c>
      <c r="F1235" s="48" t="s">
        <v>629</v>
      </c>
      <c r="G1235" s="48" t="s">
        <v>630</v>
      </c>
      <c r="H1235" s="49">
        <v>0.004866505</v>
      </c>
      <c r="I1235" s="49">
        <v>271.0</v>
      </c>
      <c r="J1235" s="49">
        <v>5256.23</v>
      </c>
      <c r="K1235" s="49">
        <v>5256.23</v>
      </c>
      <c r="L1235" s="45"/>
      <c r="M1235" s="45"/>
      <c r="N1235" s="45"/>
      <c r="O1235" s="45"/>
      <c r="P1235" s="45"/>
      <c r="Q1235" s="45"/>
      <c r="R1235" s="45"/>
      <c r="S1235" s="45"/>
      <c r="T1235" s="45"/>
      <c r="U1235" s="45"/>
      <c r="V1235" s="45"/>
      <c r="W1235" s="45"/>
      <c r="X1235" s="45"/>
      <c r="Y1235" s="45"/>
      <c r="Z1235" s="45"/>
    </row>
    <row r="1236">
      <c r="A1236" s="48" t="s">
        <v>3791</v>
      </c>
      <c r="B1236" s="49">
        <v>5469554.0</v>
      </c>
      <c r="C1236" s="48" t="s">
        <v>3792</v>
      </c>
      <c r="D1236" s="48" t="s">
        <v>93</v>
      </c>
      <c r="E1236" s="48" t="s">
        <v>127</v>
      </c>
      <c r="F1236" s="48" t="s">
        <v>1740</v>
      </c>
      <c r="G1236" s="48" t="s">
        <v>1741</v>
      </c>
      <c r="H1236" s="49">
        <v>0.0048517931</v>
      </c>
      <c r="I1236" s="49">
        <v>65.0</v>
      </c>
      <c r="J1236" s="49">
        <v>5240.34</v>
      </c>
      <c r="K1236" s="49">
        <v>5240.34</v>
      </c>
      <c r="L1236" s="45"/>
      <c r="M1236" s="45"/>
      <c r="N1236" s="45"/>
      <c r="O1236" s="45"/>
      <c r="P1236" s="45"/>
      <c r="Q1236" s="45"/>
      <c r="R1236" s="45"/>
      <c r="S1236" s="45"/>
      <c r="T1236" s="45"/>
      <c r="U1236" s="45"/>
      <c r="V1236" s="45"/>
      <c r="W1236" s="45"/>
      <c r="X1236" s="45"/>
      <c r="Y1236" s="45"/>
      <c r="Z1236" s="45"/>
    </row>
    <row r="1237">
      <c r="A1237" s="48" t="s">
        <v>3793</v>
      </c>
      <c r="B1237" s="49">
        <v>7698356.0</v>
      </c>
      <c r="C1237" s="48" t="s">
        <v>3794</v>
      </c>
      <c r="D1237" s="48" t="s">
        <v>93</v>
      </c>
      <c r="E1237" s="48" t="s">
        <v>102</v>
      </c>
      <c r="F1237" s="48" t="s">
        <v>1740</v>
      </c>
      <c r="G1237" s="48" t="s">
        <v>1741</v>
      </c>
      <c r="H1237" s="49">
        <v>0.0048209179</v>
      </c>
      <c r="I1237" s="49">
        <v>188.0</v>
      </c>
      <c r="J1237" s="49">
        <v>5206.99</v>
      </c>
      <c r="K1237" s="49">
        <v>5206.99</v>
      </c>
      <c r="L1237" s="45"/>
      <c r="M1237" s="45"/>
      <c r="N1237" s="45"/>
      <c r="O1237" s="45"/>
      <c r="P1237" s="45"/>
      <c r="Q1237" s="45"/>
      <c r="R1237" s="45"/>
      <c r="S1237" s="45"/>
      <c r="T1237" s="45"/>
      <c r="U1237" s="45"/>
      <c r="V1237" s="45"/>
      <c r="W1237" s="45"/>
      <c r="X1237" s="45"/>
      <c r="Y1237" s="45"/>
      <c r="Z1237" s="45"/>
    </row>
    <row r="1238">
      <c r="A1238" s="48" t="s">
        <v>3795</v>
      </c>
      <c r="B1238" s="48" t="s">
        <v>3796</v>
      </c>
      <c r="C1238" s="48" t="s">
        <v>3797</v>
      </c>
      <c r="D1238" s="48" t="s">
        <v>93</v>
      </c>
      <c r="E1238" s="48" t="s">
        <v>102</v>
      </c>
      <c r="F1238" s="48" t="s">
        <v>883</v>
      </c>
      <c r="G1238" s="48" t="s">
        <v>884</v>
      </c>
      <c r="H1238" s="49">
        <v>0.00472068979999999</v>
      </c>
      <c r="I1238" s="49">
        <v>76.0</v>
      </c>
      <c r="J1238" s="49">
        <v>5098.74</v>
      </c>
      <c r="K1238" s="49">
        <v>5098.74</v>
      </c>
      <c r="L1238" s="45"/>
      <c r="M1238" s="45"/>
      <c r="N1238" s="45"/>
      <c r="O1238" s="45"/>
      <c r="P1238" s="45"/>
      <c r="Q1238" s="45"/>
      <c r="R1238" s="45"/>
      <c r="S1238" s="45"/>
      <c r="T1238" s="45"/>
      <c r="U1238" s="45"/>
      <c r="V1238" s="45"/>
      <c r="W1238" s="45"/>
      <c r="X1238" s="45"/>
      <c r="Y1238" s="45"/>
      <c r="Z1238" s="45"/>
    </row>
    <row r="1239">
      <c r="A1239" s="48" t="s">
        <v>3798</v>
      </c>
      <c r="B1239" s="49">
        <v>6870564.0</v>
      </c>
      <c r="C1239" s="48" t="s">
        <v>3799</v>
      </c>
      <c r="D1239" s="48" t="s">
        <v>93</v>
      </c>
      <c r="E1239" s="48" t="s">
        <v>167</v>
      </c>
      <c r="F1239" s="48" t="s">
        <v>629</v>
      </c>
      <c r="G1239" s="48" t="s">
        <v>630</v>
      </c>
      <c r="H1239" s="49">
        <v>0.0046815952</v>
      </c>
      <c r="I1239" s="49">
        <v>113.0</v>
      </c>
      <c r="J1239" s="49">
        <v>5056.51</v>
      </c>
      <c r="K1239" s="49">
        <v>5056.51</v>
      </c>
      <c r="L1239" s="45"/>
      <c r="M1239" s="45"/>
      <c r="N1239" s="45"/>
      <c r="O1239" s="45"/>
      <c r="P1239" s="45"/>
      <c r="Q1239" s="45"/>
      <c r="R1239" s="45"/>
      <c r="S1239" s="45"/>
      <c r="T1239" s="45"/>
      <c r="U1239" s="45"/>
      <c r="V1239" s="45"/>
      <c r="W1239" s="45"/>
      <c r="X1239" s="45"/>
      <c r="Y1239" s="45"/>
      <c r="Z1239" s="45"/>
    </row>
    <row r="1240">
      <c r="A1240" s="48" t="s">
        <v>3800</v>
      </c>
      <c r="B1240" s="48" t="s">
        <v>3801</v>
      </c>
      <c r="C1240" s="48" t="s">
        <v>3802</v>
      </c>
      <c r="D1240" s="48" t="s">
        <v>93</v>
      </c>
      <c r="E1240" s="48" t="s">
        <v>94</v>
      </c>
      <c r="F1240" s="48" t="s">
        <v>918</v>
      </c>
      <c r="G1240" s="48" t="s">
        <v>908</v>
      </c>
      <c r="H1240" s="49">
        <v>0.0046776598</v>
      </c>
      <c r="I1240" s="49">
        <v>156.0</v>
      </c>
      <c r="J1240" s="49">
        <v>5052.26</v>
      </c>
      <c r="K1240" s="49">
        <v>5052.26</v>
      </c>
      <c r="L1240" s="45"/>
      <c r="M1240" s="45"/>
      <c r="N1240" s="45"/>
      <c r="O1240" s="45"/>
      <c r="P1240" s="45"/>
      <c r="Q1240" s="45"/>
      <c r="R1240" s="45"/>
      <c r="S1240" s="45"/>
      <c r="T1240" s="45"/>
      <c r="U1240" s="45"/>
      <c r="V1240" s="45"/>
      <c r="W1240" s="45"/>
      <c r="X1240" s="45"/>
      <c r="Y1240" s="45"/>
      <c r="Z1240" s="45"/>
    </row>
    <row r="1241">
      <c r="A1241" s="48" t="s">
        <v>3803</v>
      </c>
      <c r="B1241" s="48" t="s">
        <v>3804</v>
      </c>
      <c r="C1241" s="48" t="s">
        <v>3805</v>
      </c>
      <c r="D1241" s="48" t="s">
        <v>93</v>
      </c>
      <c r="E1241" s="48" t="s">
        <v>121</v>
      </c>
      <c r="F1241" s="48" t="s">
        <v>822</v>
      </c>
      <c r="G1241" s="48" t="s">
        <v>646</v>
      </c>
      <c r="H1241" s="49">
        <v>0.0046335709</v>
      </c>
      <c r="I1241" s="49">
        <v>3026.0</v>
      </c>
      <c r="J1241" s="49">
        <v>5004.64</v>
      </c>
      <c r="K1241" s="49">
        <v>5004.64</v>
      </c>
      <c r="L1241" s="45"/>
      <c r="M1241" s="45"/>
      <c r="N1241" s="45"/>
      <c r="O1241" s="45"/>
      <c r="P1241" s="45"/>
      <c r="Q1241" s="45"/>
      <c r="R1241" s="45"/>
      <c r="S1241" s="45"/>
      <c r="T1241" s="45"/>
      <c r="U1241" s="45"/>
      <c r="V1241" s="45"/>
      <c r="W1241" s="45"/>
      <c r="X1241" s="45"/>
      <c r="Y1241" s="45"/>
      <c r="Z1241" s="45"/>
    </row>
    <row r="1242">
      <c r="A1242" s="48" t="s">
        <v>3806</v>
      </c>
      <c r="B1242" s="48" t="s">
        <v>3807</v>
      </c>
      <c r="C1242" s="48" t="s">
        <v>3808</v>
      </c>
      <c r="D1242" s="48" t="s">
        <v>93</v>
      </c>
      <c r="E1242" s="48" t="s">
        <v>99</v>
      </c>
      <c r="F1242" s="48" t="s">
        <v>918</v>
      </c>
      <c r="G1242" s="48" t="s">
        <v>908</v>
      </c>
      <c r="H1242" s="49">
        <v>0.0046209996</v>
      </c>
      <c r="I1242" s="49">
        <v>321.0</v>
      </c>
      <c r="J1242" s="49">
        <v>4991.06</v>
      </c>
      <c r="K1242" s="49">
        <v>4991.06</v>
      </c>
      <c r="L1242" s="45"/>
      <c r="M1242" s="45"/>
      <c r="N1242" s="45"/>
      <c r="O1242" s="45"/>
      <c r="P1242" s="45"/>
      <c r="Q1242" s="45"/>
      <c r="R1242" s="45"/>
      <c r="S1242" s="45"/>
      <c r="T1242" s="45"/>
      <c r="U1242" s="45"/>
      <c r="V1242" s="45"/>
      <c r="W1242" s="45"/>
      <c r="X1242" s="45"/>
      <c r="Y1242" s="45"/>
      <c r="Z1242" s="45"/>
    </row>
    <row r="1243">
      <c r="A1243" s="48" t="s">
        <v>3809</v>
      </c>
      <c r="B1243" s="49">
        <v>6371863.0</v>
      </c>
      <c r="C1243" s="48" t="s">
        <v>3810</v>
      </c>
      <c r="D1243" s="48" t="s">
        <v>93</v>
      </c>
      <c r="E1243" s="48" t="s">
        <v>118</v>
      </c>
      <c r="F1243" s="48" t="s">
        <v>629</v>
      </c>
      <c r="G1243" s="48" t="s">
        <v>630</v>
      </c>
      <c r="H1243" s="49">
        <v>0.0046179296</v>
      </c>
      <c r="I1243" s="49">
        <v>83.0</v>
      </c>
      <c r="J1243" s="49">
        <v>4987.75</v>
      </c>
      <c r="K1243" s="49">
        <v>4987.75</v>
      </c>
      <c r="L1243" s="45"/>
      <c r="M1243" s="45"/>
      <c r="N1243" s="45"/>
      <c r="O1243" s="45"/>
      <c r="P1243" s="45"/>
      <c r="Q1243" s="45"/>
      <c r="R1243" s="45"/>
      <c r="S1243" s="45"/>
      <c r="T1243" s="45"/>
      <c r="U1243" s="45"/>
      <c r="V1243" s="45"/>
      <c r="W1243" s="45"/>
      <c r="X1243" s="45"/>
      <c r="Y1243" s="45"/>
      <c r="Z1243" s="45"/>
    </row>
    <row r="1244">
      <c r="A1244" s="48" t="s">
        <v>3811</v>
      </c>
      <c r="B1244" s="48" t="s">
        <v>3812</v>
      </c>
      <c r="C1244" s="48" t="s">
        <v>3813</v>
      </c>
      <c r="D1244" s="48" t="s">
        <v>93</v>
      </c>
      <c r="E1244" s="48" t="s">
        <v>124</v>
      </c>
      <c r="F1244" s="48" t="s">
        <v>645</v>
      </c>
      <c r="G1244" s="48" t="s">
        <v>646</v>
      </c>
      <c r="H1244" s="49">
        <v>0.0046056578</v>
      </c>
      <c r="I1244" s="49">
        <v>1513.0</v>
      </c>
      <c r="J1244" s="49">
        <v>4974.49</v>
      </c>
      <c r="K1244" s="49">
        <v>4974.49</v>
      </c>
      <c r="L1244" s="45"/>
      <c r="M1244" s="45"/>
      <c r="N1244" s="45"/>
      <c r="O1244" s="45"/>
      <c r="P1244" s="45"/>
      <c r="Q1244" s="45"/>
      <c r="R1244" s="45"/>
      <c r="S1244" s="45"/>
      <c r="T1244" s="45"/>
      <c r="U1244" s="45"/>
      <c r="V1244" s="45"/>
      <c r="W1244" s="45"/>
      <c r="X1244" s="45"/>
      <c r="Y1244" s="45"/>
      <c r="Z1244" s="45"/>
    </row>
    <row r="1245">
      <c r="A1245" s="48" t="s">
        <v>3814</v>
      </c>
      <c r="B1245" s="49">
        <v>4447476.0</v>
      </c>
      <c r="C1245" s="48" t="s">
        <v>3815</v>
      </c>
      <c r="D1245" s="48" t="s">
        <v>93</v>
      </c>
      <c r="E1245" s="48" t="s">
        <v>94</v>
      </c>
      <c r="F1245" s="48" t="s">
        <v>686</v>
      </c>
      <c r="G1245" s="48" t="s">
        <v>640</v>
      </c>
      <c r="H1245" s="49">
        <v>0.0045541149</v>
      </c>
      <c r="I1245" s="49">
        <v>96.0</v>
      </c>
      <c r="J1245" s="49">
        <v>4918.82</v>
      </c>
      <c r="K1245" s="49">
        <v>4918.82</v>
      </c>
      <c r="L1245" s="45"/>
      <c r="M1245" s="45"/>
      <c r="N1245" s="45"/>
      <c r="O1245" s="45"/>
      <c r="P1245" s="45"/>
      <c r="Q1245" s="45"/>
      <c r="R1245" s="45"/>
      <c r="S1245" s="45"/>
      <c r="T1245" s="45"/>
      <c r="U1245" s="45"/>
      <c r="V1245" s="45"/>
      <c r="W1245" s="45"/>
      <c r="X1245" s="45"/>
      <c r="Y1245" s="45"/>
      <c r="Z1245" s="45"/>
    </row>
    <row r="1246">
      <c r="A1246" s="48" t="s">
        <v>3816</v>
      </c>
      <c r="B1246" s="48" t="s">
        <v>3817</v>
      </c>
      <c r="C1246" s="48" t="s">
        <v>3818</v>
      </c>
      <c r="D1246" s="48" t="s">
        <v>93</v>
      </c>
      <c r="E1246" s="48" t="s">
        <v>99</v>
      </c>
      <c r="F1246" s="48" t="s">
        <v>1352</v>
      </c>
      <c r="G1246" s="48" t="s">
        <v>640</v>
      </c>
      <c r="H1246" s="49">
        <v>0.0045477374</v>
      </c>
      <c r="I1246" s="49">
        <v>489.0</v>
      </c>
      <c r="J1246" s="49">
        <v>4911.94</v>
      </c>
      <c r="K1246" s="49">
        <v>4911.94</v>
      </c>
      <c r="L1246" s="45"/>
      <c r="M1246" s="45"/>
      <c r="N1246" s="45"/>
      <c r="O1246" s="45"/>
      <c r="P1246" s="45"/>
      <c r="Q1246" s="45"/>
      <c r="R1246" s="45"/>
      <c r="S1246" s="45"/>
      <c r="T1246" s="45"/>
      <c r="U1246" s="45"/>
      <c r="V1246" s="45"/>
      <c r="W1246" s="45"/>
      <c r="X1246" s="45"/>
      <c r="Y1246" s="45"/>
      <c r="Z1246" s="45"/>
    </row>
    <row r="1247">
      <c r="A1247" s="48" t="s">
        <v>3819</v>
      </c>
      <c r="B1247" s="48" t="s">
        <v>3820</v>
      </c>
      <c r="C1247" s="48" t="s">
        <v>3821</v>
      </c>
      <c r="D1247" s="48" t="s">
        <v>93</v>
      </c>
      <c r="E1247" s="48" t="s">
        <v>94</v>
      </c>
      <c r="F1247" s="48" t="s">
        <v>1740</v>
      </c>
      <c r="G1247" s="48" t="s">
        <v>1741</v>
      </c>
      <c r="H1247" s="49">
        <v>0.0045444625</v>
      </c>
      <c r="I1247" s="49">
        <v>82.0</v>
      </c>
      <c r="J1247" s="49">
        <v>4908.4</v>
      </c>
      <c r="K1247" s="49">
        <v>4908.4</v>
      </c>
      <c r="L1247" s="45"/>
      <c r="M1247" s="45"/>
      <c r="N1247" s="45"/>
      <c r="O1247" s="45"/>
      <c r="P1247" s="45"/>
      <c r="Q1247" s="45"/>
      <c r="R1247" s="45"/>
      <c r="S1247" s="45"/>
      <c r="T1247" s="45"/>
      <c r="U1247" s="45"/>
      <c r="V1247" s="45"/>
      <c r="W1247" s="45"/>
      <c r="X1247" s="45"/>
      <c r="Y1247" s="45"/>
      <c r="Z1247" s="45"/>
    </row>
    <row r="1248">
      <c r="A1248" s="48" t="s">
        <v>3822</v>
      </c>
      <c r="B1248" s="48" t="s">
        <v>3823</v>
      </c>
      <c r="C1248" s="48" t="s">
        <v>3824</v>
      </c>
      <c r="D1248" s="48" t="s">
        <v>93</v>
      </c>
      <c r="E1248" s="48" t="s">
        <v>127</v>
      </c>
      <c r="F1248" s="48" t="s">
        <v>639</v>
      </c>
      <c r="G1248" s="48" t="s">
        <v>640</v>
      </c>
      <c r="H1248" s="49">
        <v>0.0045192896</v>
      </c>
      <c r="I1248" s="49">
        <v>26.0</v>
      </c>
      <c r="J1248" s="49">
        <v>4881.21</v>
      </c>
      <c r="K1248" s="49">
        <v>4881.21</v>
      </c>
      <c r="L1248" s="45"/>
      <c r="M1248" s="45"/>
      <c r="N1248" s="45"/>
      <c r="O1248" s="45"/>
      <c r="P1248" s="45"/>
      <c r="Q1248" s="45"/>
      <c r="R1248" s="45"/>
      <c r="S1248" s="45"/>
      <c r="T1248" s="45"/>
      <c r="U1248" s="45"/>
      <c r="V1248" s="45"/>
      <c r="W1248" s="45"/>
      <c r="X1248" s="45"/>
      <c r="Y1248" s="45"/>
      <c r="Z1248" s="45"/>
    </row>
    <row r="1249">
      <c r="A1249" s="48" t="s">
        <v>3825</v>
      </c>
      <c r="B1249" s="49">
        <v>136701.0</v>
      </c>
      <c r="C1249" s="48" t="s">
        <v>3826</v>
      </c>
      <c r="D1249" s="48" t="s">
        <v>93</v>
      </c>
      <c r="E1249" s="48" t="s">
        <v>133</v>
      </c>
      <c r="F1249" s="48" t="s">
        <v>918</v>
      </c>
      <c r="G1249" s="48" t="s">
        <v>908</v>
      </c>
      <c r="H1249" s="49">
        <v>0.0045047986</v>
      </c>
      <c r="I1249" s="49">
        <v>788.0</v>
      </c>
      <c r="J1249" s="49">
        <v>4865.56</v>
      </c>
      <c r="K1249" s="49">
        <v>4865.56</v>
      </c>
      <c r="L1249" s="45"/>
      <c r="M1249" s="45"/>
      <c r="N1249" s="45"/>
      <c r="O1249" s="45"/>
      <c r="P1249" s="45"/>
      <c r="Q1249" s="45"/>
      <c r="R1249" s="45"/>
      <c r="S1249" s="45"/>
      <c r="T1249" s="45"/>
      <c r="U1249" s="45"/>
      <c r="V1249" s="45"/>
      <c r="W1249" s="45"/>
      <c r="X1249" s="45"/>
      <c r="Y1249" s="45"/>
      <c r="Z1249" s="45"/>
    </row>
    <row r="1250">
      <c r="A1250" s="48" t="s">
        <v>3827</v>
      </c>
      <c r="B1250" s="49">
        <v>4247494.0</v>
      </c>
      <c r="C1250" s="48" t="s">
        <v>3828</v>
      </c>
      <c r="D1250" s="48" t="s">
        <v>93</v>
      </c>
      <c r="E1250" s="48" t="s">
        <v>118</v>
      </c>
      <c r="F1250" s="48" t="s">
        <v>1374</v>
      </c>
      <c r="G1250" s="48" t="s">
        <v>640</v>
      </c>
      <c r="H1250" s="49">
        <v>0.0044660672</v>
      </c>
      <c r="I1250" s="49">
        <v>18.0</v>
      </c>
      <c r="J1250" s="49">
        <v>4823.72</v>
      </c>
      <c r="K1250" s="49">
        <v>4823.72</v>
      </c>
      <c r="L1250" s="45"/>
      <c r="M1250" s="45"/>
      <c r="N1250" s="45"/>
      <c r="O1250" s="45"/>
      <c r="P1250" s="45"/>
      <c r="Q1250" s="45"/>
      <c r="R1250" s="45"/>
      <c r="S1250" s="45"/>
      <c r="T1250" s="45"/>
      <c r="U1250" s="45"/>
      <c r="V1250" s="45"/>
      <c r="W1250" s="45"/>
      <c r="X1250" s="45"/>
      <c r="Y1250" s="45"/>
      <c r="Z1250" s="45"/>
    </row>
    <row r="1251">
      <c r="A1251" s="48" t="s">
        <v>3829</v>
      </c>
      <c r="B1251" s="48" t="s">
        <v>3830</v>
      </c>
      <c r="C1251" s="48" t="s">
        <v>3831</v>
      </c>
      <c r="D1251" s="48" t="s">
        <v>93</v>
      </c>
      <c r="E1251" s="48" t="s">
        <v>102</v>
      </c>
      <c r="F1251" s="48" t="s">
        <v>822</v>
      </c>
      <c r="G1251" s="48" t="s">
        <v>646</v>
      </c>
      <c r="H1251" s="49">
        <v>0.0043971953</v>
      </c>
      <c r="I1251" s="49">
        <v>8363.0</v>
      </c>
      <c r="J1251" s="49">
        <v>4749.34</v>
      </c>
      <c r="K1251" s="49">
        <v>4749.34</v>
      </c>
      <c r="L1251" s="45"/>
      <c r="M1251" s="45"/>
      <c r="N1251" s="45"/>
      <c r="O1251" s="45"/>
      <c r="P1251" s="45"/>
      <c r="Q1251" s="45"/>
      <c r="R1251" s="45"/>
      <c r="S1251" s="45"/>
      <c r="T1251" s="45"/>
      <c r="U1251" s="45"/>
      <c r="V1251" s="45"/>
      <c r="W1251" s="45"/>
      <c r="X1251" s="45"/>
      <c r="Y1251" s="45"/>
      <c r="Z1251" s="45"/>
    </row>
    <row r="1252">
      <c r="A1252" s="48" t="s">
        <v>3832</v>
      </c>
      <c r="B1252" s="48" t="s">
        <v>3833</v>
      </c>
      <c r="C1252" s="48" t="s">
        <v>3834</v>
      </c>
      <c r="D1252" s="48" t="s">
        <v>93</v>
      </c>
      <c r="E1252" s="48" t="s">
        <v>124</v>
      </c>
      <c r="F1252" s="48" t="s">
        <v>629</v>
      </c>
      <c r="G1252" s="48" t="s">
        <v>630</v>
      </c>
      <c r="H1252" s="49">
        <v>0.0043806138</v>
      </c>
      <c r="I1252" s="49">
        <v>128.0</v>
      </c>
      <c r="J1252" s="49">
        <v>4731.43</v>
      </c>
      <c r="K1252" s="49">
        <v>4731.43</v>
      </c>
      <c r="L1252" s="45"/>
      <c r="M1252" s="45"/>
      <c r="N1252" s="45"/>
      <c r="O1252" s="45"/>
      <c r="P1252" s="45"/>
      <c r="Q1252" s="45"/>
      <c r="R1252" s="45"/>
      <c r="S1252" s="45"/>
      <c r="T1252" s="45"/>
      <c r="U1252" s="45"/>
      <c r="V1252" s="45"/>
      <c r="W1252" s="45"/>
      <c r="X1252" s="45"/>
      <c r="Y1252" s="45"/>
      <c r="Z1252" s="45"/>
    </row>
    <row r="1253">
      <c r="A1253" s="48" t="s">
        <v>3835</v>
      </c>
      <c r="B1253" s="49">
        <v>2172639.0</v>
      </c>
      <c r="C1253" s="48" t="s">
        <v>3836</v>
      </c>
      <c r="D1253" s="48" t="s">
        <v>93</v>
      </c>
      <c r="E1253" s="48" t="s">
        <v>170</v>
      </c>
      <c r="F1253" s="48" t="s">
        <v>694</v>
      </c>
      <c r="G1253" s="48" t="s">
        <v>1003</v>
      </c>
      <c r="H1253" s="49">
        <v>0.004359053</v>
      </c>
      <c r="I1253" s="49">
        <v>135.0</v>
      </c>
      <c r="J1253" s="49">
        <v>4708.14</v>
      </c>
      <c r="K1253" s="49">
        <v>4708.14</v>
      </c>
      <c r="L1253" s="45"/>
      <c r="M1253" s="45"/>
      <c r="N1253" s="45"/>
      <c r="O1253" s="45"/>
      <c r="P1253" s="45"/>
      <c r="Q1253" s="45"/>
      <c r="R1253" s="45"/>
      <c r="S1253" s="45"/>
      <c r="T1253" s="45"/>
      <c r="U1253" s="45"/>
      <c r="V1253" s="45"/>
      <c r="W1253" s="45"/>
      <c r="X1253" s="45"/>
      <c r="Y1253" s="45"/>
      <c r="Z1253" s="45"/>
    </row>
    <row r="1254">
      <c r="A1254" s="48" t="s">
        <v>3837</v>
      </c>
      <c r="B1254" s="48" t="s">
        <v>3838</v>
      </c>
      <c r="C1254" s="48" t="s">
        <v>3839</v>
      </c>
      <c r="D1254" s="48" t="s">
        <v>93</v>
      </c>
      <c r="E1254" s="48" t="s">
        <v>127</v>
      </c>
      <c r="F1254" s="48" t="s">
        <v>629</v>
      </c>
      <c r="G1254" s="48" t="s">
        <v>630</v>
      </c>
      <c r="H1254" s="49">
        <v>0.00432846689999999</v>
      </c>
      <c r="I1254" s="49">
        <v>179.0</v>
      </c>
      <c r="J1254" s="49">
        <v>4675.11</v>
      </c>
      <c r="K1254" s="49">
        <v>4675.11</v>
      </c>
      <c r="L1254" s="45"/>
      <c r="M1254" s="45"/>
      <c r="N1254" s="45"/>
      <c r="O1254" s="45"/>
      <c r="P1254" s="45"/>
      <c r="Q1254" s="45"/>
      <c r="R1254" s="45"/>
      <c r="S1254" s="45"/>
      <c r="T1254" s="45"/>
      <c r="U1254" s="45"/>
      <c r="V1254" s="45"/>
      <c r="W1254" s="45"/>
      <c r="X1254" s="45"/>
      <c r="Y1254" s="45"/>
      <c r="Z1254" s="45"/>
    </row>
    <row r="1255">
      <c r="A1255" s="48" t="s">
        <v>3840</v>
      </c>
      <c r="B1255" s="48" t="s">
        <v>3841</v>
      </c>
      <c r="C1255" s="48" t="s">
        <v>3842</v>
      </c>
      <c r="D1255" s="48" t="s">
        <v>93</v>
      </c>
      <c r="E1255" s="48" t="s">
        <v>127</v>
      </c>
      <c r="F1255" s="48" t="s">
        <v>1673</v>
      </c>
      <c r="G1255" s="48" t="s">
        <v>1674</v>
      </c>
      <c r="H1255" s="49">
        <v>0.0043254301</v>
      </c>
      <c r="I1255" s="49">
        <v>249.0</v>
      </c>
      <c r="J1255" s="49">
        <v>4671.83</v>
      </c>
      <c r="K1255" s="49">
        <v>4671.83</v>
      </c>
      <c r="L1255" s="45"/>
      <c r="M1255" s="45"/>
      <c r="N1255" s="45"/>
      <c r="O1255" s="45"/>
      <c r="P1255" s="45"/>
      <c r="Q1255" s="45"/>
      <c r="R1255" s="45"/>
      <c r="S1255" s="45"/>
      <c r="T1255" s="45"/>
      <c r="U1255" s="45"/>
      <c r="V1255" s="45"/>
      <c r="W1255" s="45"/>
      <c r="X1255" s="45"/>
      <c r="Y1255" s="45"/>
      <c r="Z1255" s="45"/>
    </row>
    <row r="1256">
      <c r="A1256" s="48" t="s">
        <v>3843</v>
      </c>
      <c r="B1256" s="49">
        <v>6160038.0</v>
      </c>
      <c r="C1256" s="48" t="s">
        <v>3844</v>
      </c>
      <c r="D1256" s="48" t="s">
        <v>93</v>
      </c>
      <c r="E1256" s="48" t="s">
        <v>102</v>
      </c>
      <c r="F1256" s="48" t="s">
        <v>95</v>
      </c>
      <c r="G1256" s="48" t="s">
        <v>2733</v>
      </c>
      <c r="H1256" s="49">
        <v>0.00431603</v>
      </c>
      <c r="I1256" s="49">
        <v>145.0</v>
      </c>
      <c r="J1256" s="49">
        <v>4661.67</v>
      </c>
      <c r="K1256" s="49">
        <v>4661.67</v>
      </c>
      <c r="L1256" s="45"/>
      <c r="M1256" s="45"/>
      <c r="N1256" s="45"/>
      <c r="O1256" s="45"/>
      <c r="P1256" s="45"/>
      <c r="Q1256" s="45"/>
      <c r="R1256" s="45"/>
      <c r="S1256" s="45"/>
      <c r="T1256" s="45"/>
      <c r="U1256" s="45"/>
      <c r="V1256" s="45"/>
      <c r="W1256" s="45"/>
      <c r="X1256" s="45"/>
      <c r="Y1256" s="45"/>
      <c r="Z1256" s="45"/>
    </row>
    <row r="1257">
      <c r="A1257" s="48" t="s">
        <v>3845</v>
      </c>
      <c r="B1257" s="49">
        <v>6320605.0</v>
      </c>
      <c r="C1257" s="48" t="s">
        <v>3846</v>
      </c>
      <c r="D1257" s="48" t="s">
        <v>93</v>
      </c>
      <c r="E1257" s="48" t="s">
        <v>167</v>
      </c>
      <c r="F1257" s="48" t="s">
        <v>679</v>
      </c>
      <c r="G1257" s="48" t="s">
        <v>2438</v>
      </c>
      <c r="H1257" s="49">
        <v>0.004299067</v>
      </c>
      <c r="I1257" s="49">
        <v>117.0</v>
      </c>
      <c r="J1257" s="49">
        <v>4643.35</v>
      </c>
      <c r="K1257" s="49">
        <v>4643.35</v>
      </c>
      <c r="L1257" s="45"/>
      <c r="M1257" s="45"/>
      <c r="N1257" s="45"/>
      <c r="O1257" s="45"/>
      <c r="P1257" s="45"/>
      <c r="Q1257" s="45"/>
      <c r="R1257" s="45"/>
      <c r="S1257" s="45"/>
      <c r="T1257" s="45"/>
      <c r="U1257" s="45"/>
      <c r="V1257" s="45"/>
      <c r="W1257" s="45"/>
      <c r="X1257" s="45"/>
      <c r="Y1257" s="45"/>
      <c r="Z1257" s="45"/>
    </row>
    <row r="1258">
      <c r="A1258" s="48" t="s">
        <v>3847</v>
      </c>
      <c r="B1258" s="49">
        <v>5715774.0</v>
      </c>
      <c r="C1258" s="48" t="s">
        <v>3848</v>
      </c>
      <c r="D1258" s="48" t="s">
        <v>93</v>
      </c>
      <c r="E1258" s="48" t="s">
        <v>127</v>
      </c>
      <c r="F1258" s="48" t="s">
        <v>1374</v>
      </c>
      <c r="G1258" s="48" t="s">
        <v>640</v>
      </c>
      <c r="H1258" s="49">
        <v>0.0041998014</v>
      </c>
      <c r="I1258" s="49">
        <v>19.0</v>
      </c>
      <c r="J1258" s="49">
        <v>4536.14</v>
      </c>
      <c r="K1258" s="49">
        <v>4536.14</v>
      </c>
      <c r="L1258" s="45"/>
      <c r="M1258" s="45"/>
      <c r="N1258" s="45"/>
      <c r="O1258" s="45"/>
      <c r="P1258" s="45"/>
      <c r="Q1258" s="45"/>
      <c r="R1258" s="45"/>
      <c r="S1258" s="45"/>
      <c r="T1258" s="45"/>
      <c r="U1258" s="45"/>
      <c r="V1258" s="45"/>
      <c r="W1258" s="45"/>
      <c r="X1258" s="45"/>
      <c r="Y1258" s="45"/>
      <c r="Z1258" s="45"/>
    </row>
    <row r="1259">
      <c r="A1259" s="48" t="s">
        <v>3849</v>
      </c>
      <c r="B1259" s="49">
        <v>6603038.0</v>
      </c>
      <c r="C1259" s="48" t="s">
        <v>3850</v>
      </c>
      <c r="D1259" s="48" t="s">
        <v>93</v>
      </c>
      <c r="E1259" s="48" t="s">
        <v>127</v>
      </c>
      <c r="F1259" s="48" t="s">
        <v>2732</v>
      </c>
      <c r="G1259" s="48" t="s">
        <v>2733</v>
      </c>
      <c r="H1259" s="49">
        <v>0.0041664478</v>
      </c>
      <c r="I1259" s="49">
        <v>76.0</v>
      </c>
      <c r="J1259" s="49">
        <v>4500.11</v>
      </c>
      <c r="K1259" s="49">
        <v>4500.11</v>
      </c>
      <c r="L1259" s="45"/>
      <c r="M1259" s="45"/>
      <c r="N1259" s="45"/>
      <c r="O1259" s="45"/>
      <c r="P1259" s="45"/>
      <c r="Q1259" s="45"/>
      <c r="R1259" s="45"/>
      <c r="S1259" s="45"/>
      <c r="T1259" s="45"/>
      <c r="U1259" s="45"/>
      <c r="V1259" s="45"/>
      <c r="W1259" s="45"/>
      <c r="X1259" s="45"/>
      <c r="Y1259" s="45"/>
      <c r="Z1259" s="45"/>
    </row>
    <row r="1260">
      <c r="A1260" s="48" t="s">
        <v>3851</v>
      </c>
      <c r="B1260" s="48" t="s">
        <v>3852</v>
      </c>
      <c r="C1260" s="48" t="s">
        <v>3853</v>
      </c>
      <c r="D1260" s="48" t="s">
        <v>93</v>
      </c>
      <c r="E1260" s="48" t="s">
        <v>170</v>
      </c>
      <c r="F1260" s="48" t="s">
        <v>1374</v>
      </c>
      <c r="G1260" s="48" t="s">
        <v>640</v>
      </c>
      <c r="H1260" s="49">
        <v>0.0041073544</v>
      </c>
      <c r="I1260" s="49">
        <v>26.0</v>
      </c>
      <c r="J1260" s="49">
        <v>4436.29</v>
      </c>
      <c r="K1260" s="49">
        <v>4436.29</v>
      </c>
      <c r="L1260" s="45"/>
      <c r="M1260" s="45"/>
      <c r="N1260" s="45"/>
      <c r="O1260" s="45"/>
      <c r="P1260" s="45"/>
      <c r="Q1260" s="45"/>
      <c r="R1260" s="45"/>
      <c r="S1260" s="45"/>
      <c r="T1260" s="45"/>
      <c r="U1260" s="45"/>
      <c r="V1260" s="45"/>
      <c r="W1260" s="45"/>
      <c r="X1260" s="45"/>
      <c r="Y1260" s="45"/>
      <c r="Z1260" s="45"/>
    </row>
    <row r="1261">
      <c r="A1261" s="48" t="s">
        <v>3854</v>
      </c>
      <c r="B1261" s="49">
        <v>6466985.0</v>
      </c>
      <c r="C1261" s="48" t="s">
        <v>3855</v>
      </c>
      <c r="D1261" s="48" t="s">
        <v>93</v>
      </c>
      <c r="E1261" s="48" t="s">
        <v>127</v>
      </c>
      <c r="F1261" s="48" t="s">
        <v>629</v>
      </c>
      <c r="G1261" s="48" t="s">
        <v>630</v>
      </c>
      <c r="H1261" s="49">
        <v>0.0040657572</v>
      </c>
      <c r="I1261" s="49">
        <v>132.0</v>
      </c>
      <c r="J1261" s="49">
        <v>4391.36</v>
      </c>
      <c r="K1261" s="49">
        <v>4391.36</v>
      </c>
      <c r="L1261" s="45"/>
      <c r="M1261" s="45"/>
      <c r="N1261" s="45"/>
      <c r="O1261" s="45"/>
      <c r="P1261" s="45"/>
      <c r="Q1261" s="45"/>
      <c r="R1261" s="45"/>
      <c r="S1261" s="45"/>
      <c r="T1261" s="45"/>
      <c r="U1261" s="45"/>
      <c r="V1261" s="45"/>
      <c r="W1261" s="45"/>
      <c r="X1261" s="45"/>
      <c r="Y1261" s="45"/>
      <c r="Z1261" s="45"/>
    </row>
    <row r="1262">
      <c r="A1262" s="48" t="s">
        <v>3856</v>
      </c>
      <c r="B1262" s="49">
        <v>6309262.0</v>
      </c>
      <c r="C1262" s="48" t="s">
        <v>3857</v>
      </c>
      <c r="D1262" s="48" t="s">
        <v>93</v>
      </c>
      <c r="E1262" s="48" t="s">
        <v>121</v>
      </c>
      <c r="F1262" s="48" t="s">
        <v>629</v>
      </c>
      <c r="G1262" s="48" t="s">
        <v>630</v>
      </c>
      <c r="H1262" s="49">
        <v>0.0040243076</v>
      </c>
      <c r="I1262" s="49">
        <v>81.0</v>
      </c>
      <c r="J1262" s="49">
        <v>4346.59</v>
      </c>
      <c r="K1262" s="49">
        <v>4346.59</v>
      </c>
      <c r="L1262" s="45"/>
      <c r="M1262" s="45"/>
      <c r="N1262" s="45"/>
      <c r="O1262" s="45"/>
      <c r="P1262" s="45"/>
      <c r="Q1262" s="45"/>
      <c r="R1262" s="45"/>
      <c r="S1262" s="45"/>
      <c r="T1262" s="45"/>
      <c r="U1262" s="45"/>
      <c r="V1262" s="45"/>
      <c r="W1262" s="45"/>
      <c r="X1262" s="45"/>
      <c r="Y1262" s="45"/>
      <c r="Z1262" s="45"/>
    </row>
    <row r="1263">
      <c r="A1263" s="48" t="s">
        <v>3858</v>
      </c>
      <c r="B1263" s="48" t="s">
        <v>3859</v>
      </c>
      <c r="C1263" s="48" t="s">
        <v>3860</v>
      </c>
      <c r="D1263" s="48" t="s">
        <v>93</v>
      </c>
      <c r="E1263" s="48" t="s">
        <v>99</v>
      </c>
      <c r="F1263" s="48" t="s">
        <v>1740</v>
      </c>
      <c r="G1263" s="48" t="s">
        <v>1741</v>
      </c>
      <c r="H1263" s="49">
        <v>0.0039523117</v>
      </c>
      <c r="I1263" s="49">
        <v>265.0</v>
      </c>
      <c r="J1263" s="49">
        <v>4268.83</v>
      </c>
      <c r="K1263" s="49">
        <v>4268.83</v>
      </c>
      <c r="L1263" s="45"/>
      <c r="M1263" s="45"/>
      <c r="N1263" s="45"/>
      <c r="O1263" s="45"/>
      <c r="P1263" s="45"/>
      <c r="Q1263" s="45"/>
      <c r="R1263" s="45"/>
      <c r="S1263" s="45"/>
      <c r="T1263" s="45"/>
      <c r="U1263" s="45"/>
      <c r="V1263" s="45"/>
      <c r="W1263" s="45"/>
      <c r="X1263" s="45"/>
      <c r="Y1263" s="45"/>
      <c r="Z1263" s="45"/>
    </row>
    <row r="1264">
      <c r="A1264" s="48" t="s">
        <v>3861</v>
      </c>
      <c r="B1264" s="48" t="s">
        <v>3862</v>
      </c>
      <c r="C1264" s="48" t="s">
        <v>3863</v>
      </c>
      <c r="D1264" s="48" t="s">
        <v>93</v>
      </c>
      <c r="E1264" s="48" t="s">
        <v>118</v>
      </c>
      <c r="F1264" s="48" t="s">
        <v>1352</v>
      </c>
      <c r="G1264" s="48" t="s">
        <v>646</v>
      </c>
      <c r="H1264" s="49">
        <v>0.0038849728</v>
      </c>
      <c r="I1264" s="49">
        <v>449.0</v>
      </c>
      <c r="J1264" s="49">
        <v>4196.09</v>
      </c>
      <c r="K1264" s="49">
        <v>4196.09</v>
      </c>
      <c r="L1264" s="45"/>
      <c r="M1264" s="45"/>
      <c r="N1264" s="45"/>
      <c r="O1264" s="45"/>
      <c r="P1264" s="45"/>
      <c r="Q1264" s="45"/>
      <c r="R1264" s="45"/>
      <c r="S1264" s="45"/>
      <c r="T1264" s="45"/>
      <c r="U1264" s="45"/>
      <c r="V1264" s="45"/>
      <c r="W1264" s="45"/>
      <c r="X1264" s="45"/>
      <c r="Y1264" s="45"/>
      <c r="Z1264" s="45"/>
    </row>
    <row r="1265">
      <c r="A1265" s="48" t="s">
        <v>3864</v>
      </c>
      <c r="B1265" s="48" t="s">
        <v>3865</v>
      </c>
      <c r="C1265" s="48" t="s">
        <v>3866</v>
      </c>
      <c r="D1265" s="48" t="s">
        <v>93</v>
      </c>
      <c r="E1265" s="48" t="s">
        <v>124</v>
      </c>
      <c r="F1265" s="48" t="s">
        <v>645</v>
      </c>
      <c r="G1265" s="48" t="s">
        <v>646</v>
      </c>
      <c r="H1265" s="49">
        <v>0.0038388322</v>
      </c>
      <c r="I1265" s="49">
        <v>4624.0</v>
      </c>
      <c r="J1265" s="49">
        <v>4146.26</v>
      </c>
      <c r="K1265" s="49">
        <v>4146.26</v>
      </c>
      <c r="L1265" s="45"/>
      <c r="M1265" s="45"/>
      <c r="N1265" s="45"/>
      <c r="O1265" s="45"/>
      <c r="P1265" s="45"/>
      <c r="Q1265" s="45"/>
      <c r="R1265" s="45"/>
      <c r="S1265" s="45"/>
      <c r="T1265" s="45"/>
      <c r="U1265" s="45"/>
      <c r="V1265" s="45"/>
      <c r="W1265" s="45"/>
      <c r="X1265" s="45"/>
      <c r="Y1265" s="45"/>
      <c r="Z1265" s="45"/>
    </row>
    <row r="1266">
      <c r="A1266" s="48" t="s">
        <v>3867</v>
      </c>
      <c r="B1266" s="48" t="s">
        <v>3868</v>
      </c>
      <c r="C1266" s="48" t="s">
        <v>3869</v>
      </c>
      <c r="D1266" s="48" t="s">
        <v>93</v>
      </c>
      <c r="E1266" s="48" t="s">
        <v>170</v>
      </c>
      <c r="F1266" s="48" t="s">
        <v>822</v>
      </c>
      <c r="G1266" s="48" t="s">
        <v>646</v>
      </c>
      <c r="H1266" s="49">
        <v>0.0037169593</v>
      </c>
      <c r="I1266" s="49">
        <v>533.0</v>
      </c>
      <c r="J1266" s="49">
        <v>4014.63</v>
      </c>
      <c r="K1266" s="49">
        <v>4014.63</v>
      </c>
      <c r="L1266" s="45"/>
      <c r="M1266" s="45"/>
      <c r="N1266" s="45"/>
      <c r="O1266" s="45"/>
      <c r="P1266" s="45"/>
      <c r="Q1266" s="45"/>
      <c r="R1266" s="45"/>
      <c r="S1266" s="45"/>
      <c r="T1266" s="45"/>
      <c r="U1266" s="45"/>
      <c r="V1266" s="45"/>
      <c r="W1266" s="45"/>
      <c r="X1266" s="45"/>
      <c r="Y1266" s="45"/>
      <c r="Z1266" s="45"/>
    </row>
    <row r="1267">
      <c r="A1267" s="48" t="s">
        <v>3870</v>
      </c>
      <c r="B1267" s="49">
        <v>5922961.0</v>
      </c>
      <c r="C1267" s="48" t="s">
        <v>3871</v>
      </c>
      <c r="D1267" s="48" t="s">
        <v>93</v>
      </c>
      <c r="E1267" s="48" t="s">
        <v>102</v>
      </c>
      <c r="F1267" s="48" t="s">
        <v>649</v>
      </c>
      <c r="G1267" s="48" t="s">
        <v>640</v>
      </c>
      <c r="H1267" s="49">
        <v>0.0036981879</v>
      </c>
      <c r="I1267" s="49">
        <v>30.0</v>
      </c>
      <c r="J1267" s="49">
        <v>3994.35</v>
      </c>
      <c r="K1267" s="49">
        <v>3994.35</v>
      </c>
      <c r="L1267" s="45"/>
      <c r="M1267" s="45"/>
      <c r="N1267" s="45"/>
      <c r="O1267" s="45"/>
      <c r="P1267" s="45"/>
      <c r="Q1267" s="45"/>
      <c r="R1267" s="45"/>
      <c r="S1267" s="45"/>
      <c r="T1267" s="45"/>
      <c r="U1267" s="45"/>
      <c r="V1267" s="45"/>
      <c r="W1267" s="45"/>
      <c r="X1267" s="45"/>
      <c r="Y1267" s="45"/>
      <c r="Z1267" s="45"/>
    </row>
    <row r="1268">
      <c r="A1268" s="48" t="s">
        <v>3872</v>
      </c>
      <c r="B1268" s="49">
        <v>6220501.0</v>
      </c>
      <c r="C1268" s="48" t="s">
        <v>3873</v>
      </c>
      <c r="D1268" s="48" t="s">
        <v>93</v>
      </c>
      <c r="E1268" s="48" t="s">
        <v>121</v>
      </c>
      <c r="F1268" s="48" t="s">
        <v>629</v>
      </c>
      <c r="G1268" s="48" t="s">
        <v>630</v>
      </c>
      <c r="H1268" s="49">
        <v>0.00356417689999999</v>
      </c>
      <c r="I1268" s="49">
        <v>460.0</v>
      </c>
      <c r="J1268" s="49">
        <v>3849.61</v>
      </c>
      <c r="K1268" s="49">
        <v>3849.61</v>
      </c>
      <c r="L1268" s="45"/>
      <c r="M1268" s="45"/>
      <c r="N1268" s="45"/>
      <c r="O1268" s="45"/>
      <c r="P1268" s="45"/>
      <c r="Q1268" s="45"/>
      <c r="R1268" s="45"/>
      <c r="S1268" s="45"/>
      <c r="T1268" s="45"/>
      <c r="U1268" s="45"/>
      <c r="V1268" s="45"/>
      <c r="W1268" s="45"/>
      <c r="X1268" s="45"/>
      <c r="Y1268" s="45"/>
      <c r="Z1268" s="45"/>
    </row>
    <row r="1269">
      <c r="A1269" s="48" t="s">
        <v>3874</v>
      </c>
      <c r="B1269" s="49">
        <v>5650422.0</v>
      </c>
      <c r="C1269" s="48" t="s">
        <v>3875</v>
      </c>
      <c r="D1269" s="48" t="s">
        <v>93</v>
      </c>
      <c r="E1269" s="48" t="s">
        <v>170</v>
      </c>
      <c r="F1269" s="48" t="s">
        <v>1201</v>
      </c>
      <c r="G1269" s="48" t="s">
        <v>640</v>
      </c>
      <c r="H1269" s="49">
        <v>0.0035532261</v>
      </c>
      <c r="I1269" s="49">
        <v>86.0</v>
      </c>
      <c r="J1269" s="49">
        <v>3837.78</v>
      </c>
      <c r="K1269" s="49">
        <v>3837.78</v>
      </c>
      <c r="L1269" s="45"/>
      <c r="M1269" s="45"/>
      <c r="N1269" s="45"/>
      <c r="O1269" s="45"/>
      <c r="P1269" s="45"/>
      <c r="Q1269" s="45"/>
      <c r="R1269" s="45"/>
      <c r="S1269" s="45"/>
      <c r="T1269" s="45"/>
      <c r="U1269" s="45"/>
      <c r="V1269" s="45"/>
      <c r="W1269" s="45"/>
      <c r="X1269" s="45"/>
      <c r="Y1269" s="45"/>
      <c r="Z1269" s="45"/>
    </row>
    <row r="1270">
      <c r="A1270" s="48" t="s">
        <v>3876</v>
      </c>
      <c r="B1270" s="49">
        <v>6194468.0</v>
      </c>
      <c r="C1270" s="48" t="s">
        <v>3877</v>
      </c>
      <c r="D1270" s="48" t="s">
        <v>93</v>
      </c>
      <c r="E1270" s="48" t="s">
        <v>124</v>
      </c>
      <c r="F1270" s="48" t="s">
        <v>629</v>
      </c>
      <c r="G1270" s="48" t="s">
        <v>630</v>
      </c>
      <c r="H1270" s="49">
        <v>0.0035404747</v>
      </c>
      <c r="I1270" s="49">
        <v>32.0</v>
      </c>
      <c r="J1270" s="49">
        <v>3824.01</v>
      </c>
      <c r="K1270" s="49">
        <v>3824.01</v>
      </c>
      <c r="L1270" s="45"/>
      <c r="M1270" s="45"/>
      <c r="N1270" s="45"/>
      <c r="O1270" s="45"/>
      <c r="P1270" s="45"/>
      <c r="Q1270" s="45"/>
      <c r="R1270" s="45"/>
      <c r="S1270" s="45"/>
      <c r="T1270" s="45"/>
      <c r="U1270" s="45"/>
      <c r="V1270" s="45"/>
      <c r="W1270" s="45"/>
      <c r="X1270" s="45"/>
      <c r="Y1270" s="45"/>
      <c r="Z1270" s="45"/>
    </row>
    <row r="1271">
      <c r="A1271" s="48" t="s">
        <v>3878</v>
      </c>
      <c r="B1271" s="49">
        <v>6527774.0</v>
      </c>
      <c r="C1271" s="48" t="s">
        <v>3879</v>
      </c>
      <c r="D1271" s="48" t="s">
        <v>93</v>
      </c>
      <c r="E1271" s="48" t="s">
        <v>133</v>
      </c>
      <c r="F1271" s="48" t="s">
        <v>629</v>
      </c>
      <c r="G1271" s="48" t="s">
        <v>630</v>
      </c>
      <c r="H1271" s="49">
        <v>0.0034849347</v>
      </c>
      <c r="I1271" s="49">
        <v>2.0</v>
      </c>
      <c r="J1271" s="49">
        <v>3764.02</v>
      </c>
      <c r="K1271" s="49">
        <v>3764.02</v>
      </c>
      <c r="L1271" s="45"/>
      <c r="M1271" s="45"/>
      <c r="N1271" s="45"/>
      <c r="O1271" s="45"/>
      <c r="P1271" s="45"/>
      <c r="Q1271" s="45"/>
      <c r="R1271" s="45"/>
      <c r="S1271" s="45"/>
      <c r="T1271" s="45"/>
      <c r="U1271" s="45"/>
      <c r="V1271" s="45"/>
      <c r="W1271" s="45"/>
      <c r="X1271" s="45"/>
      <c r="Y1271" s="45"/>
      <c r="Z1271" s="45"/>
    </row>
    <row r="1272">
      <c r="A1272" s="48" t="s">
        <v>3880</v>
      </c>
      <c r="B1272" s="48" t="s">
        <v>3881</v>
      </c>
      <c r="C1272" s="48" t="s">
        <v>3882</v>
      </c>
      <c r="D1272" s="48" t="s">
        <v>93</v>
      </c>
      <c r="E1272" s="48" t="s">
        <v>127</v>
      </c>
      <c r="F1272" s="48" t="s">
        <v>629</v>
      </c>
      <c r="G1272" s="48" t="s">
        <v>630</v>
      </c>
      <c r="H1272" s="49">
        <v>0.00343324249999999</v>
      </c>
      <c r="I1272" s="49">
        <v>223.0</v>
      </c>
      <c r="J1272" s="49">
        <v>3708.19</v>
      </c>
      <c r="K1272" s="49">
        <v>3708.19</v>
      </c>
      <c r="L1272" s="45"/>
      <c r="M1272" s="45"/>
      <c r="N1272" s="45"/>
      <c r="O1272" s="45"/>
      <c r="P1272" s="45"/>
      <c r="Q1272" s="45"/>
      <c r="R1272" s="45"/>
      <c r="S1272" s="45"/>
      <c r="T1272" s="45"/>
      <c r="U1272" s="45"/>
      <c r="V1272" s="45"/>
      <c r="W1272" s="45"/>
      <c r="X1272" s="45"/>
      <c r="Y1272" s="45"/>
      <c r="Z1272" s="45"/>
    </row>
    <row r="1273">
      <c r="A1273" s="48" t="s">
        <v>3883</v>
      </c>
      <c r="B1273" s="48" t="s">
        <v>3884</v>
      </c>
      <c r="C1273" s="48" t="s">
        <v>3885</v>
      </c>
      <c r="D1273" s="48" t="s">
        <v>93</v>
      </c>
      <c r="E1273" s="48" t="s">
        <v>99</v>
      </c>
      <c r="F1273" s="48" t="s">
        <v>629</v>
      </c>
      <c r="G1273" s="48" t="s">
        <v>630</v>
      </c>
      <c r="H1273" s="49">
        <v>0.0033207791</v>
      </c>
      <c r="I1273" s="49">
        <v>42.0</v>
      </c>
      <c r="J1273" s="49">
        <v>3586.72</v>
      </c>
      <c r="K1273" s="49">
        <v>3586.72</v>
      </c>
      <c r="L1273" s="45"/>
      <c r="M1273" s="45"/>
      <c r="N1273" s="45"/>
      <c r="O1273" s="45"/>
      <c r="P1273" s="45"/>
      <c r="Q1273" s="45"/>
      <c r="R1273" s="45"/>
      <c r="S1273" s="45"/>
      <c r="T1273" s="45"/>
      <c r="U1273" s="45"/>
      <c r="V1273" s="45"/>
      <c r="W1273" s="45"/>
      <c r="X1273" s="45"/>
      <c r="Y1273" s="45"/>
      <c r="Z1273" s="45"/>
    </row>
    <row r="1274">
      <c r="A1274" s="48" t="s">
        <v>3886</v>
      </c>
      <c r="B1274" s="49">
        <v>6460794.0</v>
      </c>
      <c r="C1274" s="48" t="s">
        <v>3887</v>
      </c>
      <c r="D1274" s="48" t="s">
        <v>93</v>
      </c>
      <c r="E1274" s="48" t="s">
        <v>170</v>
      </c>
      <c r="F1274" s="48" t="s">
        <v>645</v>
      </c>
      <c r="G1274" s="48" t="s">
        <v>646</v>
      </c>
      <c r="H1274" s="49">
        <v>0.003261561</v>
      </c>
      <c r="I1274" s="49">
        <v>2314.0</v>
      </c>
      <c r="J1274" s="49">
        <v>3522.76</v>
      </c>
      <c r="K1274" s="49">
        <v>3522.76</v>
      </c>
      <c r="L1274" s="45"/>
      <c r="M1274" s="45"/>
      <c r="N1274" s="45"/>
      <c r="O1274" s="45"/>
      <c r="P1274" s="45"/>
      <c r="Q1274" s="45"/>
      <c r="R1274" s="45"/>
      <c r="S1274" s="45"/>
      <c r="T1274" s="45"/>
      <c r="U1274" s="45"/>
      <c r="V1274" s="45"/>
      <c r="W1274" s="45"/>
      <c r="X1274" s="45"/>
      <c r="Y1274" s="45"/>
      <c r="Z1274" s="45"/>
    </row>
    <row r="1275">
      <c r="A1275" s="48" t="s">
        <v>3888</v>
      </c>
      <c r="B1275" s="48" t="s">
        <v>3889</v>
      </c>
      <c r="C1275" s="48" t="s">
        <v>3890</v>
      </c>
      <c r="D1275" s="48" t="s">
        <v>93</v>
      </c>
      <c r="E1275" s="48" t="s">
        <v>118</v>
      </c>
      <c r="F1275" s="48" t="s">
        <v>645</v>
      </c>
      <c r="G1275" s="48" t="s">
        <v>646</v>
      </c>
      <c r="H1275" s="49">
        <v>0.0029754824</v>
      </c>
      <c r="I1275" s="49">
        <v>1453.0</v>
      </c>
      <c r="J1275" s="49">
        <v>3213.77</v>
      </c>
      <c r="K1275" s="49">
        <v>3213.77</v>
      </c>
      <c r="L1275" s="45"/>
      <c r="M1275" s="45"/>
      <c r="N1275" s="45"/>
      <c r="O1275" s="45"/>
      <c r="P1275" s="45"/>
      <c r="Q1275" s="45"/>
      <c r="R1275" s="45"/>
      <c r="S1275" s="45"/>
      <c r="T1275" s="45"/>
      <c r="U1275" s="45"/>
      <c r="V1275" s="45"/>
      <c r="W1275" s="45"/>
      <c r="X1275" s="45"/>
      <c r="Y1275" s="45"/>
      <c r="Z1275" s="45"/>
    </row>
    <row r="1276">
      <c r="A1276" s="48" t="s">
        <v>3891</v>
      </c>
      <c r="B1276" s="48" t="s">
        <v>3892</v>
      </c>
      <c r="C1276" s="48" t="s">
        <v>3893</v>
      </c>
      <c r="D1276" s="48" t="s">
        <v>93</v>
      </c>
      <c r="E1276" s="48"/>
      <c r="F1276" s="48" t="s">
        <v>622</v>
      </c>
      <c r="G1276" s="48" t="s">
        <v>623</v>
      </c>
      <c r="H1276" s="49">
        <v>0.0028212875</v>
      </c>
      <c r="I1276" s="49">
        <v>70.0</v>
      </c>
      <c r="J1276" s="49">
        <v>3047.23</v>
      </c>
      <c r="K1276" s="49">
        <v>3047.23</v>
      </c>
      <c r="L1276" s="45"/>
      <c r="M1276" s="45"/>
      <c r="N1276" s="45"/>
      <c r="O1276" s="45"/>
      <c r="P1276" s="45"/>
      <c r="Q1276" s="45"/>
      <c r="R1276" s="45"/>
      <c r="S1276" s="45"/>
      <c r="T1276" s="45"/>
      <c r="U1276" s="45"/>
      <c r="V1276" s="45"/>
      <c r="W1276" s="45"/>
      <c r="X1276" s="45"/>
      <c r="Y1276" s="45"/>
      <c r="Z1276" s="45"/>
    </row>
    <row r="1277">
      <c r="A1277" s="48" t="s">
        <v>3894</v>
      </c>
      <c r="B1277" s="48" t="s">
        <v>3895</v>
      </c>
      <c r="C1277" s="48" t="s">
        <v>3896</v>
      </c>
      <c r="D1277" s="48" t="s">
        <v>93</v>
      </c>
      <c r="E1277" s="48" t="s">
        <v>121</v>
      </c>
      <c r="F1277" s="48" t="s">
        <v>1740</v>
      </c>
      <c r="G1277" s="48" t="s">
        <v>1741</v>
      </c>
      <c r="H1277" s="49">
        <v>0.0022666324</v>
      </c>
      <c r="I1277" s="49">
        <v>692.0</v>
      </c>
      <c r="J1277" s="49">
        <v>2448.15</v>
      </c>
      <c r="K1277" s="49">
        <v>2448.15</v>
      </c>
      <c r="L1277" s="45"/>
      <c r="M1277" s="45"/>
      <c r="N1277" s="45"/>
      <c r="O1277" s="45"/>
      <c r="P1277" s="45"/>
      <c r="Q1277" s="45"/>
      <c r="R1277" s="45"/>
      <c r="S1277" s="45"/>
      <c r="T1277" s="45"/>
      <c r="U1277" s="45"/>
      <c r="V1277" s="45"/>
      <c r="W1277" s="45"/>
      <c r="X1277" s="45"/>
      <c r="Y1277" s="45"/>
      <c r="Z1277" s="45"/>
    </row>
    <row r="1278">
      <c r="A1278" s="48" t="s">
        <v>3897</v>
      </c>
      <c r="B1278" s="48"/>
      <c r="C1278" s="48" t="s">
        <v>3898</v>
      </c>
      <c r="D1278" s="48" t="s">
        <v>615</v>
      </c>
      <c r="E1278" s="48"/>
      <c r="F1278" s="48"/>
      <c r="G1278" s="48" t="s">
        <v>623</v>
      </c>
      <c r="H1278" s="48"/>
      <c r="I1278" s="49">
        <v>1.0</v>
      </c>
      <c r="J1278" s="48"/>
      <c r="K1278" s="49">
        <v>142051.12</v>
      </c>
      <c r="L1278" s="45"/>
      <c r="M1278" s="45"/>
      <c r="N1278" s="45"/>
      <c r="O1278" s="45"/>
      <c r="P1278" s="45"/>
      <c r="Q1278" s="45"/>
      <c r="R1278" s="45"/>
      <c r="S1278" s="45"/>
      <c r="T1278" s="45"/>
      <c r="U1278" s="45"/>
      <c r="V1278" s="45"/>
      <c r="W1278" s="45"/>
      <c r="X1278" s="45"/>
      <c r="Y1278" s="45"/>
      <c r="Z1278" s="45"/>
    </row>
    <row r="1279">
      <c r="A1279" s="48" t="s">
        <v>623</v>
      </c>
      <c r="B1279" s="48"/>
      <c r="C1279" s="48" t="s">
        <v>830</v>
      </c>
      <c r="D1279" s="48" t="s">
        <v>617</v>
      </c>
      <c r="E1279" s="48"/>
      <c r="F1279" s="48"/>
      <c r="G1279" s="48" t="s">
        <v>623</v>
      </c>
      <c r="H1279" s="49">
        <v>0.0772743155999999</v>
      </c>
      <c r="I1279" s="49">
        <v>53549.67</v>
      </c>
      <c r="J1279" s="49">
        <v>83462.7</v>
      </c>
      <c r="K1279" s="49">
        <v>83462.7</v>
      </c>
      <c r="L1279" s="45"/>
      <c r="M1279" s="45"/>
      <c r="N1279" s="45"/>
      <c r="O1279" s="45"/>
      <c r="P1279" s="45"/>
      <c r="Q1279" s="45"/>
      <c r="R1279" s="45"/>
      <c r="S1279" s="45"/>
      <c r="T1279" s="45"/>
      <c r="U1279" s="45"/>
      <c r="V1279" s="45"/>
      <c r="W1279" s="45"/>
      <c r="X1279" s="45"/>
      <c r="Y1279" s="45"/>
      <c r="Z1279" s="45"/>
    </row>
    <row r="1280">
      <c r="A1280" s="48" t="s">
        <v>908</v>
      </c>
      <c r="B1280" s="48"/>
      <c r="C1280" s="48" t="s">
        <v>3899</v>
      </c>
      <c r="D1280" s="48" t="s">
        <v>617</v>
      </c>
      <c r="E1280" s="48"/>
      <c r="F1280" s="48"/>
      <c r="G1280" s="48" t="s">
        <v>908</v>
      </c>
      <c r="H1280" s="49">
        <v>0.0259757535</v>
      </c>
      <c r="I1280" s="49">
        <v>14644.66</v>
      </c>
      <c r="J1280" s="49">
        <v>28055.98</v>
      </c>
      <c r="K1280" s="49">
        <v>28055.98</v>
      </c>
      <c r="L1280" s="45"/>
      <c r="M1280" s="45"/>
      <c r="N1280" s="45"/>
      <c r="O1280" s="45"/>
      <c r="P1280" s="45"/>
      <c r="Q1280" s="45"/>
      <c r="R1280" s="45"/>
      <c r="S1280" s="45"/>
      <c r="T1280" s="45"/>
      <c r="U1280" s="45"/>
      <c r="V1280" s="45"/>
      <c r="W1280" s="45"/>
      <c r="X1280" s="45"/>
      <c r="Y1280" s="45"/>
      <c r="Z1280" s="45"/>
    </row>
    <row r="1281">
      <c r="A1281" s="48" t="s">
        <v>1003</v>
      </c>
      <c r="B1281" s="48"/>
      <c r="C1281" s="48" t="s">
        <v>3900</v>
      </c>
      <c r="D1281" s="48" t="s">
        <v>617</v>
      </c>
      <c r="E1281" s="48"/>
      <c r="F1281" s="48"/>
      <c r="G1281" s="48" t="s">
        <v>1003</v>
      </c>
      <c r="H1281" s="49">
        <v>0.0225128664</v>
      </c>
      <c r="I1281" s="49">
        <v>21028.28</v>
      </c>
      <c r="J1281" s="49">
        <v>24315.78</v>
      </c>
      <c r="K1281" s="49">
        <v>24315.78</v>
      </c>
      <c r="L1281" s="45"/>
      <c r="M1281" s="45"/>
      <c r="N1281" s="45"/>
      <c r="O1281" s="45"/>
      <c r="P1281" s="45"/>
      <c r="Q1281" s="45"/>
      <c r="R1281" s="45"/>
      <c r="S1281" s="45"/>
      <c r="T1281" s="45"/>
      <c r="U1281" s="45"/>
      <c r="V1281" s="45"/>
      <c r="W1281" s="45"/>
      <c r="X1281" s="45"/>
      <c r="Y1281" s="45"/>
      <c r="Z1281" s="45"/>
    </row>
    <row r="1282">
      <c r="A1282" s="48" t="s">
        <v>96</v>
      </c>
      <c r="B1282" s="48"/>
      <c r="C1282" s="48" t="s">
        <v>616</v>
      </c>
      <c r="D1282" s="48" t="s">
        <v>617</v>
      </c>
      <c r="E1282" s="48"/>
      <c r="F1282" s="48"/>
      <c r="G1282" s="48" t="s">
        <v>96</v>
      </c>
      <c r="H1282" s="49">
        <v>0.013989522</v>
      </c>
      <c r="I1282" s="49">
        <v>15109.85</v>
      </c>
      <c r="J1282" s="49">
        <v>15109.85</v>
      </c>
      <c r="K1282" s="49">
        <v>15109.85</v>
      </c>
      <c r="L1282" s="45"/>
      <c r="M1282" s="45"/>
      <c r="N1282" s="45"/>
      <c r="O1282" s="45"/>
      <c r="P1282" s="45"/>
      <c r="Q1282" s="45"/>
      <c r="R1282" s="45"/>
      <c r="S1282" s="45"/>
      <c r="T1282" s="45"/>
      <c r="U1282" s="45"/>
      <c r="V1282" s="45"/>
      <c r="W1282" s="45"/>
      <c r="X1282" s="45"/>
      <c r="Y1282" s="45"/>
      <c r="Z1282" s="45"/>
    </row>
    <row r="1283">
      <c r="A1283" s="48" t="s">
        <v>655</v>
      </c>
      <c r="B1283" s="48"/>
      <c r="C1283" s="48" t="s">
        <v>3901</v>
      </c>
      <c r="D1283" s="48" t="s">
        <v>617</v>
      </c>
      <c r="E1283" s="48"/>
      <c r="F1283" s="48"/>
      <c r="G1283" s="48" t="s">
        <v>655</v>
      </c>
      <c r="H1283" s="49">
        <v>0.0101170656</v>
      </c>
      <c r="I1283" s="49">
        <v>6342.19</v>
      </c>
      <c r="J1283" s="49">
        <v>10927.27</v>
      </c>
      <c r="K1283" s="49">
        <v>10927.27</v>
      </c>
      <c r="L1283" s="45"/>
      <c r="M1283" s="45"/>
      <c r="N1283" s="45"/>
      <c r="O1283" s="45"/>
      <c r="P1283" s="45"/>
      <c r="Q1283" s="45"/>
      <c r="R1283" s="45"/>
      <c r="S1283" s="45"/>
      <c r="T1283" s="45"/>
      <c r="U1283" s="45"/>
      <c r="V1283" s="45"/>
      <c r="W1283" s="45"/>
      <c r="X1283" s="45"/>
      <c r="Y1283" s="45"/>
      <c r="Z1283" s="45"/>
    </row>
    <row r="1284">
      <c r="A1284" s="48" t="s">
        <v>646</v>
      </c>
      <c r="B1284" s="48"/>
      <c r="C1284" s="48" t="s">
        <v>832</v>
      </c>
      <c r="D1284" s="48" t="s">
        <v>617</v>
      </c>
      <c r="E1284" s="48"/>
      <c r="F1284" s="48"/>
      <c r="G1284" s="48" t="s">
        <v>646</v>
      </c>
      <c r="H1284" s="49">
        <v>0.0094421363</v>
      </c>
      <c r="I1284" s="49">
        <v>51180.14</v>
      </c>
      <c r="J1284" s="49">
        <v>10198.3</v>
      </c>
      <c r="K1284" s="49">
        <v>10198.3</v>
      </c>
      <c r="L1284" s="45"/>
      <c r="M1284" s="45"/>
      <c r="N1284" s="45"/>
      <c r="O1284" s="45"/>
      <c r="P1284" s="45"/>
      <c r="Q1284" s="45"/>
      <c r="R1284" s="45"/>
      <c r="S1284" s="45"/>
      <c r="T1284" s="45"/>
      <c r="U1284" s="45"/>
      <c r="V1284" s="45"/>
      <c r="W1284" s="45"/>
      <c r="X1284" s="45"/>
      <c r="Y1284" s="45"/>
      <c r="Z1284" s="45"/>
    </row>
    <row r="1285">
      <c r="A1285" s="48" t="s">
        <v>640</v>
      </c>
      <c r="B1285" s="48"/>
      <c r="C1285" s="48" t="s">
        <v>3902</v>
      </c>
      <c r="D1285" s="48" t="s">
        <v>617</v>
      </c>
      <c r="E1285" s="48"/>
      <c r="F1285" s="48"/>
      <c r="G1285" s="48" t="s">
        <v>640</v>
      </c>
      <c r="H1285" s="49">
        <v>0.008534197</v>
      </c>
      <c r="I1285" s="49">
        <v>5548.1</v>
      </c>
      <c r="J1285" s="49">
        <v>9217.65</v>
      </c>
      <c r="K1285" s="49">
        <v>9217.65</v>
      </c>
      <c r="L1285" s="45"/>
      <c r="M1285" s="45"/>
      <c r="N1285" s="45"/>
      <c r="O1285" s="45"/>
      <c r="P1285" s="45"/>
      <c r="Q1285" s="45"/>
      <c r="R1285" s="45"/>
      <c r="S1285" s="45"/>
      <c r="T1285" s="45"/>
      <c r="U1285" s="45"/>
      <c r="V1285" s="45"/>
      <c r="W1285" s="45"/>
      <c r="X1285" s="45"/>
      <c r="Y1285" s="45"/>
      <c r="Z1285" s="45"/>
    </row>
    <row r="1286">
      <c r="A1286" s="48" t="s">
        <v>1437</v>
      </c>
      <c r="B1286" s="48"/>
      <c r="C1286" s="48" t="s">
        <v>3903</v>
      </c>
      <c r="D1286" s="48" t="s">
        <v>617</v>
      </c>
      <c r="E1286" s="48"/>
      <c r="F1286" s="48"/>
      <c r="G1286" s="48" t="s">
        <v>1437</v>
      </c>
      <c r="H1286" s="49">
        <v>0.0070989601</v>
      </c>
      <c r="I1286" s="49">
        <v>6724.37</v>
      </c>
      <c r="J1286" s="49">
        <v>7667.47</v>
      </c>
      <c r="K1286" s="49">
        <v>7667.47</v>
      </c>
      <c r="L1286" s="45"/>
      <c r="M1286" s="45"/>
      <c r="N1286" s="45"/>
      <c r="O1286" s="45"/>
      <c r="P1286" s="45"/>
      <c r="Q1286" s="45"/>
      <c r="R1286" s="45"/>
      <c r="S1286" s="45"/>
      <c r="T1286" s="45"/>
      <c r="U1286" s="45"/>
      <c r="V1286" s="45"/>
      <c r="W1286" s="45"/>
      <c r="X1286" s="45"/>
      <c r="Y1286" s="45"/>
      <c r="Z1286" s="45"/>
    </row>
    <row r="1287">
      <c r="A1287" s="48" t="s">
        <v>884</v>
      </c>
      <c r="B1287" s="48"/>
      <c r="C1287" s="48" t="s">
        <v>3904</v>
      </c>
      <c r="D1287" s="48" t="s">
        <v>617</v>
      </c>
      <c r="E1287" s="48"/>
      <c r="F1287" s="48"/>
      <c r="G1287" s="48" t="s">
        <v>884</v>
      </c>
      <c r="H1287" s="49">
        <v>0.0066496722</v>
      </c>
      <c r="I1287" s="49">
        <v>32223.66</v>
      </c>
      <c r="J1287" s="49">
        <v>7182.2</v>
      </c>
      <c r="K1287" s="49">
        <v>7182.2</v>
      </c>
      <c r="L1287" s="45"/>
      <c r="M1287" s="45"/>
      <c r="N1287" s="45"/>
      <c r="O1287" s="45"/>
      <c r="P1287" s="45"/>
      <c r="Q1287" s="45"/>
      <c r="R1287" s="45"/>
      <c r="S1287" s="45"/>
      <c r="T1287" s="45"/>
      <c r="U1287" s="45"/>
      <c r="V1287" s="45"/>
      <c r="W1287" s="45"/>
      <c r="X1287" s="45"/>
      <c r="Y1287" s="45"/>
      <c r="Z1287" s="45"/>
    </row>
    <row r="1288">
      <c r="A1288" s="48" t="s">
        <v>1741</v>
      </c>
      <c r="B1288" s="48"/>
      <c r="C1288" s="48" t="s">
        <v>3905</v>
      </c>
      <c r="D1288" s="48" t="s">
        <v>617</v>
      </c>
      <c r="E1288" s="48"/>
      <c r="F1288" s="48"/>
      <c r="G1288" s="48" t="s">
        <v>1741</v>
      </c>
      <c r="H1288" s="49">
        <v>0.0053033508</v>
      </c>
      <c r="I1288" s="49">
        <v>41052.44</v>
      </c>
      <c r="J1288" s="49">
        <v>5728.06</v>
      </c>
      <c r="K1288" s="49">
        <v>5728.06</v>
      </c>
      <c r="L1288" s="45"/>
      <c r="M1288" s="45"/>
      <c r="N1288" s="45"/>
      <c r="O1288" s="45"/>
      <c r="P1288" s="45"/>
      <c r="Q1288" s="45"/>
      <c r="R1288" s="45"/>
      <c r="S1288" s="45"/>
      <c r="T1288" s="45"/>
      <c r="U1288" s="45"/>
      <c r="V1288" s="45"/>
      <c r="W1288" s="45"/>
      <c r="X1288" s="45"/>
      <c r="Y1288" s="45"/>
      <c r="Z1288" s="45"/>
    </row>
    <row r="1289">
      <c r="A1289" s="48" t="s">
        <v>630</v>
      </c>
      <c r="B1289" s="48"/>
      <c r="C1289" s="48" t="s">
        <v>3906</v>
      </c>
      <c r="D1289" s="48" t="s">
        <v>617</v>
      </c>
      <c r="E1289" s="48"/>
      <c r="F1289" s="48"/>
      <c r="G1289" s="48" t="s">
        <v>630</v>
      </c>
      <c r="H1289" s="49">
        <v>0.0033550711</v>
      </c>
      <c r="I1289" s="49">
        <v>343119.0</v>
      </c>
      <c r="J1289" s="49">
        <v>3623.76</v>
      </c>
      <c r="K1289" s="49">
        <v>3623.76</v>
      </c>
      <c r="L1289" s="45"/>
      <c r="M1289" s="45"/>
      <c r="N1289" s="45"/>
      <c r="O1289" s="45"/>
      <c r="P1289" s="45"/>
      <c r="Q1289" s="45"/>
      <c r="R1289" s="45"/>
      <c r="S1289" s="45"/>
      <c r="T1289" s="45"/>
      <c r="U1289" s="45"/>
      <c r="V1289" s="45"/>
      <c r="W1289" s="45"/>
      <c r="X1289" s="45"/>
      <c r="Y1289" s="45"/>
      <c r="Z1289" s="45"/>
    </row>
    <row r="1290">
      <c r="A1290" s="48" t="s">
        <v>2438</v>
      </c>
      <c r="B1290" s="48"/>
      <c r="C1290" s="48" t="s">
        <v>3907</v>
      </c>
      <c r="D1290" s="48" t="s">
        <v>617</v>
      </c>
      <c r="E1290" s="48"/>
      <c r="F1290" s="48"/>
      <c r="G1290" s="48" t="s">
        <v>2438</v>
      </c>
      <c r="H1290" s="49">
        <v>0.00268446299999999</v>
      </c>
      <c r="I1290" s="49">
        <v>7090.3</v>
      </c>
      <c r="J1290" s="49">
        <v>2899.44</v>
      </c>
      <c r="K1290" s="49">
        <v>2899.44</v>
      </c>
      <c r="L1290" s="45"/>
      <c r="M1290" s="45"/>
      <c r="N1290" s="45"/>
      <c r="O1290" s="45"/>
      <c r="P1290" s="45"/>
      <c r="Q1290" s="45"/>
      <c r="R1290" s="45"/>
      <c r="S1290" s="45"/>
      <c r="T1290" s="45"/>
      <c r="U1290" s="45"/>
      <c r="V1290" s="45"/>
      <c r="W1290" s="45"/>
      <c r="X1290" s="45"/>
      <c r="Y1290" s="45"/>
      <c r="Z1290" s="45"/>
    </row>
    <row r="1291">
      <c r="A1291" s="48" t="s">
        <v>1674</v>
      </c>
      <c r="B1291" s="48"/>
      <c r="C1291" s="48" t="s">
        <v>3908</v>
      </c>
      <c r="D1291" s="48" t="s">
        <v>617</v>
      </c>
      <c r="E1291" s="48"/>
      <c r="F1291" s="48"/>
      <c r="G1291" s="48" t="s">
        <v>1674</v>
      </c>
      <c r="H1291" s="49">
        <v>0.0022615048</v>
      </c>
      <c r="I1291" s="49">
        <v>16898.27</v>
      </c>
      <c r="J1291" s="49">
        <v>2442.61</v>
      </c>
      <c r="K1291" s="49">
        <v>2442.61</v>
      </c>
      <c r="L1291" s="45"/>
      <c r="M1291" s="45"/>
      <c r="N1291" s="45"/>
      <c r="O1291" s="45"/>
      <c r="P1291" s="45"/>
      <c r="Q1291" s="45"/>
      <c r="R1291" s="45"/>
      <c r="S1291" s="45"/>
      <c r="T1291" s="45"/>
      <c r="U1291" s="45"/>
      <c r="V1291" s="45"/>
      <c r="W1291" s="45"/>
      <c r="X1291" s="45"/>
      <c r="Y1291" s="45"/>
      <c r="Z1291" s="45"/>
    </row>
    <row r="1292">
      <c r="A1292" s="48" t="s">
        <v>2968</v>
      </c>
      <c r="B1292" s="48"/>
      <c r="C1292" s="48" t="s">
        <v>3909</v>
      </c>
      <c r="D1292" s="48" t="s">
        <v>617</v>
      </c>
      <c r="E1292" s="48"/>
      <c r="F1292" s="48"/>
      <c r="G1292" s="48" t="s">
        <v>2968</v>
      </c>
      <c r="H1292" s="49">
        <v>0.00224068769999999</v>
      </c>
      <c r="I1292" s="49">
        <v>6723.12</v>
      </c>
      <c r="J1292" s="49">
        <v>2420.13</v>
      </c>
      <c r="K1292" s="49">
        <v>2420.13</v>
      </c>
      <c r="L1292" s="45"/>
      <c r="M1292" s="45"/>
      <c r="N1292" s="45"/>
      <c r="O1292" s="45"/>
      <c r="P1292" s="45"/>
      <c r="Q1292" s="45"/>
      <c r="R1292" s="45"/>
      <c r="S1292" s="45"/>
      <c r="T1292" s="45"/>
      <c r="U1292" s="45"/>
      <c r="V1292" s="45"/>
      <c r="W1292" s="45"/>
      <c r="X1292" s="45"/>
      <c r="Y1292" s="45"/>
      <c r="Z1292" s="45"/>
    </row>
    <row r="1293">
      <c r="A1293" s="48" t="s">
        <v>2733</v>
      </c>
      <c r="B1293" s="48"/>
      <c r="C1293" s="48" t="s">
        <v>3910</v>
      </c>
      <c r="D1293" s="48" t="s">
        <v>617</v>
      </c>
      <c r="E1293" s="48"/>
      <c r="F1293" s="48"/>
      <c r="G1293" s="48" t="s">
        <v>2733</v>
      </c>
      <c r="H1293" s="49">
        <v>0.0020130056</v>
      </c>
      <c r="I1293" s="49">
        <v>2350.75999999999</v>
      </c>
      <c r="J1293" s="49">
        <v>2174.21</v>
      </c>
      <c r="K1293" s="49">
        <v>2174.21</v>
      </c>
      <c r="L1293" s="45"/>
      <c r="M1293" s="45"/>
      <c r="N1293" s="45"/>
      <c r="O1293" s="45"/>
      <c r="P1293" s="45"/>
      <c r="Q1293" s="45"/>
      <c r="R1293" s="45"/>
      <c r="S1293" s="45"/>
      <c r="T1293" s="45"/>
      <c r="U1293" s="45"/>
      <c r="V1293" s="45"/>
      <c r="W1293" s="45"/>
      <c r="X1293" s="45"/>
      <c r="Y1293" s="45"/>
      <c r="Z1293" s="4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8.75"/>
    <col customWidth="1" min="2" max="2" width="7.63"/>
    <col customWidth="1" min="3" max="3" width="27.63"/>
    <col customWidth="1" min="4" max="4" width="8.0"/>
    <col customWidth="1" min="5" max="5" width="15.75"/>
    <col customWidth="1" min="6" max="6" width="9.0"/>
    <col customWidth="1" min="7" max="7" width="6.38"/>
    <col customWidth="1" min="8" max="8" width="8.5"/>
    <col customWidth="1" min="9" max="9" width="10.63"/>
    <col customWidth="1" min="10" max="10" width="12.88"/>
    <col customWidth="1" min="11" max="11" width="13.63"/>
  </cols>
  <sheetData>
    <row r="1">
      <c r="A1" s="35" t="s">
        <v>80</v>
      </c>
      <c r="B1" s="35" t="s">
        <v>81</v>
      </c>
      <c r="C1" s="35" t="s">
        <v>82</v>
      </c>
      <c r="D1" s="35" t="s">
        <v>83</v>
      </c>
      <c r="E1" s="35" t="s">
        <v>84</v>
      </c>
      <c r="F1" s="35" t="s">
        <v>85</v>
      </c>
      <c r="G1" s="35" t="s">
        <v>86</v>
      </c>
      <c r="H1" s="35" t="s">
        <v>87</v>
      </c>
      <c r="I1" s="35" t="s">
        <v>88</v>
      </c>
      <c r="J1" s="35" t="s">
        <v>89</v>
      </c>
      <c r="K1" s="35" t="s">
        <v>90</v>
      </c>
      <c r="L1" s="38"/>
    </row>
    <row r="2">
      <c r="A2" s="50" t="s">
        <v>839</v>
      </c>
      <c r="B2" s="50">
        <v>2379504.0</v>
      </c>
      <c r="C2" s="50" t="s">
        <v>840</v>
      </c>
      <c r="D2" s="50" t="s">
        <v>93</v>
      </c>
      <c r="E2" s="50" t="s">
        <v>167</v>
      </c>
      <c r="F2" s="50" t="s">
        <v>622</v>
      </c>
      <c r="G2" s="50" t="s">
        <v>623</v>
      </c>
      <c r="H2" s="51">
        <v>6.10773361</v>
      </c>
      <c r="I2" s="51">
        <v>227512.0</v>
      </c>
      <c r="J2" s="51">
        <v>1.6110337847E8</v>
      </c>
      <c r="K2" s="51">
        <v>1.6110337847E8</v>
      </c>
    </row>
    <row r="3">
      <c r="A3" s="50" t="s">
        <v>863</v>
      </c>
      <c r="B3" s="50" t="s">
        <v>864</v>
      </c>
      <c r="C3" s="50" t="s">
        <v>865</v>
      </c>
      <c r="D3" s="50" t="s">
        <v>93</v>
      </c>
      <c r="E3" s="50" t="s">
        <v>99</v>
      </c>
      <c r="F3" s="50" t="s">
        <v>622</v>
      </c>
      <c r="G3" s="50" t="s">
        <v>623</v>
      </c>
      <c r="H3" s="51">
        <v>3.98684236</v>
      </c>
      <c r="I3" s="51">
        <v>280298.0</v>
      </c>
      <c r="J3" s="51">
        <v>1.0516073792E8</v>
      </c>
      <c r="K3" s="51">
        <v>1.0516073792E8</v>
      </c>
    </row>
    <row r="4">
      <c r="A4" s="50" t="s">
        <v>833</v>
      </c>
      <c r="B4" s="50">
        <v>2046251.0</v>
      </c>
      <c r="C4" s="50" t="s">
        <v>834</v>
      </c>
      <c r="D4" s="50" t="s">
        <v>93</v>
      </c>
      <c r="E4" s="50" t="s">
        <v>167</v>
      </c>
      <c r="F4" s="50" t="s">
        <v>622</v>
      </c>
      <c r="G4" s="50" t="s">
        <v>623</v>
      </c>
      <c r="H4" s="51">
        <v>3.96672643</v>
      </c>
      <c r="I4" s="51">
        <v>383239.0</v>
      </c>
      <c r="J4" s="51">
        <v>1.0463014115E8</v>
      </c>
      <c r="K4" s="51">
        <v>1.0463014115E8</v>
      </c>
    </row>
    <row r="5">
      <c r="A5" s="50" t="s">
        <v>876</v>
      </c>
      <c r="B5" s="50">
        <v>2434209.0</v>
      </c>
      <c r="C5" s="50" t="s">
        <v>877</v>
      </c>
      <c r="D5" s="50" t="s">
        <v>93</v>
      </c>
      <c r="E5" s="50" t="s">
        <v>118</v>
      </c>
      <c r="F5" s="50" t="s">
        <v>622</v>
      </c>
      <c r="G5" s="50" t="s">
        <v>623</v>
      </c>
      <c r="H5" s="51">
        <v>3.65360948</v>
      </c>
      <c r="I5" s="51">
        <v>188193.0</v>
      </c>
      <c r="J5" s="51">
        <v>9.637107129E7</v>
      </c>
      <c r="K5" s="51">
        <v>9.637107129E7</v>
      </c>
    </row>
    <row r="6">
      <c r="A6" s="50" t="s">
        <v>868</v>
      </c>
      <c r="B6" s="50" t="s">
        <v>869</v>
      </c>
      <c r="C6" s="50" t="s">
        <v>870</v>
      </c>
      <c r="D6" s="50" t="s">
        <v>93</v>
      </c>
      <c r="E6" s="50" t="s">
        <v>99</v>
      </c>
      <c r="F6" s="50" t="s">
        <v>622</v>
      </c>
      <c r="G6" s="50" t="s">
        <v>623</v>
      </c>
      <c r="H6" s="51">
        <v>3.64657445</v>
      </c>
      <c r="I6" s="51">
        <v>149791.0</v>
      </c>
      <c r="J6" s="51">
        <v>9.618550868E7</v>
      </c>
      <c r="K6" s="51">
        <v>9.618550868E7</v>
      </c>
    </row>
    <row r="7">
      <c r="A7" s="50" t="s">
        <v>909</v>
      </c>
      <c r="B7" s="50">
        <v>6900643.0</v>
      </c>
      <c r="C7" s="50" t="s">
        <v>910</v>
      </c>
      <c r="D7" s="50" t="s">
        <v>93</v>
      </c>
      <c r="E7" s="50" t="s">
        <v>118</v>
      </c>
      <c r="F7" s="50" t="s">
        <v>629</v>
      </c>
      <c r="G7" s="50" t="s">
        <v>630</v>
      </c>
      <c r="H7" s="51">
        <v>3.07482661</v>
      </c>
      <c r="I7" s="51">
        <v>2801678.0</v>
      </c>
      <c r="J7" s="51">
        <v>8.110454501E7</v>
      </c>
      <c r="K7" s="51">
        <v>8.110454501E7</v>
      </c>
    </row>
    <row r="8">
      <c r="A8" s="50" t="s">
        <v>897</v>
      </c>
      <c r="B8" s="50">
        <v>2008154.0</v>
      </c>
      <c r="C8" s="50" t="s">
        <v>898</v>
      </c>
      <c r="D8" s="50" t="s">
        <v>93</v>
      </c>
      <c r="E8" s="50" t="s">
        <v>167</v>
      </c>
      <c r="F8" s="50" t="s">
        <v>622</v>
      </c>
      <c r="G8" s="50" t="s">
        <v>623</v>
      </c>
      <c r="H8" s="51">
        <v>2.0454728</v>
      </c>
      <c r="I8" s="51">
        <v>62898.0</v>
      </c>
      <c r="J8" s="51">
        <v>5.39533318E7</v>
      </c>
      <c r="K8" s="51">
        <v>5.39533318E7</v>
      </c>
    </row>
    <row r="9">
      <c r="A9" s="50" t="s">
        <v>853</v>
      </c>
      <c r="B9" s="50">
        <v>2917766.0</v>
      </c>
      <c r="C9" s="50" t="s">
        <v>854</v>
      </c>
      <c r="D9" s="50" t="s">
        <v>93</v>
      </c>
      <c r="E9" s="50" t="s">
        <v>102</v>
      </c>
      <c r="F9" s="50" t="s">
        <v>622</v>
      </c>
      <c r="G9" s="50" t="s">
        <v>623</v>
      </c>
      <c r="H9" s="51">
        <v>1.88830481</v>
      </c>
      <c r="I9" s="51">
        <v>66297.0</v>
      </c>
      <c r="J9" s="51">
        <v>4.980771975E7</v>
      </c>
      <c r="K9" s="51">
        <v>4.980771975E7</v>
      </c>
    </row>
    <row r="10">
      <c r="A10" s="50" t="s">
        <v>923</v>
      </c>
      <c r="B10" s="50">
        <v>2310525.0</v>
      </c>
      <c r="C10" s="50" t="s">
        <v>924</v>
      </c>
      <c r="D10" s="50" t="s">
        <v>93</v>
      </c>
      <c r="E10" s="50" t="s">
        <v>167</v>
      </c>
      <c r="F10" s="50" t="s">
        <v>622</v>
      </c>
      <c r="G10" s="50" t="s">
        <v>623</v>
      </c>
      <c r="H10" s="51">
        <v>1.86351937</v>
      </c>
      <c r="I10" s="51">
        <v>144622.0</v>
      </c>
      <c r="J10" s="51">
        <v>4.915395551E7</v>
      </c>
      <c r="K10" s="51">
        <v>4.915395551E7</v>
      </c>
    </row>
    <row r="11">
      <c r="A11" s="50" t="s">
        <v>894</v>
      </c>
      <c r="B11" s="50" t="s">
        <v>895</v>
      </c>
      <c r="C11" s="50" t="s">
        <v>896</v>
      </c>
      <c r="D11" s="50" t="s">
        <v>93</v>
      </c>
      <c r="E11" s="50" t="s">
        <v>167</v>
      </c>
      <c r="F11" s="50" t="s">
        <v>668</v>
      </c>
      <c r="G11" s="50" t="s">
        <v>640</v>
      </c>
      <c r="H11" s="51">
        <v>1.76543299</v>
      </c>
      <c r="I11" s="51">
        <v>48391.0</v>
      </c>
      <c r="J11" s="51">
        <v>4.656673611E7</v>
      </c>
      <c r="K11" s="51">
        <v>4.656673611E7</v>
      </c>
    </row>
    <row r="12">
      <c r="A12" s="50" t="s">
        <v>901</v>
      </c>
      <c r="B12" s="50">
        <v>2198163.0</v>
      </c>
      <c r="C12" s="50" t="s">
        <v>902</v>
      </c>
      <c r="D12" s="50" t="s">
        <v>93</v>
      </c>
      <c r="E12" s="50" t="s">
        <v>167</v>
      </c>
      <c r="F12" s="50" t="s">
        <v>622</v>
      </c>
      <c r="G12" s="50" t="s">
        <v>623</v>
      </c>
      <c r="H12" s="51">
        <v>1.6725336</v>
      </c>
      <c r="I12" s="51">
        <v>503773.0</v>
      </c>
      <c r="J12" s="51">
        <v>4.411633371E7</v>
      </c>
      <c r="K12" s="51">
        <v>4.411633371E7</v>
      </c>
    </row>
    <row r="13">
      <c r="A13" s="50" t="s">
        <v>989</v>
      </c>
      <c r="B13" s="50">
        <v>2536763.0</v>
      </c>
      <c r="C13" s="50" t="s">
        <v>990</v>
      </c>
      <c r="D13" s="50" t="s">
        <v>93</v>
      </c>
      <c r="E13" s="50" t="s">
        <v>118</v>
      </c>
      <c r="F13" s="50" t="s">
        <v>622</v>
      </c>
      <c r="G13" s="50" t="s">
        <v>623</v>
      </c>
      <c r="H13" s="51">
        <v>1.51827093</v>
      </c>
      <c r="I13" s="51">
        <v>111658.0</v>
      </c>
      <c r="J13" s="51">
        <v>4.004735507E7</v>
      </c>
      <c r="K13" s="51">
        <v>4.004735507E7</v>
      </c>
    </row>
    <row r="14">
      <c r="A14" s="50" t="s">
        <v>927</v>
      </c>
      <c r="B14" s="50">
        <v>2044545.0</v>
      </c>
      <c r="C14" s="50" t="s">
        <v>928</v>
      </c>
      <c r="D14" s="50" t="s">
        <v>93</v>
      </c>
      <c r="E14" s="50" t="s">
        <v>121</v>
      </c>
      <c r="F14" s="50" t="s">
        <v>622</v>
      </c>
      <c r="G14" s="50" t="s">
        <v>623</v>
      </c>
      <c r="H14" s="51">
        <v>1.47458424</v>
      </c>
      <c r="I14" s="51">
        <v>544632.0</v>
      </c>
      <c r="J14" s="51">
        <v>3.889503346E7</v>
      </c>
      <c r="K14" s="51">
        <v>3.889503346E7</v>
      </c>
    </row>
    <row r="15">
      <c r="A15" s="50" t="s">
        <v>880</v>
      </c>
      <c r="B15" s="50" t="s">
        <v>881</v>
      </c>
      <c r="C15" s="50" t="s">
        <v>882</v>
      </c>
      <c r="D15" s="50" t="s">
        <v>93</v>
      </c>
      <c r="E15" s="50" t="s">
        <v>102</v>
      </c>
      <c r="F15" s="50" t="s">
        <v>883</v>
      </c>
      <c r="G15" s="50" t="s">
        <v>884</v>
      </c>
      <c r="H15" s="51">
        <v>1.42144086</v>
      </c>
      <c r="I15" s="51">
        <v>247684.0</v>
      </c>
      <c r="J15" s="51">
        <v>3.749327325E7</v>
      </c>
      <c r="K15" s="51">
        <v>3.749327325E7</v>
      </c>
    </row>
    <row r="16">
      <c r="A16" s="50" t="s">
        <v>972</v>
      </c>
      <c r="B16" s="50">
        <v>4846288.0</v>
      </c>
      <c r="C16" s="50" t="s">
        <v>973</v>
      </c>
      <c r="D16" s="50" t="s">
        <v>93</v>
      </c>
      <c r="E16" s="50" t="s">
        <v>167</v>
      </c>
      <c r="F16" s="50" t="s">
        <v>649</v>
      </c>
      <c r="G16" s="50" t="s">
        <v>640</v>
      </c>
      <c r="H16" s="51">
        <v>1.32045666</v>
      </c>
      <c r="I16" s="51">
        <v>165345.0</v>
      </c>
      <c r="J16" s="51">
        <v>3.482961806E7</v>
      </c>
      <c r="K16" s="51">
        <v>3.482961806E7</v>
      </c>
    </row>
    <row r="17">
      <c r="A17" s="50" t="s">
        <v>1027</v>
      </c>
      <c r="B17" s="50" t="s">
        <v>1028</v>
      </c>
      <c r="C17" s="50" t="s">
        <v>1029</v>
      </c>
      <c r="D17" s="50" t="s">
        <v>93</v>
      </c>
      <c r="E17" s="50" t="s">
        <v>118</v>
      </c>
      <c r="F17" s="50" t="s">
        <v>622</v>
      </c>
      <c r="G17" s="50" t="s">
        <v>623</v>
      </c>
      <c r="H17" s="51">
        <v>1.30905508</v>
      </c>
      <c r="I17" s="51">
        <v>6951.0</v>
      </c>
      <c r="J17" s="51">
        <v>3.452887923E7</v>
      </c>
      <c r="K17" s="51">
        <v>3.452887923E7</v>
      </c>
    </row>
    <row r="18">
      <c r="A18" s="50" t="s">
        <v>968</v>
      </c>
      <c r="B18" s="50">
        <v>2459020.0</v>
      </c>
      <c r="C18" s="50" t="s">
        <v>969</v>
      </c>
      <c r="D18" s="50" t="s">
        <v>93</v>
      </c>
      <c r="E18" s="50" t="s">
        <v>167</v>
      </c>
      <c r="F18" s="50" t="s">
        <v>622</v>
      </c>
      <c r="G18" s="50" t="s">
        <v>623</v>
      </c>
      <c r="H18" s="51">
        <v>1.2300554</v>
      </c>
      <c r="I18" s="51">
        <v>38139.0</v>
      </c>
      <c r="J18" s="51">
        <v>3.244510859E7</v>
      </c>
      <c r="K18" s="51">
        <v>3.244510859E7</v>
      </c>
    </row>
    <row r="19">
      <c r="A19" s="50" t="s">
        <v>1042</v>
      </c>
      <c r="B19" s="50" t="s">
        <v>1043</v>
      </c>
      <c r="C19" s="50" t="s">
        <v>1044</v>
      </c>
      <c r="D19" s="50" t="s">
        <v>93</v>
      </c>
      <c r="E19" s="50" t="s">
        <v>133</v>
      </c>
      <c r="F19" s="50" t="s">
        <v>622</v>
      </c>
      <c r="G19" s="50" t="s">
        <v>623</v>
      </c>
      <c r="H19" s="51">
        <v>1.17367322</v>
      </c>
      <c r="I19" s="51">
        <v>160280.0</v>
      </c>
      <c r="J19" s="51">
        <v>3.095791891E7</v>
      </c>
      <c r="K19" s="51">
        <v>3.095791891E7</v>
      </c>
    </row>
    <row r="20">
      <c r="A20" s="50" t="s">
        <v>1816</v>
      </c>
      <c r="B20" s="50">
        <v>2381093.0</v>
      </c>
      <c r="C20" s="50" t="s">
        <v>1817</v>
      </c>
      <c r="D20" s="50" t="s">
        <v>93</v>
      </c>
      <c r="E20" s="50" t="s">
        <v>121</v>
      </c>
      <c r="F20" s="50" t="s">
        <v>694</v>
      </c>
      <c r="G20" s="50" t="s">
        <v>1003</v>
      </c>
      <c r="H20" s="51">
        <v>1.10337597</v>
      </c>
      <c r="I20" s="51">
        <v>1082737.0</v>
      </c>
      <c r="J20" s="51">
        <v>2.910369172E7</v>
      </c>
      <c r="K20" s="51">
        <v>2.910369172E7</v>
      </c>
    </row>
    <row r="21">
      <c r="A21" s="50" t="s">
        <v>885</v>
      </c>
      <c r="B21" s="50" t="s">
        <v>886</v>
      </c>
      <c r="C21" s="50" t="s">
        <v>887</v>
      </c>
      <c r="D21" s="50" t="s">
        <v>93</v>
      </c>
      <c r="E21" s="50" t="s">
        <v>102</v>
      </c>
      <c r="F21" s="50" t="s">
        <v>622</v>
      </c>
      <c r="G21" s="50" t="s">
        <v>623</v>
      </c>
      <c r="H21" s="51">
        <v>1.08100983</v>
      </c>
      <c r="I21" s="51">
        <v>119463.0</v>
      </c>
      <c r="J21" s="51">
        <v>2.851374137E7</v>
      </c>
      <c r="K21" s="51">
        <v>2.851374137E7</v>
      </c>
    </row>
    <row r="22">
      <c r="A22" s="50" t="s">
        <v>1067</v>
      </c>
      <c r="B22" s="50">
        <v>2065308.0</v>
      </c>
      <c r="C22" s="50" t="s">
        <v>1068</v>
      </c>
      <c r="D22" s="50" t="s">
        <v>93</v>
      </c>
      <c r="E22" s="50" t="s">
        <v>127</v>
      </c>
      <c r="F22" s="50" t="s">
        <v>622</v>
      </c>
      <c r="G22" s="50" t="s">
        <v>623</v>
      </c>
      <c r="H22" s="51">
        <v>1.06744196</v>
      </c>
      <c r="I22" s="51">
        <v>72995.0</v>
      </c>
      <c r="J22" s="51">
        <v>2.815586228E7</v>
      </c>
      <c r="K22" s="51">
        <v>2.815586228E7</v>
      </c>
    </row>
    <row r="23">
      <c r="A23" s="50" t="s">
        <v>1088</v>
      </c>
      <c r="B23" s="50">
        <v>2026082.0</v>
      </c>
      <c r="C23" s="50" t="s">
        <v>1089</v>
      </c>
      <c r="D23" s="50" t="s">
        <v>93</v>
      </c>
      <c r="E23" s="50" t="s">
        <v>99</v>
      </c>
      <c r="F23" s="50" t="s">
        <v>622</v>
      </c>
      <c r="G23" s="50" t="s">
        <v>623</v>
      </c>
      <c r="H23" s="51">
        <v>1.00953602</v>
      </c>
      <c r="I23" s="51">
        <v>105951.0</v>
      </c>
      <c r="J23" s="51">
        <v>2.662848032E7</v>
      </c>
      <c r="K23" s="51">
        <v>2.662848032E7</v>
      </c>
    </row>
    <row r="24">
      <c r="A24" s="50" t="s">
        <v>1071</v>
      </c>
      <c r="B24" s="50">
        <v>5231485.0</v>
      </c>
      <c r="C24" s="50" t="s">
        <v>1072</v>
      </c>
      <c r="D24" s="50" t="s">
        <v>93</v>
      </c>
      <c r="E24" s="50" t="s">
        <v>99</v>
      </c>
      <c r="F24" s="50" t="s">
        <v>649</v>
      </c>
      <c r="G24" s="50" t="s">
        <v>640</v>
      </c>
      <c r="H24" s="51">
        <v>1.00505741</v>
      </c>
      <c r="I24" s="51">
        <v>69259.0</v>
      </c>
      <c r="J24" s="51">
        <v>2.651034805E7</v>
      </c>
      <c r="K24" s="51">
        <v>2.651034805E7</v>
      </c>
    </row>
    <row r="25">
      <c r="A25" s="50" t="s">
        <v>1007</v>
      </c>
      <c r="B25" s="50">
        <v>2046552.0</v>
      </c>
      <c r="C25" s="50" t="s">
        <v>1008</v>
      </c>
      <c r="D25" s="50" t="s">
        <v>93</v>
      </c>
      <c r="E25" s="50" t="s">
        <v>167</v>
      </c>
      <c r="F25" s="50" t="s">
        <v>622</v>
      </c>
      <c r="G25" s="50" t="s">
        <v>623</v>
      </c>
      <c r="H25" s="51">
        <v>0.98866058</v>
      </c>
      <c r="I25" s="51">
        <v>116112.0</v>
      </c>
      <c r="J25" s="51">
        <v>2.607784968E7</v>
      </c>
      <c r="K25" s="51">
        <v>2.607784968E7</v>
      </c>
    </row>
    <row r="26">
      <c r="A26" s="50" t="s">
        <v>1050</v>
      </c>
      <c r="B26" s="50" t="s">
        <v>1051</v>
      </c>
      <c r="C26" s="50" t="s">
        <v>1052</v>
      </c>
      <c r="D26" s="50" t="s">
        <v>93</v>
      </c>
      <c r="E26" s="50" t="s">
        <v>99</v>
      </c>
      <c r="F26" s="50" t="s">
        <v>822</v>
      </c>
      <c r="G26" s="50" t="s">
        <v>646</v>
      </c>
      <c r="H26" s="51">
        <v>0.98812935</v>
      </c>
      <c r="I26" s="51">
        <v>2003993.0</v>
      </c>
      <c r="J26" s="51">
        <v>2.606383753E7</v>
      </c>
      <c r="K26" s="51">
        <v>2.606383753E7</v>
      </c>
    </row>
    <row r="27">
      <c r="A27" s="50" t="s">
        <v>1055</v>
      </c>
      <c r="B27" s="50">
        <v>2577609.0</v>
      </c>
      <c r="C27" s="50" t="s">
        <v>1056</v>
      </c>
      <c r="D27" s="50" t="s">
        <v>93</v>
      </c>
      <c r="E27" s="50" t="s">
        <v>102</v>
      </c>
      <c r="F27" s="50" t="s">
        <v>622</v>
      </c>
      <c r="G27" s="50" t="s">
        <v>623</v>
      </c>
      <c r="H27" s="51">
        <v>0.9768578</v>
      </c>
      <c r="I27" s="51">
        <v>237111.0</v>
      </c>
      <c r="J27" s="51">
        <v>2.576652858E7</v>
      </c>
      <c r="K27" s="51">
        <v>2.576652858E7</v>
      </c>
    </row>
    <row r="28">
      <c r="A28" s="50" t="s">
        <v>914</v>
      </c>
      <c r="B28" s="50">
        <v>7103065.0</v>
      </c>
      <c r="C28" s="50" t="s">
        <v>915</v>
      </c>
      <c r="D28" s="50" t="s">
        <v>93</v>
      </c>
      <c r="E28" s="50" t="s">
        <v>102</v>
      </c>
      <c r="F28" s="50" t="s">
        <v>654</v>
      </c>
      <c r="G28" s="50" t="s">
        <v>655</v>
      </c>
      <c r="H28" s="51">
        <v>0.97348118</v>
      </c>
      <c r="I28" s="51">
        <v>162289.0</v>
      </c>
      <c r="J28" s="51">
        <v>2.567746353E7</v>
      </c>
      <c r="K28" s="51">
        <v>2.567746353E7</v>
      </c>
    </row>
    <row r="29">
      <c r="A29" s="50" t="s">
        <v>1004</v>
      </c>
      <c r="B29" s="50" t="s">
        <v>1005</v>
      </c>
      <c r="C29" s="50" t="s">
        <v>1006</v>
      </c>
      <c r="D29" s="50" t="s">
        <v>93</v>
      </c>
      <c r="E29" s="50" t="s">
        <v>167</v>
      </c>
      <c r="F29" s="50" t="s">
        <v>622</v>
      </c>
      <c r="G29" s="50" t="s">
        <v>623</v>
      </c>
      <c r="H29" s="51">
        <v>0.9489324</v>
      </c>
      <c r="I29" s="51">
        <v>27303.0</v>
      </c>
      <c r="J29" s="51">
        <v>2.502994148E7</v>
      </c>
      <c r="K29" s="51">
        <v>2.502994148E7</v>
      </c>
    </row>
    <row r="30">
      <c r="A30" s="50" t="s">
        <v>1128</v>
      </c>
      <c r="B30" s="50">
        <v>2779397.0</v>
      </c>
      <c r="C30" s="50" t="s">
        <v>1129</v>
      </c>
      <c r="D30" s="50" t="s">
        <v>93</v>
      </c>
      <c r="E30" s="50" t="s">
        <v>99</v>
      </c>
      <c r="F30" s="50" t="s">
        <v>622</v>
      </c>
      <c r="G30" s="50" t="s">
        <v>623</v>
      </c>
      <c r="H30" s="51">
        <v>0.94306162</v>
      </c>
      <c r="I30" s="51">
        <v>267940.0</v>
      </c>
      <c r="J30" s="51">
        <v>2.48750884E7</v>
      </c>
      <c r="K30" s="51">
        <v>2.48750884E7</v>
      </c>
    </row>
    <row r="31">
      <c r="A31" s="50" t="s">
        <v>1634</v>
      </c>
      <c r="B31" s="50">
        <v>2819118.0</v>
      </c>
      <c r="C31" s="50" t="s">
        <v>1635</v>
      </c>
      <c r="D31" s="50" t="s">
        <v>93</v>
      </c>
      <c r="E31" s="50" t="s">
        <v>99</v>
      </c>
      <c r="F31" s="50" t="s">
        <v>622</v>
      </c>
      <c r="G31" s="50" t="s">
        <v>623</v>
      </c>
      <c r="H31" s="51">
        <v>0.88585704</v>
      </c>
      <c r="I31" s="51">
        <v>151713.0</v>
      </c>
      <c r="J31" s="51">
        <v>2.336620603E7</v>
      </c>
      <c r="K31" s="51">
        <v>2.336620603E7</v>
      </c>
    </row>
    <row r="32">
      <c r="A32" s="50" t="s">
        <v>931</v>
      </c>
      <c r="B32" s="50">
        <v>7110388.0</v>
      </c>
      <c r="C32" s="50" t="s">
        <v>932</v>
      </c>
      <c r="D32" s="50" t="s">
        <v>93</v>
      </c>
      <c r="E32" s="50" t="s">
        <v>102</v>
      </c>
      <c r="F32" s="50" t="s">
        <v>622</v>
      </c>
      <c r="G32" s="50" t="s">
        <v>655</v>
      </c>
      <c r="H32" s="51">
        <v>0.85242725</v>
      </c>
      <c r="I32" s="51">
        <v>49950.0</v>
      </c>
      <c r="J32" s="51">
        <v>2.248443028E7</v>
      </c>
      <c r="K32" s="51">
        <v>2.248443028E7</v>
      </c>
    </row>
    <row r="33">
      <c r="A33" s="50" t="s">
        <v>1170</v>
      </c>
      <c r="B33" s="50">
        <v>6490995.0</v>
      </c>
      <c r="C33" s="50" t="s">
        <v>1171</v>
      </c>
      <c r="D33" s="50" t="s">
        <v>93</v>
      </c>
      <c r="E33" s="50" t="s">
        <v>167</v>
      </c>
      <c r="F33" s="50" t="s">
        <v>629</v>
      </c>
      <c r="G33" s="50" t="s">
        <v>630</v>
      </c>
      <c r="H33" s="51">
        <v>0.85014675</v>
      </c>
      <c r="I33" s="51">
        <v>36790.0</v>
      </c>
      <c r="J33" s="51">
        <v>2.24242776E7</v>
      </c>
      <c r="K33" s="51">
        <v>2.24242776E7</v>
      </c>
    </row>
    <row r="34">
      <c r="A34" s="50" t="s">
        <v>1113</v>
      </c>
      <c r="B34" s="50">
        <v>2705024.0</v>
      </c>
      <c r="C34" s="50" t="s">
        <v>1114</v>
      </c>
      <c r="D34" s="50" t="s">
        <v>93</v>
      </c>
      <c r="E34" s="50" t="s">
        <v>99</v>
      </c>
      <c r="F34" s="50" t="s">
        <v>622</v>
      </c>
      <c r="G34" s="50" t="s">
        <v>623</v>
      </c>
      <c r="H34" s="51">
        <v>0.84403685</v>
      </c>
      <c r="I34" s="51">
        <v>102678.0</v>
      </c>
      <c r="J34" s="51">
        <v>2.226311707E7</v>
      </c>
      <c r="K34" s="51">
        <v>2.226311707E7</v>
      </c>
    </row>
    <row r="35">
      <c r="A35" s="50" t="s">
        <v>916</v>
      </c>
      <c r="B35" s="50">
        <v>989529.0</v>
      </c>
      <c r="C35" s="50" t="s">
        <v>917</v>
      </c>
      <c r="D35" s="50" t="s">
        <v>93</v>
      </c>
      <c r="E35" s="50" t="s">
        <v>102</v>
      </c>
      <c r="F35" s="50" t="s">
        <v>918</v>
      </c>
      <c r="G35" s="50" t="s">
        <v>908</v>
      </c>
      <c r="H35" s="51">
        <v>0.83026455</v>
      </c>
      <c r="I35" s="51">
        <v>105050.0</v>
      </c>
      <c r="J35" s="51">
        <v>2.189984578E7</v>
      </c>
      <c r="K35" s="51">
        <v>2.189984578E7</v>
      </c>
    </row>
    <row r="36">
      <c r="A36" s="50" t="s">
        <v>1205</v>
      </c>
      <c r="B36" s="50" t="s">
        <v>1206</v>
      </c>
      <c r="C36" s="50" t="s">
        <v>1207</v>
      </c>
      <c r="D36" s="50" t="s">
        <v>93</v>
      </c>
      <c r="E36" s="50" t="s">
        <v>99</v>
      </c>
      <c r="F36" s="50" t="s">
        <v>622</v>
      </c>
      <c r="G36" s="50" t="s">
        <v>623</v>
      </c>
      <c r="H36" s="51">
        <v>0.76415947</v>
      </c>
      <c r="I36" s="51">
        <v>201343.0</v>
      </c>
      <c r="J36" s="51">
        <v>2.015619531E7</v>
      </c>
      <c r="K36" s="51">
        <v>2.015619531E7</v>
      </c>
    </row>
    <row r="37">
      <c r="A37" s="50" t="s">
        <v>933</v>
      </c>
      <c r="B37" s="50">
        <v>2684703.0</v>
      </c>
      <c r="C37" s="50" t="s">
        <v>934</v>
      </c>
      <c r="D37" s="50" t="s">
        <v>93</v>
      </c>
      <c r="E37" s="50" t="s">
        <v>102</v>
      </c>
      <c r="F37" s="50" t="s">
        <v>622</v>
      </c>
      <c r="G37" s="50" t="s">
        <v>623</v>
      </c>
      <c r="H37" s="51">
        <v>0.76304911</v>
      </c>
      <c r="I37" s="51">
        <v>379376.0</v>
      </c>
      <c r="J37" s="51">
        <v>2.012690757E7</v>
      </c>
      <c r="K37" s="51">
        <v>2.012690757E7</v>
      </c>
    </row>
    <row r="38">
      <c r="A38" s="50" t="s">
        <v>991</v>
      </c>
      <c r="B38" s="50">
        <v>5671735.0</v>
      </c>
      <c r="C38" s="50" t="s">
        <v>992</v>
      </c>
      <c r="D38" s="50" t="s">
        <v>93</v>
      </c>
      <c r="E38" s="50" t="s">
        <v>102</v>
      </c>
      <c r="F38" s="50" t="s">
        <v>622</v>
      </c>
      <c r="G38" s="50" t="s">
        <v>640</v>
      </c>
      <c r="H38" s="51">
        <v>0.72629775</v>
      </c>
      <c r="I38" s="51">
        <v>113127.0</v>
      </c>
      <c r="J38" s="51">
        <v>1.915751875E7</v>
      </c>
      <c r="K38" s="51">
        <v>1.915751875E7</v>
      </c>
    </row>
    <row r="39">
      <c r="A39" s="50" t="s">
        <v>1120</v>
      </c>
      <c r="B39" s="50">
        <v>2502247.0</v>
      </c>
      <c r="C39" s="50" t="s">
        <v>1121</v>
      </c>
      <c r="D39" s="50" t="s">
        <v>93</v>
      </c>
      <c r="E39" s="50" t="s">
        <v>167</v>
      </c>
      <c r="F39" s="50" t="s">
        <v>622</v>
      </c>
      <c r="G39" s="50" t="s">
        <v>623</v>
      </c>
      <c r="H39" s="51">
        <v>0.71678693</v>
      </c>
      <c r="I39" s="51">
        <v>18540.0</v>
      </c>
      <c r="J39" s="51">
        <v>1.890665248E7</v>
      </c>
      <c r="K39" s="51">
        <v>1.890665248E7</v>
      </c>
    </row>
    <row r="40">
      <c r="A40" s="50" t="s">
        <v>1252</v>
      </c>
      <c r="B40" s="50">
        <v>6435145.0</v>
      </c>
      <c r="C40" s="50" t="s">
        <v>1253</v>
      </c>
      <c r="D40" s="50" t="s">
        <v>93</v>
      </c>
      <c r="E40" s="50" t="s">
        <v>118</v>
      </c>
      <c r="F40" s="50" t="s">
        <v>629</v>
      </c>
      <c r="G40" s="50" t="s">
        <v>630</v>
      </c>
      <c r="H40" s="51">
        <v>0.69971315</v>
      </c>
      <c r="I40" s="51">
        <v>334479.0</v>
      </c>
      <c r="J40" s="51">
        <v>1.845629802E7</v>
      </c>
      <c r="K40" s="51">
        <v>1.845629802E7</v>
      </c>
    </row>
    <row r="41">
      <c r="A41" s="50" t="s">
        <v>1166</v>
      </c>
      <c r="B41" s="50">
        <v>2457552.0</v>
      </c>
      <c r="C41" s="50" t="s">
        <v>1167</v>
      </c>
      <c r="D41" s="50" t="s">
        <v>93</v>
      </c>
      <c r="E41" s="50" t="s">
        <v>127</v>
      </c>
      <c r="F41" s="50" t="s">
        <v>622</v>
      </c>
      <c r="G41" s="50" t="s">
        <v>623</v>
      </c>
      <c r="H41" s="51">
        <v>0.64375122</v>
      </c>
      <c r="I41" s="51">
        <v>45605.0</v>
      </c>
      <c r="J41" s="51">
        <v>1.698019318E7</v>
      </c>
      <c r="K41" s="51">
        <v>1.698019318E7</v>
      </c>
    </row>
    <row r="42">
      <c r="A42" s="50" t="s">
        <v>1181</v>
      </c>
      <c r="B42" s="50" t="s">
        <v>1182</v>
      </c>
      <c r="C42" s="50" t="s">
        <v>1183</v>
      </c>
      <c r="D42" s="50" t="s">
        <v>93</v>
      </c>
      <c r="E42" s="50" t="s">
        <v>167</v>
      </c>
      <c r="F42" s="50" t="s">
        <v>622</v>
      </c>
      <c r="G42" s="50" t="s">
        <v>623</v>
      </c>
      <c r="H42" s="51">
        <v>0.63361603</v>
      </c>
      <c r="I42" s="51">
        <v>43764.0</v>
      </c>
      <c r="J42" s="51">
        <v>1.671285767E7</v>
      </c>
      <c r="K42" s="51">
        <v>1.671285767E7</v>
      </c>
    </row>
    <row r="43">
      <c r="A43" s="50" t="s">
        <v>1753</v>
      </c>
      <c r="B43" s="50">
        <v>709954.0</v>
      </c>
      <c r="C43" s="50" t="s">
        <v>1754</v>
      </c>
      <c r="D43" s="50" t="s">
        <v>93</v>
      </c>
      <c r="E43" s="50" t="s">
        <v>99</v>
      </c>
      <c r="F43" s="50" t="s">
        <v>822</v>
      </c>
      <c r="G43" s="50" t="s">
        <v>908</v>
      </c>
      <c r="H43" s="51">
        <v>0.6256353</v>
      </c>
      <c r="I43" s="51">
        <v>921251.0</v>
      </c>
      <c r="J43" s="51">
        <v>1.650235053E7</v>
      </c>
      <c r="K43" s="51">
        <v>1.650235053E7</v>
      </c>
    </row>
    <row r="44">
      <c r="A44" s="50" t="s">
        <v>1300</v>
      </c>
      <c r="B44" s="50">
        <v>5294121.0</v>
      </c>
      <c r="C44" s="50" t="s">
        <v>1301</v>
      </c>
      <c r="D44" s="50" t="s">
        <v>93</v>
      </c>
      <c r="E44" s="50" t="s">
        <v>99</v>
      </c>
      <c r="F44" s="50" t="s">
        <v>649</v>
      </c>
      <c r="G44" s="50" t="s">
        <v>640</v>
      </c>
      <c r="H44" s="51">
        <v>0.59167372</v>
      </c>
      <c r="I44" s="51">
        <v>25050.0</v>
      </c>
      <c r="J44" s="51">
        <v>1.560654762E7</v>
      </c>
      <c r="K44" s="51">
        <v>1.560654762E7</v>
      </c>
    </row>
    <row r="45">
      <c r="A45" s="50" t="s">
        <v>1380</v>
      </c>
      <c r="B45" s="50" t="s">
        <v>1381</v>
      </c>
      <c r="C45" s="50" t="s">
        <v>1382</v>
      </c>
      <c r="D45" s="50" t="s">
        <v>93</v>
      </c>
      <c r="E45" s="50" t="s">
        <v>127</v>
      </c>
      <c r="F45" s="50" t="s">
        <v>629</v>
      </c>
      <c r="G45" s="50" t="s">
        <v>630</v>
      </c>
      <c r="H45" s="51">
        <v>0.58642242</v>
      </c>
      <c r="I45" s="51">
        <v>286728.0</v>
      </c>
      <c r="J45" s="51">
        <v>1.546803426E7</v>
      </c>
      <c r="K45" s="51">
        <v>1.546803426E7</v>
      </c>
    </row>
    <row r="46">
      <c r="A46" s="50" t="s">
        <v>1187</v>
      </c>
      <c r="B46" s="50">
        <v>6895675.0</v>
      </c>
      <c r="C46" s="50" t="s">
        <v>1188</v>
      </c>
      <c r="D46" s="50" t="s">
        <v>93</v>
      </c>
      <c r="E46" s="50" t="s">
        <v>167</v>
      </c>
      <c r="F46" s="50" t="s">
        <v>629</v>
      </c>
      <c r="G46" s="50" t="s">
        <v>630</v>
      </c>
      <c r="H46" s="51">
        <v>0.57846839</v>
      </c>
      <c r="I46" s="51">
        <v>68209.0</v>
      </c>
      <c r="J46" s="51">
        <v>1.525823122E7</v>
      </c>
      <c r="K46" s="51">
        <v>1.525823122E7</v>
      </c>
    </row>
    <row r="47">
      <c r="A47" s="50" t="s">
        <v>960</v>
      </c>
      <c r="B47" s="50">
        <v>2023607.0</v>
      </c>
      <c r="C47" s="50" t="s">
        <v>961</v>
      </c>
      <c r="D47" s="50" t="s">
        <v>93</v>
      </c>
      <c r="E47" s="50" t="s">
        <v>102</v>
      </c>
      <c r="F47" s="50" t="s">
        <v>622</v>
      </c>
      <c r="G47" s="50" t="s">
        <v>623</v>
      </c>
      <c r="H47" s="51">
        <v>0.55109929</v>
      </c>
      <c r="I47" s="51">
        <v>35673.0</v>
      </c>
      <c r="J47" s="51">
        <v>1.453631801E7</v>
      </c>
      <c r="K47" s="51">
        <v>1.453631801E7</v>
      </c>
    </row>
    <row r="48">
      <c r="A48" s="50" t="s">
        <v>1244</v>
      </c>
      <c r="B48" s="50">
        <v>2480138.0</v>
      </c>
      <c r="C48" s="50" t="s">
        <v>1245</v>
      </c>
      <c r="D48" s="50" t="s">
        <v>93</v>
      </c>
      <c r="E48" s="50" t="s">
        <v>167</v>
      </c>
      <c r="F48" s="50" t="s">
        <v>622</v>
      </c>
      <c r="G48" s="50" t="s">
        <v>623</v>
      </c>
      <c r="H48" s="51">
        <v>0.53776208</v>
      </c>
      <c r="I48" s="51">
        <v>19026.0</v>
      </c>
      <c r="J48" s="51">
        <v>1.418452291E7</v>
      </c>
      <c r="K48" s="51">
        <v>1.418452291E7</v>
      </c>
    </row>
    <row r="49">
      <c r="A49" s="50" t="s">
        <v>1362</v>
      </c>
      <c r="B49" s="50">
        <v>2615468.0</v>
      </c>
      <c r="C49" s="50" t="s">
        <v>1363</v>
      </c>
      <c r="D49" s="50" t="s">
        <v>93</v>
      </c>
      <c r="E49" s="50" t="s">
        <v>118</v>
      </c>
      <c r="F49" s="50" t="s">
        <v>622</v>
      </c>
      <c r="G49" s="50" t="s">
        <v>623</v>
      </c>
      <c r="H49" s="51">
        <v>0.53736324</v>
      </c>
      <c r="I49" s="51">
        <v>722964.0</v>
      </c>
      <c r="J49" s="51">
        <v>1.417400292E7</v>
      </c>
      <c r="K49" s="51">
        <v>1.417400292E7</v>
      </c>
    </row>
    <row r="50">
      <c r="A50" s="50" t="s">
        <v>1391</v>
      </c>
      <c r="B50" s="50">
        <v>6513126.0</v>
      </c>
      <c r="C50" s="50" t="s">
        <v>1392</v>
      </c>
      <c r="D50" s="50" t="s">
        <v>93</v>
      </c>
      <c r="E50" s="50" t="s">
        <v>99</v>
      </c>
      <c r="F50" s="50" t="s">
        <v>629</v>
      </c>
      <c r="G50" s="50" t="s">
        <v>630</v>
      </c>
      <c r="H50" s="51">
        <v>0.53300976</v>
      </c>
      <c r="I50" s="51">
        <v>376685.0</v>
      </c>
      <c r="J50" s="51">
        <v>1.405917131E7</v>
      </c>
      <c r="K50" s="51">
        <v>1.405917131E7</v>
      </c>
    </row>
    <row r="51">
      <c r="A51" s="50" t="s">
        <v>1359</v>
      </c>
      <c r="B51" s="50" t="s">
        <v>1360</v>
      </c>
      <c r="C51" s="50" t="s">
        <v>1361</v>
      </c>
      <c r="D51" s="50" t="s">
        <v>93</v>
      </c>
      <c r="E51" s="50" t="s">
        <v>99</v>
      </c>
      <c r="F51" s="50" t="s">
        <v>668</v>
      </c>
      <c r="G51" s="50" t="s">
        <v>640</v>
      </c>
      <c r="H51" s="51">
        <v>0.53033892</v>
      </c>
      <c r="I51" s="51">
        <v>646818.0</v>
      </c>
      <c r="J51" s="51">
        <v>1.398872262E7</v>
      </c>
      <c r="K51" s="51">
        <v>1.398872262E7</v>
      </c>
    </row>
    <row r="52">
      <c r="A52" s="50" t="s">
        <v>1283</v>
      </c>
      <c r="B52" s="50">
        <v>5529027.0</v>
      </c>
      <c r="C52" s="50" t="s">
        <v>1284</v>
      </c>
      <c r="D52" s="50" t="s">
        <v>93</v>
      </c>
      <c r="E52" s="50" t="s">
        <v>118</v>
      </c>
      <c r="F52" s="50" t="s">
        <v>649</v>
      </c>
      <c r="G52" s="50" t="s">
        <v>640</v>
      </c>
      <c r="H52" s="51">
        <v>0.51848101</v>
      </c>
      <c r="I52" s="51">
        <v>124454.0</v>
      </c>
      <c r="J52" s="51">
        <v>1.367594716E7</v>
      </c>
      <c r="K52" s="51">
        <v>1.367594716E7</v>
      </c>
    </row>
    <row r="53">
      <c r="A53" s="50" t="s">
        <v>1581</v>
      </c>
      <c r="B53" s="50">
        <v>6648891.0</v>
      </c>
      <c r="C53" s="50" t="s">
        <v>1582</v>
      </c>
      <c r="D53" s="50" t="s">
        <v>93</v>
      </c>
      <c r="E53" s="50" t="s">
        <v>118</v>
      </c>
      <c r="F53" s="50" t="s">
        <v>629</v>
      </c>
      <c r="G53" s="50" t="s">
        <v>630</v>
      </c>
      <c r="H53" s="51">
        <v>0.51403938</v>
      </c>
      <c r="I53" s="51">
        <v>248474.0</v>
      </c>
      <c r="J53" s="51">
        <v>1.355879065E7</v>
      </c>
      <c r="K53" s="51">
        <v>1.355879065E7</v>
      </c>
    </row>
    <row r="54">
      <c r="A54" s="50" t="s">
        <v>987</v>
      </c>
      <c r="B54" s="50">
        <v>2126335.0</v>
      </c>
      <c r="C54" s="50" t="s">
        <v>988</v>
      </c>
      <c r="D54" s="50" t="s">
        <v>93</v>
      </c>
      <c r="E54" s="50" t="s">
        <v>102</v>
      </c>
      <c r="F54" s="50" t="s">
        <v>622</v>
      </c>
      <c r="G54" s="50" t="s">
        <v>623</v>
      </c>
      <c r="H54" s="51">
        <v>0.49802272</v>
      </c>
      <c r="I54" s="51">
        <v>142139.0</v>
      </c>
      <c r="J54" s="51">
        <v>1.313631989E7</v>
      </c>
      <c r="K54" s="51">
        <v>1.313631989E7</v>
      </c>
    </row>
    <row r="55">
      <c r="A55" s="50" t="s">
        <v>1324</v>
      </c>
      <c r="B55" s="50">
        <v>7212477.0</v>
      </c>
      <c r="C55" s="50" t="s">
        <v>1325</v>
      </c>
      <c r="D55" s="50" t="s">
        <v>93</v>
      </c>
      <c r="E55" s="50" t="s">
        <v>102</v>
      </c>
      <c r="F55" s="50" t="s">
        <v>639</v>
      </c>
      <c r="G55" s="50" t="s">
        <v>640</v>
      </c>
      <c r="H55" s="51">
        <v>0.487575</v>
      </c>
      <c r="I55" s="51">
        <v>44134.0</v>
      </c>
      <c r="J55" s="51">
        <v>1.286074101E7</v>
      </c>
      <c r="K55" s="51">
        <v>1.286074101E7</v>
      </c>
    </row>
    <row r="56">
      <c r="A56" s="50" t="s">
        <v>1433</v>
      </c>
      <c r="B56" s="50">
        <v>2026361.0</v>
      </c>
      <c r="C56" s="50" t="s">
        <v>1434</v>
      </c>
      <c r="D56" s="50" t="s">
        <v>93</v>
      </c>
      <c r="E56" s="50" t="s">
        <v>99</v>
      </c>
      <c r="F56" s="50" t="s">
        <v>622</v>
      </c>
      <c r="G56" s="50" t="s">
        <v>623</v>
      </c>
      <c r="H56" s="51">
        <v>0.46839941</v>
      </c>
      <c r="I56" s="51">
        <v>102870.0</v>
      </c>
      <c r="J56" s="51">
        <v>1.235494749E7</v>
      </c>
      <c r="K56" s="51">
        <v>1.235494749E7</v>
      </c>
    </row>
    <row r="57">
      <c r="A57" s="50" t="s">
        <v>1078</v>
      </c>
      <c r="B57" s="50">
        <v>2853688.0</v>
      </c>
      <c r="C57" s="50" t="s">
        <v>1079</v>
      </c>
      <c r="D57" s="50" t="s">
        <v>93</v>
      </c>
      <c r="E57" s="50" t="s">
        <v>102</v>
      </c>
      <c r="F57" s="50" t="s">
        <v>622</v>
      </c>
      <c r="G57" s="50" t="s">
        <v>623</v>
      </c>
      <c r="H57" s="51">
        <v>0.46777542</v>
      </c>
      <c r="I57" s="51">
        <v>26923.0</v>
      </c>
      <c r="J57" s="51">
        <v>1.233848843E7</v>
      </c>
      <c r="K57" s="51">
        <v>1.233848843E7</v>
      </c>
    </row>
    <row r="58">
      <c r="A58" s="50" t="s">
        <v>1798</v>
      </c>
      <c r="B58" s="50">
        <v>2019952.0</v>
      </c>
      <c r="C58" s="50" t="s">
        <v>1799</v>
      </c>
      <c r="D58" s="50" t="s">
        <v>93</v>
      </c>
      <c r="E58" s="50" t="s">
        <v>99</v>
      </c>
      <c r="F58" s="50" t="s">
        <v>622</v>
      </c>
      <c r="G58" s="50" t="s">
        <v>623</v>
      </c>
      <c r="H58" s="51">
        <v>0.46739534</v>
      </c>
      <c r="I58" s="51">
        <v>71785.0</v>
      </c>
      <c r="J58" s="51">
        <v>1.232846318E7</v>
      </c>
      <c r="K58" s="51">
        <v>1.232846318E7</v>
      </c>
    </row>
    <row r="59">
      <c r="A59" s="50" t="s">
        <v>1508</v>
      </c>
      <c r="B59" s="50" t="s">
        <v>1509</v>
      </c>
      <c r="C59" s="50" t="s">
        <v>1510</v>
      </c>
      <c r="D59" s="50" t="s">
        <v>93</v>
      </c>
      <c r="E59" s="50" t="s">
        <v>133</v>
      </c>
      <c r="F59" s="50" t="s">
        <v>622</v>
      </c>
      <c r="G59" s="50" t="s">
        <v>623</v>
      </c>
      <c r="H59" s="51">
        <v>0.46491706</v>
      </c>
      <c r="I59" s="51">
        <v>80034.0</v>
      </c>
      <c r="J59" s="51">
        <v>1.226309371E7</v>
      </c>
      <c r="K59" s="51">
        <v>1.226309371E7</v>
      </c>
    </row>
    <row r="60">
      <c r="A60" s="50" t="s">
        <v>1415</v>
      </c>
      <c r="B60" s="50" t="s">
        <v>1416</v>
      </c>
      <c r="C60" s="50" t="s">
        <v>1417</v>
      </c>
      <c r="D60" s="50" t="s">
        <v>93</v>
      </c>
      <c r="E60" s="50" t="s">
        <v>99</v>
      </c>
      <c r="F60" s="50" t="s">
        <v>1352</v>
      </c>
      <c r="G60" s="50" t="s">
        <v>640</v>
      </c>
      <c r="H60" s="51">
        <v>0.45832703</v>
      </c>
      <c r="I60" s="51">
        <v>336862.0</v>
      </c>
      <c r="J60" s="51">
        <v>1.20892687E7</v>
      </c>
      <c r="K60" s="51">
        <v>1.20892687E7</v>
      </c>
    </row>
    <row r="61">
      <c r="A61" s="50" t="s">
        <v>1472</v>
      </c>
      <c r="B61" s="50" t="s">
        <v>1473</v>
      </c>
      <c r="C61" s="50" t="s">
        <v>1474</v>
      </c>
      <c r="D61" s="50" t="s">
        <v>93</v>
      </c>
      <c r="E61" s="50" t="s">
        <v>99</v>
      </c>
      <c r="F61" s="50" t="s">
        <v>622</v>
      </c>
      <c r="G61" s="50" t="s">
        <v>623</v>
      </c>
      <c r="H61" s="51">
        <v>0.4576347</v>
      </c>
      <c r="I61" s="51">
        <v>22213.0</v>
      </c>
      <c r="J61" s="51">
        <v>1.20710073E7</v>
      </c>
      <c r="K61" s="51">
        <v>1.20710073E7</v>
      </c>
    </row>
    <row r="62">
      <c r="A62" s="50" t="s">
        <v>1484</v>
      </c>
      <c r="B62" s="50" t="s">
        <v>1485</v>
      </c>
      <c r="C62" s="50" t="s">
        <v>1486</v>
      </c>
      <c r="D62" s="50" t="s">
        <v>93</v>
      </c>
      <c r="E62" s="50" t="s">
        <v>167</v>
      </c>
      <c r="F62" s="50" t="s">
        <v>622</v>
      </c>
      <c r="G62" s="50" t="s">
        <v>623</v>
      </c>
      <c r="H62" s="51">
        <v>0.44645935</v>
      </c>
      <c r="I62" s="51">
        <v>46511.0</v>
      </c>
      <c r="J62" s="51">
        <v>1.177623548E7</v>
      </c>
      <c r="K62" s="51">
        <v>1.177623548E7</v>
      </c>
    </row>
    <row r="63">
      <c r="A63" s="50" t="s">
        <v>1402</v>
      </c>
      <c r="B63" s="50">
        <v>2065955.0</v>
      </c>
      <c r="C63" s="50" t="s">
        <v>1403</v>
      </c>
      <c r="D63" s="50" t="s">
        <v>93</v>
      </c>
      <c r="E63" s="50" t="s">
        <v>118</v>
      </c>
      <c r="F63" s="50" t="s">
        <v>622</v>
      </c>
      <c r="G63" s="50" t="s">
        <v>623</v>
      </c>
      <c r="H63" s="51">
        <v>0.43635859</v>
      </c>
      <c r="I63" s="51">
        <v>2876.0</v>
      </c>
      <c r="J63" s="51">
        <v>1.15098083E7</v>
      </c>
      <c r="K63" s="51">
        <v>1.15098083E7</v>
      </c>
    </row>
    <row r="64">
      <c r="A64" s="50" t="s">
        <v>1375</v>
      </c>
      <c r="B64" s="50" t="s">
        <v>1376</v>
      </c>
      <c r="C64" s="50" t="s">
        <v>1377</v>
      </c>
      <c r="D64" s="50" t="s">
        <v>93</v>
      </c>
      <c r="E64" s="50" t="s">
        <v>167</v>
      </c>
      <c r="F64" s="50" t="s">
        <v>622</v>
      </c>
      <c r="G64" s="50" t="s">
        <v>623</v>
      </c>
      <c r="H64" s="51">
        <v>0.42585915</v>
      </c>
      <c r="I64" s="51">
        <v>29503.0</v>
      </c>
      <c r="J64" s="51">
        <v>1.123286506E7</v>
      </c>
      <c r="K64" s="51">
        <v>1.123286506E7</v>
      </c>
    </row>
    <row r="65">
      <c r="A65" s="50" t="s">
        <v>1011</v>
      </c>
      <c r="B65" s="50" t="s">
        <v>1012</v>
      </c>
      <c r="C65" s="50" t="s">
        <v>1013</v>
      </c>
      <c r="D65" s="50" t="s">
        <v>93</v>
      </c>
      <c r="E65" s="50" t="s">
        <v>102</v>
      </c>
      <c r="F65" s="50" t="s">
        <v>622</v>
      </c>
      <c r="G65" s="50" t="s">
        <v>623</v>
      </c>
      <c r="H65" s="51">
        <v>0.41957982</v>
      </c>
      <c r="I65" s="51">
        <v>16032.0</v>
      </c>
      <c r="J65" s="51">
        <v>1.106723554E7</v>
      </c>
      <c r="K65" s="51">
        <v>1.106723554E7</v>
      </c>
    </row>
    <row r="66">
      <c r="A66" s="50" t="s">
        <v>1574</v>
      </c>
      <c r="B66" s="50">
        <v>2654461.0</v>
      </c>
      <c r="C66" s="50" t="s">
        <v>1575</v>
      </c>
      <c r="D66" s="50" t="s">
        <v>93</v>
      </c>
      <c r="E66" s="50" t="s">
        <v>99</v>
      </c>
      <c r="F66" s="50" t="s">
        <v>622</v>
      </c>
      <c r="G66" s="50" t="s">
        <v>623</v>
      </c>
      <c r="H66" s="51">
        <v>0.40940517</v>
      </c>
      <c r="I66" s="51">
        <v>67976.0</v>
      </c>
      <c r="J66" s="51">
        <v>1.079885934E7</v>
      </c>
      <c r="K66" s="51">
        <v>1.079885934E7</v>
      </c>
    </row>
    <row r="67">
      <c r="A67" s="50" t="s">
        <v>1442</v>
      </c>
      <c r="B67" s="50">
        <v>2065159.0</v>
      </c>
      <c r="C67" s="50" t="s">
        <v>1443</v>
      </c>
      <c r="D67" s="50" t="s">
        <v>93</v>
      </c>
      <c r="E67" s="50" t="s">
        <v>167</v>
      </c>
      <c r="F67" s="50" t="s">
        <v>622</v>
      </c>
      <c r="G67" s="50" t="s">
        <v>623</v>
      </c>
      <c r="H67" s="51">
        <v>0.39821251</v>
      </c>
      <c r="I67" s="51">
        <v>31205.0</v>
      </c>
      <c r="J67" s="51">
        <v>1.050363112E7</v>
      </c>
      <c r="K67" s="51">
        <v>1.050363112E7</v>
      </c>
    </row>
    <row r="68">
      <c r="A68" s="50" t="s">
        <v>1610</v>
      </c>
      <c r="B68" s="50">
        <v>2868165.0</v>
      </c>
      <c r="C68" s="50" t="s">
        <v>1611</v>
      </c>
      <c r="D68" s="50" t="s">
        <v>93</v>
      </c>
      <c r="E68" s="50" t="s">
        <v>124</v>
      </c>
      <c r="F68" s="50" t="s">
        <v>622</v>
      </c>
      <c r="G68" s="50" t="s">
        <v>623</v>
      </c>
      <c r="H68" s="51">
        <v>0.39233064</v>
      </c>
      <c r="I68" s="51">
        <v>93729.0</v>
      </c>
      <c r="J68" s="51">
        <v>1.034848537E7</v>
      </c>
      <c r="K68" s="51">
        <v>1.034848537E7</v>
      </c>
    </row>
    <row r="69">
      <c r="A69" s="50" t="s">
        <v>1537</v>
      </c>
      <c r="B69" s="50">
        <v>2746711.0</v>
      </c>
      <c r="C69" s="50" t="s">
        <v>1538</v>
      </c>
      <c r="D69" s="50" t="s">
        <v>93</v>
      </c>
      <c r="E69" s="50" t="s">
        <v>118</v>
      </c>
      <c r="F69" s="50" t="s">
        <v>622</v>
      </c>
      <c r="G69" s="50" t="s">
        <v>623</v>
      </c>
      <c r="H69" s="51">
        <v>0.38381968</v>
      </c>
      <c r="I69" s="51">
        <v>55321.0</v>
      </c>
      <c r="J69" s="51">
        <v>1.012399223E7</v>
      </c>
      <c r="K69" s="51">
        <v>1.012399223E7</v>
      </c>
    </row>
    <row r="70">
      <c r="A70" s="50" t="s">
        <v>1644</v>
      </c>
      <c r="B70" s="50" t="s">
        <v>1645</v>
      </c>
      <c r="C70" s="50" t="s">
        <v>1646</v>
      </c>
      <c r="D70" s="50" t="s">
        <v>93</v>
      </c>
      <c r="E70" s="50" t="s">
        <v>127</v>
      </c>
      <c r="F70" s="50" t="s">
        <v>622</v>
      </c>
      <c r="G70" s="50" t="s">
        <v>623</v>
      </c>
      <c r="H70" s="51">
        <v>0.38277095</v>
      </c>
      <c r="I70" s="51">
        <v>26154.0</v>
      </c>
      <c r="J70" s="51">
        <v>1.009632975E7</v>
      </c>
      <c r="K70" s="51">
        <v>1.009632975E7</v>
      </c>
    </row>
    <row r="71">
      <c r="A71" s="50" t="s">
        <v>3911</v>
      </c>
      <c r="B71" s="50" t="s">
        <v>3912</v>
      </c>
      <c r="C71" s="50" t="s">
        <v>1679</v>
      </c>
      <c r="D71" s="50" t="s">
        <v>93</v>
      </c>
      <c r="E71" s="50" t="s">
        <v>99</v>
      </c>
      <c r="F71" s="50" t="s">
        <v>686</v>
      </c>
      <c r="G71" s="50" t="s">
        <v>1741</v>
      </c>
      <c r="H71" s="51">
        <v>0.38004656</v>
      </c>
      <c r="I71" s="51">
        <v>596152.0</v>
      </c>
      <c r="J71" s="51">
        <v>1.002446886E7</v>
      </c>
      <c r="K71" s="51">
        <v>1.002446886E7</v>
      </c>
    </row>
    <row r="72">
      <c r="A72" s="50" t="s">
        <v>1585</v>
      </c>
      <c r="B72" s="50">
        <v>2674458.0</v>
      </c>
      <c r="C72" s="50" t="s">
        <v>1586</v>
      </c>
      <c r="D72" s="50" t="s">
        <v>93</v>
      </c>
      <c r="E72" s="50" t="s">
        <v>127</v>
      </c>
      <c r="F72" s="50" t="s">
        <v>622</v>
      </c>
      <c r="G72" s="50" t="s">
        <v>623</v>
      </c>
      <c r="H72" s="51">
        <v>0.37748162</v>
      </c>
      <c r="I72" s="51">
        <v>53886.0</v>
      </c>
      <c r="J72" s="51">
        <v>9956813.48</v>
      </c>
      <c r="K72" s="51">
        <v>9956813.48</v>
      </c>
    </row>
    <row r="73">
      <c r="A73" s="50" t="s">
        <v>1458</v>
      </c>
      <c r="B73" s="50" t="s">
        <v>1459</v>
      </c>
      <c r="C73" s="50" t="s">
        <v>1460</v>
      </c>
      <c r="D73" s="50" t="s">
        <v>93</v>
      </c>
      <c r="E73" s="50" t="s">
        <v>167</v>
      </c>
      <c r="F73" s="50" t="s">
        <v>622</v>
      </c>
      <c r="G73" s="50" t="s">
        <v>623</v>
      </c>
      <c r="H73" s="51">
        <v>0.37247228</v>
      </c>
      <c r="I73" s="51">
        <v>33718.0</v>
      </c>
      <c r="J73" s="51">
        <v>9824682.43</v>
      </c>
      <c r="K73" s="51">
        <v>9824682.43</v>
      </c>
    </row>
    <row r="74">
      <c r="A74" s="50" t="s">
        <v>1636</v>
      </c>
      <c r="B74" s="50" t="s">
        <v>1637</v>
      </c>
      <c r="C74" s="50" t="s">
        <v>1638</v>
      </c>
      <c r="D74" s="50" t="s">
        <v>93</v>
      </c>
      <c r="E74" s="50" t="s">
        <v>121</v>
      </c>
      <c r="F74" s="50" t="s">
        <v>622</v>
      </c>
      <c r="G74" s="50" t="s">
        <v>623</v>
      </c>
      <c r="H74" s="51">
        <v>0.36894623</v>
      </c>
      <c r="I74" s="51">
        <v>73378.0</v>
      </c>
      <c r="J74" s="51">
        <v>9731676.03</v>
      </c>
      <c r="K74" s="51">
        <v>9731676.03</v>
      </c>
    </row>
    <row r="75">
      <c r="A75" s="50" t="s">
        <v>1309</v>
      </c>
      <c r="B75" s="50">
        <v>5889505.0</v>
      </c>
      <c r="C75" s="50" t="s">
        <v>1310</v>
      </c>
      <c r="D75" s="50" t="s">
        <v>93</v>
      </c>
      <c r="E75" s="50" t="s">
        <v>167</v>
      </c>
      <c r="F75" s="50" t="s">
        <v>649</v>
      </c>
      <c r="G75" s="50" t="s">
        <v>640</v>
      </c>
      <c r="H75" s="51">
        <v>0.36053252</v>
      </c>
      <c r="I75" s="51">
        <v>175645.0</v>
      </c>
      <c r="J75" s="51">
        <v>9509747.89</v>
      </c>
      <c r="K75" s="51">
        <v>9509747.89</v>
      </c>
    </row>
    <row r="76">
      <c r="A76" s="50" t="s">
        <v>1698</v>
      </c>
      <c r="B76" s="50" t="s">
        <v>1699</v>
      </c>
      <c r="C76" s="50" t="s">
        <v>1700</v>
      </c>
      <c r="D76" s="50" t="s">
        <v>93</v>
      </c>
      <c r="E76" s="50" t="s">
        <v>127</v>
      </c>
      <c r="F76" s="50" t="s">
        <v>622</v>
      </c>
      <c r="G76" s="50" t="s">
        <v>623</v>
      </c>
      <c r="H76" s="51">
        <v>0.3551831</v>
      </c>
      <c r="I76" s="51">
        <v>73832.0</v>
      </c>
      <c r="J76" s="51">
        <v>9368646.51</v>
      </c>
      <c r="K76" s="51">
        <v>9368646.51</v>
      </c>
    </row>
    <row r="77">
      <c r="A77" s="50" t="s">
        <v>1761</v>
      </c>
      <c r="B77" s="50">
        <v>5756029.0</v>
      </c>
      <c r="C77" s="50" t="s">
        <v>1762</v>
      </c>
      <c r="D77" s="50" t="s">
        <v>93</v>
      </c>
      <c r="E77" s="50" t="s">
        <v>118</v>
      </c>
      <c r="F77" s="50" t="s">
        <v>649</v>
      </c>
      <c r="G77" s="50" t="s">
        <v>640</v>
      </c>
      <c r="H77" s="51">
        <v>0.35423489</v>
      </c>
      <c r="I77" s="51">
        <v>58914.0</v>
      </c>
      <c r="J77" s="51">
        <v>9343635.71</v>
      </c>
      <c r="K77" s="51">
        <v>9343635.71</v>
      </c>
    </row>
    <row r="78">
      <c r="A78" s="50" t="s">
        <v>1082</v>
      </c>
      <c r="B78" s="50">
        <v>2369174.0</v>
      </c>
      <c r="C78" s="50" t="s">
        <v>1083</v>
      </c>
      <c r="D78" s="50" t="s">
        <v>93</v>
      </c>
      <c r="E78" s="50" t="s">
        <v>102</v>
      </c>
      <c r="F78" s="50" t="s">
        <v>622</v>
      </c>
      <c r="G78" s="50" t="s">
        <v>623</v>
      </c>
      <c r="H78" s="51">
        <v>0.35132856</v>
      </c>
      <c r="I78" s="51">
        <v>77109.0</v>
      </c>
      <c r="J78" s="51">
        <v>9266975.67</v>
      </c>
      <c r="K78" s="51">
        <v>9266975.67</v>
      </c>
    </row>
    <row r="79">
      <c r="A79" s="50" t="s">
        <v>1399</v>
      </c>
      <c r="B79" s="50" t="s">
        <v>1400</v>
      </c>
      <c r="C79" s="50" t="s">
        <v>1401</v>
      </c>
      <c r="D79" s="50" t="s">
        <v>93</v>
      </c>
      <c r="E79" s="50" t="s">
        <v>167</v>
      </c>
      <c r="F79" s="50" t="s">
        <v>622</v>
      </c>
      <c r="G79" s="50" t="s">
        <v>623</v>
      </c>
      <c r="H79" s="51">
        <v>0.34899749</v>
      </c>
      <c r="I79" s="51">
        <v>106117.0</v>
      </c>
      <c r="J79" s="51">
        <v>9205489.02</v>
      </c>
      <c r="K79" s="51">
        <v>9205489.02</v>
      </c>
    </row>
    <row r="80">
      <c r="A80" s="50" t="s">
        <v>1758</v>
      </c>
      <c r="B80" s="50" t="s">
        <v>1759</v>
      </c>
      <c r="C80" s="50" t="s">
        <v>1760</v>
      </c>
      <c r="D80" s="50" t="s">
        <v>93</v>
      </c>
      <c r="E80" s="50" t="s">
        <v>99</v>
      </c>
      <c r="F80" s="50" t="s">
        <v>622</v>
      </c>
      <c r="G80" s="50" t="s">
        <v>655</v>
      </c>
      <c r="H80" s="51">
        <v>0.34078468</v>
      </c>
      <c r="I80" s="51">
        <v>55695.0</v>
      </c>
      <c r="J80" s="51">
        <v>8988860.04</v>
      </c>
      <c r="K80" s="51">
        <v>8988860.04</v>
      </c>
    </row>
    <row r="81">
      <c r="A81" s="50" t="s">
        <v>1710</v>
      </c>
      <c r="B81" s="50">
        <v>2262864.0</v>
      </c>
      <c r="C81" s="50" t="s">
        <v>1711</v>
      </c>
      <c r="D81" s="50" t="s">
        <v>93</v>
      </c>
      <c r="E81" s="50" t="s">
        <v>127</v>
      </c>
      <c r="F81" s="50" t="s">
        <v>622</v>
      </c>
      <c r="G81" s="50" t="s">
        <v>623</v>
      </c>
      <c r="H81" s="51">
        <v>0.33898038</v>
      </c>
      <c r="I81" s="51">
        <v>71355.0</v>
      </c>
      <c r="J81" s="51">
        <v>8941268.14</v>
      </c>
      <c r="K81" s="51">
        <v>8941268.14</v>
      </c>
    </row>
    <row r="82">
      <c r="A82" s="50" t="s">
        <v>1107</v>
      </c>
      <c r="B82" s="50" t="s">
        <v>1108</v>
      </c>
      <c r="C82" s="50" t="s">
        <v>1109</v>
      </c>
      <c r="D82" s="50" t="s">
        <v>93</v>
      </c>
      <c r="E82" s="50" t="s">
        <v>102</v>
      </c>
      <c r="F82" s="50" t="s">
        <v>622</v>
      </c>
      <c r="G82" s="50" t="s">
        <v>623</v>
      </c>
      <c r="H82" s="51">
        <v>0.33465564</v>
      </c>
      <c r="I82" s="51">
        <v>20056.0</v>
      </c>
      <c r="J82" s="51">
        <v>8827194.9</v>
      </c>
      <c r="K82" s="51">
        <v>8827194.9</v>
      </c>
    </row>
    <row r="83">
      <c r="A83" s="50" t="s">
        <v>1768</v>
      </c>
      <c r="B83" s="50">
        <v>2332262.0</v>
      </c>
      <c r="C83" s="50" t="s">
        <v>1769</v>
      </c>
      <c r="D83" s="50" t="s">
        <v>93</v>
      </c>
      <c r="E83" s="50" t="s">
        <v>127</v>
      </c>
      <c r="F83" s="50" t="s">
        <v>622</v>
      </c>
      <c r="G83" s="50" t="s">
        <v>623</v>
      </c>
      <c r="H83" s="51">
        <v>0.33046316</v>
      </c>
      <c r="I83" s="51">
        <v>102351.0</v>
      </c>
      <c r="J83" s="51">
        <v>8716609.94</v>
      </c>
      <c r="K83" s="51">
        <v>8716609.94</v>
      </c>
    </row>
    <row r="84">
      <c r="A84" s="50" t="s">
        <v>1802</v>
      </c>
      <c r="B84" s="50">
        <v>5671519.0</v>
      </c>
      <c r="C84" s="50" t="s">
        <v>1803</v>
      </c>
      <c r="D84" s="50" t="s">
        <v>93</v>
      </c>
      <c r="E84" s="50" t="s">
        <v>127</v>
      </c>
      <c r="F84" s="50" t="s">
        <v>668</v>
      </c>
      <c r="G84" s="50" t="s">
        <v>640</v>
      </c>
      <c r="H84" s="51">
        <v>0.32889843</v>
      </c>
      <c r="I84" s="51">
        <v>45173.0</v>
      </c>
      <c r="J84" s="51">
        <v>8675337.22</v>
      </c>
      <c r="K84" s="51">
        <v>8675337.22</v>
      </c>
    </row>
    <row r="85">
      <c r="A85" s="50" t="s">
        <v>1059</v>
      </c>
      <c r="B85" s="50">
        <v>2931034.0</v>
      </c>
      <c r="C85" s="50" t="s">
        <v>1060</v>
      </c>
      <c r="D85" s="50" t="s">
        <v>93</v>
      </c>
      <c r="E85" s="50" t="s">
        <v>102</v>
      </c>
      <c r="F85" s="50" t="s">
        <v>622</v>
      </c>
      <c r="G85" s="50" t="s">
        <v>623</v>
      </c>
      <c r="H85" s="51">
        <v>0.32713072</v>
      </c>
      <c r="I85" s="51">
        <v>15896.0</v>
      </c>
      <c r="J85" s="51">
        <v>8628710.33</v>
      </c>
      <c r="K85" s="51">
        <v>8628710.33</v>
      </c>
    </row>
    <row r="86">
      <c r="A86" s="50" t="s">
        <v>1596</v>
      </c>
      <c r="B86" s="50" t="s">
        <v>1597</v>
      </c>
      <c r="C86" s="50" t="s">
        <v>1598</v>
      </c>
      <c r="D86" s="50" t="s">
        <v>93</v>
      </c>
      <c r="E86" s="50" t="s">
        <v>167</v>
      </c>
      <c r="F86" s="50" t="s">
        <v>622</v>
      </c>
      <c r="G86" s="50" t="s">
        <v>623</v>
      </c>
      <c r="H86" s="51">
        <v>0.31743064</v>
      </c>
      <c r="I86" s="51">
        <v>31568.0</v>
      </c>
      <c r="J86" s="51">
        <v>8372851.7</v>
      </c>
      <c r="K86" s="51">
        <v>8372851.7</v>
      </c>
    </row>
    <row r="87">
      <c r="A87" s="50" t="s">
        <v>1086</v>
      </c>
      <c r="B87" s="50">
        <v>2730190.0</v>
      </c>
      <c r="C87" s="50" t="s">
        <v>1087</v>
      </c>
      <c r="D87" s="50" t="s">
        <v>93</v>
      </c>
      <c r="E87" s="50" t="s">
        <v>102</v>
      </c>
      <c r="F87" s="50" t="s">
        <v>622</v>
      </c>
      <c r="G87" s="50" t="s">
        <v>623</v>
      </c>
      <c r="H87" s="51">
        <v>0.29591215</v>
      </c>
      <c r="I87" s="51">
        <v>6036.0</v>
      </c>
      <c r="J87" s="51">
        <v>7805259.72</v>
      </c>
      <c r="K87" s="51">
        <v>7805259.72</v>
      </c>
    </row>
    <row r="88">
      <c r="A88" s="50" t="s">
        <v>1696</v>
      </c>
      <c r="B88" s="50">
        <v>2250687.0</v>
      </c>
      <c r="C88" s="50" t="s">
        <v>1697</v>
      </c>
      <c r="D88" s="50" t="s">
        <v>93</v>
      </c>
      <c r="E88" s="50" t="s">
        <v>118</v>
      </c>
      <c r="F88" s="50" t="s">
        <v>622</v>
      </c>
      <c r="G88" s="50" t="s">
        <v>623</v>
      </c>
      <c r="H88" s="51">
        <v>0.29254518</v>
      </c>
      <c r="I88" s="51">
        <v>43117.0</v>
      </c>
      <c r="J88" s="51">
        <v>7716449.28</v>
      </c>
      <c r="K88" s="51">
        <v>7716449.28</v>
      </c>
    </row>
    <row r="89">
      <c r="A89" s="50" t="s">
        <v>1639</v>
      </c>
      <c r="B89" s="50">
        <v>2257019.0</v>
      </c>
      <c r="C89" s="50" t="s">
        <v>1640</v>
      </c>
      <c r="D89" s="50" t="s">
        <v>93</v>
      </c>
      <c r="E89" s="50" t="s">
        <v>167</v>
      </c>
      <c r="F89" s="50" t="s">
        <v>622</v>
      </c>
      <c r="G89" s="50" t="s">
        <v>623</v>
      </c>
      <c r="H89" s="51">
        <v>0.29247653</v>
      </c>
      <c r="I89" s="51">
        <v>69972.0</v>
      </c>
      <c r="J89" s="51">
        <v>7714638.56</v>
      </c>
      <c r="K89" s="51">
        <v>7714638.56</v>
      </c>
    </row>
    <row r="90">
      <c r="A90" s="50" t="s">
        <v>1953</v>
      </c>
      <c r="B90" s="50">
        <v>6356934.0</v>
      </c>
      <c r="C90" s="50" t="s">
        <v>1954</v>
      </c>
      <c r="D90" s="50" t="s">
        <v>93</v>
      </c>
      <c r="E90" s="50" t="s">
        <v>127</v>
      </c>
      <c r="F90" s="50" t="s">
        <v>629</v>
      </c>
      <c r="G90" s="50" t="s">
        <v>630</v>
      </c>
      <c r="H90" s="51">
        <v>0.290459</v>
      </c>
      <c r="I90" s="51">
        <v>179663.0</v>
      </c>
      <c r="J90" s="51">
        <v>7661422.19</v>
      </c>
      <c r="K90" s="51">
        <v>7661422.19</v>
      </c>
    </row>
    <row r="91">
      <c r="A91" s="50" t="s">
        <v>1691</v>
      </c>
      <c r="B91" s="50" t="s">
        <v>1692</v>
      </c>
      <c r="C91" s="50" t="s">
        <v>1693</v>
      </c>
      <c r="D91" s="50" t="s">
        <v>93</v>
      </c>
      <c r="E91" s="50" t="s">
        <v>121</v>
      </c>
      <c r="F91" s="50" t="s">
        <v>694</v>
      </c>
      <c r="G91" s="50" t="s">
        <v>1003</v>
      </c>
      <c r="H91" s="51">
        <v>0.28512225</v>
      </c>
      <c r="I91" s="51">
        <v>118077.0</v>
      </c>
      <c r="J91" s="51">
        <v>7520655.09</v>
      </c>
      <c r="K91" s="51">
        <v>7520655.09</v>
      </c>
    </row>
    <row r="92">
      <c r="A92" s="50" t="s">
        <v>1877</v>
      </c>
      <c r="B92" s="50">
        <v>53673.0</v>
      </c>
      <c r="C92" s="50" t="s">
        <v>1878</v>
      </c>
      <c r="D92" s="50" t="s">
        <v>93</v>
      </c>
      <c r="E92" s="50" t="s">
        <v>127</v>
      </c>
      <c r="F92" s="50" t="s">
        <v>918</v>
      </c>
      <c r="G92" s="50" t="s">
        <v>908</v>
      </c>
      <c r="H92" s="51">
        <v>0.28169212</v>
      </c>
      <c r="I92" s="51">
        <v>74464.0</v>
      </c>
      <c r="J92" s="51">
        <v>7430178.78</v>
      </c>
      <c r="K92" s="51">
        <v>7430178.78</v>
      </c>
    </row>
    <row r="93">
      <c r="A93" s="50" t="s">
        <v>1955</v>
      </c>
      <c r="B93" s="50" t="s">
        <v>1956</v>
      </c>
      <c r="C93" s="50" t="s">
        <v>1957</v>
      </c>
      <c r="D93" s="50" t="s">
        <v>93</v>
      </c>
      <c r="E93" s="50" t="s">
        <v>99</v>
      </c>
      <c r="F93" s="50" t="s">
        <v>694</v>
      </c>
      <c r="G93" s="50" t="s">
        <v>1003</v>
      </c>
      <c r="H93" s="51">
        <v>0.2802695</v>
      </c>
      <c r="I93" s="51">
        <v>32361.0</v>
      </c>
      <c r="J93" s="51">
        <v>7392654.29</v>
      </c>
      <c r="K93" s="51">
        <v>7392654.29</v>
      </c>
    </row>
    <row r="94">
      <c r="A94" s="50" t="s">
        <v>1944</v>
      </c>
      <c r="B94" s="50" t="s">
        <v>1945</v>
      </c>
      <c r="C94" s="50" t="s">
        <v>1946</v>
      </c>
      <c r="D94" s="50" t="s">
        <v>93</v>
      </c>
      <c r="E94" s="50" t="s">
        <v>170</v>
      </c>
      <c r="F94" s="50" t="s">
        <v>622</v>
      </c>
      <c r="G94" s="50" t="s">
        <v>623</v>
      </c>
      <c r="H94" s="51">
        <v>0.26488278</v>
      </c>
      <c r="I94" s="51">
        <v>31901.0</v>
      </c>
      <c r="J94" s="51">
        <v>6986799.72</v>
      </c>
      <c r="K94" s="51">
        <v>6986799.72</v>
      </c>
    </row>
    <row r="95">
      <c r="A95" s="50" t="s">
        <v>1731</v>
      </c>
      <c r="B95" s="50" t="s">
        <v>1732</v>
      </c>
      <c r="C95" s="50" t="s">
        <v>1733</v>
      </c>
      <c r="D95" s="50" t="s">
        <v>93</v>
      </c>
      <c r="E95" s="50" t="s">
        <v>121</v>
      </c>
      <c r="F95" s="50" t="s">
        <v>629</v>
      </c>
      <c r="G95" s="50" t="s">
        <v>630</v>
      </c>
      <c r="H95" s="51">
        <v>0.26386442</v>
      </c>
      <c r="I95" s="51">
        <v>378075.0</v>
      </c>
      <c r="J95" s="51">
        <v>6959938.29</v>
      </c>
      <c r="K95" s="51">
        <v>6959938.29</v>
      </c>
    </row>
    <row r="96">
      <c r="A96" s="50" t="s">
        <v>1960</v>
      </c>
      <c r="B96" s="50">
        <v>2131179.0</v>
      </c>
      <c r="C96" s="50" t="s">
        <v>1961</v>
      </c>
      <c r="D96" s="50" t="s">
        <v>93</v>
      </c>
      <c r="E96" s="50" t="s">
        <v>133</v>
      </c>
      <c r="F96" s="50" t="s">
        <v>622</v>
      </c>
      <c r="G96" s="50" t="s">
        <v>623</v>
      </c>
      <c r="H96" s="51">
        <v>0.25962765</v>
      </c>
      <c r="I96" s="51">
        <v>24028.0</v>
      </c>
      <c r="J96" s="51">
        <v>6848185.3</v>
      </c>
      <c r="K96" s="51">
        <v>6848185.3</v>
      </c>
    </row>
    <row r="97">
      <c r="A97" s="50" t="s">
        <v>2035</v>
      </c>
      <c r="B97" s="50">
        <v>2842040.0</v>
      </c>
      <c r="C97" s="50" t="s">
        <v>2036</v>
      </c>
      <c r="D97" s="50" t="s">
        <v>93</v>
      </c>
      <c r="E97" s="50" t="s">
        <v>99</v>
      </c>
      <c r="F97" s="50" t="s">
        <v>622</v>
      </c>
      <c r="G97" s="50" t="s">
        <v>623</v>
      </c>
      <c r="H97" s="51">
        <v>0.25763303</v>
      </c>
      <c r="I97" s="51">
        <v>60427.0</v>
      </c>
      <c r="J97" s="51">
        <v>6795573.3</v>
      </c>
      <c r="K97" s="51">
        <v>6795573.3</v>
      </c>
    </row>
    <row r="98">
      <c r="A98" s="50" t="s">
        <v>2011</v>
      </c>
      <c r="B98" s="50">
        <v>2702337.0</v>
      </c>
      <c r="C98" s="50" t="s">
        <v>2012</v>
      </c>
      <c r="D98" s="50" t="s">
        <v>93</v>
      </c>
      <c r="E98" s="50" t="s">
        <v>99</v>
      </c>
      <c r="F98" s="50" t="s">
        <v>622</v>
      </c>
      <c r="G98" s="50" t="s">
        <v>623</v>
      </c>
      <c r="H98" s="51">
        <v>0.25245169</v>
      </c>
      <c r="I98" s="51">
        <v>38949.0</v>
      </c>
      <c r="J98" s="51">
        <v>6658905.47</v>
      </c>
      <c r="K98" s="51">
        <v>6658905.47</v>
      </c>
    </row>
    <row r="99">
      <c r="A99" s="50" t="s">
        <v>2002</v>
      </c>
      <c r="B99" s="50">
        <v>2126249.0</v>
      </c>
      <c r="C99" s="50" t="s">
        <v>2003</v>
      </c>
      <c r="D99" s="50" t="s">
        <v>93</v>
      </c>
      <c r="E99" s="50" t="s">
        <v>102</v>
      </c>
      <c r="F99" s="50" t="s">
        <v>622</v>
      </c>
      <c r="G99" s="50" t="s">
        <v>623</v>
      </c>
      <c r="H99" s="51">
        <v>0.25214108</v>
      </c>
      <c r="I99" s="51">
        <v>3698.0</v>
      </c>
      <c r="J99" s="51">
        <v>6650712.54</v>
      </c>
      <c r="K99" s="51">
        <v>6650712.54</v>
      </c>
    </row>
    <row r="100">
      <c r="A100" s="50" t="s">
        <v>2729</v>
      </c>
      <c r="B100" s="50">
        <v>6793906.0</v>
      </c>
      <c r="C100" s="50" t="s">
        <v>2730</v>
      </c>
      <c r="D100" s="50" t="s">
        <v>93</v>
      </c>
      <c r="E100" s="50" t="s">
        <v>118</v>
      </c>
      <c r="F100" s="50" t="s">
        <v>629</v>
      </c>
      <c r="G100" s="50" t="s">
        <v>630</v>
      </c>
      <c r="H100" s="51">
        <v>0.2517467</v>
      </c>
      <c r="I100" s="51">
        <v>203337.0</v>
      </c>
      <c r="J100" s="51">
        <v>6640309.92</v>
      </c>
      <c r="K100" s="51">
        <v>6640309.92</v>
      </c>
    </row>
    <row r="101">
      <c r="A101" s="50" t="s">
        <v>2018</v>
      </c>
      <c r="B101" s="50">
        <v>2122117.0</v>
      </c>
      <c r="C101" s="50" t="s">
        <v>2019</v>
      </c>
      <c r="D101" s="50" t="s">
        <v>93</v>
      </c>
      <c r="E101" s="50" t="s">
        <v>121</v>
      </c>
      <c r="F101" s="50" t="s">
        <v>622</v>
      </c>
      <c r="G101" s="50" t="s">
        <v>623</v>
      </c>
      <c r="H101" s="51">
        <v>0.24633871</v>
      </c>
      <c r="I101" s="51">
        <v>28965.0</v>
      </c>
      <c r="J101" s="51">
        <v>6497663.51</v>
      </c>
      <c r="K101" s="51">
        <v>6497663.51</v>
      </c>
    </row>
    <row r="102">
      <c r="A102" s="50" t="s">
        <v>1947</v>
      </c>
      <c r="B102" s="50" t="s">
        <v>1948</v>
      </c>
      <c r="C102" s="50" t="s">
        <v>1949</v>
      </c>
      <c r="D102" s="50" t="s">
        <v>93</v>
      </c>
      <c r="E102" s="50" t="s">
        <v>167</v>
      </c>
      <c r="F102" s="50" t="s">
        <v>622</v>
      </c>
      <c r="G102" s="50" t="s">
        <v>623</v>
      </c>
      <c r="H102" s="51">
        <v>0.24423384</v>
      </c>
      <c r="I102" s="51">
        <v>42527.0</v>
      </c>
      <c r="J102" s="51">
        <v>6442143.5</v>
      </c>
      <c r="K102" s="51">
        <v>6442143.5</v>
      </c>
    </row>
    <row r="103">
      <c r="A103" s="50" t="s">
        <v>2068</v>
      </c>
      <c r="B103" s="50" t="s">
        <v>2069</v>
      </c>
      <c r="C103" s="50" t="s">
        <v>2070</v>
      </c>
      <c r="D103" s="50" t="s">
        <v>93</v>
      </c>
      <c r="E103" s="50" t="s">
        <v>127</v>
      </c>
      <c r="F103" s="50" t="s">
        <v>883</v>
      </c>
      <c r="G103" s="50" t="s">
        <v>884</v>
      </c>
      <c r="H103" s="51">
        <v>0.23524722</v>
      </c>
      <c r="I103" s="51">
        <v>177149.0</v>
      </c>
      <c r="J103" s="51">
        <v>6205103.85</v>
      </c>
      <c r="K103" s="51">
        <v>6205103.85</v>
      </c>
    </row>
    <row r="104">
      <c r="A104" s="50" t="s">
        <v>2013</v>
      </c>
      <c r="B104" s="50" t="s">
        <v>2014</v>
      </c>
      <c r="C104" s="50" t="s">
        <v>2015</v>
      </c>
      <c r="D104" s="50" t="s">
        <v>93</v>
      </c>
      <c r="E104" s="50" t="s">
        <v>167</v>
      </c>
      <c r="F104" s="50" t="s">
        <v>622</v>
      </c>
      <c r="G104" s="50" t="s">
        <v>623</v>
      </c>
      <c r="H104" s="51">
        <v>0.2314235</v>
      </c>
      <c r="I104" s="51">
        <v>29517.0</v>
      </c>
      <c r="J104" s="51">
        <v>6104245.83</v>
      </c>
      <c r="K104" s="51">
        <v>6104245.83</v>
      </c>
    </row>
    <row r="105">
      <c r="A105" s="50" t="s">
        <v>1895</v>
      </c>
      <c r="B105" s="50" t="s">
        <v>1896</v>
      </c>
      <c r="C105" s="50" t="s">
        <v>1897</v>
      </c>
      <c r="D105" s="50" t="s">
        <v>93</v>
      </c>
      <c r="E105" s="50" t="s">
        <v>167</v>
      </c>
      <c r="F105" s="50" t="s">
        <v>622</v>
      </c>
      <c r="G105" s="50" t="s">
        <v>623</v>
      </c>
      <c r="H105" s="51">
        <v>0.23019165</v>
      </c>
      <c r="I105" s="51">
        <v>18630.0</v>
      </c>
      <c r="J105" s="51">
        <v>6071753.46</v>
      </c>
      <c r="K105" s="51">
        <v>6071753.46</v>
      </c>
    </row>
    <row r="106">
      <c r="A106" s="50" t="s">
        <v>2054</v>
      </c>
      <c r="B106" s="50">
        <v>2319157.0</v>
      </c>
      <c r="C106" s="50" t="s">
        <v>2055</v>
      </c>
      <c r="D106" s="50" t="s">
        <v>93</v>
      </c>
      <c r="E106" s="50" t="s">
        <v>133</v>
      </c>
      <c r="F106" s="50" t="s">
        <v>622</v>
      </c>
      <c r="G106" s="50" t="s">
        <v>623</v>
      </c>
      <c r="H106" s="51">
        <v>0.2212203</v>
      </c>
      <c r="I106" s="51">
        <v>59422.0</v>
      </c>
      <c r="J106" s="51">
        <v>5835116.7</v>
      </c>
      <c r="K106" s="51">
        <v>5835116.7</v>
      </c>
    </row>
    <row r="107">
      <c r="A107" s="50" t="s">
        <v>2217</v>
      </c>
      <c r="B107" s="50">
        <v>5226038.0</v>
      </c>
      <c r="C107" s="50" t="s">
        <v>2218</v>
      </c>
      <c r="D107" s="50" t="s">
        <v>93</v>
      </c>
      <c r="E107" s="50" t="s">
        <v>99</v>
      </c>
      <c r="F107" s="50" t="s">
        <v>686</v>
      </c>
      <c r="G107" s="50" t="s">
        <v>640</v>
      </c>
      <c r="H107" s="51">
        <v>0.22006891</v>
      </c>
      <c r="I107" s="51">
        <v>83908.0</v>
      </c>
      <c r="J107" s="51">
        <v>5804746.56</v>
      </c>
      <c r="K107" s="51">
        <v>5804746.56</v>
      </c>
    </row>
    <row r="108">
      <c r="A108" s="50" t="s">
        <v>1246</v>
      </c>
      <c r="B108" s="50">
        <v>2445063.0</v>
      </c>
      <c r="C108" s="50" t="s">
        <v>1247</v>
      </c>
      <c r="D108" s="50" t="s">
        <v>93</v>
      </c>
      <c r="E108" s="50" t="s">
        <v>102</v>
      </c>
      <c r="F108" s="50" t="s">
        <v>622</v>
      </c>
      <c r="G108" s="50" t="s">
        <v>623</v>
      </c>
      <c r="H108" s="51">
        <v>0.21996991</v>
      </c>
      <c r="I108" s="51">
        <v>7920.0</v>
      </c>
      <c r="J108" s="51">
        <v>5802135.16</v>
      </c>
      <c r="K108" s="51">
        <v>5802135.16</v>
      </c>
    </row>
    <row r="109">
      <c r="A109" s="50" t="s">
        <v>2198</v>
      </c>
      <c r="B109" s="50" t="s">
        <v>2199</v>
      </c>
      <c r="C109" s="50" t="s">
        <v>2200</v>
      </c>
      <c r="D109" s="50" t="s">
        <v>93</v>
      </c>
      <c r="E109" s="50" t="s">
        <v>99</v>
      </c>
      <c r="F109" s="50" t="s">
        <v>629</v>
      </c>
      <c r="G109" s="50" t="s">
        <v>630</v>
      </c>
      <c r="H109" s="51">
        <v>0.21857167</v>
      </c>
      <c r="I109" s="51">
        <v>173299.0</v>
      </c>
      <c r="J109" s="51">
        <v>5765253.74</v>
      </c>
      <c r="K109" s="51">
        <v>5765253.74</v>
      </c>
    </row>
    <row r="110">
      <c r="A110" s="50" t="s">
        <v>1357</v>
      </c>
      <c r="B110" s="50">
        <v>6870445.0</v>
      </c>
      <c r="C110" s="50" t="s">
        <v>1358</v>
      </c>
      <c r="D110" s="50" t="s">
        <v>93</v>
      </c>
      <c r="E110" s="50" t="s">
        <v>102</v>
      </c>
      <c r="F110" s="50" t="s">
        <v>629</v>
      </c>
      <c r="G110" s="50" t="s">
        <v>630</v>
      </c>
      <c r="H110" s="51">
        <v>0.21579551</v>
      </c>
      <c r="I110" s="51">
        <v>112451.0</v>
      </c>
      <c r="J110" s="51">
        <v>5692027.08</v>
      </c>
      <c r="K110" s="51">
        <v>5692027.08</v>
      </c>
    </row>
    <row r="111">
      <c r="A111" s="50" t="s">
        <v>1342</v>
      </c>
      <c r="B111" s="50" t="s">
        <v>1343</v>
      </c>
      <c r="C111" s="50" t="s">
        <v>1344</v>
      </c>
      <c r="D111" s="50" t="s">
        <v>93</v>
      </c>
      <c r="E111" s="50" t="s">
        <v>102</v>
      </c>
      <c r="F111" s="50" t="s">
        <v>629</v>
      </c>
      <c r="G111" s="50" t="s">
        <v>630</v>
      </c>
      <c r="H111" s="51">
        <v>0.21144042</v>
      </c>
      <c r="I111" s="51">
        <v>128688.0</v>
      </c>
      <c r="J111" s="51">
        <v>5577153.31</v>
      </c>
      <c r="K111" s="51">
        <v>5577153.31</v>
      </c>
    </row>
    <row r="112">
      <c r="A112" s="50" t="s">
        <v>3913</v>
      </c>
      <c r="B112" s="50">
        <v>7437805.0</v>
      </c>
      <c r="C112" s="50" t="s">
        <v>3914</v>
      </c>
      <c r="D112" s="50" t="s">
        <v>93</v>
      </c>
      <c r="E112" s="50" t="s">
        <v>99</v>
      </c>
      <c r="F112" s="50" t="s">
        <v>654</v>
      </c>
      <c r="G112" s="50" t="s">
        <v>655</v>
      </c>
      <c r="H112" s="51">
        <v>0.20541621</v>
      </c>
      <c r="I112" s="51">
        <v>5407.0</v>
      </c>
      <c r="J112" s="51">
        <v>5418252.86</v>
      </c>
      <c r="K112" s="51">
        <v>5418252.86</v>
      </c>
    </row>
    <row r="113">
      <c r="A113" s="50" t="s">
        <v>2172</v>
      </c>
      <c r="B113" s="50" t="s">
        <v>2173</v>
      </c>
      <c r="C113" s="50" t="s">
        <v>2174</v>
      </c>
      <c r="D113" s="50" t="s">
        <v>93</v>
      </c>
      <c r="E113" s="50" t="s">
        <v>99</v>
      </c>
      <c r="F113" s="50" t="s">
        <v>668</v>
      </c>
      <c r="G113" s="50" t="s">
        <v>640</v>
      </c>
      <c r="H113" s="51">
        <v>0.19679378</v>
      </c>
      <c r="I113" s="51">
        <v>4467.0</v>
      </c>
      <c r="J113" s="51">
        <v>5190819.44</v>
      </c>
      <c r="K113" s="51">
        <v>5190819.44</v>
      </c>
    </row>
    <row r="114">
      <c r="A114" s="50" t="s">
        <v>1937</v>
      </c>
      <c r="B114" s="50" t="s">
        <v>1938</v>
      </c>
      <c r="C114" s="50" t="s">
        <v>1939</v>
      </c>
      <c r="D114" s="50" t="s">
        <v>93</v>
      </c>
      <c r="E114" s="50" t="s">
        <v>167</v>
      </c>
      <c r="F114" s="50" t="s">
        <v>622</v>
      </c>
      <c r="G114" s="50" t="s">
        <v>623</v>
      </c>
      <c r="H114" s="51">
        <v>0.19379475</v>
      </c>
      <c r="I114" s="51">
        <v>118275.0</v>
      </c>
      <c r="J114" s="51">
        <v>5111714.31</v>
      </c>
      <c r="K114" s="51">
        <v>5111714.31</v>
      </c>
    </row>
    <row r="115">
      <c r="A115" s="50" t="s">
        <v>2362</v>
      </c>
      <c r="B115" s="50">
        <v>2965107.0</v>
      </c>
      <c r="C115" s="50" t="s">
        <v>2363</v>
      </c>
      <c r="D115" s="50" t="s">
        <v>93</v>
      </c>
      <c r="E115" s="50" t="s">
        <v>99</v>
      </c>
      <c r="F115" s="50" t="s">
        <v>622</v>
      </c>
      <c r="G115" s="50" t="s">
        <v>623</v>
      </c>
      <c r="H115" s="51">
        <v>0.19160393</v>
      </c>
      <c r="I115" s="51">
        <v>63206.0</v>
      </c>
      <c r="J115" s="51">
        <v>5053927.02</v>
      </c>
      <c r="K115" s="51">
        <v>5053927.02</v>
      </c>
    </row>
    <row r="116">
      <c r="A116" s="50" t="s">
        <v>3915</v>
      </c>
      <c r="B116" s="50" t="s">
        <v>3916</v>
      </c>
      <c r="C116" s="50" t="s">
        <v>3917</v>
      </c>
      <c r="D116" s="50" t="s">
        <v>93</v>
      </c>
      <c r="E116" s="50" t="s">
        <v>167</v>
      </c>
      <c r="F116" s="50" t="s">
        <v>622</v>
      </c>
      <c r="G116" s="50" t="s">
        <v>623</v>
      </c>
      <c r="H116" s="51">
        <v>0.1908457</v>
      </c>
      <c r="I116" s="51">
        <v>18307.0</v>
      </c>
      <c r="J116" s="51">
        <v>5033927.3</v>
      </c>
      <c r="K116" s="51">
        <v>5033927.3</v>
      </c>
    </row>
    <row r="117">
      <c r="A117" s="50" t="s">
        <v>2022</v>
      </c>
      <c r="B117" s="50" t="s">
        <v>2023</v>
      </c>
      <c r="C117" s="50" t="s">
        <v>2024</v>
      </c>
      <c r="D117" s="50" t="s">
        <v>93</v>
      </c>
      <c r="E117" s="50" t="s">
        <v>167</v>
      </c>
      <c r="F117" s="50" t="s">
        <v>622</v>
      </c>
      <c r="G117" s="50" t="s">
        <v>623</v>
      </c>
      <c r="H117" s="51">
        <v>0.18794057</v>
      </c>
      <c r="I117" s="51">
        <v>6214.0</v>
      </c>
      <c r="J117" s="51">
        <v>4957298.87</v>
      </c>
      <c r="K117" s="51">
        <v>4957298.87</v>
      </c>
    </row>
    <row r="118">
      <c r="A118" s="50" t="s">
        <v>2029</v>
      </c>
      <c r="B118" s="50" t="s">
        <v>2030</v>
      </c>
      <c r="C118" s="50" t="s">
        <v>2031</v>
      </c>
      <c r="D118" s="50" t="s">
        <v>93</v>
      </c>
      <c r="E118" s="50" t="s">
        <v>167</v>
      </c>
      <c r="F118" s="50" t="s">
        <v>622</v>
      </c>
      <c r="G118" s="50" t="s">
        <v>623</v>
      </c>
      <c r="H118" s="51">
        <v>0.18573107</v>
      </c>
      <c r="I118" s="51">
        <v>8618.0</v>
      </c>
      <c r="J118" s="51">
        <v>4899019.05</v>
      </c>
      <c r="K118" s="51">
        <v>4899019.05</v>
      </c>
    </row>
    <row r="119">
      <c r="A119" s="50" t="s">
        <v>2526</v>
      </c>
      <c r="B119" s="50" t="s">
        <v>2527</v>
      </c>
      <c r="C119" s="50" t="s">
        <v>2528</v>
      </c>
      <c r="D119" s="50" t="s">
        <v>93</v>
      </c>
      <c r="E119" s="50" t="s">
        <v>127</v>
      </c>
      <c r="F119" s="50" t="s">
        <v>686</v>
      </c>
      <c r="G119" s="50" t="s">
        <v>640</v>
      </c>
      <c r="H119" s="51">
        <v>0.18403076</v>
      </c>
      <c r="I119" s="51">
        <v>71780.0</v>
      </c>
      <c r="J119" s="51">
        <v>4854169.97</v>
      </c>
      <c r="K119" s="51">
        <v>4854169.97</v>
      </c>
    </row>
    <row r="120">
      <c r="A120" s="50" t="s">
        <v>2447</v>
      </c>
      <c r="B120" s="50">
        <v>560399.0</v>
      </c>
      <c r="C120" s="50" t="s">
        <v>2448</v>
      </c>
      <c r="D120" s="50" t="s">
        <v>93</v>
      </c>
      <c r="E120" s="50" t="s">
        <v>99</v>
      </c>
      <c r="F120" s="50" t="s">
        <v>918</v>
      </c>
      <c r="G120" s="50" t="s">
        <v>908</v>
      </c>
      <c r="H120" s="51">
        <v>0.18322993</v>
      </c>
      <c r="I120" s="51">
        <v>1102968.0</v>
      </c>
      <c r="J120" s="51">
        <v>4833046.6</v>
      </c>
      <c r="K120" s="51">
        <v>4833046.6</v>
      </c>
    </row>
    <row r="121">
      <c r="A121" s="50" t="s">
        <v>2248</v>
      </c>
      <c r="B121" s="50">
        <v>2550161.0</v>
      </c>
      <c r="C121" s="50" t="s">
        <v>2249</v>
      </c>
      <c r="D121" s="50" t="s">
        <v>93</v>
      </c>
      <c r="E121" s="50" t="s">
        <v>124</v>
      </c>
      <c r="F121" s="50" t="s">
        <v>622</v>
      </c>
      <c r="G121" s="50" t="s">
        <v>623</v>
      </c>
      <c r="H121" s="51">
        <v>0.17971694</v>
      </c>
      <c r="I121" s="51">
        <v>37962.0</v>
      </c>
      <c r="J121" s="51">
        <v>4740384.59</v>
      </c>
      <c r="K121" s="51">
        <v>4740384.59</v>
      </c>
    </row>
    <row r="122">
      <c r="A122" s="50" t="s">
        <v>1470</v>
      </c>
      <c r="B122" s="50">
        <v>2567116.0</v>
      </c>
      <c r="C122" s="50" t="s">
        <v>1471</v>
      </c>
      <c r="D122" s="50" t="s">
        <v>93</v>
      </c>
      <c r="E122" s="50" t="s">
        <v>102</v>
      </c>
      <c r="F122" s="50" t="s">
        <v>622</v>
      </c>
      <c r="G122" s="50" t="s">
        <v>623</v>
      </c>
      <c r="H122" s="51">
        <v>0.17905081</v>
      </c>
      <c r="I122" s="51">
        <v>41071.0</v>
      </c>
      <c r="J122" s="51">
        <v>4722814.07</v>
      </c>
      <c r="K122" s="51">
        <v>4722814.07</v>
      </c>
    </row>
    <row r="123">
      <c r="A123" s="50" t="s">
        <v>2294</v>
      </c>
      <c r="B123" s="50">
        <v>4846523.0</v>
      </c>
      <c r="C123" s="50" t="s">
        <v>2295</v>
      </c>
      <c r="D123" s="50" t="s">
        <v>93</v>
      </c>
      <c r="E123" s="50" t="s">
        <v>99</v>
      </c>
      <c r="F123" s="50" t="s">
        <v>1740</v>
      </c>
      <c r="G123" s="50" t="s">
        <v>1741</v>
      </c>
      <c r="H123" s="51">
        <v>0.17791537</v>
      </c>
      <c r="I123" s="51">
        <v>169310.0</v>
      </c>
      <c r="J123" s="51">
        <v>4692864.75</v>
      </c>
      <c r="K123" s="51">
        <v>4692864.75</v>
      </c>
    </row>
    <row r="124">
      <c r="A124" s="50" t="s">
        <v>3918</v>
      </c>
      <c r="B124" s="50">
        <v>4380429.0</v>
      </c>
      <c r="C124" s="50" t="s">
        <v>3919</v>
      </c>
      <c r="D124" s="50" t="s">
        <v>93</v>
      </c>
      <c r="E124" s="50" t="s">
        <v>121</v>
      </c>
      <c r="F124" s="50" t="s">
        <v>639</v>
      </c>
      <c r="G124" s="50" t="s">
        <v>640</v>
      </c>
      <c r="H124" s="51">
        <v>0.17717709</v>
      </c>
      <c r="I124" s="51">
        <v>38975.0</v>
      </c>
      <c r="J124" s="51">
        <v>4673391.2</v>
      </c>
      <c r="K124" s="51">
        <v>4673391.2</v>
      </c>
    </row>
    <row r="125">
      <c r="A125" s="50" t="s">
        <v>2536</v>
      </c>
      <c r="B125" s="50">
        <v>2094670.0</v>
      </c>
      <c r="C125" s="50" t="s">
        <v>2537</v>
      </c>
      <c r="D125" s="50" t="s">
        <v>93</v>
      </c>
      <c r="E125" s="50" t="s">
        <v>118</v>
      </c>
      <c r="F125" s="50" t="s">
        <v>622</v>
      </c>
      <c r="G125" s="50" t="s">
        <v>623</v>
      </c>
      <c r="H125" s="51">
        <v>0.17667271</v>
      </c>
      <c r="I125" s="51">
        <v>40840.0</v>
      </c>
      <c r="J125" s="51">
        <v>4660087.0</v>
      </c>
      <c r="K125" s="51">
        <v>4660087.0</v>
      </c>
    </row>
    <row r="126">
      <c r="A126" s="50" t="s">
        <v>2429</v>
      </c>
      <c r="B126" s="50" t="s">
        <v>2430</v>
      </c>
      <c r="C126" s="50" t="s">
        <v>2431</v>
      </c>
      <c r="D126" s="50" t="s">
        <v>93</v>
      </c>
      <c r="E126" s="50" t="s">
        <v>124</v>
      </c>
      <c r="F126" s="50" t="s">
        <v>622</v>
      </c>
      <c r="G126" s="50" t="s">
        <v>623</v>
      </c>
      <c r="H126" s="51">
        <v>0.17501569</v>
      </c>
      <c r="I126" s="51">
        <v>132187.0</v>
      </c>
      <c r="J126" s="51">
        <v>4616379.93</v>
      </c>
      <c r="K126" s="51">
        <v>4616379.93</v>
      </c>
    </row>
    <row r="127">
      <c r="A127" s="50" t="s">
        <v>2566</v>
      </c>
      <c r="B127" s="50">
        <v>2697701.0</v>
      </c>
      <c r="C127" s="50" t="s">
        <v>2567</v>
      </c>
      <c r="D127" s="50" t="s">
        <v>93</v>
      </c>
      <c r="E127" s="50" t="s">
        <v>99</v>
      </c>
      <c r="F127" s="50" t="s">
        <v>694</v>
      </c>
      <c r="G127" s="50" t="s">
        <v>1003</v>
      </c>
      <c r="H127" s="51">
        <v>0.17298905</v>
      </c>
      <c r="I127" s="51">
        <v>104005.0</v>
      </c>
      <c r="J127" s="51">
        <v>4562923.43</v>
      </c>
      <c r="K127" s="51">
        <v>4562923.43</v>
      </c>
    </row>
    <row r="128">
      <c r="A128" s="50" t="s">
        <v>2351</v>
      </c>
      <c r="B128" s="50" t="s">
        <v>2352</v>
      </c>
      <c r="C128" s="50" t="s">
        <v>2353</v>
      </c>
      <c r="D128" s="50" t="s">
        <v>93</v>
      </c>
      <c r="E128" s="50" t="s">
        <v>167</v>
      </c>
      <c r="F128" s="50" t="s">
        <v>622</v>
      </c>
      <c r="G128" s="50" t="s">
        <v>623</v>
      </c>
      <c r="H128" s="51">
        <v>0.17066218</v>
      </c>
      <c r="I128" s="51">
        <v>23691.0</v>
      </c>
      <c r="J128" s="51">
        <v>4501547.63</v>
      </c>
      <c r="K128" s="51">
        <v>4501547.63</v>
      </c>
    </row>
    <row r="129">
      <c r="A129" s="50" t="s">
        <v>2427</v>
      </c>
      <c r="B129" s="50">
        <v>4588825.0</v>
      </c>
      <c r="C129" s="50" t="s">
        <v>2428</v>
      </c>
      <c r="D129" s="50" t="s">
        <v>93</v>
      </c>
      <c r="E129" s="50" t="s">
        <v>99</v>
      </c>
      <c r="F129" s="50" t="s">
        <v>883</v>
      </c>
      <c r="G129" s="50" t="s">
        <v>884</v>
      </c>
      <c r="H129" s="51">
        <v>0.16784225</v>
      </c>
      <c r="I129" s="51">
        <v>125770.0</v>
      </c>
      <c r="J129" s="51">
        <v>4427166.45</v>
      </c>
      <c r="K129" s="51">
        <v>4427166.45</v>
      </c>
    </row>
    <row r="130">
      <c r="A130" s="50" t="s">
        <v>2207</v>
      </c>
      <c r="B130" s="50">
        <v>6870490.0</v>
      </c>
      <c r="C130" s="50" t="s">
        <v>2208</v>
      </c>
      <c r="D130" s="50" t="s">
        <v>93</v>
      </c>
      <c r="E130" s="50" t="s">
        <v>167</v>
      </c>
      <c r="F130" s="50" t="s">
        <v>629</v>
      </c>
      <c r="G130" s="50" t="s">
        <v>630</v>
      </c>
      <c r="H130" s="51">
        <v>0.16513056</v>
      </c>
      <c r="I130" s="51">
        <v>24818.0</v>
      </c>
      <c r="J130" s="51">
        <v>4355640.44</v>
      </c>
      <c r="K130" s="51">
        <v>4355640.44</v>
      </c>
    </row>
    <row r="131">
      <c r="A131" s="50" t="s">
        <v>2509</v>
      </c>
      <c r="B131" s="50" t="s">
        <v>2510</v>
      </c>
      <c r="C131" s="50" t="s">
        <v>2511</v>
      </c>
      <c r="D131" s="50" t="s">
        <v>93</v>
      </c>
      <c r="E131" s="50" t="s">
        <v>118</v>
      </c>
      <c r="F131" s="50" t="s">
        <v>622</v>
      </c>
      <c r="G131" s="50" t="s">
        <v>623</v>
      </c>
      <c r="H131" s="51">
        <v>0.16330924</v>
      </c>
      <c r="I131" s="51">
        <v>25931.0</v>
      </c>
      <c r="J131" s="51">
        <v>4307599.55</v>
      </c>
      <c r="K131" s="51">
        <v>4307599.55</v>
      </c>
    </row>
    <row r="132">
      <c r="A132" s="50" t="s">
        <v>2165</v>
      </c>
      <c r="B132" s="50">
        <v>5902941.0</v>
      </c>
      <c r="C132" s="50" t="s">
        <v>2166</v>
      </c>
      <c r="D132" s="50" t="s">
        <v>93</v>
      </c>
      <c r="E132" s="50" t="s">
        <v>167</v>
      </c>
      <c r="F132" s="50" t="s">
        <v>686</v>
      </c>
      <c r="G132" s="50" t="s">
        <v>640</v>
      </c>
      <c r="H132" s="51">
        <v>0.16267136</v>
      </c>
      <c r="I132" s="51">
        <v>692755.0</v>
      </c>
      <c r="J132" s="51">
        <v>4290774.19</v>
      </c>
      <c r="K132" s="51">
        <v>4290774.19</v>
      </c>
    </row>
    <row r="133">
      <c r="A133" s="50" t="s">
        <v>2471</v>
      </c>
      <c r="B133" s="50">
        <v>2279303.0</v>
      </c>
      <c r="C133" s="50" t="s">
        <v>2472</v>
      </c>
      <c r="D133" s="50" t="s">
        <v>93</v>
      </c>
      <c r="E133" s="50" t="s">
        <v>121</v>
      </c>
      <c r="F133" s="50" t="s">
        <v>622</v>
      </c>
      <c r="G133" s="50" t="s">
        <v>623</v>
      </c>
      <c r="H133" s="51">
        <v>0.16071969</v>
      </c>
      <c r="I133" s="51">
        <v>34811.0</v>
      </c>
      <c r="J133" s="51">
        <v>4239295.15</v>
      </c>
      <c r="K133" s="51">
        <v>4239295.15</v>
      </c>
    </row>
    <row r="134">
      <c r="A134" s="50" t="s">
        <v>3920</v>
      </c>
      <c r="B134" s="50">
        <v>2860257.0</v>
      </c>
      <c r="C134" s="50" t="s">
        <v>3921</v>
      </c>
      <c r="D134" s="50" t="s">
        <v>93</v>
      </c>
      <c r="E134" s="50" t="s">
        <v>133</v>
      </c>
      <c r="F134" s="50" t="s">
        <v>622</v>
      </c>
      <c r="G134" s="50" t="s">
        <v>623</v>
      </c>
      <c r="H134" s="51">
        <v>0.16043193</v>
      </c>
      <c r="I134" s="51">
        <v>21540.0</v>
      </c>
      <c r="J134" s="51">
        <v>4231704.83</v>
      </c>
      <c r="K134" s="51">
        <v>4231704.83</v>
      </c>
    </row>
    <row r="135">
      <c r="A135" s="50" t="s">
        <v>1853</v>
      </c>
      <c r="B135" s="50">
        <v>2648668.0</v>
      </c>
      <c r="C135" s="50" t="s">
        <v>1854</v>
      </c>
      <c r="D135" s="50" t="s">
        <v>93</v>
      </c>
      <c r="E135" s="50" t="s">
        <v>99</v>
      </c>
      <c r="F135" s="50" t="s">
        <v>622</v>
      </c>
      <c r="G135" s="50" t="s">
        <v>623</v>
      </c>
      <c r="H135" s="51">
        <v>0.15801034</v>
      </c>
      <c r="I135" s="51">
        <v>36521.0</v>
      </c>
      <c r="J135" s="51">
        <v>4167830.76</v>
      </c>
      <c r="K135" s="51">
        <v>4167830.76</v>
      </c>
    </row>
    <row r="136">
      <c r="A136" s="50" t="s">
        <v>2281</v>
      </c>
      <c r="B136" s="50">
        <v>5165294.0</v>
      </c>
      <c r="C136" s="50" t="s">
        <v>2282</v>
      </c>
      <c r="D136" s="50" t="s">
        <v>93</v>
      </c>
      <c r="E136" s="50" t="s">
        <v>167</v>
      </c>
      <c r="F136" s="50" t="s">
        <v>668</v>
      </c>
      <c r="G136" s="50" t="s">
        <v>640</v>
      </c>
      <c r="H136" s="51">
        <v>0.15654858</v>
      </c>
      <c r="I136" s="51">
        <v>6012.0</v>
      </c>
      <c r="J136" s="51">
        <v>4129273.81</v>
      </c>
      <c r="K136" s="51">
        <v>4129273.81</v>
      </c>
    </row>
    <row r="137">
      <c r="A137" s="50" t="s">
        <v>2369</v>
      </c>
      <c r="B137" s="50" t="s">
        <v>2370</v>
      </c>
      <c r="C137" s="50" t="s">
        <v>2371</v>
      </c>
      <c r="D137" s="50" t="s">
        <v>93</v>
      </c>
      <c r="E137" s="50" t="s">
        <v>133</v>
      </c>
      <c r="F137" s="50" t="s">
        <v>622</v>
      </c>
      <c r="G137" s="50" t="s">
        <v>623</v>
      </c>
      <c r="H137" s="51">
        <v>0.15378154</v>
      </c>
      <c r="I137" s="51">
        <v>20688.0</v>
      </c>
      <c r="J137" s="51">
        <v>4056287.84</v>
      </c>
      <c r="K137" s="51">
        <v>4056287.84</v>
      </c>
    </row>
    <row r="138">
      <c r="A138" s="50" t="s">
        <v>2264</v>
      </c>
      <c r="B138" s="50" t="s">
        <v>2265</v>
      </c>
      <c r="C138" s="50" t="s">
        <v>2266</v>
      </c>
      <c r="D138" s="50" t="s">
        <v>93</v>
      </c>
      <c r="E138" s="50" t="s">
        <v>170</v>
      </c>
      <c r="F138" s="50" t="s">
        <v>1352</v>
      </c>
      <c r="G138" s="50" t="s">
        <v>640</v>
      </c>
      <c r="H138" s="51">
        <v>0.15353963</v>
      </c>
      <c r="I138" s="51">
        <v>315236.0</v>
      </c>
      <c r="J138" s="51">
        <v>4049906.94</v>
      </c>
      <c r="K138" s="51">
        <v>4049906.94</v>
      </c>
    </row>
    <row r="139">
      <c r="A139" s="50" t="s">
        <v>2288</v>
      </c>
      <c r="B139" s="50" t="s">
        <v>2289</v>
      </c>
      <c r="C139" s="50" t="s">
        <v>2290</v>
      </c>
      <c r="D139" s="50" t="s">
        <v>93</v>
      </c>
      <c r="E139" s="50" t="s">
        <v>167</v>
      </c>
      <c r="F139" s="50" t="s">
        <v>622</v>
      </c>
      <c r="G139" s="50" t="s">
        <v>623</v>
      </c>
      <c r="H139" s="51">
        <v>0.14975505</v>
      </c>
      <c r="I139" s="51">
        <v>35527.0</v>
      </c>
      <c r="J139" s="51">
        <v>3950081.39</v>
      </c>
      <c r="K139" s="51">
        <v>3950081.39</v>
      </c>
    </row>
    <row r="140">
      <c r="A140" s="50" t="s">
        <v>2052</v>
      </c>
      <c r="B140" s="50">
        <v>4511809.0</v>
      </c>
      <c r="C140" s="50" t="s">
        <v>2053</v>
      </c>
      <c r="D140" s="50" t="s">
        <v>93</v>
      </c>
      <c r="E140" s="50" t="s">
        <v>99</v>
      </c>
      <c r="F140" s="50" t="s">
        <v>649</v>
      </c>
      <c r="G140" s="50" t="s">
        <v>640</v>
      </c>
      <c r="H140" s="51">
        <v>0.14845074</v>
      </c>
      <c r="I140" s="51">
        <v>11134.0</v>
      </c>
      <c r="J140" s="51">
        <v>3915677.58</v>
      </c>
      <c r="K140" s="51">
        <v>3915677.58</v>
      </c>
    </row>
    <row r="141">
      <c r="A141" s="50" t="s">
        <v>2538</v>
      </c>
      <c r="B141" s="50">
        <v>2316619.0</v>
      </c>
      <c r="C141" s="50" t="s">
        <v>2539</v>
      </c>
      <c r="D141" s="50" t="s">
        <v>93</v>
      </c>
      <c r="E141" s="50" t="s">
        <v>133</v>
      </c>
      <c r="F141" s="50" t="s">
        <v>622</v>
      </c>
      <c r="G141" s="50" t="s">
        <v>623</v>
      </c>
      <c r="H141" s="51">
        <v>0.1468818</v>
      </c>
      <c r="I141" s="51">
        <v>11079.0</v>
      </c>
      <c r="J141" s="51">
        <v>3874293.77</v>
      </c>
      <c r="K141" s="51">
        <v>3874293.77</v>
      </c>
    </row>
    <row r="142">
      <c r="A142" s="50" t="s">
        <v>2405</v>
      </c>
      <c r="B142" s="50">
        <v>2937689.0</v>
      </c>
      <c r="C142" s="50" t="s">
        <v>2406</v>
      </c>
      <c r="D142" s="50" t="s">
        <v>93</v>
      </c>
      <c r="E142" s="50" t="s">
        <v>102</v>
      </c>
      <c r="F142" s="50" t="s">
        <v>622</v>
      </c>
      <c r="G142" s="50" t="s">
        <v>623</v>
      </c>
      <c r="H142" s="51">
        <v>0.14620333</v>
      </c>
      <c r="I142" s="51">
        <v>9126.0</v>
      </c>
      <c r="J142" s="51">
        <v>3856397.79</v>
      </c>
      <c r="K142" s="51">
        <v>3856397.79</v>
      </c>
    </row>
    <row r="143">
      <c r="A143" s="50" t="s">
        <v>2666</v>
      </c>
      <c r="B143" s="50" t="s">
        <v>2667</v>
      </c>
      <c r="C143" s="50" t="s">
        <v>2668</v>
      </c>
      <c r="D143" s="50" t="s">
        <v>93</v>
      </c>
      <c r="E143" s="50" t="s">
        <v>133</v>
      </c>
      <c r="F143" s="50" t="s">
        <v>622</v>
      </c>
      <c r="G143" s="50" t="s">
        <v>623</v>
      </c>
      <c r="H143" s="51">
        <v>0.14618333</v>
      </c>
      <c r="I143" s="51">
        <v>38891.0</v>
      </c>
      <c r="J143" s="51">
        <v>3855870.16</v>
      </c>
      <c r="K143" s="51">
        <v>3855870.16</v>
      </c>
    </row>
    <row r="144">
      <c r="A144" s="50" t="s">
        <v>2678</v>
      </c>
      <c r="B144" s="50">
        <v>2971029.0</v>
      </c>
      <c r="C144" s="50" t="s">
        <v>2679</v>
      </c>
      <c r="D144" s="50" t="s">
        <v>93</v>
      </c>
      <c r="E144" s="50" t="s">
        <v>118</v>
      </c>
      <c r="F144" s="50" t="s">
        <v>622</v>
      </c>
      <c r="G144" s="50" t="s">
        <v>623</v>
      </c>
      <c r="H144" s="51">
        <v>0.14617742</v>
      </c>
      <c r="I144" s="51">
        <v>49313.0</v>
      </c>
      <c r="J144" s="51">
        <v>3855714.29</v>
      </c>
      <c r="K144" s="51">
        <v>3855714.29</v>
      </c>
    </row>
    <row r="145">
      <c r="A145" s="50" t="s">
        <v>2060</v>
      </c>
      <c r="B145" s="50" t="s">
        <v>2061</v>
      </c>
      <c r="C145" s="50" t="s">
        <v>2062</v>
      </c>
      <c r="D145" s="50" t="s">
        <v>93</v>
      </c>
      <c r="E145" s="50" t="s">
        <v>167</v>
      </c>
      <c r="F145" s="50" t="s">
        <v>622</v>
      </c>
      <c r="G145" s="50" t="s">
        <v>623</v>
      </c>
      <c r="H145" s="51">
        <v>0.14477705</v>
      </c>
      <c r="I145" s="51">
        <v>20124.0</v>
      </c>
      <c r="J145" s="51">
        <v>3818776.76</v>
      </c>
      <c r="K145" s="51">
        <v>3818776.76</v>
      </c>
    </row>
    <row r="146">
      <c r="A146" s="50" t="s">
        <v>2694</v>
      </c>
      <c r="B146" s="50" t="s">
        <v>2695</v>
      </c>
      <c r="C146" s="50" t="s">
        <v>2696</v>
      </c>
      <c r="D146" s="50" t="s">
        <v>93</v>
      </c>
      <c r="E146" s="50" t="s">
        <v>99</v>
      </c>
      <c r="F146" s="50" t="s">
        <v>918</v>
      </c>
      <c r="G146" s="50" t="s">
        <v>908</v>
      </c>
      <c r="H146" s="51">
        <v>0.14297238</v>
      </c>
      <c r="I146" s="51">
        <v>491513.0</v>
      </c>
      <c r="J146" s="51">
        <v>3771175.25</v>
      </c>
      <c r="K146" s="51">
        <v>3771175.25</v>
      </c>
    </row>
    <row r="147">
      <c r="A147" s="50" t="s">
        <v>2616</v>
      </c>
      <c r="B147" s="50" t="s">
        <v>2617</v>
      </c>
      <c r="C147" s="50" t="s">
        <v>2618</v>
      </c>
      <c r="D147" s="50" t="s">
        <v>93</v>
      </c>
      <c r="E147" s="50" t="s">
        <v>99</v>
      </c>
      <c r="F147" s="50" t="s">
        <v>1740</v>
      </c>
      <c r="G147" s="50" t="s">
        <v>1741</v>
      </c>
      <c r="H147" s="51">
        <v>0.14222032</v>
      </c>
      <c r="I147" s="51">
        <v>283691.0</v>
      </c>
      <c r="J147" s="51">
        <v>3751338.06</v>
      </c>
      <c r="K147" s="51">
        <v>3751338.06</v>
      </c>
    </row>
    <row r="148">
      <c r="A148" s="50" t="s">
        <v>1557</v>
      </c>
      <c r="B148" s="50">
        <v>2807061.0</v>
      </c>
      <c r="C148" s="50" t="s">
        <v>1558</v>
      </c>
      <c r="D148" s="50" t="s">
        <v>93</v>
      </c>
      <c r="E148" s="50" t="s">
        <v>102</v>
      </c>
      <c r="F148" s="50" t="s">
        <v>622</v>
      </c>
      <c r="G148" s="50" t="s">
        <v>623</v>
      </c>
      <c r="H148" s="51">
        <v>0.14196679</v>
      </c>
      <c r="I148" s="51">
        <v>35652.0</v>
      </c>
      <c r="J148" s="51">
        <v>3744650.8</v>
      </c>
      <c r="K148" s="51">
        <v>3744650.8</v>
      </c>
    </row>
    <row r="149">
      <c r="A149" s="50" t="s">
        <v>3922</v>
      </c>
      <c r="B149" s="50">
        <v>2781585.0</v>
      </c>
      <c r="C149" s="50" t="s">
        <v>3923</v>
      </c>
      <c r="D149" s="50" t="s">
        <v>93</v>
      </c>
      <c r="E149" s="50" t="s">
        <v>118</v>
      </c>
      <c r="F149" s="50" t="s">
        <v>622</v>
      </c>
      <c r="G149" s="50" t="s">
        <v>623</v>
      </c>
      <c r="H149" s="51">
        <v>0.14140148</v>
      </c>
      <c r="I149" s="51">
        <v>6787.0</v>
      </c>
      <c r="J149" s="51">
        <v>3729739.6</v>
      </c>
      <c r="K149" s="51">
        <v>3729739.6</v>
      </c>
    </row>
    <row r="150">
      <c r="A150" s="50" t="s">
        <v>2601</v>
      </c>
      <c r="B150" s="50">
        <v>4519579.0</v>
      </c>
      <c r="C150" s="50" t="s">
        <v>2602</v>
      </c>
      <c r="D150" s="50" t="s">
        <v>93</v>
      </c>
      <c r="E150" s="50" t="s">
        <v>124</v>
      </c>
      <c r="F150" s="50" t="s">
        <v>1666</v>
      </c>
      <c r="G150" s="50" t="s">
        <v>640</v>
      </c>
      <c r="H150" s="51">
        <v>0.14116146</v>
      </c>
      <c r="I150" s="51">
        <v>27125.0</v>
      </c>
      <c r="J150" s="51">
        <v>3723408.56</v>
      </c>
      <c r="K150" s="51">
        <v>3723408.56</v>
      </c>
    </row>
    <row r="151">
      <c r="A151" s="50" t="s">
        <v>2785</v>
      </c>
      <c r="B151" s="50" t="s">
        <v>2786</v>
      </c>
      <c r="C151" s="50" t="s">
        <v>2787</v>
      </c>
      <c r="D151" s="50" t="s">
        <v>93</v>
      </c>
      <c r="E151" s="50" t="s">
        <v>121</v>
      </c>
      <c r="F151" s="50" t="s">
        <v>622</v>
      </c>
      <c r="G151" s="50" t="s">
        <v>623</v>
      </c>
      <c r="H151" s="51">
        <v>0.13916956</v>
      </c>
      <c r="I151" s="51">
        <v>27796.0</v>
      </c>
      <c r="J151" s="51">
        <v>3670868.35</v>
      </c>
      <c r="K151" s="51">
        <v>3670868.35</v>
      </c>
    </row>
    <row r="152">
      <c r="A152" s="50" t="s">
        <v>2749</v>
      </c>
      <c r="B152" s="50">
        <v>2989356.0</v>
      </c>
      <c r="C152" s="50" t="s">
        <v>2750</v>
      </c>
      <c r="D152" s="50" t="s">
        <v>93</v>
      </c>
      <c r="E152" s="50" t="s">
        <v>167</v>
      </c>
      <c r="F152" s="50" t="s">
        <v>622</v>
      </c>
      <c r="G152" s="50" t="s">
        <v>623</v>
      </c>
      <c r="H152" s="51">
        <v>0.13727785</v>
      </c>
      <c r="I152" s="51">
        <v>9148.0</v>
      </c>
      <c r="J152" s="51">
        <v>3620970.82</v>
      </c>
      <c r="K152" s="51">
        <v>3620970.82</v>
      </c>
    </row>
    <row r="153">
      <c r="A153" s="50" t="s">
        <v>2989</v>
      </c>
      <c r="B153" s="50" t="s">
        <v>2990</v>
      </c>
      <c r="C153" s="50" t="s">
        <v>2991</v>
      </c>
      <c r="D153" s="50" t="s">
        <v>93</v>
      </c>
      <c r="E153" s="50" t="s">
        <v>121</v>
      </c>
      <c r="F153" s="50" t="s">
        <v>622</v>
      </c>
      <c r="G153" s="50" t="s">
        <v>623</v>
      </c>
      <c r="H153" s="51">
        <v>0.13370267</v>
      </c>
      <c r="I153" s="51">
        <v>81806.0</v>
      </c>
      <c r="J153" s="51">
        <v>3526668.48</v>
      </c>
      <c r="K153" s="51">
        <v>3526668.48</v>
      </c>
    </row>
    <row r="154">
      <c r="A154" s="50" t="s">
        <v>1583</v>
      </c>
      <c r="B154" s="50">
        <v>2455965.0</v>
      </c>
      <c r="C154" s="50" t="s">
        <v>1584</v>
      </c>
      <c r="D154" s="50" t="s">
        <v>93</v>
      </c>
      <c r="E154" s="50" t="s">
        <v>102</v>
      </c>
      <c r="F154" s="50" t="s">
        <v>622</v>
      </c>
      <c r="G154" s="50" t="s">
        <v>623</v>
      </c>
      <c r="H154" s="51">
        <v>0.12866692</v>
      </c>
      <c r="I154" s="51">
        <v>8523.0</v>
      </c>
      <c r="J154" s="51">
        <v>3393840.86</v>
      </c>
      <c r="K154" s="51">
        <v>3393840.86</v>
      </c>
    </row>
    <row r="155">
      <c r="A155" s="50" t="s">
        <v>3924</v>
      </c>
      <c r="B155" s="50">
        <v>2563125.0</v>
      </c>
      <c r="C155" s="50" t="s">
        <v>3925</v>
      </c>
      <c r="D155" s="50" t="s">
        <v>93</v>
      </c>
      <c r="E155" s="50" t="s">
        <v>133</v>
      </c>
      <c r="F155" s="50" t="s">
        <v>622</v>
      </c>
      <c r="G155" s="50" t="s">
        <v>623</v>
      </c>
      <c r="H155" s="51">
        <v>0.12761299</v>
      </c>
      <c r="I155" s="51">
        <v>32315.0</v>
      </c>
      <c r="J155" s="51">
        <v>3366041.25</v>
      </c>
      <c r="K155" s="51">
        <v>3366041.25</v>
      </c>
    </row>
    <row r="156">
      <c r="A156" s="50" t="s">
        <v>2624</v>
      </c>
      <c r="B156" s="50" t="s">
        <v>2625</v>
      </c>
      <c r="C156" s="50" t="s">
        <v>2626</v>
      </c>
      <c r="D156" s="50" t="s">
        <v>93</v>
      </c>
      <c r="E156" s="50" t="s">
        <v>99</v>
      </c>
      <c r="F156" s="50" t="s">
        <v>622</v>
      </c>
      <c r="G156" s="50" t="s">
        <v>623</v>
      </c>
      <c r="H156" s="51">
        <v>0.124247</v>
      </c>
      <c r="I156" s="51">
        <v>65332.0</v>
      </c>
      <c r="J156" s="51">
        <v>3277256.92</v>
      </c>
      <c r="K156" s="51">
        <v>3277256.92</v>
      </c>
    </row>
    <row r="157">
      <c r="A157" s="50" t="s">
        <v>3926</v>
      </c>
      <c r="B157" s="50">
        <v>2491594.0</v>
      </c>
      <c r="C157" s="50" t="s">
        <v>3927</v>
      </c>
      <c r="D157" s="50" t="s">
        <v>93</v>
      </c>
      <c r="E157" s="50" t="s">
        <v>133</v>
      </c>
      <c r="F157" s="50" t="s">
        <v>622</v>
      </c>
      <c r="G157" s="50" t="s">
        <v>623</v>
      </c>
      <c r="H157" s="51">
        <v>0.11925099</v>
      </c>
      <c r="I157" s="51">
        <v>106230.0</v>
      </c>
      <c r="J157" s="51">
        <v>3145477.4</v>
      </c>
      <c r="K157" s="51">
        <v>3145477.4</v>
      </c>
    </row>
    <row r="158">
      <c r="A158" s="50" t="s">
        <v>2725</v>
      </c>
      <c r="B158" s="50">
        <v>2727910.0</v>
      </c>
      <c r="C158" s="50" t="s">
        <v>2726</v>
      </c>
      <c r="D158" s="50" t="s">
        <v>93</v>
      </c>
      <c r="E158" s="50" t="s">
        <v>133</v>
      </c>
      <c r="F158" s="50" t="s">
        <v>622</v>
      </c>
      <c r="G158" s="50" t="s">
        <v>623</v>
      </c>
      <c r="H158" s="51">
        <v>0.11834124</v>
      </c>
      <c r="I158" s="51">
        <v>52271.0</v>
      </c>
      <c r="J158" s="51">
        <v>3121480.88</v>
      </c>
      <c r="K158" s="51">
        <v>3121480.88</v>
      </c>
    </row>
    <row r="159">
      <c r="A159" s="50" t="s">
        <v>2484</v>
      </c>
      <c r="B159" s="50">
        <v>5533976.0</v>
      </c>
      <c r="C159" s="50" t="s">
        <v>2485</v>
      </c>
      <c r="D159" s="50" t="s">
        <v>93</v>
      </c>
      <c r="E159" s="50" t="s">
        <v>121</v>
      </c>
      <c r="F159" s="50" t="s">
        <v>654</v>
      </c>
      <c r="G159" s="50" t="s">
        <v>655</v>
      </c>
      <c r="H159" s="51">
        <v>0.11783013</v>
      </c>
      <c r="I159" s="51">
        <v>3287.0</v>
      </c>
      <c r="J159" s="51">
        <v>3107999.31</v>
      </c>
      <c r="K159" s="51">
        <v>3107999.31</v>
      </c>
    </row>
    <row r="160">
      <c r="A160" s="50" t="s">
        <v>2863</v>
      </c>
      <c r="B160" s="50">
        <v>6641801.0</v>
      </c>
      <c r="C160" s="50" t="s">
        <v>2864</v>
      </c>
      <c r="D160" s="50" t="s">
        <v>93</v>
      </c>
      <c r="E160" s="50" t="s">
        <v>94</v>
      </c>
      <c r="F160" s="50" t="s">
        <v>629</v>
      </c>
      <c r="G160" s="50" t="s">
        <v>630</v>
      </c>
      <c r="H160" s="51">
        <v>0.11703386</v>
      </c>
      <c r="I160" s="51">
        <v>28272.0</v>
      </c>
      <c r="J160" s="51">
        <v>3086996.11</v>
      </c>
      <c r="K160" s="51">
        <v>3086996.11</v>
      </c>
    </row>
    <row r="161">
      <c r="A161" s="50" t="s">
        <v>2432</v>
      </c>
      <c r="B161" s="50">
        <v>2630643.0</v>
      </c>
      <c r="C161" s="50" t="s">
        <v>2433</v>
      </c>
      <c r="D161" s="50" t="s">
        <v>93</v>
      </c>
      <c r="E161" s="50" t="s">
        <v>167</v>
      </c>
      <c r="F161" s="50" t="s">
        <v>622</v>
      </c>
      <c r="G161" s="50" t="s">
        <v>623</v>
      </c>
      <c r="H161" s="51">
        <v>0.11682912</v>
      </c>
      <c r="I161" s="51">
        <v>25253.0</v>
      </c>
      <c r="J161" s="51">
        <v>3081595.7</v>
      </c>
      <c r="K161" s="51">
        <v>3081595.7</v>
      </c>
    </row>
    <row r="162">
      <c r="A162" s="50" t="s">
        <v>2834</v>
      </c>
      <c r="B162" s="50">
        <v>6642860.0</v>
      </c>
      <c r="C162" s="50" t="s">
        <v>2835</v>
      </c>
      <c r="D162" s="50" t="s">
        <v>93</v>
      </c>
      <c r="E162" s="50" t="s">
        <v>118</v>
      </c>
      <c r="F162" s="50" t="s">
        <v>629</v>
      </c>
      <c r="G162" s="50" t="s">
        <v>630</v>
      </c>
      <c r="H162" s="51">
        <v>0.11674046</v>
      </c>
      <c r="I162" s="51">
        <v>444232.0</v>
      </c>
      <c r="J162" s="51">
        <v>3079257.28</v>
      </c>
      <c r="K162" s="51">
        <v>3079257.28</v>
      </c>
    </row>
    <row r="163">
      <c r="A163" s="50" t="s">
        <v>1942</v>
      </c>
      <c r="B163" s="50">
        <v>6985383.0</v>
      </c>
      <c r="C163" s="50" t="s">
        <v>1943</v>
      </c>
      <c r="D163" s="50" t="s">
        <v>93</v>
      </c>
      <c r="E163" s="50" t="s">
        <v>102</v>
      </c>
      <c r="F163" s="50" t="s">
        <v>629</v>
      </c>
      <c r="G163" s="50" t="s">
        <v>630</v>
      </c>
      <c r="H163" s="51">
        <v>0.11476838</v>
      </c>
      <c r="I163" s="51">
        <v>130473.0</v>
      </c>
      <c r="J163" s="51">
        <v>3027239.69</v>
      </c>
      <c r="K163" s="51">
        <v>3027239.69</v>
      </c>
    </row>
    <row r="164">
      <c r="A164" s="50" t="s">
        <v>3928</v>
      </c>
      <c r="B164" s="50">
        <v>2466321.0</v>
      </c>
      <c r="C164" s="50" t="s">
        <v>3929</v>
      </c>
      <c r="D164" s="50" t="s">
        <v>93</v>
      </c>
      <c r="E164" s="50" t="s">
        <v>121</v>
      </c>
      <c r="F164" s="50" t="s">
        <v>622</v>
      </c>
      <c r="G164" s="50" t="s">
        <v>623</v>
      </c>
      <c r="H164" s="51">
        <v>0.11313724</v>
      </c>
      <c r="I164" s="51">
        <v>61866.0</v>
      </c>
      <c r="J164" s="51">
        <v>2984215.16</v>
      </c>
      <c r="K164" s="51">
        <v>2984215.16</v>
      </c>
    </row>
    <row r="165">
      <c r="A165" s="50" t="s">
        <v>2766</v>
      </c>
      <c r="B165" s="50" t="s">
        <v>2767</v>
      </c>
      <c r="C165" s="50" t="s">
        <v>2768</v>
      </c>
      <c r="D165" s="50" t="s">
        <v>93</v>
      </c>
      <c r="E165" s="50" t="s">
        <v>127</v>
      </c>
      <c r="F165" s="50" t="s">
        <v>918</v>
      </c>
      <c r="G165" s="50" t="s">
        <v>908</v>
      </c>
      <c r="H165" s="51">
        <v>0.11167022</v>
      </c>
      <c r="I165" s="51">
        <v>54086.0</v>
      </c>
      <c r="J165" s="51">
        <v>2945519.83</v>
      </c>
      <c r="K165" s="51">
        <v>2945519.83</v>
      </c>
    </row>
    <row r="166">
      <c r="A166" s="50" t="s">
        <v>2553</v>
      </c>
      <c r="B166" s="50" t="s">
        <v>2554</v>
      </c>
      <c r="C166" s="50" t="s">
        <v>2555</v>
      </c>
      <c r="D166" s="50" t="s">
        <v>93</v>
      </c>
      <c r="E166" s="50" t="s">
        <v>133</v>
      </c>
      <c r="F166" s="50" t="s">
        <v>918</v>
      </c>
      <c r="G166" s="50" t="s">
        <v>908</v>
      </c>
      <c r="H166" s="51">
        <v>0.11004351</v>
      </c>
      <c r="I166" s="51">
        <v>200917.0</v>
      </c>
      <c r="J166" s="51">
        <v>2902612.15</v>
      </c>
      <c r="K166" s="51">
        <v>2902612.15</v>
      </c>
    </row>
    <row r="167">
      <c r="A167" s="50" t="s">
        <v>1820</v>
      </c>
      <c r="B167" s="50" t="s">
        <v>1821</v>
      </c>
      <c r="C167" s="50" t="s">
        <v>1822</v>
      </c>
      <c r="D167" s="50" t="s">
        <v>93</v>
      </c>
      <c r="E167" s="50" t="s">
        <v>102</v>
      </c>
      <c r="F167" s="50" t="s">
        <v>622</v>
      </c>
      <c r="G167" s="50" t="s">
        <v>623</v>
      </c>
      <c r="H167" s="51">
        <v>0.10961668</v>
      </c>
      <c r="I167" s="51">
        <v>8814.0</v>
      </c>
      <c r="J167" s="51">
        <v>2891353.49</v>
      </c>
      <c r="K167" s="51">
        <v>2891353.49</v>
      </c>
    </row>
    <row r="168">
      <c r="A168" s="50" t="s">
        <v>3930</v>
      </c>
      <c r="B168" s="50" t="s">
        <v>3931</v>
      </c>
      <c r="C168" s="50" t="s">
        <v>1849</v>
      </c>
      <c r="D168" s="50" t="s">
        <v>93</v>
      </c>
      <c r="E168" s="50" t="s">
        <v>102</v>
      </c>
      <c r="F168" s="50" t="s">
        <v>668</v>
      </c>
      <c r="G168" s="50" t="s">
        <v>640</v>
      </c>
      <c r="H168" s="51">
        <v>0.10918782</v>
      </c>
      <c r="I168" s="51">
        <v>3549.0</v>
      </c>
      <c r="J168" s="51">
        <v>2880041.67</v>
      </c>
      <c r="K168" s="51">
        <v>2880041.67</v>
      </c>
    </row>
    <row r="169">
      <c r="A169" s="50" t="s">
        <v>2688</v>
      </c>
      <c r="B169" s="50" t="s">
        <v>2689</v>
      </c>
      <c r="C169" s="50" t="s">
        <v>2690</v>
      </c>
      <c r="D169" s="50" t="s">
        <v>93</v>
      </c>
      <c r="E169" s="50" t="s">
        <v>167</v>
      </c>
      <c r="F169" s="50" t="s">
        <v>622</v>
      </c>
      <c r="G169" s="50" t="s">
        <v>623</v>
      </c>
      <c r="H169" s="51">
        <v>0.10633891</v>
      </c>
      <c r="I169" s="51">
        <v>20987.0</v>
      </c>
      <c r="J169" s="51">
        <v>2804896.09</v>
      </c>
      <c r="K169" s="51">
        <v>2804896.09</v>
      </c>
    </row>
    <row r="170">
      <c r="A170" s="50" t="s">
        <v>2931</v>
      </c>
      <c r="B170" s="50" t="s">
        <v>2932</v>
      </c>
      <c r="C170" s="50" t="s">
        <v>2933</v>
      </c>
      <c r="D170" s="50" t="s">
        <v>93</v>
      </c>
      <c r="E170" s="50" t="s">
        <v>99</v>
      </c>
      <c r="F170" s="50" t="s">
        <v>668</v>
      </c>
      <c r="G170" s="50" t="s">
        <v>640</v>
      </c>
      <c r="H170" s="51">
        <v>0.10449062</v>
      </c>
      <c r="I170" s="51">
        <v>45870.0</v>
      </c>
      <c r="J170" s="51">
        <v>2756143.85</v>
      </c>
      <c r="K170" s="51">
        <v>2756143.85</v>
      </c>
    </row>
    <row r="171">
      <c r="A171" s="50" t="s">
        <v>2888</v>
      </c>
      <c r="B171" s="50" t="s">
        <v>2889</v>
      </c>
      <c r="C171" s="50" t="s">
        <v>2890</v>
      </c>
      <c r="D171" s="50" t="s">
        <v>93</v>
      </c>
      <c r="E171" s="50" t="s">
        <v>121</v>
      </c>
      <c r="F171" s="50" t="s">
        <v>918</v>
      </c>
      <c r="G171" s="50" t="s">
        <v>908</v>
      </c>
      <c r="H171" s="51">
        <v>0.10203647</v>
      </c>
      <c r="I171" s="51">
        <v>181928.0</v>
      </c>
      <c r="J171" s="51">
        <v>2691410.7</v>
      </c>
      <c r="K171" s="51">
        <v>2691410.7</v>
      </c>
    </row>
    <row r="172">
      <c r="A172" s="50" t="s">
        <v>2118</v>
      </c>
      <c r="B172" s="50">
        <v>2169051.0</v>
      </c>
      <c r="C172" s="50" t="s">
        <v>2119</v>
      </c>
      <c r="D172" s="50" t="s">
        <v>93</v>
      </c>
      <c r="E172" s="50" t="s">
        <v>121</v>
      </c>
      <c r="F172" s="50" t="s">
        <v>694</v>
      </c>
      <c r="G172" s="50" t="s">
        <v>1003</v>
      </c>
      <c r="H172" s="51">
        <v>0.10076203</v>
      </c>
      <c r="I172" s="51">
        <v>41296.0</v>
      </c>
      <c r="J172" s="51">
        <v>2657794.99</v>
      </c>
      <c r="K172" s="51">
        <v>2657794.99</v>
      </c>
    </row>
    <row r="173">
      <c r="A173" s="50" t="s">
        <v>3932</v>
      </c>
      <c r="B173" s="50" t="s">
        <v>3933</v>
      </c>
      <c r="C173" s="50" t="s">
        <v>3934</v>
      </c>
      <c r="D173" s="50" t="s">
        <v>93</v>
      </c>
      <c r="E173" s="50" t="s">
        <v>167</v>
      </c>
      <c r="F173" s="50" t="s">
        <v>654</v>
      </c>
      <c r="G173" s="50" t="s">
        <v>655</v>
      </c>
      <c r="H173" s="51">
        <v>0.09939264</v>
      </c>
      <c r="I173" s="51">
        <v>24094.0</v>
      </c>
      <c r="J173" s="51">
        <v>2621674.58</v>
      </c>
      <c r="K173" s="51">
        <v>2621674.58</v>
      </c>
    </row>
    <row r="174">
      <c r="A174" s="50" t="s">
        <v>2865</v>
      </c>
      <c r="B174" s="50" t="s">
        <v>2866</v>
      </c>
      <c r="C174" s="50" t="s">
        <v>2867</v>
      </c>
      <c r="D174" s="50" t="s">
        <v>93</v>
      </c>
      <c r="E174" s="50" t="s">
        <v>167</v>
      </c>
      <c r="F174" s="50" t="s">
        <v>622</v>
      </c>
      <c r="G174" s="50" t="s">
        <v>623</v>
      </c>
      <c r="H174" s="51">
        <v>0.09778533</v>
      </c>
      <c r="I174" s="51">
        <v>25693.0</v>
      </c>
      <c r="J174" s="51">
        <v>2579278.64</v>
      </c>
      <c r="K174" s="51">
        <v>2579278.64</v>
      </c>
    </row>
    <row r="175">
      <c r="A175" s="50" t="s">
        <v>2891</v>
      </c>
      <c r="B175" s="50">
        <v>6986041.0</v>
      </c>
      <c r="C175" s="50" t="s">
        <v>2892</v>
      </c>
      <c r="D175" s="50" t="s">
        <v>93</v>
      </c>
      <c r="E175" s="50" t="s">
        <v>127</v>
      </c>
      <c r="F175" s="50" t="s">
        <v>629</v>
      </c>
      <c r="G175" s="50" t="s">
        <v>630</v>
      </c>
      <c r="H175" s="51">
        <v>0.09509542</v>
      </c>
      <c r="I175" s="51">
        <v>41766.0</v>
      </c>
      <c r="J175" s="51">
        <v>2508327.09</v>
      </c>
      <c r="K175" s="51">
        <v>2508327.09</v>
      </c>
    </row>
    <row r="176">
      <c r="A176" s="50" t="s">
        <v>3935</v>
      </c>
      <c r="B176" s="50" t="s">
        <v>3936</v>
      </c>
      <c r="C176" s="50" t="s">
        <v>3937</v>
      </c>
      <c r="D176" s="50" t="s">
        <v>93</v>
      </c>
      <c r="E176" s="50" t="s">
        <v>127</v>
      </c>
      <c r="F176" s="50" t="s">
        <v>622</v>
      </c>
      <c r="G176" s="50" t="s">
        <v>623</v>
      </c>
      <c r="H176" s="51">
        <v>0.08616205</v>
      </c>
      <c r="I176" s="51">
        <v>13761.0</v>
      </c>
      <c r="J176" s="51">
        <v>2272692.11</v>
      </c>
      <c r="K176" s="51">
        <v>2272692.11</v>
      </c>
    </row>
    <row r="177">
      <c r="A177" s="50" t="s">
        <v>2275</v>
      </c>
      <c r="B177" s="50">
        <v>6196408.0</v>
      </c>
      <c r="C177" s="50" t="s">
        <v>2276</v>
      </c>
      <c r="D177" s="50" t="s">
        <v>93</v>
      </c>
      <c r="E177" s="50" t="s">
        <v>102</v>
      </c>
      <c r="F177" s="50" t="s">
        <v>629</v>
      </c>
      <c r="G177" s="50" t="s">
        <v>630</v>
      </c>
      <c r="H177" s="51">
        <v>0.08530772</v>
      </c>
      <c r="I177" s="51">
        <v>47732.0</v>
      </c>
      <c r="J177" s="51">
        <v>2250157.49</v>
      </c>
      <c r="K177" s="51">
        <v>2250157.49</v>
      </c>
    </row>
    <row r="178">
      <c r="A178" s="50" t="s">
        <v>2103</v>
      </c>
      <c r="B178" s="50" t="s">
        <v>2104</v>
      </c>
      <c r="C178" s="50" t="s">
        <v>2105</v>
      </c>
      <c r="D178" s="50" t="s">
        <v>93</v>
      </c>
      <c r="E178" s="50" t="s">
        <v>102</v>
      </c>
      <c r="F178" s="50" t="s">
        <v>622</v>
      </c>
      <c r="G178" s="50" t="s">
        <v>623</v>
      </c>
      <c r="H178" s="51">
        <v>0.0850336</v>
      </c>
      <c r="I178" s="51">
        <v>6280.0</v>
      </c>
      <c r="J178" s="51">
        <v>2242926.83</v>
      </c>
      <c r="K178" s="51">
        <v>2242926.83</v>
      </c>
    </row>
    <row r="179">
      <c r="A179" s="50" t="s">
        <v>2637</v>
      </c>
      <c r="B179" s="50" t="s">
        <v>2638</v>
      </c>
      <c r="C179" s="50" t="s">
        <v>2639</v>
      </c>
      <c r="D179" s="50" t="s">
        <v>93</v>
      </c>
      <c r="E179" s="50" t="s">
        <v>121</v>
      </c>
      <c r="F179" s="50" t="s">
        <v>622</v>
      </c>
      <c r="G179" s="50" t="s">
        <v>623</v>
      </c>
      <c r="H179" s="51">
        <v>0.08438438</v>
      </c>
      <c r="I179" s="51">
        <v>15335.0</v>
      </c>
      <c r="J179" s="51">
        <v>2225802.47</v>
      </c>
      <c r="K179" s="51">
        <v>2225802.47</v>
      </c>
    </row>
    <row r="180">
      <c r="A180" s="50" t="s">
        <v>3040</v>
      </c>
      <c r="B180" s="50">
        <v>6659428.0</v>
      </c>
      <c r="C180" s="50" t="s">
        <v>3041</v>
      </c>
      <c r="D180" s="50" t="s">
        <v>93</v>
      </c>
      <c r="E180" s="50" t="s">
        <v>167</v>
      </c>
      <c r="F180" s="50" t="s">
        <v>629</v>
      </c>
      <c r="G180" s="50" t="s">
        <v>630</v>
      </c>
      <c r="H180" s="51">
        <v>0.08266215</v>
      </c>
      <c r="I180" s="51">
        <v>29828.0</v>
      </c>
      <c r="J180" s="51">
        <v>2180375.36</v>
      </c>
      <c r="K180" s="51">
        <v>2180375.36</v>
      </c>
    </row>
    <row r="181">
      <c r="A181" s="50" t="s">
        <v>3207</v>
      </c>
      <c r="B181" s="50">
        <v>6804369.0</v>
      </c>
      <c r="C181" s="50" t="s">
        <v>3208</v>
      </c>
      <c r="D181" s="50" t="s">
        <v>93</v>
      </c>
      <c r="E181" s="50" t="s">
        <v>167</v>
      </c>
      <c r="F181" s="50" t="s">
        <v>629</v>
      </c>
      <c r="G181" s="50" t="s">
        <v>630</v>
      </c>
      <c r="H181" s="51">
        <v>0.08211568</v>
      </c>
      <c r="I181" s="51">
        <v>49001.0</v>
      </c>
      <c r="J181" s="51">
        <v>2165961.17</v>
      </c>
      <c r="K181" s="51">
        <v>2165961.17</v>
      </c>
    </row>
    <row r="182">
      <c r="A182" s="50" t="s">
        <v>3113</v>
      </c>
      <c r="B182" s="50" t="s">
        <v>3114</v>
      </c>
      <c r="C182" s="50" t="s">
        <v>3115</v>
      </c>
      <c r="D182" s="50" t="s">
        <v>93</v>
      </c>
      <c r="E182" s="50" t="s">
        <v>118</v>
      </c>
      <c r="F182" s="50" t="s">
        <v>622</v>
      </c>
      <c r="G182" s="50" t="s">
        <v>623</v>
      </c>
      <c r="H182" s="51">
        <v>0.08135279</v>
      </c>
      <c r="I182" s="51">
        <v>20715.0</v>
      </c>
      <c r="J182" s="51">
        <v>2145838.43</v>
      </c>
      <c r="K182" s="51">
        <v>2145838.43</v>
      </c>
    </row>
    <row r="183">
      <c r="A183" s="50" t="s">
        <v>3132</v>
      </c>
      <c r="B183" s="50" t="s">
        <v>3133</v>
      </c>
      <c r="C183" s="50" t="s">
        <v>3134</v>
      </c>
      <c r="D183" s="50" t="s">
        <v>93</v>
      </c>
      <c r="E183" s="50" t="s">
        <v>170</v>
      </c>
      <c r="F183" s="50" t="s">
        <v>918</v>
      </c>
      <c r="G183" s="50" t="s">
        <v>908</v>
      </c>
      <c r="H183" s="51">
        <v>0.08045871</v>
      </c>
      <c r="I183" s="51">
        <v>112060.0</v>
      </c>
      <c r="J183" s="51">
        <v>2122255.2</v>
      </c>
      <c r="K183" s="51">
        <v>2122255.2</v>
      </c>
    </row>
    <row r="184">
      <c r="A184" s="50" t="s">
        <v>3023</v>
      </c>
      <c r="B184" s="50" t="s">
        <v>3024</v>
      </c>
      <c r="C184" s="50" t="s">
        <v>3025</v>
      </c>
      <c r="D184" s="50" t="s">
        <v>93</v>
      </c>
      <c r="E184" s="50" t="s">
        <v>167</v>
      </c>
      <c r="F184" s="50" t="s">
        <v>622</v>
      </c>
      <c r="G184" s="50" t="s">
        <v>623</v>
      </c>
      <c r="H184" s="51">
        <v>0.07698676</v>
      </c>
      <c r="I184" s="51">
        <v>29080.0</v>
      </c>
      <c r="J184" s="51">
        <v>2030675.78</v>
      </c>
      <c r="K184" s="51">
        <v>2030675.78</v>
      </c>
    </row>
    <row r="185">
      <c r="A185" s="50" t="s">
        <v>2388</v>
      </c>
      <c r="B185" s="50">
        <v>6307200.0</v>
      </c>
      <c r="C185" s="50" t="s">
        <v>2389</v>
      </c>
      <c r="D185" s="50" t="s">
        <v>93</v>
      </c>
      <c r="E185" s="50" t="s">
        <v>102</v>
      </c>
      <c r="F185" s="50" t="s">
        <v>629</v>
      </c>
      <c r="G185" s="50" t="s">
        <v>630</v>
      </c>
      <c r="H185" s="51">
        <v>0.07542277</v>
      </c>
      <c r="I185" s="51">
        <v>21077.0</v>
      </c>
      <c r="J185" s="51">
        <v>1989422.61</v>
      </c>
      <c r="K185" s="51">
        <v>1989422.61</v>
      </c>
    </row>
    <row r="186">
      <c r="A186" s="50" t="s">
        <v>3212</v>
      </c>
      <c r="B186" s="50" t="s">
        <v>3213</v>
      </c>
      <c r="C186" s="50" t="s">
        <v>3214</v>
      </c>
      <c r="D186" s="50" t="s">
        <v>93</v>
      </c>
      <c r="E186" s="50" t="s">
        <v>99</v>
      </c>
      <c r="F186" s="50" t="s">
        <v>639</v>
      </c>
      <c r="G186" s="50" t="s">
        <v>640</v>
      </c>
      <c r="H186" s="51">
        <v>0.07436786</v>
      </c>
      <c r="I186" s="51">
        <v>42070.0</v>
      </c>
      <c r="J186" s="51">
        <v>1961597.22</v>
      </c>
      <c r="K186" s="51">
        <v>1961597.22</v>
      </c>
    </row>
    <row r="187">
      <c r="A187" s="50" t="s">
        <v>3938</v>
      </c>
      <c r="B187" s="50">
        <v>2212706.0</v>
      </c>
      <c r="C187" s="50" t="s">
        <v>3939</v>
      </c>
      <c r="D187" s="50" t="s">
        <v>93</v>
      </c>
      <c r="E187" s="50" t="s">
        <v>102</v>
      </c>
      <c r="F187" s="50" t="s">
        <v>622</v>
      </c>
      <c r="G187" s="50" t="s">
        <v>623</v>
      </c>
      <c r="H187" s="51">
        <v>0.0714882</v>
      </c>
      <c r="I187" s="51">
        <v>3712.0</v>
      </c>
      <c r="J187" s="51">
        <v>1885640.64</v>
      </c>
      <c r="K187" s="51">
        <v>1885640.64</v>
      </c>
    </row>
    <row r="188">
      <c r="A188" s="50" t="s">
        <v>2324</v>
      </c>
      <c r="B188" s="50">
        <v>2586122.0</v>
      </c>
      <c r="C188" s="50" t="s">
        <v>2325</v>
      </c>
      <c r="D188" s="50" t="s">
        <v>93</v>
      </c>
      <c r="E188" s="50" t="s">
        <v>102</v>
      </c>
      <c r="F188" s="50" t="s">
        <v>622</v>
      </c>
      <c r="G188" s="50" t="s">
        <v>623</v>
      </c>
      <c r="H188" s="51">
        <v>0.07090705</v>
      </c>
      <c r="I188" s="51">
        <v>5912.0</v>
      </c>
      <c r="J188" s="51">
        <v>1870311.76</v>
      </c>
      <c r="K188" s="51">
        <v>1870311.76</v>
      </c>
    </row>
    <row r="189">
      <c r="A189" s="50" t="s">
        <v>2934</v>
      </c>
      <c r="B189" s="50" t="s">
        <v>2935</v>
      </c>
      <c r="C189" s="50" t="s">
        <v>2936</v>
      </c>
      <c r="D189" s="50" t="s">
        <v>93</v>
      </c>
      <c r="E189" s="50" t="s">
        <v>118</v>
      </c>
      <c r="F189" s="50" t="s">
        <v>622</v>
      </c>
      <c r="G189" s="50" t="s">
        <v>623</v>
      </c>
      <c r="H189" s="51">
        <v>0.06943467</v>
      </c>
      <c r="I189" s="51">
        <v>7824.0</v>
      </c>
      <c r="J189" s="51">
        <v>1831474.79</v>
      </c>
      <c r="K189" s="51">
        <v>1831474.79</v>
      </c>
    </row>
    <row r="190">
      <c r="A190" s="50" t="s">
        <v>3940</v>
      </c>
      <c r="B190" s="50">
        <v>2305844.0</v>
      </c>
      <c r="C190" s="50" t="s">
        <v>3941</v>
      </c>
      <c r="D190" s="50" t="s">
        <v>93</v>
      </c>
      <c r="E190" s="50" t="s">
        <v>102</v>
      </c>
      <c r="F190" s="50" t="s">
        <v>622</v>
      </c>
      <c r="G190" s="50" t="s">
        <v>623</v>
      </c>
      <c r="H190" s="51">
        <v>0.05943236</v>
      </c>
      <c r="I190" s="51">
        <v>8953.0</v>
      </c>
      <c r="J190" s="51">
        <v>1567644.29</v>
      </c>
      <c r="K190" s="51">
        <v>1567644.29</v>
      </c>
    </row>
    <row r="191">
      <c r="A191" s="50" t="s">
        <v>2826</v>
      </c>
      <c r="B191" s="50">
        <v>2471950.0</v>
      </c>
      <c r="C191" s="50" t="s">
        <v>2827</v>
      </c>
      <c r="D191" s="50" t="s">
        <v>93</v>
      </c>
      <c r="E191" s="50" t="s">
        <v>102</v>
      </c>
      <c r="F191" s="50" t="s">
        <v>622</v>
      </c>
      <c r="G191" s="50" t="s">
        <v>623</v>
      </c>
      <c r="H191" s="51">
        <v>0.05568899</v>
      </c>
      <c r="I191" s="51">
        <v>14895.0</v>
      </c>
      <c r="J191" s="51">
        <v>1468905.7</v>
      </c>
      <c r="K191" s="51">
        <v>1468905.7</v>
      </c>
    </row>
    <row r="192">
      <c r="A192" s="50" t="s">
        <v>2589</v>
      </c>
      <c r="B192" s="50">
        <v>2702791.0</v>
      </c>
      <c r="C192" s="50" t="s">
        <v>2590</v>
      </c>
      <c r="D192" s="50" t="s">
        <v>93</v>
      </c>
      <c r="E192" s="50" t="s">
        <v>102</v>
      </c>
      <c r="F192" s="50" t="s">
        <v>622</v>
      </c>
      <c r="G192" s="50" t="s">
        <v>623</v>
      </c>
      <c r="H192" s="51">
        <v>0.05518126</v>
      </c>
      <c r="I192" s="51">
        <v>7357.0</v>
      </c>
      <c r="J192" s="51">
        <v>1455513.36</v>
      </c>
      <c r="K192" s="51">
        <v>1455513.36</v>
      </c>
    </row>
    <row r="193">
      <c r="A193" s="50" t="s">
        <v>3942</v>
      </c>
      <c r="B193" s="50">
        <v>7156036.0</v>
      </c>
      <c r="C193" s="50" t="s">
        <v>3943</v>
      </c>
      <c r="D193" s="50" t="s">
        <v>93</v>
      </c>
      <c r="E193" s="50" t="s">
        <v>102</v>
      </c>
      <c r="F193" s="50" t="s">
        <v>654</v>
      </c>
      <c r="G193" s="50" t="s">
        <v>655</v>
      </c>
      <c r="H193" s="51">
        <v>0.05259362</v>
      </c>
      <c r="I193" s="51">
        <v>3608.0</v>
      </c>
      <c r="J193" s="51">
        <v>1387259.11</v>
      </c>
      <c r="K193" s="51">
        <v>1387259.11</v>
      </c>
    </row>
    <row r="194">
      <c r="A194" s="50" t="s">
        <v>2868</v>
      </c>
      <c r="B194" s="50">
        <v>5596991.0</v>
      </c>
      <c r="C194" s="50" t="s">
        <v>2869</v>
      </c>
      <c r="D194" s="50" t="s">
        <v>93</v>
      </c>
      <c r="E194" s="50" t="s">
        <v>102</v>
      </c>
      <c r="F194" s="50" t="s">
        <v>1374</v>
      </c>
      <c r="G194" s="50" t="s">
        <v>640</v>
      </c>
      <c r="H194" s="51">
        <v>0.0457191</v>
      </c>
      <c r="I194" s="51">
        <v>8847.0</v>
      </c>
      <c r="J194" s="51">
        <v>1205930.36</v>
      </c>
      <c r="K194" s="51">
        <v>1205930.36</v>
      </c>
    </row>
    <row r="195">
      <c r="A195" s="50" t="s">
        <v>3021</v>
      </c>
      <c r="B195" s="50">
        <v>6660107.0</v>
      </c>
      <c r="C195" s="50" t="s">
        <v>3022</v>
      </c>
      <c r="D195" s="50" t="s">
        <v>93</v>
      </c>
      <c r="E195" s="50" t="s">
        <v>102</v>
      </c>
      <c r="F195" s="50" t="s">
        <v>629</v>
      </c>
      <c r="G195" s="50" t="s">
        <v>630</v>
      </c>
      <c r="H195" s="51">
        <v>0.04249504</v>
      </c>
      <c r="I195" s="51">
        <v>36773.0</v>
      </c>
      <c r="J195" s="51">
        <v>1120889.48</v>
      </c>
      <c r="K195" s="51">
        <v>1120889.48</v>
      </c>
    </row>
    <row r="196">
      <c r="A196" s="50" t="s">
        <v>2955</v>
      </c>
      <c r="B196" s="50">
        <v>2416962.0</v>
      </c>
      <c r="C196" s="50" t="s">
        <v>2956</v>
      </c>
      <c r="D196" s="50" t="s">
        <v>93</v>
      </c>
      <c r="E196" s="50" t="s">
        <v>102</v>
      </c>
      <c r="F196" s="50" t="s">
        <v>622</v>
      </c>
      <c r="G196" s="50" t="s">
        <v>623</v>
      </c>
      <c r="H196" s="51">
        <v>0.03886748</v>
      </c>
      <c r="I196" s="51">
        <v>8864.0</v>
      </c>
      <c r="J196" s="51">
        <v>1025205.53</v>
      </c>
      <c r="K196" s="51">
        <v>1025205.53</v>
      </c>
    </row>
    <row r="197">
      <c r="A197" s="50" t="s">
        <v>3121</v>
      </c>
      <c r="B197" s="50" t="s">
        <v>3122</v>
      </c>
      <c r="C197" s="50" t="s">
        <v>3123</v>
      </c>
      <c r="D197" s="50" t="s">
        <v>93</v>
      </c>
      <c r="E197" s="50" t="s">
        <v>102</v>
      </c>
      <c r="F197" s="50" t="s">
        <v>629</v>
      </c>
      <c r="G197" s="50" t="s">
        <v>630</v>
      </c>
      <c r="H197" s="51">
        <v>0.0363753</v>
      </c>
      <c r="I197" s="51">
        <v>31846.0</v>
      </c>
      <c r="J197" s="51">
        <v>959469.49</v>
      </c>
      <c r="K197" s="51">
        <v>959469.49</v>
      </c>
    </row>
    <row r="198">
      <c r="A198" s="50" t="s">
        <v>3944</v>
      </c>
      <c r="B198" s="50" t="s">
        <v>3945</v>
      </c>
      <c r="C198" s="50" t="s">
        <v>3946</v>
      </c>
      <c r="D198" s="50" t="s">
        <v>93</v>
      </c>
      <c r="E198" s="50" t="s">
        <v>102</v>
      </c>
      <c r="F198" s="50" t="s">
        <v>622</v>
      </c>
      <c r="G198" s="50" t="s">
        <v>623</v>
      </c>
      <c r="H198" s="51">
        <v>0.03610507</v>
      </c>
      <c r="I198" s="51">
        <v>3509.0</v>
      </c>
      <c r="J198" s="51">
        <v>952341.62</v>
      </c>
      <c r="K198" s="51">
        <v>952341.62</v>
      </c>
    </row>
    <row r="199">
      <c r="A199" s="50" t="s">
        <v>3947</v>
      </c>
      <c r="B199" s="50">
        <v>2098508.0</v>
      </c>
      <c r="C199" s="50" t="s">
        <v>3948</v>
      </c>
      <c r="D199" s="50" t="s">
        <v>93</v>
      </c>
      <c r="E199" s="50" t="s">
        <v>102</v>
      </c>
      <c r="F199" s="50" t="s">
        <v>622</v>
      </c>
      <c r="G199" s="50" t="s">
        <v>623</v>
      </c>
      <c r="H199" s="51">
        <v>0.03561571</v>
      </c>
      <c r="I199" s="51">
        <v>1620.0</v>
      </c>
      <c r="J199" s="51">
        <v>939433.9</v>
      </c>
      <c r="K199" s="51">
        <v>939433.9</v>
      </c>
    </row>
    <row r="200">
      <c r="A200" s="50" t="s">
        <v>3949</v>
      </c>
      <c r="B200" s="50" t="s">
        <v>3950</v>
      </c>
      <c r="C200" s="50" t="s">
        <v>3951</v>
      </c>
      <c r="D200" s="50" t="s">
        <v>93</v>
      </c>
      <c r="E200" s="50" t="s">
        <v>127</v>
      </c>
      <c r="F200" s="50" t="s">
        <v>622</v>
      </c>
      <c r="G200" s="50" t="s">
        <v>623</v>
      </c>
      <c r="H200" s="51">
        <v>0.0310343</v>
      </c>
      <c r="I200" s="51">
        <v>23973.0</v>
      </c>
      <c r="J200" s="51">
        <v>818590.24</v>
      </c>
      <c r="K200" s="51">
        <v>818590.24</v>
      </c>
    </row>
    <row r="201">
      <c r="A201" s="50" t="s">
        <v>3120</v>
      </c>
      <c r="B201" s="50">
        <v>6340250.0</v>
      </c>
      <c r="C201" s="50" t="s">
        <v>311</v>
      </c>
      <c r="D201" s="50" t="s">
        <v>93</v>
      </c>
      <c r="E201" s="50" t="s">
        <v>102</v>
      </c>
      <c r="F201" s="50" t="s">
        <v>2732</v>
      </c>
      <c r="G201" s="50" t="s">
        <v>2733</v>
      </c>
      <c r="H201" s="51">
        <v>0.02714102</v>
      </c>
      <c r="I201" s="51">
        <v>36224.0</v>
      </c>
      <c r="J201" s="51">
        <v>715897.22</v>
      </c>
      <c r="K201" s="51">
        <v>715897.22</v>
      </c>
    </row>
    <row r="202">
      <c r="A202" s="50" t="s">
        <v>3891</v>
      </c>
      <c r="B202" s="50" t="s">
        <v>3892</v>
      </c>
      <c r="C202" s="50" t="s">
        <v>3893</v>
      </c>
      <c r="D202" s="50" t="s">
        <v>93</v>
      </c>
      <c r="E202" s="52"/>
      <c r="F202" s="50" t="s">
        <v>622</v>
      </c>
      <c r="G202" s="50" t="s">
        <v>623</v>
      </c>
      <c r="H202" s="51">
        <v>0.01009774</v>
      </c>
      <c r="I202" s="51">
        <v>5912.0</v>
      </c>
      <c r="J202" s="51">
        <v>266347.68</v>
      </c>
      <c r="K202" s="51">
        <v>266347.68</v>
      </c>
    </row>
    <row r="203">
      <c r="A203" s="50" t="s">
        <v>623</v>
      </c>
      <c r="B203" s="52"/>
      <c r="C203" s="50" t="s">
        <v>830</v>
      </c>
      <c r="D203" s="50" t="s">
        <v>617</v>
      </c>
      <c r="E203" s="52"/>
      <c r="F203" s="52"/>
      <c r="G203" s="50" t="s">
        <v>623</v>
      </c>
      <c r="H203" s="51">
        <v>0.08007748</v>
      </c>
      <c r="I203" s="51">
        <v>1359622.91</v>
      </c>
      <c r="J203" s="51">
        <v>2112199.64</v>
      </c>
      <c r="K203" s="51">
        <v>2112199.64</v>
      </c>
    </row>
    <row r="204">
      <c r="A204" s="50" t="s">
        <v>1003</v>
      </c>
      <c r="B204" s="52"/>
      <c r="C204" s="50" t="s">
        <v>3900</v>
      </c>
      <c r="D204" s="50" t="s">
        <v>617</v>
      </c>
      <c r="E204" s="52"/>
      <c r="F204" s="52"/>
      <c r="G204" s="50" t="s">
        <v>1003</v>
      </c>
      <c r="H204" s="51">
        <v>0.02505394</v>
      </c>
      <c r="I204" s="51">
        <v>574804.35</v>
      </c>
      <c r="J204" s="51">
        <v>660846.57</v>
      </c>
      <c r="K204" s="51">
        <v>660846.57</v>
      </c>
    </row>
    <row r="205">
      <c r="A205" s="50" t="s">
        <v>908</v>
      </c>
      <c r="B205" s="52"/>
      <c r="C205" s="50" t="s">
        <v>3899</v>
      </c>
      <c r="D205" s="50" t="s">
        <v>617</v>
      </c>
      <c r="E205" s="52"/>
      <c r="F205" s="52"/>
      <c r="G205" s="50" t="s">
        <v>908</v>
      </c>
      <c r="H205" s="51">
        <v>0.01471076</v>
      </c>
      <c r="I205" s="51">
        <v>201280.24</v>
      </c>
      <c r="J205" s="51">
        <v>388025.06</v>
      </c>
      <c r="K205" s="51">
        <v>388025.06</v>
      </c>
    </row>
    <row r="206">
      <c r="A206" s="50" t="s">
        <v>630</v>
      </c>
      <c r="B206" s="52"/>
      <c r="C206" s="50" t="s">
        <v>3906</v>
      </c>
      <c r="D206" s="50" t="s">
        <v>617</v>
      </c>
      <c r="E206" s="52"/>
      <c r="F206" s="52"/>
      <c r="G206" s="50" t="s">
        <v>630</v>
      </c>
      <c r="H206" s="51">
        <v>0.00644123</v>
      </c>
      <c r="I206" s="51">
        <v>1.612809775E7</v>
      </c>
      <c r="J206" s="51">
        <v>169900.0</v>
      </c>
      <c r="K206" s="51">
        <v>169900.0</v>
      </c>
    </row>
    <row r="207">
      <c r="A207" s="50" t="s">
        <v>640</v>
      </c>
      <c r="B207" s="52"/>
      <c r="C207" s="50" t="s">
        <v>3902</v>
      </c>
      <c r="D207" s="50" t="s">
        <v>617</v>
      </c>
      <c r="E207" s="52"/>
      <c r="F207" s="52"/>
      <c r="G207" s="50" t="s">
        <v>640</v>
      </c>
      <c r="H207" s="51">
        <v>0.00555282</v>
      </c>
      <c r="I207" s="51">
        <v>88582.89</v>
      </c>
      <c r="J207" s="51">
        <v>146466.42</v>
      </c>
      <c r="K207" s="51">
        <v>146466.42</v>
      </c>
    </row>
    <row r="208">
      <c r="A208" s="50" t="s">
        <v>96</v>
      </c>
      <c r="B208" s="52"/>
      <c r="C208" s="50" t="s">
        <v>616</v>
      </c>
      <c r="D208" s="50" t="s">
        <v>617</v>
      </c>
      <c r="E208" s="52"/>
      <c r="F208" s="52"/>
      <c r="G208" s="50" t="s">
        <v>96</v>
      </c>
      <c r="H208" s="51">
        <v>0.00331331</v>
      </c>
      <c r="I208" s="51">
        <v>87395.05</v>
      </c>
      <c r="J208" s="51">
        <v>87395.05</v>
      </c>
      <c r="K208" s="51">
        <v>87395.05</v>
      </c>
    </row>
    <row r="209">
      <c r="A209" s="50" t="s">
        <v>655</v>
      </c>
      <c r="B209" s="52"/>
      <c r="C209" s="50" t="s">
        <v>3901</v>
      </c>
      <c r="D209" s="50" t="s">
        <v>617</v>
      </c>
      <c r="E209" s="52"/>
      <c r="F209" s="52"/>
      <c r="G209" s="50" t="s">
        <v>655</v>
      </c>
      <c r="H209" s="51">
        <v>0.00307399</v>
      </c>
      <c r="I209" s="51">
        <v>46752.11</v>
      </c>
      <c r="J209" s="51">
        <v>81082.4</v>
      </c>
      <c r="K209" s="51">
        <v>81082.4</v>
      </c>
    </row>
    <row r="210">
      <c r="A210" s="50" t="s">
        <v>1741</v>
      </c>
      <c r="B210" s="52"/>
      <c r="C210" s="50" t="s">
        <v>3905</v>
      </c>
      <c r="D210" s="50" t="s">
        <v>617</v>
      </c>
      <c r="E210" s="52"/>
      <c r="F210" s="52"/>
      <c r="G210" s="50" t="s">
        <v>1741</v>
      </c>
      <c r="H210" s="51">
        <v>0.00114857</v>
      </c>
      <c r="I210" s="51">
        <v>218110.58</v>
      </c>
      <c r="J210" s="51">
        <v>30295.66</v>
      </c>
      <c r="K210" s="51">
        <v>30295.66</v>
      </c>
    </row>
    <row r="211">
      <c r="A211" s="50" t="s">
        <v>2733</v>
      </c>
      <c r="B211" s="52"/>
      <c r="C211" s="50" t="s">
        <v>3910</v>
      </c>
      <c r="D211" s="50" t="s">
        <v>617</v>
      </c>
      <c r="E211" s="52"/>
      <c r="F211" s="52"/>
      <c r="G211" s="50" t="s">
        <v>2733</v>
      </c>
      <c r="H211" s="51">
        <v>7.3587E-4</v>
      </c>
      <c r="I211" s="51">
        <v>21135.44</v>
      </c>
      <c r="J211" s="51">
        <v>19409.9</v>
      </c>
      <c r="K211" s="51">
        <v>19409.9</v>
      </c>
    </row>
    <row r="212">
      <c r="A212" s="50" t="s">
        <v>646</v>
      </c>
      <c r="B212" s="52"/>
      <c r="C212" s="50" t="s">
        <v>832</v>
      </c>
      <c r="D212" s="50" t="s">
        <v>617</v>
      </c>
      <c r="E212" s="52"/>
      <c r="F212" s="52"/>
      <c r="G212" s="50" t="s">
        <v>646</v>
      </c>
      <c r="H212" s="51">
        <v>5.7599E-4</v>
      </c>
      <c r="I212" s="51">
        <v>76572.1000000001</v>
      </c>
      <c r="J212" s="51">
        <v>15192.88</v>
      </c>
      <c r="K212" s="51">
        <v>15192.88</v>
      </c>
    </row>
    <row r="213">
      <c r="A213" s="50" t="s">
        <v>884</v>
      </c>
      <c r="B213" s="52"/>
      <c r="C213" s="50" t="s">
        <v>3904</v>
      </c>
      <c r="D213" s="50" t="s">
        <v>617</v>
      </c>
      <c r="E213" s="52"/>
      <c r="F213" s="52"/>
      <c r="G213" s="50" t="s">
        <v>884</v>
      </c>
      <c r="H213" s="51">
        <v>3.1067E-4</v>
      </c>
      <c r="I213" s="51">
        <v>36968.18</v>
      </c>
      <c r="J213" s="51">
        <v>8194.57</v>
      </c>
      <c r="K213" s="51">
        <v>8194.57</v>
      </c>
    </row>
    <row r="214">
      <c r="A214" s="50" t="s">
        <v>1437</v>
      </c>
      <c r="B214" s="52"/>
      <c r="C214" s="50" t="s">
        <v>3903</v>
      </c>
      <c r="D214" s="50" t="s">
        <v>617</v>
      </c>
      <c r="E214" s="52"/>
      <c r="F214" s="52"/>
      <c r="G214" s="50" t="s">
        <v>1437</v>
      </c>
      <c r="H214" s="51">
        <v>3.195E-5</v>
      </c>
      <c r="I214" s="51">
        <v>739.65</v>
      </c>
      <c r="J214" s="51">
        <v>842.62</v>
      </c>
      <c r="K214" s="51">
        <v>842.62</v>
      </c>
    </row>
    <row r="215">
      <c r="A215" s="50" t="s">
        <v>659</v>
      </c>
      <c r="B215" s="52"/>
      <c r="C215" s="50" t="s">
        <v>831</v>
      </c>
      <c r="D215" s="50" t="s">
        <v>617</v>
      </c>
      <c r="E215" s="52"/>
      <c r="F215" s="52"/>
      <c r="G215" s="50" t="s">
        <v>659</v>
      </c>
      <c r="H215" s="52"/>
      <c r="I215" s="51">
        <v>-0.32</v>
      </c>
      <c r="J215" s="52"/>
      <c r="K215" s="52"/>
    </row>
    <row r="216">
      <c r="A216" s="50" t="s">
        <v>2438</v>
      </c>
      <c r="B216" s="52"/>
      <c r="C216" s="50" t="s">
        <v>3907</v>
      </c>
      <c r="D216" s="50" t="s">
        <v>617</v>
      </c>
      <c r="E216" s="52"/>
      <c r="F216" s="52"/>
      <c r="G216" s="50" t="s">
        <v>2438</v>
      </c>
      <c r="H216" s="51">
        <v>-6.6E-7</v>
      </c>
      <c r="I216" s="51">
        <v>-43.05</v>
      </c>
      <c r="J216" s="51">
        <v>-17.49</v>
      </c>
      <c r="K216" s="51">
        <v>-17.49</v>
      </c>
    </row>
    <row r="217">
      <c r="B217" s="53"/>
    </row>
    <row r="218">
      <c r="B218" s="53"/>
    </row>
    <row r="219">
      <c r="B219" s="53"/>
    </row>
    <row r="220">
      <c r="B220" s="53"/>
    </row>
    <row r="221">
      <c r="B221" s="53"/>
    </row>
    <row r="222">
      <c r="B222" s="53"/>
    </row>
    <row r="223">
      <c r="B223" s="53"/>
    </row>
    <row r="224">
      <c r="B224" s="53"/>
    </row>
    <row r="225">
      <c r="B225" s="53"/>
    </row>
    <row r="226">
      <c r="B226" s="53"/>
    </row>
    <row r="227">
      <c r="B227" s="53"/>
    </row>
    <row r="228">
      <c r="B228" s="53"/>
    </row>
    <row r="229">
      <c r="B229" s="53"/>
    </row>
    <row r="230">
      <c r="B230" s="53"/>
    </row>
    <row r="231">
      <c r="B231" s="53"/>
    </row>
    <row r="232">
      <c r="B232" s="53"/>
    </row>
    <row r="233">
      <c r="B233" s="53"/>
    </row>
    <row r="234">
      <c r="B234" s="53"/>
    </row>
    <row r="235">
      <c r="B235" s="53"/>
    </row>
    <row r="236">
      <c r="B236" s="53"/>
    </row>
    <row r="237">
      <c r="B237" s="53"/>
    </row>
    <row r="238">
      <c r="B238" s="53"/>
    </row>
    <row r="239">
      <c r="B239" s="53"/>
    </row>
    <row r="240">
      <c r="B240" s="53"/>
    </row>
    <row r="241">
      <c r="B241" s="53"/>
    </row>
    <row r="242">
      <c r="B242" s="53"/>
    </row>
    <row r="243">
      <c r="B243" s="53"/>
    </row>
    <row r="244">
      <c r="B244" s="53"/>
    </row>
    <row r="245">
      <c r="B245" s="53"/>
    </row>
    <row r="246">
      <c r="B246" s="53"/>
    </row>
    <row r="247">
      <c r="B247" s="53"/>
    </row>
    <row r="248">
      <c r="B248" s="53"/>
    </row>
    <row r="249">
      <c r="B249" s="53"/>
    </row>
    <row r="250">
      <c r="B250" s="53"/>
    </row>
    <row r="251">
      <c r="B251" s="53"/>
    </row>
    <row r="252">
      <c r="B252" s="53"/>
    </row>
    <row r="253">
      <c r="B253" s="53"/>
    </row>
    <row r="254">
      <c r="B254" s="53"/>
    </row>
    <row r="255">
      <c r="B255" s="53"/>
    </row>
    <row r="256">
      <c r="B256" s="53"/>
    </row>
    <row r="257">
      <c r="B257" s="53"/>
    </row>
    <row r="258">
      <c r="B258" s="53"/>
    </row>
    <row r="259">
      <c r="B259" s="53"/>
    </row>
    <row r="260">
      <c r="B260" s="53"/>
    </row>
    <row r="261">
      <c r="B261" s="53"/>
    </row>
    <row r="262">
      <c r="B262" s="53"/>
    </row>
    <row r="263">
      <c r="B263" s="53"/>
    </row>
    <row r="264">
      <c r="B264" s="53"/>
    </row>
    <row r="265">
      <c r="B265" s="53"/>
    </row>
    <row r="266">
      <c r="B266" s="53"/>
    </row>
    <row r="267">
      <c r="B267" s="53"/>
    </row>
    <row r="268">
      <c r="B268" s="53"/>
    </row>
    <row r="269">
      <c r="B269" s="53"/>
    </row>
    <row r="270">
      <c r="B270" s="53"/>
    </row>
    <row r="271">
      <c r="B271" s="53"/>
    </row>
    <row r="272">
      <c r="B272" s="53"/>
    </row>
    <row r="273">
      <c r="B273" s="53"/>
    </row>
    <row r="274">
      <c r="B274" s="53"/>
    </row>
    <row r="275">
      <c r="B275" s="53"/>
    </row>
    <row r="276">
      <c r="B276" s="53"/>
    </row>
    <row r="277">
      <c r="B277" s="53"/>
    </row>
    <row r="278">
      <c r="B278" s="53"/>
    </row>
    <row r="279">
      <c r="B279" s="53"/>
    </row>
    <row r="280">
      <c r="B280" s="53"/>
    </row>
    <row r="281">
      <c r="B281" s="53"/>
    </row>
    <row r="282">
      <c r="B282" s="53"/>
    </row>
    <row r="283">
      <c r="B283" s="53"/>
    </row>
    <row r="284">
      <c r="B284" s="53"/>
    </row>
    <row r="285">
      <c r="B285" s="53"/>
    </row>
    <row r="286">
      <c r="B286" s="53"/>
    </row>
    <row r="287">
      <c r="B287" s="53"/>
    </row>
    <row r="288">
      <c r="B288" s="53"/>
    </row>
    <row r="289">
      <c r="B289" s="53"/>
    </row>
    <row r="290">
      <c r="B290" s="53"/>
    </row>
    <row r="291">
      <c r="B291" s="53"/>
    </row>
    <row r="292">
      <c r="B292" s="53"/>
    </row>
    <row r="293">
      <c r="B293" s="53"/>
    </row>
    <row r="294">
      <c r="B294" s="53"/>
    </row>
    <row r="295">
      <c r="B295" s="53"/>
    </row>
    <row r="296">
      <c r="B296" s="53"/>
    </row>
    <row r="297">
      <c r="B297" s="53"/>
    </row>
    <row r="298">
      <c r="B298" s="53"/>
    </row>
    <row r="299">
      <c r="B299" s="53"/>
    </row>
    <row r="300">
      <c r="B300" s="53"/>
    </row>
    <row r="301">
      <c r="B301" s="53"/>
    </row>
    <row r="302">
      <c r="B302" s="53"/>
    </row>
    <row r="303">
      <c r="B303" s="53"/>
    </row>
    <row r="304">
      <c r="B304" s="53"/>
    </row>
    <row r="305">
      <c r="B305" s="53"/>
    </row>
    <row r="306">
      <c r="B306" s="53"/>
    </row>
    <row r="307">
      <c r="B307" s="53"/>
    </row>
    <row r="308">
      <c r="B308" s="53"/>
    </row>
    <row r="309">
      <c r="B309" s="53"/>
    </row>
    <row r="310">
      <c r="B310" s="53"/>
    </row>
    <row r="311">
      <c r="B311" s="53"/>
    </row>
    <row r="312">
      <c r="B312" s="53"/>
    </row>
    <row r="313">
      <c r="B313" s="53"/>
    </row>
    <row r="314">
      <c r="B314" s="53"/>
    </row>
    <row r="315">
      <c r="B315" s="53"/>
    </row>
    <row r="316">
      <c r="B316" s="53"/>
    </row>
    <row r="317">
      <c r="B317" s="53"/>
    </row>
    <row r="318">
      <c r="B318" s="53"/>
    </row>
    <row r="319">
      <c r="B319" s="53"/>
    </row>
    <row r="320">
      <c r="B320" s="53"/>
    </row>
    <row r="321">
      <c r="B321" s="53"/>
    </row>
    <row r="322">
      <c r="B322" s="53"/>
    </row>
    <row r="323">
      <c r="B323" s="53"/>
    </row>
    <row r="324">
      <c r="B324" s="53"/>
    </row>
    <row r="325">
      <c r="B325" s="53"/>
    </row>
    <row r="326">
      <c r="B326" s="53"/>
    </row>
    <row r="327">
      <c r="B327" s="53"/>
    </row>
    <row r="328">
      <c r="B328" s="53"/>
    </row>
    <row r="329">
      <c r="B329" s="53"/>
    </row>
    <row r="330">
      <c r="B330" s="53"/>
    </row>
    <row r="331">
      <c r="B331" s="53"/>
    </row>
    <row r="332">
      <c r="B332" s="53"/>
    </row>
    <row r="333">
      <c r="B333" s="53"/>
    </row>
    <row r="334">
      <c r="B334" s="53"/>
    </row>
    <row r="335">
      <c r="B335" s="53"/>
    </row>
    <row r="336">
      <c r="B336" s="53"/>
    </row>
    <row r="337">
      <c r="B337" s="53"/>
    </row>
    <row r="338">
      <c r="B338" s="53"/>
    </row>
    <row r="339">
      <c r="B339" s="53"/>
    </row>
    <row r="340">
      <c r="B340" s="53"/>
    </row>
    <row r="341">
      <c r="B341" s="53"/>
    </row>
    <row r="342">
      <c r="B342" s="53"/>
    </row>
    <row r="343">
      <c r="B343" s="53"/>
    </row>
    <row r="344">
      <c r="B344" s="53"/>
    </row>
    <row r="345">
      <c r="B345" s="53"/>
    </row>
    <row r="346">
      <c r="B346" s="53"/>
    </row>
    <row r="347">
      <c r="B347" s="53"/>
    </row>
    <row r="348">
      <c r="B348" s="53"/>
    </row>
    <row r="349">
      <c r="B349" s="53"/>
    </row>
    <row r="350">
      <c r="B350" s="53"/>
    </row>
    <row r="351">
      <c r="B351" s="53"/>
    </row>
    <row r="352">
      <c r="B352" s="53"/>
    </row>
    <row r="353">
      <c r="B353" s="53"/>
    </row>
    <row r="354">
      <c r="B354" s="53"/>
    </row>
    <row r="355">
      <c r="B355" s="53"/>
    </row>
    <row r="356">
      <c r="B356" s="53"/>
    </row>
    <row r="357">
      <c r="B357" s="53"/>
    </row>
    <row r="358">
      <c r="B358" s="53"/>
    </row>
    <row r="359">
      <c r="B359" s="53"/>
    </row>
    <row r="360">
      <c r="B360" s="53"/>
    </row>
    <row r="361">
      <c r="B361" s="53"/>
    </row>
    <row r="362">
      <c r="B362" s="53"/>
    </row>
    <row r="363">
      <c r="B363" s="53"/>
    </row>
    <row r="364">
      <c r="B364" s="53"/>
    </row>
    <row r="365">
      <c r="B365" s="53"/>
    </row>
    <row r="366">
      <c r="B366" s="53"/>
    </row>
    <row r="367">
      <c r="B367" s="53"/>
    </row>
    <row r="368">
      <c r="B368" s="53"/>
    </row>
    <row r="369">
      <c r="B369" s="53"/>
    </row>
    <row r="370">
      <c r="B370" s="53"/>
    </row>
    <row r="371">
      <c r="B371" s="53"/>
    </row>
    <row r="372">
      <c r="B372" s="53"/>
    </row>
    <row r="373">
      <c r="B373" s="53"/>
    </row>
    <row r="374">
      <c r="B374" s="53"/>
    </row>
    <row r="375">
      <c r="B375" s="53"/>
    </row>
    <row r="376">
      <c r="B376" s="53"/>
    </row>
    <row r="377">
      <c r="B377" s="53"/>
    </row>
    <row r="378">
      <c r="B378" s="53"/>
    </row>
    <row r="379">
      <c r="B379" s="53"/>
    </row>
    <row r="380">
      <c r="B380" s="53"/>
    </row>
    <row r="381">
      <c r="B381" s="53"/>
    </row>
    <row r="382">
      <c r="B382" s="53"/>
    </row>
    <row r="383">
      <c r="B383" s="53"/>
    </row>
    <row r="384">
      <c r="B384" s="53"/>
    </row>
    <row r="385">
      <c r="B385" s="53"/>
    </row>
    <row r="386">
      <c r="B386" s="53"/>
    </row>
    <row r="387">
      <c r="B387" s="53"/>
    </row>
    <row r="388">
      <c r="B388" s="53"/>
    </row>
    <row r="389">
      <c r="B389" s="53"/>
    </row>
    <row r="390">
      <c r="B390" s="53"/>
    </row>
    <row r="391">
      <c r="B391" s="53"/>
    </row>
    <row r="392">
      <c r="B392" s="53"/>
    </row>
    <row r="393">
      <c r="B393" s="53"/>
    </row>
    <row r="394">
      <c r="B394" s="53"/>
    </row>
    <row r="395">
      <c r="B395" s="53"/>
    </row>
    <row r="396">
      <c r="B396" s="53"/>
    </row>
    <row r="397">
      <c r="B397" s="53"/>
    </row>
    <row r="398">
      <c r="B398" s="53"/>
    </row>
    <row r="399">
      <c r="B399" s="53"/>
    </row>
    <row r="400">
      <c r="B400" s="53"/>
    </row>
    <row r="401">
      <c r="B401" s="53"/>
    </row>
    <row r="402">
      <c r="B402" s="53"/>
    </row>
    <row r="403">
      <c r="B403" s="53"/>
    </row>
    <row r="404">
      <c r="B404" s="53"/>
    </row>
    <row r="405">
      <c r="B405" s="53"/>
    </row>
    <row r="406">
      <c r="B406" s="53"/>
    </row>
    <row r="407">
      <c r="B407" s="53"/>
    </row>
    <row r="408">
      <c r="B408" s="53"/>
    </row>
    <row r="409">
      <c r="B409" s="53"/>
    </row>
    <row r="410">
      <c r="B410" s="53"/>
    </row>
    <row r="411">
      <c r="B411" s="53"/>
    </row>
    <row r="412">
      <c r="B412" s="53"/>
    </row>
    <row r="413">
      <c r="B413" s="53"/>
    </row>
    <row r="414">
      <c r="B414" s="53"/>
    </row>
    <row r="415">
      <c r="B415" s="53"/>
    </row>
    <row r="416">
      <c r="B416" s="53"/>
    </row>
    <row r="417">
      <c r="B417" s="53"/>
    </row>
    <row r="418">
      <c r="B418" s="53"/>
    </row>
    <row r="419">
      <c r="B419" s="53"/>
    </row>
    <row r="420">
      <c r="B420" s="53"/>
    </row>
    <row r="421">
      <c r="B421" s="53"/>
    </row>
    <row r="422">
      <c r="B422" s="53"/>
    </row>
    <row r="423">
      <c r="B423" s="53"/>
    </row>
    <row r="424">
      <c r="B424" s="53"/>
    </row>
    <row r="425">
      <c r="B425" s="53"/>
    </row>
    <row r="426">
      <c r="B426" s="53"/>
    </row>
    <row r="427">
      <c r="B427" s="53"/>
    </row>
    <row r="428">
      <c r="B428" s="53"/>
    </row>
    <row r="429">
      <c r="B429" s="53"/>
    </row>
    <row r="430">
      <c r="B430" s="53"/>
    </row>
    <row r="431">
      <c r="B431" s="53"/>
    </row>
    <row r="432">
      <c r="B432" s="53"/>
    </row>
    <row r="433">
      <c r="B433" s="53"/>
    </row>
    <row r="434">
      <c r="B434" s="53"/>
    </row>
    <row r="435">
      <c r="B435" s="53"/>
    </row>
    <row r="436">
      <c r="B436" s="53"/>
    </row>
    <row r="437">
      <c r="B437" s="53"/>
    </row>
    <row r="438">
      <c r="B438" s="53"/>
    </row>
    <row r="439">
      <c r="B439" s="53"/>
    </row>
    <row r="440">
      <c r="B440" s="53"/>
    </row>
    <row r="441">
      <c r="B441" s="53"/>
    </row>
    <row r="442">
      <c r="B442" s="53"/>
    </row>
    <row r="443">
      <c r="B443" s="53"/>
    </row>
    <row r="444">
      <c r="B444" s="53"/>
    </row>
    <row r="445">
      <c r="B445" s="53"/>
    </row>
    <row r="446">
      <c r="B446" s="53"/>
    </row>
    <row r="447">
      <c r="B447" s="53"/>
    </row>
    <row r="448">
      <c r="B448" s="53"/>
    </row>
    <row r="449">
      <c r="B449" s="53"/>
    </row>
    <row r="450">
      <c r="B450" s="53"/>
    </row>
    <row r="451">
      <c r="B451" s="53"/>
    </row>
    <row r="452">
      <c r="B452" s="53"/>
    </row>
    <row r="453">
      <c r="B453" s="53"/>
    </row>
    <row r="454">
      <c r="B454" s="53"/>
    </row>
    <row r="455">
      <c r="B455" s="53"/>
    </row>
    <row r="456">
      <c r="B456" s="53"/>
    </row>
    <row r="457">
      <c r="B457" s="53"/>
    </row>
    <row r="458">
      <c r="B458" s="53"/>
    </row>
    <row r="459">
      <c r="B459" s="53"/>
    </row>
    <row r="460">
      <c r="B460" s="53"/>
    </row>
    <row r="461">
      <c r="B461" s="53"/>
    </row>
    <row r="462">
      <c r="B462" s="53"/>
    </row>
    <row r="463">
      <c r="B463" s="53"/>
    </row>
    <row r="464">
      <c r="B464" s="53"/>
    </row>
    <row r="465">
      <c r="B465" s="53"/>
    </row>
    <row r="466">
      <c r="B466" s="53"/>
    </row>
    <row r="467">
      <c r="B467" s="53"/>
    </row>
    <row r="468">
      <c r="B468" s="53"/>
    </row>
    <row r="469">
      <c r="B469" s="53"/>
    </row>
    <row r="470">
      <c r="B470" s="53"/>
    </row>
    <row r="471">
      <c r="B471" s="53"/>
    </row>
    <row r="472">
      <c r="B472" s="53"/>
    </row>
    <row r="473">
      <c r="B473" s="53"/>
    </row>
    <row r="474">
      <c r="B474" s="53"/>
    </row>
    <row r="475">
      <c r="B475" s="53"/>
    </row>
    <row r="476">
      <c r="B476" s="53"/>
    </row>
    <row r="477">
      <c r="B477" s="53"/>
    </row>
    <row r="478">
      <c r="B478" s="53"/>
    </row>
    <row r="479">
      <c r="B479" s="53"/>
    </row>
    <row r="480">
      <c r="B480" s="53"/>
    </row>
    <row r="481">
      <c r="B481" s="53"/>
    </row>
    <row r="482">
      <c r="B482" s="53"/>
    </row>
    <row r="483">
      <c r="B483" s="53"/>
    </row>
    <row r="484">
      <c r="B484" s="53"/>
    </row>
    <row r="485">
      <c r="B485" s="53"/>
    </row>
    <row r="486">
      <c r="B486" s="53"/>
    </row>
    <row r="487">
      <c r="B487" s="53"/>
    </row>
    <row r="488">
      <c r="B488" s="53"/>
    </row>
    <row r="489">
      <c r="B489" s="53"/>
    </row>
    <row r="490">
      <c r="B490" s="53"/>
    </row>
    <row r="491">
      <c r="B491" s="53"/>
    </row>
    <row r="492">
      <c r="B492" s="53"/>
    </row>
    <row r="493">
      <c r="B493" s="53"/>
    </row>
    <row r="494">
      <c r="B494" s="53"/>
    </row>
    <row r="495">
      <c r="B495" s="53"/>
    </row>
    <row r="496">
      <c r="B496" s="53"/>
    </row>
    <row r="497">
      <c r="B497" s="53"/>
    </row>
    <row r="498">
      <c r="B498" s="53"/>
    </row>
    <row r="499">
      <c r="B499" s="53"/>
    </row>
    <row r="500">
      <c r="B500" s="53"/>
    </row>
    <row r="501">
      <c r="B501" s="53"/>
    </row>
    <row r="502">
      <c r="B502" s="53"/>
    </row>
    <row r="503">
      <c r="B503" s="53"/>
    </row>
    <row r="504">
      <c r="B504" s="53"/>
    </row>
    <row r="505">
      <c r="B505" s="53"/>
    </row>
    <row r="506">
      <c r="B506" s="53"/>
    </row>
    <row r="507">
      <c r="B507" s="53"/>
    </row>
    <row r="508">
      <c r="B508" s="53"/>
    </row>
    <row r="509">
      <c r="B509" s="53"/>
    </row>
    <row r="510">
      <c r="B510" s="53"/>
    </row>
    <row r="511">
      <c r="B511" s="53"/>
    </row>
    <row r="512">
      <c r="B512" s="53"/>
    </row>
    <row r="513">
      <c r="B513" s="53"/>
    </row>
    <row r="514">
      <c r="B514" s="53"/>
    </row>
    <row r="515">
      <c r="B515" s="53"/>
    </row>
    <row r="516">
      <c r="B516" s="53"/>
    </row>
    <row r="517">
      <c r="B517" s="53"/>
    </row>
    <row r="518">
      <c r="B518" s="53"/>
    </row>
    <row r="519">
      <c r="B519" s="53"/>
    </row>
    <row r="520">
      <c r="B520" s="53"/>
    </row>
    <row r="521">
      <c r="B521" s="53"/>
    </row>
    <row r="522">
      <c r="B522" s="53"/>
    </row>
    <row r="523">
      <c r="B523" s="53"/>
    </row>
    <row r="524">
      <c r="B524" s="53"/>
    </row>
    <row r="525">
      <c r="B525" s="53"/>
    </row>
    <row r="526">
      <c r="B526" s="53"/>
    </row>
    <row r="527">
      <c r="B527" s="53"/>
    </row>
    <row r="528">
      <c r="B528" s="53"/>
    </row>
    <row r="529">
      <c r="B529" s="53"/>
    </row>
    <row r="530">
      <c r="B530" s="53"/>
    </row>
    <row r="531">
      <c r="B531" s="53"/>
    </row>
    <row r="532">
      <c r="B532" s="53"/>
    </row>
    <row r="533">
      <c r="B533" s="53"/>
    </row>
    <row r="534">
      <c r="B534" s="53"/>
    </row>
    <row r="535">
      <c r="B535" s="53"/>
    </row>
    <row r="536">
      <c r="B536" s="53"/>
    </row>
    <row r="537">
      <c r="B537" s="53"/>
    </row>
    <row r="538">
      <c r="B538" s="53"/>
    </row>
    <row r="539">
      <c r="B539" s="53"/>
    </row>
    <row r="540">
      <c r="B540" s="53"/>
    </row>
    <row r="541">
      <c r="B541" s="53"/>
    </row>
    <row r="542">
      <c r="B542" s="53"/>
    </row>
    <row r="543">
      <c r="B543" s="53"/>
    </row>
    <row r="544">
      <c r="B544" s="53"/>
    </row>
    <row r="545">
      <c r="B545" s="53"/>
    </row>
    <row r="546">
      <c r="B546" s="53"/>
    </row>
    <row r="547">
      <c r="B547" s="53"/>
    </row>
    <row r="548">
      <c r="B548" s="53"/>
    </row>
    <row r="549">
      <c r="B549" s="53"/>
    </row>
    <row r="550">
      <c r="B550" s="53"/>
    </row>
    <row r="551">
      <c r="B551" s="53"/>
    </row>
    <row r="552">
      <c r="B552" s="53"/>
    </row>
    <row r="553">
      <c r="B553" s="53"/>
    </row>
    <row r="554">
      <c r="B554" s="53"/>
    </row>
    <row r="555">
      <c r="B555" s="53"/>
    </row>
    <row r="556">
      <c r="B556" s="53"/>
    </row>
    <row r="557">
      <c r="B557" s="53"/>
    </row>
    <row r="558">
      <c r="B558" s="53"/>
    </row>
    <row r="559">
      <c r="B559" s="53"/>
    </row>
    <row r="560">
      <c r="B560" s="53"/>
    </row>
    <row r="561">
      <c r="B561" s="53"/>
    </row>
    <row r="562">
      <c r="B562" s="53"/>
    </row>
    <row r="563">
      <c r="B563" s="53"/>
    </row>
    <row r="564">
      <c r="B564" s="53"/>
    </row>
    <row r="565">
      <c r="B565" s="53"/>
    </row>
    <row r="566">
      <c r="B566" s="53"/>
    </row>
    <row r="567">
      <c r="B567" s="53"/>
    </row>
    <row r="568">
      <c r="B568" s="53"/>
    </row>
    <row r="569">
      <c r="B569" s="53"/>
    </row>
    <row r="570">
      <c r="B570" s="53"/>
    </row>
    <row r="571">
      <c r="B571" s="53"/>
    </row>
    <row r="572">
      <c r="B572" s="53"/>
    </row>
    <row r="573">
      <c r="B573" s="53"/>
    </row>
    <row r="574">
      <c r="B574" s="53"/>
    </row>
    <row r="575">
      <c r="B575" s="53"/>
    </row>
    <row r="576">
      <c r="B576" s="53"/>
    </row>
    <row r="577">
      <c r="B577" s="53"/>
    </row>
    <row r="578">
      <c r="B578" s="53"/>
    </row>
    <row r="579">
      <c r="B579" s="53"/>
    </row>
    <row r="580">
      <c r="B580" s="53"/>
    </row>
    <row r="581">
      <c r="B581" s="53"/>
    </row>
    <row r="582">
      <c r="B582" s="53"/>
    </row>
    <row r="583">
      <c r="B583" s="53"/>
    </row>
    <row r="584">
      <c r="B584" s="53"/>
    </row>
    <row r="585">
      <c r="B585" s="53"/>
    </row>
    <row r="586">
      <c r="B586" s="53"/>
    </row>
    <row r="587">
      <c r="B587" s="53"/>
    </row>
    <row r="588">
      <c r="B588" s="53"/>
    </row>
    <row r="589">
      <c r="B589" s="53"/>
    </row>
    <row r="590">
      <c r="B590" s="53"/>
    </row>
    <row r="591">
      <c r="B591" s="53"/>
    </row>
    <row r="592">
      <c r="B592" s="53"/>
    </row>
    <row r="593">
      <c r="B593" s="53"/>
    </row>
    <row r="594">
      <c r="B594" s="53"/>
    </row>
    <row r="595">
      <c r="B595" s="53"/>
    </row>
    <row r="596">
      <c r="B596" s="53"/>
    </row>
    <row r="597">
      <c r="B597" s="53"/>
    </row>
    <row r="598">
      <c r="B598" s="53"/>
    </row>
    <row r="599">
      <c r="B599" s="53"/>
    </row>
    <row r="600">
      <c r="B600" s="53"/>
    </row>
    <row r="601">
      <c r="B601" s="53"/>
    </row>
    <row r="602">
      <c r="B602" s="53"/>
    </row>
    <row r="603">
      <c r="B603" s="53"/>
    </row>
    <row r="604">
      <c r="B604" s="53"/>
    </row>
    <row r="605">
      <c r="B605" s="53"/>
    </row>
    <row r="606">
      <c r="B606" s="53"/>
    </row>
    <row r="607">
      <c r="B607" s="53"/>
    </row>
    <row r="608">
      <c r="B608" s="53"/>
    </row>
    <row r="609">
      <c r="B609" s="53"/>
    </row>
    <row r="610">
      <c r="B610" s="53"/>
    </row>
    <row r="611">
      <c r="B611" s="53"/>
    </row>
    <row r="612">
      <c r="B612" s="53"/>
    </row>
    <row r="613">
      <c r="B613" s="53"/>
    </row>
    <row r="614">
      <c r="B614" s="53"/>
    </row>
    <row r="615">
      <c r="B615" s="53"/>
    </row>
    <row r="616">
      <c r="B616" s="53"/>
    </row>
    <row r="617">
      <c r="B617" s="53"/>
    </row>
    <row r="618">
      <c r="B618" s="53"/>
    </row>
    <row r="619">
      <c r="B619" s="53"/>
    </row>
    <row r="620">
      <c r="B620" s="53"/>
    </row>
    <row r="621">
      <c r="B621" s="53"/>
    </row>
    <row r="622">
      <c r="B622" s="53"/>
    </row>
    <row r="623">
      <c r="B623" s="53"/>
    </row>
    <row r="624">
      <c r="B624" s="53"/>
    </row>
    <row r="625">
      <c r="B625" s="53"/>
    </row>
    <row r="626">
      <c r="B626" s="53"/>
    </row>
    <row r="627">
      <c r="B627" s="53"/>
    </row>
    <row r="628">
      <c r="B628" s="53"/>
    </row>
    <row r="629">
      <c r="B629" s="53"/>
    </row>
    <row r="630">
      <c r="B630" s="53"/>
    </row>
    <row r="631">
      <c r="B631" s="53"/>
    </row>
    <row r="632">
      <c r="B632" s="53"/>
    </row>
    <row r="633">
      <c r="B633" s="53"/>
    </row>
    <row r="634">
      <c r="B634" s="53"/>
    </row>
    <row r="635">
      <c r="B635" s="53"/>
    </row>
    <row r="636">
      <c r="B636" s="53"/>
    </row>
    <row r="637">
      <c r="B637" s="53"/>
    </row>
    <row r="638">
      <c r="B638" s="53"/>
    </row>
    <row r="639">
      <c r="B639" s="53"/>
    </row>
    <row r="640">
      <c r="B640" s="53"/>
    </row>
    <row r="641">
      <c r="B641" s="53"/>
    </row>
    <row r="642">
      <c r="B642" s="53"/>
    </row>
    <row r="643">
      <c r="B643" s="53"/>
    </row>
    <row r="644">
      <c r="B644" s="53"/>
    </row>
    <row r="645">
      <c r="B645" s="53"/>
    </row>
    <row r="646">
      <c r="B646" s="53"/>
    </row>
    <row r="647">
      <c r="B647" s="53"/>
    </row>
    <row r="648">
      <c r="B648" s="53"/>
    </row>
    <row r="649">
      <c r="B649" s="53"/>
    </row>
    <row r="650">
      <c r="B650" s="53"/>
    </row>
    <row r="651">
      <c r="B651" s="53"/>
    </row>
    <row r="652">
      <c r="B652" s="53"/>
    </row>
    <row r="653">
      <c r="B653" s="53"/>
    </row>
    <row r="654">
      <c r="B654" s="53"/>
    </row>
    <row r="655">
      <c r="B655" s="53"/>
    </row>
    <row r="656">
      <c r="B656" s="53"/>
    </row>
    <row r="657">
      <c r="B657" s="53"/>
    </row>
    <row r="658">
      <c r="B658" s="53"/>
    </row>
    <row r="659">
      <c r="B659" s="53"/>
    </row>
    <row r="660">
      <c r="B660" s="53"/>
    </row>
    <row r="661">
      <c r="B661" s="53"/>
    </row>
    <row r="662">
      <c r="B662" s="53"/>
    </row>
    <row r="663">
      <c r="B663" s="53"/>
    </row>
    <row r="664">
      <c r="B664" s="53"/>
    </row>
    <row r="665">
      <c r="B665" s="53"/>
    </row>
    <row r="666">
      <c r="B666" s="53"/>
    </row>
    <row r="667">
      <c r="B667" s="53"/>
    </row>
    <row r="668">
      <c r="B668" s="53"/>
    </row>
    <row r="669">
      <c r="B669" s="53"/>
    </row>
    <row r="670">
      <c r="B670" s="53"/>
    </row>
    <row r="671">
      <c r="B671" s="53"/>
    </row>
    <row r="672">
      <c r="B672" s="53"/>
    </row>
    <row r="673">
      <c r="B673" s="53"/>
    </row>
    <row r="674">
      <c r="B674" s="53"/>
    </row>
    <row r="675">
      <c r="B675" s="53"/>
    </row>
    <row r="676">
      <c r="B676" s="53"/>
    </row>
    <row r="677">
      <c r="B677" s="53"/>
    </row>
    <row r="678">
      <c r="B678" s="53"/>
    </row>
    <row r="679">
      <c r="B679" s="53"/>
    </row>
    <row r="680">
      <c r="B680" s="53"/>
    </row>
    <row r="681">
      <c r="B681" s="53"/>
    </row>
    <row r="682">
      <c r="B682" s="53"/>
    </row>
    <row r="683">
      <c r="B683" s="53"/>
    </row>
    <row r="684">
      <c r="B684" s="53"/>
    </row>
    <row r="685">
      <c r="B685" s="53"/>
    </row>
    <row r="686">
      <c r="B686" s="53"/>
    </row>
    <row r="687">
      <c r="B687" s="53"/>
    </row>
    <row r="688">
      <c r="B688" s="53"/>
    </row>
    <row r="689">
      <c r="B689" s="53"/>
    </row>
    <row r="690">
      <c r="B690" s="53"/>
    </row>
    <row r="691">
      <c r="B691" s="53"/>
    </row>
    <row r="692">
      <c r="B692" s="53"/>
    </row>
    <row r="693">
      <c r="B693" s="53"/>
    </row>
    <row r="694">
      <c r="B694" s="53"/>
    </row>
    <row r="695">
      <c r="B695" s="53"/>
    </row>
    <row r="696">
      <c r="B696" s="53"/>
    </row>
    <row r="697">
      <c r="B697" s="53"/>
    </row>
    <row r="698">
      <c r="B698" s="53"/>
    </row>
    <row r="699">
      <c r="B699" s="53"/>
    </row>
    <row r="700">
      <c r="B700" s="53"/>
    </row>
    <row r="701">
      <c r="B701" s="53"/>
    </row>
    <row r="702">
      <c r="B702" s="53"/>
    </row>
    <row r="703">
      <c r="B703" s="53"/>
    </row>
    <row r="704">
      <c r="B704" s="53"/>
    </row>
    <row r="705">
      <c r="B705" s="53"/>
    </row>
    <row r="706">
      <c r="B706" s="53"/>
    </row>
    <row r="707">
      <c r="B707" s="53"/>
    </row>
    <row r="708">
      <c r="B708" s="53"/>
    </row>
    <row r="709">
      <c r="B709" s="53"/>
    </row>
    <row r="710">
      <c r="B710" s="53"/>
    </row>
    <row r="711">
      <c r="B711" s="53"/>
    </row>
    <row r="712">
      <c r="B712" s="53"/>
    </row>
    <row r="713">
      <c r="B713" s="53"/>
    </row>
    <row r="714">
      <c r="B714" s="53"/>
    </row>
    <row r="715">
      <c r="B715" s="53"/>
    </row>
    <row r="716">
      <c r="B716" s="53"/>
    </row>
    <row r="717">
      <c r="B717" s="53"/>
    </row>
    <row r="718">
      <c r="B718" s="53"/>
    </row>
    <row r="719">
      <c r="B719" s="53"/>
    </row>
    <row r="720">
      <c r="B720" s="53"/>
    </row>
    <row r="721">
      <c r="B721" s="53"/>
    </row>
    <row r="722">
      <c r="B722" s="53"/>
    </row>
    <row r="723">
      <c r="B723" s="53"/>
    </row>
    <row r="724">
      <c r="B724" s="53"/>
    </row>
    <row r="725">
      <c r="B725" s="53"/>
    </row>
    <row r="726">
      <c r="B726" s="53"/>
    </row>
    <row r="727">
      <c r="B727" s="53"/>
    </row>
    <row r="728">
      <c r="B728" s="53"/>
    </row>
    <row r="729">
      <c r="B729" s="53"/>
    </row>
    <row r="730">
      <c r="B730" s="53"/>
    </row>
    <row r="731">
      <c r="B731" s="53"/>
    </row>
    <row r="732">
      <c r="B732" s="53"/>
    </row>
    <row r="733">
      <c r="B733" s="53"/>
    </row>
    <row r="734">
      <c r="B734" s="53"/>
    </row>
    <row r="735">
      <c r="B735" s="53"/>
    </row>
    <row r="736">
      <c r="B736" s="53"/>
    </row>
    <row r="737">
      <c r="B737" s="53"/>
    </row>
    <row r="738">
      <c r="B738" s="53"/>
    </row>
    <row r="739">
      <c r="B739" s="53"/>
    </row>
    <row r="740">
      <c r="B740" s="53"/>
    </row>
    <row r="741">
      <c r="B741" s="53"/>
    </row>
    <row r="742">
      <c r="B742" s="53"/>
    </row>
    <row r="743">
      <c r="B743" s="53"/>
    </row>
    <row r="744">
      <c r="B744" s="53"/>
    </row>
    <row r="745">
      <c r="B745" s="53"/>
    </row>
    <row r="746">
      <c r="B746" s="53"/>
    </row>
    <row r="747">
      <c r="B747" s="53"/>
    </row>
    <row r="748">
      <c r="B748" s="53"/>
    </row>
    <row r="749">
      <c r="B749" s="53"/>
    </row>
    <row r="750">
      <c r="B750" s="53"/>
    </row>
    <row r="751">
      <c r="B751" s="53"/>
    </row>
    <row r="752">
      <c r="B752" s="53"/>
    </row>
    <row r="753">
      <c r="B753" s="53"/>
    </row>
    <row r="754">
      <c r="B754" s="53"/>
    </row>
    <row r="755">
      <c r="B755" s="53"/>
    </row>
    <row r="756">
      <c r="B756" s="53"/>
    </row>
    <row r="757">
      <c r="B757" s="53"/>
    </row>
    <row r="758">
      <c r="B758" s="53"/>
    </row>
    <row r="759">
      <c r="B759" s="53"/>
    </row>
    <row r="760">
      <c r="B760" s="53"/>
    </row>
    <row r="761">
      <c r="B761" s="53"/>
    </row>
    <row r="762">
      <c r="B762" s="53"/>
    </row>
    <row r="763">
      <c r="B763" s="53"/>
    </row>
    <row r="764">
      <c r="B764" s="53"/>
    </row>
    <row r="765">
      <c r="B765" s="53"/>
    </row>
    <row r="766">
      <c r="B766" s="53"/>
    </row>
    <row r="767">
      <c r="B767" s="53"/>
    </row>
    <row r="768">
      <c r="B768" s="53"/>
    </row>
    <row r="769">
      <c r="B769" s="53"/>
    </row>
    <row r="770">
      <c r="B770" s="53"/>
    </row>
    <row r="771">
      <c r="B771" s="53"/>
    </row>
    <row r="772">
      <c r="B772" s="53"/>
    </row>
    <row r="773">
      <c r="B773" s="53"/>
    </row>
    <row r="774">
      <c r="B774" s="53"/>
    </row>
    <row r="775">
      <c r="B775" s="53"/>
    </row>
    <row r="776">
      <c r="B776" s="53"/>
    </row>
    <row r="777">
      <c r="B777" s="53"/>
    </row>
    <row r="778">
      <c r="B778" s="53"/>
    </row>
    <row r="779">
      <c r="B779" s="53"/>
    </row>
    <row r="780">
      <c r="B780" s="53"/>
    </row>
    <row r="781">
      <c r="B781" s="53"/>
    </row>
    <row r="782">
      <c r="B782" s="53"/>
    </row>
    <row r="783">
      <c r="B783" s="53"/>
    </row>
    <row r="784">
      <c r="B784" s="53"/>
    </row>
    <row r="785">
      <c r="B785" s="53"/>
    </row>
    <row r="786">
      <c r="B786" s="53"/>
    </row>
    <row r="787">
      <c r="B787" s="53"/>
    </row>
    <row r="788">
      <c r="B788" s="53"/>
    </row>
    <row r="789">
      <c r="B789" s="53"/>
    </row>
    <row r="790">
      <c r="B790" s="53"/>
    </row>
    <row r="791">
      <c r="B791" s="53"/>
    </row>
    <row r="792">
      <c r="B792" s="53"/>
    </row>
    <row r="793">
      <c r="B793" s="53"/>
    </row>
    <row r="794">
      <c r="B794" s="53"/>
    </row>
    <row r="795">
      <c r="B795" s="53"/>
    </row>
    <row r="796">
      <c r="B796" s="53"/>
    </row>
    <row r="797">
      <c r="B797" s="53"/>
    </row>
    <row r="798">
      <c r="B798" s="53"/>
    </row>
    <row r="799">
      <c r="B799" s="53"/>
    </row>
    <row r="800">
      <c r="B800" s="53"/>
    </row>
    <row r="801">
      <c r="B801" s="53"/>
    </row>
    <row r="802">
      <c r="B802" s="53"/>
    </row>
    <row r="803">
      <c r="B803" s="53"/>
    </row>
    <row r="804">
      <c r="B804" s="53"/>
    </row>
    <row r="805">
      <c r="B805" s="53"/>
    </row>
    <row r="806">
      <c r="B806" s="53"/>
    </row>
    <row r="807">
      <c r="B807" s="53"/>
    </row>
    <row r="808">
      <c r="B808" s="53"/>
    </row>
    <row r="809">
      <c r="B809" s="53"/>
    </row>
    <row r="810">
      <c r="B810" s="53"/>
    </row>
    <row r="811">
      <c r="B811" s="53"/>
    </row>
    <row r="812">
      <c r="B812" s="53"/>
    </row>
    <row r="813">
      <c r="B813" s="53"/>
    </row>
    <row r="814">
      <c r="B814" s="53"/>
    </row>
    <row r="815">
      <c r="B815" s="53"/>
    </row>
    <row r="816">
      <c r="B816" s="53"/>
    </row>
    <row r="817">
      <c r="B817" s="53"/>
    </row>
    <row r="818">
      <c r="B818" s="53"/>
    </row>
    <row r="819">
      <c r="B819" s="53"/>
    </row>
    <row r="820">
      <c r="B820" s="53"/>
    </row>
    <row r="821">
      <c r="B821" s="53"/>
    </row>
    <row r="822">
      <c r="B822" s="53"/>
    </row>
    <row r="823">
      <c r="B823" s="53"/>
    </row>
    <row r="824">
      <c r="B824" s="53"/>
    </row>
    <row r="825">
      <c r="B825" s="53"/>
    </row>
    <row r="826">
      <c r="B826" s="53"/>
    </row>
    <row r="827">
      <c r="B827" s="53"/>
    </row>
    <row r="828">
      <c r="B828" s="53"/>
    </row>
    <row r="829">
      <c r="B829" s="53"/>
    </row>
    <row r="830">
      <c r="B830" s="53"/>
    </row>
    <row r="831">
      <c r="B831" s="53"/>
    </row>
    <row r="832">
      <c r="B832" s="53"/>
    </row>
    <row r="833">
      <c r="B833" s="53"/>
    </row>
    <row r="834">
      <c r="B834" s="53"/>
    </row>
    <row r="835">
      <c r="B835" s="53"/>
    </row>
    <row r="836">
      <c r="B836" s="53"/>
    </row>
    <row r="837">
      <c r="B837" s="53"/>
    </row>
    <row r="838">
      <c r="B838" s="53"/>
    </row>
    <row r="839">
      <c r="B839" s="53"/>
    </row>
    <row r="840">
      <c r="B840" s="53"/>
    </row>
    <row r="841">
      <c r="B841" s="53"/>
    </row>
    <row r="842">
      <c r="B842" s="53"/>
    </row>
    <row r="843">
      <c r="B843" s="53"/>
    </row>
    <row r="844">
      <c r="B844" s="53"/>
    </row>
    <row r="845">
      <c r="B845" s="53"/>
    </row>
    <row r="846">
      <c r="B846" s="53"/>
    </row>
    <row r="847">
      <c r="B847" s="53"/>
    </row>
    <row r="848">
      <c r="B848" s="53"/>
    </row>
    <row r="849">
      <c r="B849" s="53"/>
    </row>
    <row r="850">
      <c r="B850" s="53"/>
    </row>
    <row r="851">
      <c r="B851" s="53"/>
    </row>
    <row r="852">
      <c r="B852" s="53"/>
    </row>
    <row r="853">
      <c r="B853" s="53"/>
    </row>
    <row r="854">
      <c r="B854" s="53"/>
    </row>
    <row r="855">
      <c r="B855" s="53"/>
    </row>
    <row r="856">
      <c r="B856" s="53"/>
    </row>
    <row r="857">
      <c r="B857" s="53"/>
    </row>
    <row r="858">
      <c r="B858" s="53"/>
    </row>
    <row r="859">
      <c r="B859" s="53"/>
    </row>
    <row r="860">
      <c r="B860" s="53"/>
    </row>
    <row r="861">
      <c r="B861" s="53"/>
    </row>
    <row r="862">
      <c r="B862" s="53"/>
    </row>
    <row r="863">
      <c r="B863" s="53"/>
    </row>
    <row r="864">
      <c r="B864" s="53"/>
    </row>
    <row r="865">
      <c r="B865" s="53"/>
    </row>
    <row r="866">
      <c r="B866" s="53"/>
    </row>
    <row r="867">
      <c r="B867" s="53"/>
    </row>
    <row r="868">
      <c r="B868" s="53"/>
    </row>
    <row r="869">
      <c r="B869" s="53"/>
    </row>
    <row r="870">
      <c r="B870" s="53"/>
    </row>
    <row r="871">
      <c r="B871" s="53"/>
    </row>
    <row r="872">
      <c r="B872" s="53"/>
    </row>
    <row r="873">
      <c r="B873" s="53"/>
    </row>
    <row r="874">
      <c r="B874" s="53"/>
    </row>
    <row r="875">
      <c r="B875" s="53"/>
    </row>
    <row r="876">
      <c r="B876" s="53"/>
    </row>
    <row r="877">
      <c r="B877" s="53"/>
    </row>
    <row r="878">
      <c r="B878" s="53"/>
    </row>
    <row r="879">
      <c r="B879" s="53"/>
    </row>
    <row r="880">
      <c r="B880" s="53"/>
    </row>
    <row r="881">
      <c r="B881" s="53"/>
    </row>
    <row r="882">
      <c r="B882" s="53"/>
    </row>
    <row r="883">
      <c r="B883" s="53"/>
    </row>
    <row r="884">
      <c r="B884" s="53"/>
    </row>
    <row r="885">
      <c r="B885" s="53"/>
    </row>
    <row r="886">
      <c r="B886" s="53"/>
    </row>
    <row r="887">
      <c r="B887" s="53"/>
    </row>
    <row r="888">
      <c r="B888" s="53"/>
    </row>
    <row r="889">
      <c r="B889" s="53"/>
    </row>
    <row r="890">
      <c r="B890" s="53"/>
    </row>
    <row r="891">
      <c r="B891" s="53"/>
    </row>
    <row r="892">
      <c r="B892" s="53"/>
    </row>
    <row r="893">
      <c r="B893" s="53"/>
    </row>
    <row r="894">
      <c r="B894" s="53"/>
    </row>
    <row r="895">
      <c r="B895" s="53"/>
    </row>
    <row r="896">
      <c r="B896" s="53"/>
    </row>
    <row r="897">
      <c r="B897" s="53"/>
    </row>
    <row r="898">
      <c r="B898" s="53"/>
    </row>
    <row r="899">
      <c r="B899" s="53"/>
    </row>
    <row r="900">
      <c r="B900" s="53"/>
    </row>
    <row r="901">
      <c r="B901" s="53"/>
    </row>
    <row r="902">
      <c r="B902" s="53"/>
    </row>
    <row r="903">
      <c r="B903" s="53"/>
    </row>
    <row r="904">
      <c r="B904" s="53"/>
    </row>
    <row r="905">
      <c r="B905" s="53"/>
    </row>
    <row r="906">
      <c r="B906" s="53"/>
    </row>
    <row r="907">
      <c r="B907" s="53"/>
    </row>
    <row r="908">
      <c r="B908" s="53"/>
    </row>
    <row r="909">
      <c r="B909" s="53"/>
    </row>
    <row r="910">
      <c r="B910" s="53"/>
    </row>
    <row r="911">
      <c r="B911" s="53"/>
    </row>
    <row r="912">
      <c r="B912" s="53"/>
    </row>
    <row r="913">
      <c r="B913" s="53"/>
    </row>
    <row r="914">
      <c r="B914" s="53"/>
    </row>
    <row r="915">
      <c r="B915" s="53"/>
    </row>
    <row r="916">
      <c r="B916" s="53"/>
    </row>
    <row r="917">
      <c r="B917" s="53"/>
    </row>
    <row r="918">
      <c r="B918" s="53"/>
    </row>
    <row r="919">
      <c r="B919" s="53"/>
    </row>
    <row r="920">
      <c r="B920" s="53"/>
    </row>
    <row r="921">
      <c r="B921" s="53"/>
    </row>
    <row r="922">
      <c r="B922" s="53"/>
    </row>
    <row r="923">
      <c r="B923" s="53"/>
    </row>
    <row r="924">
      <c r="B924" s="53"/>
    </row>
    <row r="925">
      <c r="B925" s="53"/>
    </row>
    <row r="926">
      <c r="B926" s="53"/>
    </row>
    <row r="927">
      <c r="B927" s="53"/>
    </row>
    <row r="928">
      <c r="B928" s="53"/>
    </row>
    <row r="929">
      <c r="B929" s="53"/>
    </row>
    <row r="930">
      <c r="B930" s="53"/>
    </row>
    <row r="931">
      <c r="B931" s="53"/>
    </row>
    <row r="932">
      <c r="B932" s="53"/>
    </row>
    <row r="933">
      <c r="B933" s="53"/>
    </row>
    <row r="934">
      <c r="B934" s="53"/>
    </row>
    <row r="935">
      <c r="B935" s="53"/>
    </row>
    <row r="936">
      <c r="B936" s="53"/>
    </row>
    <row r="937">
      <c r="B937" s="53"/>
    </row>
    <row r="938">
      <c r="B938" s="53"/>
    </row>
    <row r="939">
      <c r="B939" s="53"/>
    </row>
    <row r="940">
      <c r="B940" s="53"/>
    </row>
    <row r="941">
      <c r="B941" s="53"/>
    </row>
    <row r="942">
      <c r="B942" s="53"/>
    </row>
    <row r="943">
      <c r="B943" s="53"/>
    </row>
    <row r="944">
      <c r="B944" s="53"/>
    </row>
    <row r="945">
      <c r="B945" s="53"/>
    </row>
    <row r="946">
      <c r="B946" s="53"/>
    </row>
    <row r="947">
      <c r="B947" s="53"/>
    </row>
    <row r="948">
      <c r="B948" s="53"/>
    </row>
    <row r="949">
      <c r="B949" s="53"/>
    </row>
    <row r="950">
      <c r="B950" s="53"/>
    </row>
    <row r="951">
      <c r="B951" s="53"/>
    </row>
    <row r="952">
      <c r="B952" s="53"/>
    </row>
    <row r="953">
      <c r="B953" s="53"/>
    </row>
    <row r="954">
      <c r="B954" s="53"/>
    </row>
    <row r="955">
      <c r="B955" s="53"/>
    </row>
    <row r="956">
      <c r="B956" s="53"/>
    </row>
    <row r="957">
      <c r="B957" s="53"/>
    </row>
    <row r="958">
      <c r="B958" s="53"/>
    </row>
    <row r="959">
      <c r="B959" s="53"/>
    </row>
    <row r="960">
      <c r="B960" s="53"/>
    </row>
    <row r="961">
      <c r="B961" s="53"/>
    </row>
    <row r="962">
      <c r="B962" s="53"/>
    </row>
    <row r="963">
      <c r="B963" s="53"/>
    </row>
    <row r="964">
      <c r="B964" s="53"/>
    </row>
    <row r="965">
      <c r="B965" s="53"/>
    </row>
    <row r="966">
      <c r="B966" s="53"/>
    </row>
    <row r="967">
      <c r="B967" s="53"/>
    </row>
    <row r="968">
      <c r="B968" s="53"/>
    </row>
    <row r="969">
      <c r="B969" s="53"/>
    </row>
    <row r="970">
      <c r="B970" s="53"/>
    </row>
    <row r="971">
      <c r="B971" s="53"/>
    </row>
    <row r="972">
      <c r="B972" s="53"/>
    </row>
    <row r="973">
      <c r="B973" s="53"/>
    </row>
    <row r="974">
      <c r="B974" s="53"/>
    </row>
    <row r="975">
      <c r="B975" s="53"/>
    </row>
    <row r="976">
      <c r="B976" s="53"/>
    </row>
    <row r="977">
      <c r="B977" s="53"/>
    </row>
    <row r="978">
      <c r="B978" s="53"/>
    </row>
    <row r="979">
      <c r="B979" s="53"/>
    </row>
    <row r="980">
      <c r="B980" s="53"/>
    </row>
    <row r="981">
      <c r="B981" s="53"/>
    </row>
    <row r="982">
      <c r="B982" s="53"/>
    </row>
    <row r="983">
      <c r="B983" s="53"/>
    </row>
    <row r="984">
      <c r="B984" s="53"/>
    </row>
    <row r="985">
      <c r="B985" s="53"/>
    </row>
    <row r="986">
      <c r="B986" s="53"/>
    </row>
    <row r="987">
      <c r="B987" s="53"/>
    </row>
    <row r="988">
      <c r="B988" s="53"/>
    </row>
    <row r="989">
      <c r="B989" s="53"/>
    </row>
    <row r="990">
      <c r="B990" s="53"/>
    </row>
    <row r="991">
      <c r="B991" s="53"/>
    </row>
    <row r="992">
      <c r="B992" s="53"/>
    </row>
    <row r="993">
      <c r="B993" s="53"/>
    </row>
    <row r="994">
      <c r="B994" s="53"/>
    </row>
    <row r="995">
      <c r="B995" s="53"/>
    </row>
    <row r="996">
      <c r="B996" s="53"/>
    </row>
    <row r="997">
      <c r="B997" s="53"/>
    </row>
    <row r="998">
      <c r="B998" s="53"/>
    </row>
    <row r="999">
      <c r="B999" s="5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5" t="s">
        <v>80</v>
      </c>
      <c r="B1" s="35" t="s">
        <v>81</v>
      </c>
      <c r="C1" s="35" t="s">
        <v>82</v>
      </c>
      <c r="D1" s="35" t="s">
        <v>83</v>
      </c>
      <c r="E1" s="35" t="s">
        <v>84</v>
      </c>
      <c r="F1" s="35" t="s">
        <v>85</v>
      </c>
      <c r="G1" s="35" t="s">
        <v>86</v>
      </c>
      <c r="H1" s="35" t="s">
        <v>87</v>
      </c>
      <c r="I1" s="35" t="s">
        <v>88</v>
      </c>
      <c r="J1" s="35" t="s">
        <v>89</v>
      </c>
      <c r="K1" s="35" t="s">
        <v>90</v>
      </c>
      <c r="L1" s="38"/>
    </row>
    <row r="2">
      <c r="A2" s="35"/>
      <c r="B2" s="37"/>
      <c r="C2" s="35"/>
      <c r="D2" s="35"/>
      <c r="E2" s="35"/>
      <c r="F2" s="35"/>
      <c r="G2" s="35"/>
      <c r="H2" s="37"/>
      <c r="I2" s="37"/>
      <c r="J2" s="37"/>
      <c r="K2" s="37"/>
      <c r="L2" s="38"/>
    </row>
    <row r="4">
      <c r="B4" s="54" t="s">
        <v>3952</v>
      </c>
      <c r="C4" s="54" t="s">
        <v>3952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7.25"/>
    <col customWidth="1" min="3" max="3" width="26.75"/>
    <col customWidth="1" min="4" max="4" width="8.0"/>
    <col customWidth="1" min="5" max="5" width="14.75"/>
    <col customWidth="1" min="6" max="6" width="9.0"/>
    <col customWidth="1" min="7" max="7" width="6.38"/>
    <col customWidth="1" min="8" max="8" width="8.0"/>
    <col customWidth="1" min="9" max="9" width="10.63"/>
    <col customWidth="1" min="10" max="10" width="12.88"/>
    <col customWidth="1" min="11" max="11" width="13.63"/>
  </cols>
  <sheetData>
    <row r="1">
      <c r="A1" s="35" t="s">
        <v>80</v>
      </c>
      <c r="B1" s="35" t="s">
        <v>81</v>
      </c>
      <c r="C1" s="35" t="s">
        <v>82</v>
      </c>
      <c r="D1" s="35" t="s">
        <v>83</v>
      </c>
      <c r="E1" s="35" t="s">
        <v>84</v>
      </c>
      <c r="F1" s="35" t="s">
        <v>85</v>
      </c>
      <c r="G1" s="35" t="s">
        <v>86</v>
      </c>
      <c r="H1" s="35" t="s">
        <v>87</v>
      </c>
      <c r="I1" s="35" t="s">
        <v>88</v>
      </c>
      <c r="J1" s="35" t="s">
        <v>89</v>
      </c>
      <c r="K1" s="35" t="s">
        <v>90</v>
      </c>
      <c r="L1" s="38"/>
    </row>
    <row r="2">
      <c r="A2" s="50" t="s">
        <v>1181</v>
      </c>
      <c r="B2" s="50" t="s">
        <v>1182</v>
      </c>
      <c r="C2" s="50" t="s">
        <v>1183</v>
      </c>
      <c r="D2" s="50" t="s">
        <v>93</v>
      </c>
      <c r="E2" s="50" t="s">
        <v>167</v>
      </c>
      <c r="F2" s="50" t="s">
        <v>622</v>
      </c>
      <c r="G2" s="50" t="s">
        <v>623</v>
      </c>
      <c r="H2" s="51">
        <v>6.45477007</v>
      </c>
      <c r="I2" s="51">
        <v>131959.0</v>
      </c>
      <c r="J2" s="51">
        <v>5.039329094E7</v>
      </c>
      <c r="K2" s="51">
        <v>5.039329094E7</v>
      </c>
      <c r="L2" s="38"/>
    </row>
    <row r="3">
      <c r="A3" s="50" t="s">
        <v>714</v>
      </c>
      <c r="B3" s="50">
        <v>2398822.0</v>
      </c>
      <c r="C3" s="50" t="s">
        <v>715</v>
      </c>
      <c r="D3" s="50" t="s">
        <v>93</v>
      </c>
      <c r="E3" s="50" t="s">
        <v>167</v>
      </c>
      <c r="F3" s="50" t="s">
        <v>716</v>
      </c>
      <c r="G3" s="50" t="s">
        <v>623</v>
      </c>
      <c r="H3" s="51">
        <v>6.43554453</v>
      </c>
      <c r="I3" s="51">
        <v>1785839.0</v>
      </c>
      <c r="J3" s="51">
        <v>5.024319449E7</v>
      </c>
      <c r="K3" s="51">
        <v>5.024319449E7</v>
      </c>
    </row>
    <row r="4">
      <c r="A4" s="50" t="s">
        <v>901</v>
      </c>
      <c r="B4" s="50">
        <v>2198163.0</v>
      </c>
      <c r="C4" s="50" t="s">
        <v>902</v>
      </c>
      <c r="D4" s="50" t="s">
        <v>93</v>
      </c>
      <c r="E4" s="50" t="s">
        <v>167</v>
      </c>
      <c r="F4" s="50" t="s">
        <v>622</v>
      </c>
      <c r="G4" s="50" t="s">
        <v>623</v>
      </c>
      <c r="H4" s="51">
        <v>6.35902495</v>
      </c>
      <c r="I4" s="51">
        <v>566915.0</v>
      </c>
      <c r="J4" s="51">
        <v>4.964579548E7</v>
      </c>
      <c r="K4" s="51">
        <v>4.964579548E7</v>
      </c>
    </row>
    <row r="5">
      <c r="A5" s="50" t="s">
        <v>871</v>
      </c>
      <c r="B5" s="50" t="s">
        <v>872</v>
      </c>
      <c r="C5" s="50" t="s">
        <v>873</v>
      </c>
      <c r="D5" s="50" t="s">
        <v>93</v>
      </c>
      <c r="E5" s="50" t="s">
        <v>167</v>
      </c>
      <c r="F5" s="50" t="s">
        <v>622</v>
      </c>
      <c r="G5" s="50" t="s">
        <v>623</v>
      </c>
      <c r="H5" s="51">
        <v>6.04490394</v>
      </c>
      <c r="I5" s="51">
        <v>34852.0</v>
      </c>
      <c r="J5" s="51">
        <v>4.719340886E7</v>
      </c>
      <c r="K5" s="51">
        <v>4.719340886E7</v>
      </c>
    </row>
    <row r="6">
      <c r="A6" s="50" t="s">
        <v>1511</v>
      </c>
      <c r="B6" s="50" t="s">
        <v>1512</v>
      </c>
      <c r="C6" s="50" t="s">
        <v>1513</v>
      </c>
      <c r="D6" s="50" t="s">
        <v>93</v>
      </c>
      <c r="E6" s="50" t="s">
        <v>167</v>
      </c>
      <c r="F6" s="50" t="s">
        <v>622</v>
      </c>
      <c r="G6" s="50" t="s">
        <v>623</v>
      </c>
      <c r="H6" s="51">
        <v>5.17433345</v>
      </c>
      <c r="I6" s="51">
        <v>412098.0</v>
      </c>
      <c r="J6" s="51">
        <v>4.039674351E7</v>
      </c>
      <c r="K6" s="51">
        <v>4.039674351E7</v>
      </c>
    </row>
    <row r="7">
      <c r="A7" s="50" t="s">
        <v>2060</v>
      </c>
      <c r="B7" s="50" t="s">
        <v>2061</v>
      </c>
      <c r="C7" s="50" t="s">
        <v>2062</v>
      </c>
      <c r="D7" s="50" t="s">
        <v>93</v>
      </c>
      <c r="E7" s="50" t="s">
        <v>167</v>
      </c>
      <c r="F7" s="50" t="s">
        <v>622</v>
      </c>
      <c r="G7" s="50" t="s">
        <v>623</v>
      </c>
      <c r="H7" s="51">
        <v>3.4466267</v>
      </c>
      <c r="I7" s="51">
        <v>141800.0</v>
      </c>
      <c r="J7" s="51">
        <v>2.690829579E7</v>
      </c>
      <c r="K7" s="51">
        <v>2.690829579E7</v>
      </c>
    </row>
    <row r="8">
      <c r="A8" s="50" t="s">
        <v>2608</v>
      </c>
      <c r="B8" s="50" t="s">
        <v>2609</v>
      </c>
      <c r="C8" s="50" t="s">
        <v>2610</v>
      </c>
      <c r="D8" s="50" t="s">
        <v>93</v>
      </c>
      <c r="E8" s="50" t="s">
        <v>127</v>
      </c>
      <c r="F8" s="50" t="s">
        <v>622</v>
      </c>
      <c r="G8" s="50" t="s">
        <v>623</v>
      </c>
      <c r="H8" s="51">
        <v>3.414261</v>
      </c>
      <c r="I8" s="51">
        <v>180366.0</v>
      </c>
      <c r="J8" s="51">
        <v>2.665561221E7</v>
      </c>
      <c r="K8" s="51">
        <v>2.665561221E7</v>
      </c>
    </row>
    <row r="9">
      <c r="A9" s="50" t="s">
        <v>2573</v>
      </c>
      <c r="B9" s="50" t="s">
        <v>2574</v>
      </c>
      <c r="C9" s="50" t="s">
        <v>2575</v>
      </c>
      <c r="D9" s="50" t="s">
        <v>93</v>
      </c>
      <c r="E9" s="50" t="s">
        <v>167</v>
      </c>
      <c r="F9" s="50" t="s">
        <v>622</v>
      </c>
      <c r="G9" s="50" t="s">
        <v>623</v>
      </c>
      <c r="H9" s="51">
        <v>3.29273619</v>
      </c>
      <c r="I9" s="51">
        <v>103922.0</v>
      </c>
      <c r="J9" s="51">
        <v>2.570685111E7</v>
      </c>
      <c r="K9" s="51">
        <v>2.570685111E7</v>
      </c>
    </row>
    <row r="10">
      <c r="A10" s="50" t="s">
        <v>2407</v>
      </c>
      <c r="B10" s="50">
        <v>2507457.0</v>
      </c>
      <c r="C10" s="50" t="s">
        <v>2408</v>
      </c>
      <c r="D10" s="50" t="s">
        <v>93</v>
      </c>
      <c r="E10" s="50" t="s">
        <v>167</v>
      </c>
      <c r="F10" s="50" t="s">
        <v>622</v>
      </c>
      <c r="G10" s="50" t="s">
        <v>623</v>
      </c>
      <c r="H10" s="51">
        <v>3.20913386</v>
      </c>
      <c r="I10" s="51">
        <v>152837.0</v>
      </c>
      <c r="J10" s="51">
        <v>2.505415604E7</v>
      </c>
      <c r="K10" s="51">
        <v>2.505415604E7</v>
      </c>
    </row>
    <row r="11">
      <c r="A11" s="50" t="s">
        <v>3953</v>
      </c>
      <c r="B11" s="50" t="s">
        <v>3954</v>
      </c>
      <c r="C11" s="50" t="s">
        <v>3955</v>
      </c>
      <c r="D11" s="50" t="s">
        <v>93</v>
      </c>
      <c r="E11" s="50" t="s">
        <v>127</v>
      </c>
      <c r="F11" s="50" t="s">
        <v>622</v>
      </c>
      <c r="G11" s="50" t="s">
        <v>623</v>
      </c>
      <c r="H11" s="51">
        <v>3.20229264</v>
      </c>
      <c r="I11" s="51">
        <v>144656.0</v>
      </c>
      <c r="J11" s="51">
        <v>2.500074569E7</v>
      </c>
      <c r="K11" s="51">
        <v>2.500074569E7</v>
      </c>
    </row>
    <row r="12">
      <c r="A12" s="50" t="s">
        <v>3956</v>
      </c>
      <c r="B12" s="50" t="s">
        <v>3957</v>
      </c>
      <c r="C12" s="50" t="s">
        <v>3958</v>
      </c>
      <c r="D12" s="50" t="s">
        <v>93</v>
      </c>
      <c r="E12" s="50" t="s">
        <v>127</v>
      </c>
      <c r="F12" s="50" t="s">
        <v>622</v>
      </c>
      <c r="G12" s="50" t="s">
        <v>623</v>
      </c>
      <c r="H12" s="51">
        <v>3.15005286</v>
      </c>
      <c r="I12" s="51">
        <v>139981.0</v>
      </c>
      <c r="J12" s="51">
        <v>2.459290242E7</v>
      </c>
      <c r="K12" s="51">
        <v>2.459290242E7</v>
      </c>
    </row>
    <row r="13">
      <c r="A13" s="50" t="s">
        <v>3170</v>
      </c>
      <c r="B13" s="50" t="s">
        <v>3171</v>
      </c>
      <c r="C13" s="50" t="s">
        <v>3172</v>
      </c>
      <c r="D13" s="50" t="s">
        <v>93</v>
      </c>
      <c r="E13" s="50" t="s">
        <v>167</v>
      </c>
      <c r="F13" s="50" t="s">
        <v>622</v>
      </c>
      <c r="G13" s="50" t="s">
        <v>623</v>
      </c>
      <c r="H13" s="51">
        <v>3.10688018</v>
      </c>
      <c r="I13" s="51">
        <v>90993.0</v>
      </c>
      <c r="J13" s="51">
        <v>2.425584724E7</v>
      </c>
      <c r="K13" s="51">
        <v>2.425584724E7</v>
      </c>
    </row>
    <row r="14">
      <c r="A14" s="50" t="s">
        <v>3959</v>
      </c>
      <c r="B14" s="50" t="s">
        <v>3960</v>
      </c>
      <c r="C14" s="50" t="s">
        <v>3961</v>
      </c>
      <c r="D14" s="50" t="s">
        <v>93</v>
      </c>
      <c r="E14" s="50" t="s">
        <v>167</v>
      </c>
      <c r="F14" s="50" t="s">
        <v>622</v>
      </c>
      <c r="G14" s="50" t="s">
        <v>623</v>
      </c>
      <c r="H14" s="51">
        <v>3.09775332</v>
      </c>
      <c r="I14" s="51">
        <v>102056.0</v>
      </c>
      <c r="J14" s="51">
        <v>2.418459257E7</v>
      </c>
      <c r="K14" s="51">
        <v>2.418459257E7</v>
      </c>
    </row>
    <row r="15">
      <c r="A15" s="50" t="s">
        <v>2737</v>
      </c>
      <c r="B15" s="50" t="s">
        <v>2738</v>
      </c>
      <c r="C15" s="50" t="s">
        <v>2739</v>
      </c>
      <c r="D15" s="50" t="s">
        <v>93</v>
      </c>
      <c r="E15" s="50" t="s">
        <v>167</v>
      </c>
      <c r="F15" s="50" t="s">
        <v>622</v>
      </c>
      <c r="G15" s="50" t="s">
        <v>623</v>
      </c>
      <c r="H15" s="51">
        <v>3.0699454</v>
      </c>
      <c r="I15" s="51">
        <v>802699.0</v>
      </c>
      <c r="J15" s="51">
        <v>2.396749228E7</v>
      </c>
      <c r="K15" s="51">
        <v>2.396749228E7</v>
      </c>
    </row>
    <row r="16">
      <c r="A16" s="50" t="s">
        <v>3962</v>
      </c>
      <c r="B16" s="50">
        <v>2427599.0</v>
      </c>
      <c r="C16" s="50" t="s">
        <v>3963</v>
      </c>
      <c r="D16" s="50" t="s">
        <v>93</v>
      </c>
      <c r="E16" s="50" t="s">
        <v>167</v>
      </c>
      <c r="F16" s="50" t="s">
        <v>622</v>
      </c>
      <c r="G16" s="50" t="s">
        <v>623</v>
      </c>
      <c r="H16" s="51">
        <v>3.05103646</v>
      </c>
      <c r="I16" s="51">
        <v>95401.0</v>
      </c>
      <c r="J16" s="51">
        <v>2.381986752E7</v>
      </c>
      <c r="K16" s="51">
        <v>2.381986752E7</v>
      </c>
    </row>
    <row r="17">
      <c r="A17" s="50" t="s">
        <v>2558</v>
      </c>
      <c r="B17" s="50">
        <v>2181334.0</v>
      </c>
      <c r="C17" s="50" t="s">
        <v>2559</v>
      </c>
      <c r="D17" s="50" t="s">
        <v>93</v>
      </c>
      <c r="E17" s="50" t="s">
        <v>167</v>
      </c>
      <c r="F17" s="50" t="s">
        <v>679</v>
      </c>
      <c r="G17" s="50" t="s">
        <v>623</v>
      </c>
      <c r="H17" s="51">
        <v>3.04918952</v>
      </c>
      <c r="I17" s="51">
        <v>112806.0</v>
      </c>
      <c r="J17" s="51">
        <v>2.380544825E7</v>
      </c>
      <c r="K17" s="51">
        <v>2.380544825E7</v>
      </c>
    </row>
    <row r="18">
      <c r="A18" s="50" t="s">
        <v>1596</v>
      </c>
      <c r="B18" s="50" t="s">
        <v>1597</v>
      </c>
      <c r="C18" s="50" t="s">
        <v>1598</v>
      </c>
      <c r="D18" s="50" t="s">
        <v>93</v>
      </c>
      <c r="E18" s="50" t="s">
        <v>167</v>
      </c>
      <c r="F18" s="50" t="s">
        <v>622</v>
      </c>
      <c r="G18" s="50" t="s">
        <v>623</v>
      </c>
      <c r="H18" s="51">
        <v>2.9870454</v>
      </c>
      <c r="I18" s="51">
        <v>87924.0</v>
      </c>
      <c r="J18" s="51">
        <v>2.332028044E7</v>
      </c>
      <c r="K18" s="51">
        <v>2.332028044E7</v>
      </c>
    </row>
    <row r="19">
      <c r="A19" s="50" t="s">
        <v>2562</v>
      </c>
      <c r="B19" s="50">
        <v>4162791.0</v>
      </c>
      <c r="C19" s="50" t="s">
        <v>2563</v>
      </c>
      <c r="D19" s="50" t="s">
        <v>93</v>
      </c>
      <c r="E19" s="50" t="s">
        <v>127</v>
      </c>
      <c r="F19" s="50" t="s">
        <v>639</v>
      </c>
      <c r="G19" s="50" t="s">
        <v>640</v>
      </c>
      <c r="H19" s="51">
        <v>2.96328605</v>
      </c>
      <c r="I19" s="51">
        <v>101354.0</v>
      </c>
      <c r="J19" s="51">
        <v>2.313478786E7</v>
      </c>
      <c r="K19" s="51">
        <v>2.313478786E7</v>
      </c>
    </row>
    <row r="20">
      <c r="A20" s="50" t="s">
        <v>3964</v>
      </c>
      <c r="B20" s="50" t="s">
        <v>3965</v>
      </c>
      <c r="C20" s="50" t="s">
        <v>3966</v>
      </c>
      <c r="D20" s="50" t="s">
        <v>93</v>
      </c>
      <c r="E20" s="50" t="s">
        <v>167</v>
      </c>
      <c r="F20" s="50" t="s">
        <v>622</v>
      </c>
      <c r="G20" s="50" t="s">
        <v>623</v>
      </c>
      <c r="H20" s="51">
        <v>2.84364542</v>
      </c>
      <c r="I20" s="51">
        <v>306929.0</v>
      </c>
      <c r="J20" s="51">
        <v>2.220073674E7</v>
      </c>
      <c r="K20" s="51">
        <v>2.220073674E7</v>
      </c>
    </row>
    <row r="21">
      <c r="A21" s="50" t="s">
        <v>2354</v>
      </c>
      <c r="B21" s="50" t="s">
        <v>2355</v>
      </c>
      <c r="C21" s="50" t="s">
        <v>2356</v>
      </c>
      <c r="D21" s="50" t="s">
        <v>93</v>
      </c>
      <c r="E21" s="50" t="s">
        <v>167</v>
      </c>
      <c r="F21" s="50" t="s">
        <v>622</v>
      </c>
      <c r="G21" s="50" t="s">
        <v>623</v>
      </c>
      <c r="H21" s="51">
        <v>2.65657778</v>
      </c>
      <c r="I21" s="51">
        <v>203576.0</v>
      </c>
      <c r="J21" s="51">
        <v>2.074027354E7</v>
      </c>
      <c r="K21" s="51">
        <v>2.074027354E7</v>
      </c>
    </row>
    <row r="22">
      <c r="A22" s="50" t="s">
        <v>2926</v>
      </c>
      <c r="B22" s="50">
        <v>2260824.0</v>
      </c>
      <c r="C22" s="50" t="s">
        <v>2927</v>
      </c>
      <c r="D22" s="50" t="s">
        <v>93</v>
      </c>
      <c r="E22" s="50" t="s">
        <v>167</v>
      </c>
      <c r="F22" s="50" t="s">
        <v>694</v>
      </c>
      <c r="G22" s="50" t="s">
        <v>1003</v>
      </c>
      <c r="H22" s="51">
        <v>2.65350592</v>
      </c>
      <c r="I22" s="51">
        <v>339086.0</v>
      </c>
      <c r="J22" s="51">
        <v>2.071629115E7</v>
      </c>
      <c r="K22" s="51">
        <v>2.071629115E7</v>
      </c>
    </row>
    <row r="23">
      <c r="A23" s="50" t="s">
        <v>2688</v>
      </c>
      <c r="B23" s="50" t="s">
        <v>2689</v>
      </c>
      <c r="C23" s="50" t="s">
        <v>2690</v>
      </c>
      <c r="D23" s="50" t="s">
        <v>93</v>
      </c>
      <c r="E23" s="50" t="s">
        <v>167</v>
      </c>
      <c r="F23" s="50" t="s">
        <v>622</v>
      </c>
      <c r="G23" s="50" t="s">
        <v>623</v>
      </c>
      <c r="H23" s="51">
        <v>2.65150372</v>
      </c>
      <c r="I23" s="51">
        <v>154888.0</v>
      </c>
      <c r="J23" s="51">
        <v>2.070065969E7</v>
      </c>
      <c r="K23" s="51">
        <v>2.070065969E7</v>
      </c>
    </row>
    <row r="24">
      <c r="A24" s="50" t="s">
        <v>3967</v>
      </c>
      <c r="B24" s="50">
        <v>2431846.0</v>
      </c>
      <c r="C24" s="50" t="s">
        <v>3968</v>
      </c>
      <c r="D24" s="50" t="s">
        <v>93</v>
      </c>
      <c r="E24" s="50" t="s">
        <v>167</v>
      </c>
      <c r="F24" s="50" t="s">
        <v>622</v>
      </c>
      <c r="G24" s="50" t="s">
        <v>623</v>
      </c>
      <c r="H24" s="51">
        <v>2.61525764</v>
      </c>
      <c r="I24" s="51">
        <v>463593.0</v>
      </c>
      <c r="J24" s="51">
        <v>2.041768145E7</v>
      </c>
      <c r="K24" s="51">
        <v>2.041768145E7</v>
      </c>
    </row>
    <row r="25">
      <c r="A25" s="50" t="s">
        <v>2314</v>
      </c>
      <c r="B25" s="50">
        <v>2142922.0</v>
      </c>
      <c r="C25" s="50" t="s">
        <v>2315</v>
      </c>
      <c r="D25" s="50" t="s">
        <v>93</v>
      </c>
      <c r="E25" s="50" t="s">
        <v>167</v>
      </c>
      <c r="F25" s="50" t="s">
        <v>622</v>
      </c>
      <c r="G25" s="50" t="s">
        <v>623</v>
      </c>
      <c r="H25" s="51">
        <v>2.51420955</v>
      </c>
      <c r="I25" s="51">
        <v>63046.0</v>
      </c>
      <c r="J25" s="51">
        <v>1.962878493E7</v>
      </c>
      <c r="K25" s="51">
        <v>1.962878493E7</v>
      </c>
    </row>
    <row r="26">
      <c r="A26" s="50" t="s">
        <v>3499</v>
      </c>
      <c r="B26" s="50">
        <v>6125286.0</v>
      </c>
      <c r="C26" s="50" t="s">
        <v>3500</v>
      </c>
      <c r="D26" s="50" t="s">
        <v>93</v>
      </c>
      <c r="E26" s="50" t="s">
        <v>167</v>
      </c>
      <c r="F26" s="50" t="s">
        <v>629</v>
      </c>
      <c r="G26" s="50" t="s">
        <v>630</v>
      </c>
      <c r="H26" s="51">
        <v>2.43080303</v>
      </c>
      <c r="I26" s="51">
        <v>296200.0</v>
      </c>
      <c r="J26" s="51">
        <v>1.897761859E7</v>
      </c>
      <c r="K26" s="51">
        <v>1.897761859E7</v>
      </c>
    </row>
    <row r="27">
      <c r="A27" s="50" t="s">
        <v>3969</v>
      </c>
      <c r="B27" s="50" t="s">
        <v>3970</v>
      </c>
      <c r="C27" s="50" t="s">
        <v>3971</v>
      </c>
      <c r="D27" s="50" t="s">
        <v>93</v>
      </c>
      <c r="E27" s="50" t="s">
        <v>167</v>
      </c>
      <c r="F27" s="50" t="s">
        <v>622</v>
      </c>
      <c r="G27" s="50" t="s">
        <v>623</v>
      </c>
      <c r="H27" s="51">
        <v>2.25517195</v>
      </c>
      <c r="I27" s="51">
        <v>658528.0</v>
      </c>
      <c r="J27" s="51">
        <v>1.760644226E7</v>
      </c>
      <c r="K27" s="51">
        <v>1.760644226E7</v>
      </c>
    </row>
    <row r="28">
      <c r="A28" s="50" t="s">
        <v>3972</v>
      </c>
      <c r="B28" s="50" t="s">
        <v>3973</v>
      </c>
      <c r="C28" s="50" t="s">
        <v>3974</v>
      </c>
      <c r="D28" s="50" t="s">
        <v>93</v>
      </c>
      <c r="E28" s="50" t="s">
        <v>167</v>
      </c>
      <c r="F28" s="50" t="s">
        <v>622</v>
      </c>
      <c r="G28" s="50" t="s">
        <v>623</v>
      </c>
      <c r="H28" s="51">
        <v>1.9927278</v>
      </c>
      <c r="I28" s="51">
        <v>317111.0</v>
      </c>
      <c r="J28" s="51">
        <v>1.555750409E7</v>
      </c>
      <c r="K28" s="51">
        <v>1.555750409E7</v>
      </c>
    </row>
    <row r="29">
      <c r="A29" s="50" t="s">
        <v>3975</v>
      </c>
      <c r="B29" s="50" t="s">
        <v>3976</v>
      </c>
      <c r="C29" s="50" t="s">
        <v>3977</v>
      </c>
      <c r="D29" s="50" t="s">
        <v>93</v>
      </c>
      <c r="E29" s="50" t="s">
        <v>167</v>
      </c>
      <c r="F29" s="50" t="s">
        <v>622</v>
      </c>
      <c r="G29" s="50" t="s">
        <v>623</v>
      </c>
      <c r="H29" s="51">
        <v>1.671001</v>
      </c>
      <c r="I29" s="51">
        <v>174440.0</v>
      </c>
      <c r="J29" s="51">
        <v>1.304573808E7</v>
      </c>
      <c r="K29" s="51">
        <v>1.304573808E7</v>
      </c>
    </row>
    <row r="30">
      <c r="A30" s="50" t="s">
        <v>3978</v>
      </c>
      <c r="B30" s="50" t="s">
        <v>3979</v>
      </c>
      <c r="C30" s="50" t="s">
        <v>3980</v>
      </c>
      <c r="D30" s="50" t="s">
        <v>93</v>
      </c>
      <c r="E30" s="50" t="s">
        <v>167</v>
      </c>
      <c r="F30" s="50" t="s">
        <v>918</v>
      </c>
      <c r="G30" s="50" t="s">
        <v>908</v>
      </c>
      <c r="H30" s="51">
        <v>1.40693249</v>
      </c>
      <c r="I30" s="51">
        <v>1380279.0</v>
      </c>
      <c r="J30" s="51">
        <v>1.098411835E7</v>
      </c>
      <c r="K30" s="51">
        <v>1.098411835E7</v>
      </c>
    </row>
    <row r="31">
      <c r="A31" s="50" t="s">
        <v>3981</v>
      </c>
      <c r="B31" s="50">
        <v>2447285.0</v>
      </c>
      <c r="C31" s="50" t="s">
        <v>3982</v>
      </c>
      <c r="D31" s="50" t="s">
        <v>93</v>
      </c>
      <c r="E31" s="50" t="s">
        <v>167</v>
      </c>
      <c r="F31" s="50" t="s">
        <v>622</v>
      </c>
      <c r="G31" s="50" t="s">
        <v>623</v>
      </c>
      <c r="H31" s="51">
        <v>1.0527527</v>
      </c>
      <c r="I31" s="51">
        <v>190445.0</v>
      </c>
      <c r="J31" s="51">
        <v>8218987.26</v>
      </c>
      <c r="K31" s="51">
        <v>8218987.26</v>
      </c>
    </row>
    <row r="32">
      <c r="A32" s="50" t="s">
        <v>3983</v>
      </c>
      <c r="B32" s="50" t="s">
        <v>3984</v>
      </c>
      <c r="C32" s="50" t="s">
        <v>3985</v>
      </c>
      <c r="D32" s="50" t="s">
        <v>93</v>
      </c>
      <c r="E32" s="50" t="s">
        <v>167</v>
      </c>
      <c r="F32" s="50" t="s">
        <v>622</v>
      </c>
      <c r="G32" s="50" t="s">
        <v>623</v>
      </c>
      <c r="H32" s="51">
        <v>0.54060556</v>
      </c>
      <c r="I32" s="51">
        <v>186209.0</v>
      </c>
      <c r="J32" s="51">
        <v>4220583.05</v>
      </c>
      <c r="K32" s="51">
        <v>4220583.05</v>
      </c>
    </row>
    <row r="33">
      <c r="A33" s="50" t="s">
        <v>3986</v>
      </c>
      <c r="B33" s="50">
        <v>2494548.0</v>
      </c>
      <c r="C33" s="50" t="s">
        <v>3987</v>
      </c>
      <c r="D33" s="50" t="s">
        <v>93</v>
      </c>
      <c r="E33" s="50" t="s">
        <v>167</v>
      </c>
      <c r="F33" s="50" t="s">
        <v>679</v>
      </c>
      <c r="G33" s="50" t="s">
        <v>623</v>
      </c>
      <c r="H33" s="51">
        <v>0.33650448</v>
      </c>
      <c r="I33" s="51">
        <v>100780.0</v>
      </c>
      <c r="J33" s="51">
        <v>2627137.49</v>
      </c>
      <c r="K33" s="51">
        <v>2627137.49</v>
      </c>
    </row>
    <row r="34">
      <c r="A34" s="50" t="s">
        <v>3988</v>
      </c>
      <c r="B34" s="50" t="s">
        <v>3989</v>
      </c>
      <c r="C34" s="50" t="s">
        <v>3990</v>
      </c>
      <c r="D34" s="50" t="s">
        <v>93</v>
      </c>
      <c r="E34" s="50" t="s">
        <v>167</v>
      </c>
      <c r="F34" s="50" t="s">
        <v>918</v>
      </c>
      <c r="G34" s="50" t="s">
        <v>908</v>
      </c>
      <c r="H34" s="51">
        <v>0.24806174</v>
      </c>
      <c r="I34" s="51">
        <v>1042116.0</v>
      </c>
      <c r="J34" s="51">
        <v>1936652.64</v>
      </c>
      <c r="K34" s="51">
        <v>1936652.64</v>
      </c>
    </row>
    <row r="35">
      <c r="A35" s="50" t="s">
        <v>3991</v>
      </c>
      <c r="B35" s="50">
        <v>6406271.0</v>
      </c>
      <c r="C35" s="50" t="s">
        <v>3992</v>
      </c>
      <c r="D35" s="50" t="s">
        <v>93</v>
      </c>
      <c r="E35" s="50" t="s">
        <v>167</v>
      </c>
      <c r="F35" s="50" t="s">
        <v>658</v>
      </c>
      <c r="G35" s="50" t="s">
        <v>659</v>
      </c>
      <c r="H35" s="51">
        <v>0.23721624</v>
      </c>
      <c r="I35" s="51">
        <v>24695.0</v>
      </c>
      <c r="J35" s="51">
        <v>1851980.31</v>
      </c>
      <c r="K35" s="51">
        <v>1851980.31</v>
      </c>
    </row>
    <row r="36">
      <c r="A36" s="50" t="s">
        <v>3993</v>
      </c>
      <c r="B36" s="50" t="s">
        <v>3994</v>
      </c>
      <c r="C36" s="50" t="s">
        <v>3995</v>
      </c>
      <c r="D36" s="50" t="s">
        <v>93</v>
      </c>
      <c r="E36" s="50" t="s">
        <v>167</v>
      </c>
      <c r="F36" s="50" t="s">
        <v>622</v>
      </c>
      <c r="G36" s="50" t="s">
        <v>623</v>
      </c>
      <c r="H36" s="51">
        <v>0.21972658</v>
      </c>
      <c r="I36" s="51">
        <v>95604.0</v>
      </c>
      <c r="J36" s="51">
        <v>1715436.07</v>
      </c>
      <c r="K36" s="51">
        <v>1715436.07</v>
      </c>
    </row>
    <row r="37">
      <c r="A37" s="50" t="s">
        <v>623</v>
      </c>
      <c r="B37" s="52"/>
      <c r="C37" s="50" t="s">
        <v>830</v>
      </c>
      <c r="D37" s="50" t="s">
        <v>617</v>
      </c>
      <c r="E37" s="52"/>
      <c r="F37" s="52"/>
      <c r="G37" s="50" t="s">
        <v>623</v>
      </c>
      <c r="H37" s="51">
        <v>0.08362695</v>
      </c>
      <c r="I37" s="51">
        <v>420263.55</v>
      </c>
      <c r="J37" s="51">
        <v>652887.29</v>
      </c>
      <c r="K37" s="51">
        <v>652887.29</v>
      </c>
    </row>
    <row r="38">
      <c r="A38" s="50" t="s">
        <v>96</v>
      </c>
      <c r="B38" s="52"/>
      <c r="C38" s="50" t="s">
        <v>616</v>
      </c>
      <c r="D38" s="50" t="s">
        <v>617</v>
      </c>
      <c r="E38" s="52"/>
      <c r="F38" s="52"/>
      <c r="G38" s="50" t="s">
        <v>96</v>
      </c>
      <c r="H38" s="51">
        <v>0.05319435</v>
      </c>
      <c r="I38" s="51">
        <v>415295.71</v>
      </c>
      <c r="J38" s="51">
        <v>415295.71</v>
      </c>
      <c r="K38" s="51">
        <v>415295.71</v>
      </c>
    </row>
    <row r="39">
      <c r="A39" s="50" t="s">
        <v>1003</v>
      </c>
      <c r="B39" s="52"/>
      <c r="C39" s="50" t="s">
        <v>3900</v>
      </c>
      <c r="D39" s="50" t="s">
        <v>617</v>
      </c>
      <c r="E39" s="52"/>
      <c r="F39" s="52"/>
      <c r="G39" s="50" t="s">
        <v>1003</v>
      </c>
      <c r="H39" s="51">
        <v>0.01916222</v>
      </c>
      <c r="I39" s="51">
        <v>130123.94</v>
      </c>
      <c r="J39" s="51">
        <v>149602.14</v>
      </c>
      <c r="K39" s="51">
        <v>149602.14</v>
      </c>
    </row>
    <row r="40">
      <c r="A40" s="50" t="s">
        <v>908</v>
      </c>
      <c r="B40" s="52"/>
      <c r="C40" s="50" t="s">
        <v>3899</v>
      </c>
      <c r="D40" s="50" t="s">
        <v>617</v>
      </c>
      <c r="E40" s="52"/>
      <c r="F40" s="52"/>
      <c r="G40" s="50" t="s">
        <v>908</v>
      </c>
      <c r="H40" s="51">
        <v>0.00655864</v>
      </c>
      <c r="I40" s="51">
        <v>26561.17</v>
      </c>
      <c r="J40" s="51">
        <v>51204.23</v>
      </c>
      <c r="K40" s="51">
        <v>51204.23</v>
      </c>
    </row>
    <row r="41">
      <c r="A41" s="50" t="s">
        <v>630</v>
      </c>
      <c r="B41" s="52"/>
      <c r="C41" s="50" t="s">
        <v>3906</v>
      </c>
      <c r="D41" s="50" t="s">
        <v>617</v>
      </c>
      <c r="E41" s="52"/>
      <c r="F41" s="52"/>
      <c r="G41" s="50" t="s">
        <v>630</v>
      </c>
      <c r="H41" s="51">
        <v>0.00208957</v>
      </c>
      <c r="I41" s="51">
        <v>1548594.77</v>
      </c>
      <c r="J41" s="51">
        <v>16313.53</v>
      </c>
      <c r="K41" s="51">
        <v>16313.53</v>
      </c>
    </row>
    <row r="42">
      <c r="A42" s="50" t="s">
        <v>640</v>
      </c>
      <c r="B42" s="52"/>
      <c r="C42" s="50" t="s">
        <v>3902</v>
      </c>
      <c r="D42" s="50" t="s">
        <v>617</v>
      </c>
      <c r="E42" s="52"/>
      <c r="F42" s="52"/>
      <c r="G42" s="50" t="s">
        <v>640</v>
      </c>
      <c r="H42" s="51">
        <v>3.4813E-4</v>
      </c>
      <c r="I42" s="51">
        <v>1643.79</v>
      </c>
      <c r="J42" s="51">
        <v>2717.91</v>
      </c>
      <c r="K42" s="51">
        <v>2717.91</v>
      </c>
    </row>
    <row r="43">
      <c r="A43" s="50" t="s">
        <v>659</v>
      </c>
      <c r="B43" s="52"/>
      <c r="C43" s="50" t="s">
        <v>831</v>
      </c>
      <c r="D43" s="50" t="s">
        <v>617</v>
      </c>
      <c r="E43" s="52"/>
      <c r="F43" s="52"/>
      <c r="G43" s="50" t="s">
        <v>659</v>
      </c>
      <c r="H43" s="52"/>
      <c r="I43" s="51">
        <v>1.9</v>
      </c>
      <c r="J43" s="52"/>
      <c r="K43" s="52"/>
    </row>
    <row r="44">
      <c r="B44" s="53"/>
    </row>
    <row r="45">
      <c r="B45" s="53"/>
    </row>
    <row r="46">
      <c r="B46" s="53"/>
    </row>
    <row r="47">
      <c r="B47" s="53"/>
    </row>
    <row r="48">
      <c r="B48" s="53"/>
    </row>
    <row r="49">
      <c r="B49" s="53"/>
    </row>
    <row r="50">
      <c r="B50" s="53"/>
    </row>
    <row r="51">
      <c r="B51" s="53"/>
    </row>
    <row r="52">
      <c r="B52" s="53"/>
    </row>
    <row r="53">
      <c r="B53" s="53"/>
    </row>
    <row r="54">
      <c r="B54" s="53"/>
    </row>
    <row r="55">
      <c r="B55" s="53"/>
    </row>
    <row r="56">
      <c r="B56" s="53"/>
    </row>
    <row r="57">
      <c r="B57" s="53"/>
    </row>
    <row r="58">
      <c r="B58" s="53"/>
    </row>
    <row r="59">
      <c r="B59" s="53"/>
    </row>
    <row r="60">
      <c r="B60" s="53"/>
    </row>
    <row r="61">
      <c r="B61" s="53"/>
    </row>
    <row r="62">
      <c r="B62" s="53"/>
    </row>
    <row r="63">
      <c r="B63" s="53"/>
    </row>
    <row r="64">
      <c r="B64" s="53"/>
    </row>
    <row r="65">
      <c r="B65" s="53"/>
    </row>
    <row r="66">
      <c r="B66" s="53"/>
    </row>
    <row r="67">
      <c r="B67" s="53"/>
    </row>
    <row r="68">
      <c r="B68" s="53"/>
    </row>
    <row r="69">
      <c r="B69" s="53"/>
    </row>
    <row r="70">
      <c r="B70" s="53"/>
    </row>
    <row r="71">
      <c r="B71" s="53"/>
    </row>
    <row r="72">
      <c r="B72" s="53"/>
    </row>
    <row r="73">
      <c r="B73" s="53"/>
    </row>
    <row r="74">
      <c r="B74" s="53"/>
    </row>
    <row r="75">
      <c r="B75" s="53"/>
    </row>
    <row r="76">
      <c r="B76" s="53"/>
    </row>
    <row r="77">
      <c r="B77" s="53"/>
    </row>
    <row r="78">
      <c r="B78" s="53"/>
    </row>
    <row r="79">
      <c r="B79" s="53"/>
    </row>
    <row r="80">
      <c r="B80" s="53"/>
    </row>
    <row r="81">
      <c r="B81" s="53"/>
    </row>
    <row r="82">
      <c r="B82" s="53"/>
    </row>
    <row r="83">
      <c r="B83" s="53"/>
    </row>
    <row r="84">
      <c r="B84" s="53"/>
    </row>
    <row r="85">
      <c r="B85" s="53"/>
    </row>
    <row r="86">
      <c r="B86" s="53"/>
    </row>
    <row r="87">
      <c r="B87" s="53"/>
    </row>
    <row r="88">
      <c r="B88" s="53"/>
    </row>
    <row r="89">
      <c r="B89" s="53"/>
    </row>
    <row r="90">
      <c r="B90" s="53"/>
    </row>
    <row r="91">
      <c r="B91" s="53"/>
    </row>
    <row r="92">
      <c r="B92" s="53"/>
    </row>
    <row r="93">
      <c r="B93" s="53"/>
    </row>
    <row r="94">
      <c r="B94" s="53"/>
    </row>
    <row r="95">
      <c r="B95" s="53"/>
    </row>
    <row r="96">
      <c r="B96" s="53"/>
    </row>
    <row r="97">
      <c r="B97" s="53"/>
    </row>
    <row r="98">
      <c r="B98" s="53"/>
    </row>
    <row r="99">
      <c r="B99" s="53"/>
    </row>
    <row r="100">
      <c r="B100" s="53"/>
    </row>
    <row r="101">
      <c r="B101" s="53"/>
    </row>
    <row r="102">
      <c r="B102" s="53"/>
    </row>
    <row r="103">
      <c r="B103" s="53"/>
    </row>
    <row r="104">
      <c r="B104" s="53"/>
    </row>
    <row r="105">
      <c r="B105" s="53"/>
    </row>
    <row r="106">
      <c r="B106" s="53"/>
    </row>
    <row r="107">
      <c r="B107" s="53"/>
    </row>
    <row r="108">
      <c r="B108" s="53"/>
    </row>
    <row r="109">
      <c r="B109" s="53"/>
    </row>
    <row r="110">
      <c r="B110" s="53"/>
    </row>
    <row r="111">
      <c r="B111" s="53"/>
    </row>
    <row r="112">
      <c r="B112" s="53"/>
    </row>
    <row r="113">
      <c r="B113" s="53"/>
    </row>
    <row r="114">
      <c r="B114" s="53"/>
    </row>
    <row r="115">
      <c r="B115" s="53"/>
    </row>
    <row r="116">
      <c r="B116" s="53"/>
    </row>
    <row r="117">
      <c r="B117" s="53"/>
    </row>
    <row r="118">
      <c r="B118" s="53"/>
    </row>
    <row r="119">
      <c r="B119" s="53"/>
    </row>
    <row r="120">
      <c r="B120" s="53"/>
    </row>
    <row r="121">
      <c r="B121" s="53"/>
    </row>
    <row r="122">
      <c r="B122" s="53"/>
    </row>
    <row r="123">
      <c r="B123" s="53"/>
    </row>
    <row r="124">
      <c r="B124" s="53"/>
    </row>
    <row r="125">
      <c r="B125" s="53"/>
    </row>
    <row r="126">
      <c r="B126" s="53"/>
    </row>
    <row r="127">
      <c r="B127" s="53"/>
    </row>
    <row r="128">
      <c r="B128" s="53"/>
    </row>
    <row r="129">
      <c r="B129" s="53"/>
    </row>
    <row r="130">
      <c r="B130" s="53"/>
    </row>
    <row r="131">
      <c r="B131" s="53"/>
    </row>
    <row r="132">
      <c r="B132" s="53"/>
    </row>
    <row r="133">
      <c r="B133" s="53"/>
    </row>
    <row r="134">
      <c r="B134" s="53"/>
    </row>
    <row r="135">
      <c r="B135" s="53"/>
    </row>
    <row r="136">
      <c r="B136" s="53"/>
    </row>
    <row r="137">
      <c r="B137" s="53"/>
    </row>
    <row r="138">
      <c r="B138" s="53"/>
    </row>
    <row r="139">
      <c r="B139" s="53"/>
    </row>
    <row r="140">
      <c r="B140" s="53"/>
    </row>
    <row r="141">
      <c r="B141" s="53"/>
    </row>
    <row r="142">
      <c r="B142" s="53"/>
    </row>
    <row r="143">
      <c r="B143" s="53"/>
    </row>
    <row r="144">
      <c r="B144" s="53"/>
    </row>
    <row r="145">
      <c r="B145" s="53"/>
    </row>
    <row r="146">
      <c r="B146" s="53"/>
    </row>
    <row r="147">
      <c r="B147" s="53"/>
    </row>
    <row r="148">
      <c r="B148" s="53"/>
    </row>
    <row r="149">
      <c r="B149" s="53"/>
    </row>
    <row r="150">
      <c r="B150" s="53"/>
    </row>
    <row r="151">
      <c r="B151" s="53"/>
    </row>
    <row r="152">
      <c r="B152" s="53"/>
    </row>
    <row r="153">
      <c r="B153" s="53"/>
    </row>
    <row r="154">
      <c r="B154" s="53"/>
    </row>
    <row r="155">
      <c r="B155" s="53"/>
    </row>
    <row r="156">
      <c r="B156" s="53"/>
    </row>
    <row r="157">
      <c r="B157" s="53"/>
    </row>
    <row r="158">
      <c r="B158" s="53"/>
    </row>
    <row r="159">
      <c r="B159" s="53"/>
    </row>
    <row r="160">
      <c r="B160" s="53"/>
    </row>
    <row r="161">
      <c r="B161" s="53"/>
    </row>
    <row r="162">
      <c r="B162" s="53"/>
    </row>
    <row r="163">
      <c r="B163" s="53"/>
    </row>
    <row r="164">
      <c r="B164" s="53"/>
    </row>
    <row r="165">
      <c r="B165" s="53"/>
    </row>
    <row r="166">
      <c r="B166" s="53"/>
    </row>
    <row r="167">
      <c r="B167" s="53"/>
    </row>
    <row r="168">
      <c r="B168" s="53"/>
    </row>
    <row r="169">
      <c r="B169" s="53"/>
    </row>
    <row r="170">
      <c r="B170" s="53"/>
    </row>
    <row r="171">
      <c r="B171" s="53"/>
    </row>
    <row r="172">
      <c r="B172" s="53"/>
    </row>
    <row r="173">
      <c r="B173" s="53"/>
    </row>
    <row r="174">
      <c r="B174" s="53"/>
    </row>
    <row r="175">
      <c r="B175" s="53"/>
    </row>
    <row r="176">
      <c r="B176" s="53"/>
    </row>
    <row r="177">
      <c r="B177" s="53"/>
    </row>
    <row r="178">
      <c r="B178" s="53"/>
    </row>
    <row r="179">
      <c r="B179" s="53"/>
    </row>
    <row r="180">
      <c r="B180" s="53"/>
    </row>
    <row r="181">
      <c r="B181" s="53"/>
    </row>
    <row r="182">
      <c r="B182" s="53"/>
    </row>
    <row r="183">
      <c r="B183" s="53"/>
    </row>
    <row r="184">
      <c r="B184" s="53"/>
    </row>
    <row r="185">
      <c r="B185" s="53"/>
    </row>
    <row r="186">
      <c r="B186" s="53"/>
    </row>
    <row r="187">
      <c r="B187" s="53"/>
    </row>
    <row r="188">
      <c r="B188" s="53"/>
    </row>
    <row r="189">
      <c r="B189" s="53"/>
    </row>
    <row r="190">
      <c r="B190" s="53"/>
    </row>
    <row r="191">
      <c r="B191" s="53"/>
    </row>
    <row r="192">
      <c r="B192" s="53"/>
    </row>
    <row r="193">
      <c r="B193" s="53"/>
    </row>
    <row r="194">
      <c r="B194" s="53"/>
    </row>
    <row r="195">
      <c r="B195" s="53"/>
    </row>
    <row r="196">
      <c r="B196" s="53"/>
    </row>
    <row r="197">
      <c r="B197" s="53"/>
    </row>
    <row r="198">
      <c r="B198" s="53"/>
    </row>
    <row r="199">
      <c r="B199" s="53"/>
    </row>
    <row r="200">
      <c r="B200" s="53"/>
    </row>
    <row r="201">
      <c r="B201" s="53"/>
    </row>
    <row r="202">
      <c r="B202" s="53"/>
    </row>
    <row r="203">
      <c r="B203" s="53"/>
    </row>
    <row r="204">
      <c r="B204" s="53"/>
    </row>
    <row r="205">
      <c r="B205" s="53"/>
    </row>
    <row r="206">
      <c r="B206" s="53"/>
    </row>
    <row r="207">
      <c r="B207" s="53"/>
    </row>
    <row r="208">
      <c r="B208" s="53"/>
    </row>
    <row r="209">
      <c r="B209" s="53"/>
    </row>
    <row r="210">
      <c r="B210" s="53"/>
    </row>
    <row r="211">
      <c r="B211" s="53"/>
    </row>
    <row r="212">
      <c r="B212" s="53"/>
    </row>
    <row r="213">
      <c r="B213" s="53"/>
    </row>
    <row r="214">
      <c r="B214" s="53"/>
    </row>
    <row r="215">
      <c r="B215" s="53"/>
    </row>
    <row r="216">
      <c r="B216" s="53"/>
    </row>
    <row r="217">
      <c r="B217" s="53"/>
    </row>
    <row r="218">
      <c r="B218" s="53"/>
    </row>
    <row r="219">
      <c r="B219" s="53"/>
    </row>
    <row r="220">
      <c r="B220" s="53"/>
    </row>
    <row r="221">
      <c r="B221" s="53"/>
    </row>
    <row r="222">
      <c r="B222" s="53"/>
    </row>
    <row r="223">
      <c r="B223" s="53"/>
    </row>
    <row r="224">
      <c r="B224" s="53"/>
    </row>
    <row r="225">
      <c r="B225" s="53"/>
    </row>
    <row r="226">
      <c r="B226" s="53"/>
    </row>
    <row r="227">
      <c r="B227" s="53"/>
    </row>
    <row r="228">
      <c r="B228" s="53"/>
    </row>
    <row r="229">
      <c r="B229" s="53"/>
    </row>
    <row r="230">
      <c r="B230" s="53"/>
    </row>
    <row r="231">
      <c r="B231" s="53"/>
    </row>
    <row r="232">
      <c r="B232" s="53"/>
    </row>
    <row r="233">
      <c r="B233" s="53"/>
    </row>
    <row r="234">
      <c r="B234" s="53"/>
    </row>
    <row r="235">
      <c r="B235" s="53"/>
    </row>
    <row r="236">
      <c r="B236" s="53"/>
    </row>
    <row r="237">
      <c r="B237" s="53"/>
    </row>
    <row r="238">
      <c r="B238" s="53"/>
    </row>
    <row r="239">
      <c r="B239" s="53"/>
    </row>
    <row r="240">
      <c r="B240" s="53"/>
    </row>
    <row r="241">
      <c r="B241" s="53"/>
    </row>
    <row r="242">
      <c r="B242" s="53"/>
    </row>
    <row r="243">
      <c r="B243" s="53"/>
    </row>
    <row r="244">
      <c r="B244" s="53"/>
    </row>
    <row r="245">
      <c r="B245" s="53"/>
    </row>
    <row r="246">
      <c r="B246" s="53"/>
    </row>
    <row r="247">
      <c r="B247" s="53"/>
    </row>
    <row r="248">
      <c r="B248" s="53"/>
    </row>
    <row r="249">
      <c r="B249" s="53"/>
    </row>
    <row r="250">
      <c r="B250" s="53"/>
    </row>
    <row r="251">
      <c r="B251" s="53"/>
    </row>
    <row r="252">
      <c r="B252" s="53"/>
    </row>
    <row r="253">
      <c r="B253" s="53"/>
    </row>
    <row r="254">
      <c r="B254" s="53"/>
    </row>
    <row r="255">
      <c r="B255" s="53"/>
    </row>
    <row r="256">
      <c r="B256" s="53"/>
    </row>
    <row r="257">
      <c r="B257" s="53"/>
    </row>
    <row r="258">
      <c r="B258" s="53"/>
    </row>
    <row r="259">
      <c r="B259" s="53"/>
    </row>
    <row r="260">
      <c r="B260" s="53"/>
    </row>
    <row r="261">
      <c r="B261" s="53"/>
    </row>
    <row r="262">
      <c r="B262" s="53"/>
    </row>
    <row r="263">
      <c r="B263" s="53"/>
    </row>
    <row r="264">
      <c r="B264" s="53"/>
    </row>
    <row r="265">
      <c r="B265" s="53"/>
    </row>
    <row r="266">
      <c r="B266" s="53"/>
    </row>
    <row r="267">
      <c r="B267" s="53"/>
    </row>
    <row r="268">
      <c r="B268" s="53"/>
    </row>
    <row r="269">
      <c r="B269" s="53"/>
    </row>
    <row r="270">
      <c r="B270" s="53"/>
    </row>
    <row r="271">
      <c r="B271" s="53"/>
    </row>
    <row r="272">
      <c r="B272" s="53"/>
    </row>
    <row r="273">
      <c r="B273" s="53"/>
    </row>
    <row r="274">
      <c r="B274" s="53"/>
    </row>
    <row r="275">
      <c r="B275" s="53"/>
    </row>
    <row r="276">
      <c r="B276" s="53"/>
    </row>
    <row r="277">
      <c r="B277" s="53"/>
    </row>
    <row r="278">
      <c r="B278" s="53"/>
    </row>
    <row r="279">
      <c r="B279" s="53"/>
    </row>
    <row r="280">
      <c r="B280" s="53"/>
    </row>
    <row r="281">
      <c r="B281" s="53"/>
    </row>
    <row r="282">
      <c r="B282" s="53"/>
    </row>
    <row r="283">
      <c r="B283" s="53"/>
    </row>
    <row r="284">
      <c r="B284" s="53"/>
    </row>
    <row r="285">
      <c r="B285" s="53"/>
    </row>
    <row r="286">
      <c r="B286" s="53"/>
    </row>
    <row r="287">
      <c r="B287" s="53"/>
    </row>
    <row r="288">
      <c r="B288" s="53"/>
    </row>
    <row r="289">
      <c r="B289" s="53"/>
    </row>
    <row r="290">
      <c r="B290" s="53"/>
    </row>
    <row r="291">
      <c r="B291" s="53"/>
    </row>
    <row r="292">
      <c r="B292" s="53"/>
    </row>
    <row r="293">
      <c r="B293" s="53"/>
    </row>
    <row r="294">
      <c r="B294" s="53"/>
    </row>
    <row r="295">
      <c r="B295" s="53"/>
    </row>
    <row r="296">
      <c r="B296" s="53"/>
    </row>
    <row r="297">
      <c r="B297" s="53"/>
    </row>
    <row r="298">
      <c r="B298" s="53"/>
    </row>
    <row r="299">
      <c r="B299" s="53"/>
    </row>
    <row r="300">
      <c r="B300" s="53"/>
    </row>
    <row r="301">
      <c r="B301" s="53"/>
    </row>
    <row r="302">
      <c r="B302" s="53"/>
    </row>
    <row r="303">
      <c r="B303" s="53"/>
    </row>
    <row r="304">
      <c r="B304" s="53"/>
    </row>
    <row r="305">
      <c r="B305" s="53"/>
    </row>
    <row r="306">
      <c r="B306" s="53"/>
    </row>
    <row r="307">
      <c r="B307" s="53"/>
    </row>
    <row r="308">
      <c r="B308" s="53"/>
    </row>
    <row r="309">
      <c r="B309" s="53"/>
    </row>
    <row r="310">
      <c r="B310" s="53"/>
    </row>
    <row r="311">
      <c r="B311" s="53"/>
    </row>
    <row r="312">
      <c r="B312" s="53"/>
    </row>
    <row r="313">
      <c r="B313" s="53"/>
    </row>
    <row r="314">
      <c r="B314" s="53"/>
    </row>
    <row r="315">
      <c r="B315" s="53"/>
    </row>
    <row r="316">
      <c r="B316" s="53"/>
    </row>
    <row r="317">
      <c r="B317" s="53"/>
    </row>
    <row r="318">
      <c r="B318" s="53"/>
    </row>
    <row r="319">
      <c r="B319" s="53"/>
    </row>
    <row r="320">
      <c r="B320" s="53"/>
    </row>
    <row r="321">
      <c r="B321" s="53"/>
    </row>
    <row r="322">
      <c r="B322" s="53"/>
    </row>
    <row r="323">
      <c r="B323" s="53"/>
    </row>
    <row r="324">
      <c r="B324" s="53"/>
    </row>
    <row r="325">
      <c r="B325" s="53"/>
    </row>
    <row r="326">
      <c r="B326" s="53"/>
    </row>
    <row r="327">
      <c r="B327" s="53"/>
    </row>
    <row r="328">
      <c r="B328" s="53"/>
    </row>
    <row r="329">
      <c r="B329" s="53"/>
    </row>
    <row r="330">
      <c r="B330" s="53"/>
    </row>
    <row r="331">
      <c r="B331" s="53"/>
    </row>
    <row r="332">
      <c r="B332" s="53"/>
    </row>
    <row r="333">
      <c r="B333" s="53"/>
    </row>
    <row r="334">
      <c r="B334" s="53"/>
    </row>
    <row r="335">
      <c r="B335" s="53"/>
    </row>
    <row r="336">
      <c r="B336" s="53"/>
    </row>
    <row r="337">
      <c r="B337" s="53"/>
    </row>
    <row r="338">
      <c r="B338" s="53"/>
    </row>
    <row r="339">
      <c r="B339" s="53"/>
    </row>
    <row r="340">
      <c r="B340" s="53"/>
    </row>
    <row r="341">
      <c r="B341" s="53"/>
    </row>
    <row r="342">
      <c r="B342" s="53"/>
    </row>
    <row r="343">
      <c r="B343" s="53"/>
    </row>
    <row r="344">
      <c r="B344" s="53"/>
    </row>
    <row r="345">
      <c r="B345" s="53"/>
    </row>
    <row r="346">
      <c r="B346" s="53"/>
    </row>
    <row r="347">
      <c r="B347" s="53"/>
    </row>
    <row r="348">
      <c r="B348" s="53"/>
    </row>
    <row r="349">
      <c r="B349" s="53"/>
    </row>
    <row r="350">
      <c r="B350" s="53"/>
    </row>
    <row r="351">
      <c r="B351" s="53"/>
    </row>
    <row r="352">
      <c r="B352" s="53"/>
    </row>
    <row r="353">
      <c r="B353" s="53"/>
    </row>
    <row r="354">
      <c r="B354" s="53"/>
    </row>
    <row r="355">
      <c r="B355" s="53"/>
    </row>
    <row r="356">
      <c r="B356" s="53"/>
    </row>
    <row r="357">
      <c r="B357" s="53"/>
    </row>
    <row r="358">
      <c r="B358" s="53"/>
    </row>
    <row r="359">
      <c r="B359" s="53"/>
    </row>
    <row r="360">
      <c r="B360" s="53"/>
    </row>
    <row r="361">
      <c r="B361" s="53"/>
    </row>
    <row r="362">
      <c r="B362" s="53"/>
    </row>
    <row r="363">
      <c r="B363" s="53"/>
    </row>
    <row r="364">
      <c r="B364" s="53"/>
    </row>
    <row r="365">
      <c r="B365" s="53"/>
    </row>
    <row r="366">
      <c r="B366" s="53"/>
    </row>
    <row r="367">
      <c r="B367" s="53"/>
    </row>
    <row r="368">
      <c r="B368" s="53"/>
    </row>
    <row r="369">
      <c r="B369" s="53"/>
    </row>
    <row r="370">
      <c r="B370" s="53"/>
    </row>
    <row r="371">
      <c r="B371" s="53"/>
    </row>
    <row r="372">
      <c r="B372" s="53"/>
    </row>
    <row r="373">
      <c r="B373" s="53"/>
    </row>
    <row r="374">
      <c r="B374" s="53"/>
    </row>
    <row r="375">
      <c r="B375" s="53"/>
    </row>
    <row r="376">
      <c r="B376" s="53"/>
    </row>
    <row r="377">
      <c r="B377" s="53"/>
    </row>
    <row r="378">
      <c r="B378" s="53"/>
    </row>
    <row r="379">
      <c r="B379" s="53"/>
    </row>
    <row r="380">
      <c r="B380" s="53"/>
    </row>
    <row r="381">
      <c r="B381" s="53"/>
    </row>
    <row r="382">
      <c r="B382" s="53"/>
    </row>
    <row r="383">
      <c r="B383" s="53"/>
    </row>
    <row r="384">
      <c r="B384" s="53"/>
    </row>
    <row r="385">
      <c r="B385" s="53"/>
    </row>
    <row r="386">
      <c r="B386" s="53"/>
    </row>
    <row r="387">
      <c r="B387" s="53"/>
    </row>
    <row r="388">
      <c r="B388" s="53"/>
    </row>
    <row r="389">
      <c r="B389" s="53"/>
    </row>
    <row r="390">
      <c r="B390" s="53"/>
    </row>
    <row r="391">
      <c r="B391" s="53"/>
    </row>
    <row r="392">
      <c r="B392" s="53"/>
    </row>
    <row r="393">
      <c r="B393" s="53"/>
    </row>
    <row r="394">
      <c r="B394" s="53"/>
    </row>
    <row r="395">
      <c r="B395" s="53"/>
    </row>
    <row r="396">
      <c r="B396" s="53"/>
    </row>
    <row r="397">
      <c r="B397" s="53"/>
    </row>
    <row r="398">
      <c r="B398" s="53"/>
    </row>
    <row r="399">
      <c r="B399" s="53"/>
    </row>
    <row r="400">
      <c r="B400" s="53"/>
    </row>
    <row r="401">
      <c r="B401" s="53"/>
    </row>
    <row r="402">
      <c r="B402" s="53"/>
    </row>
    <row r="403">
      <c r="B403" s="53"/>
    </row>
    <row r="404">
      <c r="B404" s="53"/>
    </row>
    <row r="405">
      <c r="B405" s="53"/>
    </row>
    <row r="406">
      <c r="B406" s="53"/>
    </row>
    <row r="407">
      <c r="B407" s="53"/>
    </row>
    <row r="408">
      <c r="B408" s="53"/>
    </row>
    <row r="409">
      <c r="B409" s="53"/>
    </row>
    <row r="410">
      <c r="B410" s="53"/>
    </row>
    <row r="411">
      <c r="B411" s="53"/>
    </row>
    <row r="412">
      <c r="B412" s="53"/>
    </row>
    <row r="413">
      <c r="B413" s="53"/>
    </row>
    <row r="414">
      <c r="B414" s="53"/>
    </row>
    <row r="415">
      <c r="B415" s="53"/>
    </row>
    <row r="416">
      <c r="B416" s="53"/>
    </row>
    <row r="417">
      <c r="B417" s="53"/>
    </row>
    <row r="418">
      <c r="B418" s="53"/>
    </row>
    <row r="419">
      <c r="B419" s="53"/>
    </row>
    <row r="420">
      <c r="B420" s="53"/>
    </row>
    <row r="421">
      <c r="B421" s="53"/>
    </row>
    <row r="422">
      <c r="B422" s="53"/>
    </row>
    <row r="423">
      <c r="B423" s="53"/>
    </row>
    <row r="424">
      <c r="B424" s="53"/>
    </row>
    <row r="425">
      <c r="B425" s="53"/>
    </row>
    <row r="426">
      <c r="B426" s="53"/>
    </row>
    <row r="427">
      <c r="B427" s="53"/>
    </row>
    <row r="428">
      <c r="B428" s="53"/>
    </row>
    <row r="429">
      <c r="B429" s="53"/>
    </row>
    <row r="430">
      <c r="B430" s="53"/>
    </row>
    <row r="431">
      <c r="B431" s="53"/>
    </row>
    <row r="432">
      <c r="B432" s="53"/>
    </row>
    <row r="433">
      <c r="B433" s="53"/>
    </row>
    <row r="434">
      <c r="B434" s="53"/>
    </row>
    <row r="435">
      <c r="B435" s="53"/>
    </row>
    <row r="436">
      <c r="B436" s="53"/>
    </row>
    <row r="437">
      <c r="B437" s="53"/>
    </row>
    <row r="438">
      <c r="B438" s="53"/>
    </row>
    <row r="439">
      <c r="B439" s="53"/>
    </row>
    <row r="440">
      <c r="B440" s="53"/>
    </row>
    <row r="441">
      <c r="B441" s="53"/>
    </row>
    <row r="442">
      <c r="B442" s="53"/>
    </row>
    <row r="443">
      <c r="B443" s="53"/>
    </row>
    <row r="444">
      <c r="B444" s="53"/>
    </row>
    <row r="445">
      <c r="B445" s="53"/>
    </row>
    <row r="446">
      <c r="B446" s="53"/>
    </row>
    <row r="447">
      <c r="B447" s="53"/>
    </row>
    <row r="448">
      <c r="B448" s="53"/>
    </row>
    <row r="449">
      <c r="B449" s="53"/>
    </row>
    <row r="450">
      <c r="B450" s="53"/>
    </row>
    <row r="451">
      <c r="B451" s="53"/>
    </row>
    <row r="452">
      <c r="B452" s="53"/>
    </row>
    <row r="453">
      <c r="B453" s="53"/>
    </row>
    <row r="454">
      <c r="B454" s="53"/>
    </row>
    <row r="455">
      <c r="B455" s="53"/>
    </row>
    <row r="456">
      <c r="B456" s="53"/>
    </row>
    <row r="457">
      <c r="B457" s="53"/>
    </row>
    <row r="458">
      <c r="B458" s="53"/>
    </row>
    <row r="459">
      <c r="B459" s="53"/>
    </row>
    <row r="460">
      <c r="B460" s="53"/>
    </row>
    <row r="461">
      <c r="B461" s="53"/>
    </row>
    <row r="462">
      <c r="B462" s="53"/>
    </row>
    <row r="463">
      <c r="B463" s="53"/>
    </row>
    <row r="464">
      <c r="B464" s="53"/>
    </row>
    <row r="465">
      <c r="B465" s="53"/>
    </row>
    <row r="466">
      <c r="B466" s="53"/>
    </row>
    <row r="467">
      <c r="B467" s="53"/>
    </row>
    <row r="468">
      <c r="B468" s="53"/>
    </row>
    <row r="469">
      <c r="B469" s="53"/>
    </row>
    <row r="470">
      <c r="B470" s="53"/>
    </row>
    <row r="471">
      <c r="B471" s="53"/>
    </row>
    <row r="472">
      <c r="B472" s="53"/>
    </row>
    <row r="473">
      <c r="B473" s="53"/>
    </row>
    <row r="474">
      <c r="B474" s="53"/>
    </row>
    <row r="475">
      <c r="B475" s="53"/>
    </row>
    <row r="476">
      <c r="B476" s="53"/>
    </row>
    <row r="477">
      <c r="B477" s="53"/>
    </row>
    <row r="478">
      <c r="B478" s="53"/>
    </row>
    <row r="479">
      <c r="B479" s="53"/>
    </row>
    <row r="480">
      <c r="B480" s="53"/>
    </row>
    <row r="481">
      <c r="B481" s="53"/>
    </row>
    <row r="482">
      <c r="B482" s="53"/>
    </row>
    <row r="483">
      <c r="B483" s="53"/>
    </row>
    <row r="484">
      <c r="B484" s="53"/>
    </row>
    <row r="485">
      <c r="B485" s="53"/>
    </row>
    <row r="486">
      <c r="B486" s="53"/>
    </row>
    <row r="487">
      <c r="B487" s="53"/>
    </row>
    <row r="488">
      <c r="B488" s="53"/>
    </row>
    <row r="489">
      <c r="B489" s="53"/>
    </row>
    <row r="490">
      <c r="B490" s="53"/>
    </row>
    <row r="491">
      <c r="B491" s="53"/>
    </row>
    <row r="492">
      <c r="B492" s="53"/>
    </row>
    <row r="493">
      <c r="B493" s="53"/>
    </row>
    <row r="494">
      <c r="B494" s="53"/>
    </row>
    <row r="495">
      <c r="B495" s="53"/>
    </row>
    <row r="496">
      <c r="B496" s="53"/>
    </row>
    <row r="497">
      <c r="B497" s="53"/>
    </row>
    <row r="498">
      <c r="B498" s="53"/>
    </row>
    <row r="499">
      <c r="B499" s="53"/>
    </row>
    <row r="500">
      <c r="B500" s="53"/>
    </row>
    <row r="501">
      <c r="B501" s="53"/>
    </row>
    <row r="502">
      <c r="B502" s="53"/>
    </row>
    <row r="503">
      <c r="B503" s="53"/>
    </row>
    <row r="504">
      <c r="B504" s="53"/>
    </row>
    <row r="505">
      <c r="B505" s="53"/>
    </row>
    <row r="506">
      <c r="B506" s="53"/>
    </row>
    <row r="507">
      <c r="B507" s="53"/>
    </row>
    <row r="508">
      <c r="B508" s="53"/>
    </row>
    <row r="509">
      <c r="B509" s="53"/>
    </row>
    <row r="510">
      <c r="B510" s="53"/>
    </row>
    <row r="511">
      <c r="B511" s="53"/>
    </row>
    <row r="512">
      <c r="B512" s="53"/>
    </row>
    <row r="513">
      <c r="B513" s="53"/>
    </row>
    <row r="514">
      <c r="B514" s="53"/>
    </row>
    <row r="515">
      <c r="B515" s="53"/>
    </row>
    <row r="516">
      <c r="B516" s="53"/>
    </row>
    <row r="517">
      <c r="B517" s="53"/>
    </row>
    <row r="518">
      <c r="B518" s="53"/>
    </row>
    <row r="519">
      <c r="B519" s="53"/>
    </row>
    <row r="520">
      <c r="B520" s="53"/>
    </row>
    <row r="521">
      <c r="B521" s="53"/>
    </row>
    <row r="522">
      <c r="B522" s="53"/>
    </row>
    <row r="523">
      <c r="B523" s="53"/>
    </row>
    <row r="524">
      <c r="B524" s="53"/>
    </row>
    <row r="525">
      <c r="B525" s="53"/>
    </row>
    <row r="526">
      <c r="B526" s="53"/>
    </row>
    <row r="527">
      <c r="B527" s="53"/>
    </row>
    <row r="528">
      <c r="B528" s="53"/>
    </row>
    <row r="529">
      <c r="B529" s="53"/>
    </row>
    <row r="530">
      <c r="B530" s="53"/>
    </row>
    <row r="531">
      <c r="B531" s="53"/>
    </row>
    <row r="532">
      <c r="B532" s="53"/>
    </row>
    <row r="533">
      <c r="B533" s="53"/>
    </row>
    <row r="534">
      <c r="B534" s="53"/>
    </row>
    <row r="535">
      <c r="B535" s="53"/>
    </row>
    <row r="536">
      <c r="B536" s="53"/>
    </row>
    <row r="537">
      <c r="B537" s="53"/>
    </row>
    <row r="538">
      <c r="B538" s="53"/>
    </row>
    <row r="539">
      <c r="B539" s="53"/>
    </row>
    <row r="540">
      <c r="B540" s="53"/>
    </row>
    <row r="541">
      <c r="B541" s="53"/>
    </row>
    <row r="542">
      <c r="B542" s="53"/>
    </row>
    <row r="543">
      <c r="B543" s="53"/>
    </row>
    <row r="544">
      <c r="B544" s="53"/>
    </row>
    <row r="545">
      <c r="B545" s="53"/>
    </row>
    <row r="546">
      <c r="B546" s="53"/>
    </row>
    <row r="547">
      <c r="B547" s="53"/>
    </row>
    <row r="548">
      <c r="B548" s="53"/>
    </row>
    <row r="549">
      <c r="B549" s="53"/>
    </row>
    <row r="550">
      <c r="B550" s="53"/>
    </row>
    <row r="551">
      <c r="B551" s="53"/>
    </row>
    <row r="552">
      <c r="B552" s="53"/>
    </row>
    <row r="553">
      <c r="B553" s="53"/>
    </row>
    <row r="554">
      <c r="B554" s="53"/>
    </row>
    <row r="555">
      <c r="B555" s="53"/>
    </row>
    <row r="556">
      <c r="B556" s="53"/>
    </row>
    <row r="557">
      <c r="B557" s="53"/>
    </row>
    <row r="558">
      <c r="B558" s="53"/>
    </row>
    <row r="559">
      <c r="B559" s="53"/>
    </row>
    <row r="560">
      <c r="B560" s="53"/>
    </row>
    <row r="561">
      <c r="B561" s="53"/>
    </row>
    <row r="562">
      <c r="B562" s="53"/>
    </row>
    <row r="563">
      <c r="B563" s="53"/>
    </row>
    <row r="564">
      <c r="B564" s="53"/>
    </row>
    <row r="565">
      <c r="B565" s="53"/>
    </row>
    <row r="566">
      <c r="B566" s="53"/>
    </row>
    <row r="567">
      <c r="B567" s="53"/>
    </row>
    <row r="568">
      <c r="B568" s="53"/>
    </row>
    <row r="569">
      <c r="B569" s="53"/>
    </row>
    <row r="570">
      <c r="B570" s="53"/>
    </row>
    <row r="571">
      <c r="B571" s="53"/>
    </row>
    <row r="572">
      <c r="B572" s="53"/>
    </row>
    <row r="573">
      <c r="B573" s="53"/>
    </row>
    <row r="574">
      <c r="B574" s="53"/>
    </row>
    <row r="575">
      <c r="B575" s="53"/>
    </row>
    <row r="576">
      <c r="B576" s="53"/>
    </row>
    <row r="577">
      <c r="B577" s="53"/>
    </row>
    <row r="578">
      <c r="B578" s="53"/>
    </row>
    <row r="579">
      <c r="B579" s="53"/>
    </row>
    <row r="580">
      <c r="B580" s="53"/>
    </row>
    <row r="581">
      <c r="B581" s="53"/>
    </row>
    <row r="582">
      <c r="B582" s="53"/>
    </row>
    <row r="583">
      <c r="B583" s="53"/>
    </row>
    <row r="584">
      <c r="B584" s="53"/>
    </row>
    <row r="585">
      <c r="B585" s="53"/>
    </row>
    <row r="586">
      <c r="B586" s="53"/>
    </row>
    <row r="587">
      <c r="B587" s="53"/>
    </row>
    <row r="588">
      <c r="B588" s="53"/>
    </row>
    <row r="589">
      <c r="B589" s="53"/>
    </row>
    <row r="590">
      <c r="B590" s="53"/>
    </row>
    <row r="591">
      <c r="B591" s="53"/>
    </row>
    <row r="592">
      <c r="B592" s="53"/>
    </row>
    <row r="593">
      <c r="B593" s="53"/>
    </row>
    <row r="594">
      <c r="B594" s="53"/>
    </row>
    <row r="595">
      <c r="B595" s="53"/>
    </row>
    <row r="596">
      <c r="B596" s="53"/>
    </row>
    <row r="597">
      <c r="B597" s="53"/>
    </row>
    <row r="598">
      <c r="B598" s="53"/>
    </row>
    <row r="599">
      <c r="B599" s="53"/>
    </row>
    <row r="600">
      <c r="B600" s="53"/>
    </row>
    <row r="601">
      <c r="B601" s="53"/>
    </row>
    <row r="602">
      <c r="B602" s="53"/>
    </row>
    <row r="603">
      <c r="B603" s="53"/>
    </row>
    <row r="604">
      <c r="B604" s="53"/>
    </row>
    <row r="605">
      <c r="B605" s="53"/>
    </row>
    <row r="606">
      <c r="B606" s="53"/>
    </row>
    <row r="607">
      <c r="B607" s="53"/>
    </row>
    <row r="608">
      <c r="B608" s="53"/>
    </row>
    <row r="609">
      <c r="B609" s="53"/>
    </row>
    <row r="610">
      <c r="B610" s="53"/>
    </row>
    <row r="611">
      <c r="B611" s="53"/>
    </row>
    <row r="612">
      <c r="B612" s="53"/>
    </row>
    <row r="613">
      <c r="B613" s="53"/>
    </row>
    <row r="614">
      <c r="B614" s="53"/>
    </row>
    <row r="615">
      <c r="B615" s="53"/>
    </row>
    <row r="616">
      <c r="B616" s="53"/>
    </row>
    <row r="617">
      <c r="B617" s="53"/>
    </row>
    <row r="618">
      <c r="B618" s="53"/>
    </row>
    <row r="619">
      <c r="B619" s="53"/>
    </row>
    <row r="620">
      <c r="B620" s="53"/>
    </row>
    <row r="621">
      <c r="B621" s="53"/>
    </row>
    <row r="622">
      <c r="B622" s="53"/>
    </row>
    <row r="623">
      <c r="B623" s="53"/>
    </row>
    <row r="624">
      <c r="B624" s="53"/>
    </row>
    <row r="625">
      <c r="B625" s="53"/>
    </row>
    <row r="626">
      <c r="B626" s="53"/>
    </row>
    <row r="627">
      <c r="B627" s="53"/>
    </row>
    <row r="628">
      <c r="B628" s="53"/>
    </row>
    <row r="629">
      <c r="B629" s="53"/>
    </row>
    <row r="630">
      <c r="B630" s="53"/>
    </row>
    <row r="631">
      <c r="B631" s="53"/>
    </row>
    <row r="632">
      <c r="B632" s="53"/>
    </row>
    <row r="633">
      <c r="B633" s="53"/>
    </row>
    <row r="634">
      <c r="B634" s="53"/>
    </row>
    <row r="635">
      <c r="B635" s="53"/>
    </row>
    <row r="636">
      <c r="B636" s="53"/>
    </row>
    <row r="637">
      <c r="B637" s="53"/>
    </row>
    <row r="638">
      <c r="B638" s="53"/>
    </row>
    <row r="639">
      <c r="B639" s="53"/>
    </row>
    <row r="640">
      <c r="B640" s="53"/>
    </row>
    <row r="641">
      <c r="B641" s="53"/>
    </row>
    <row r="642">
      <c r="B642" s="53"/>
    </row>
    <row r="643">
      <c r="B643" s="53"/>
    </row>
    <row r="644">
      <c r="B644" s="53"/>
    </row>
    <row r="645">
      <c r="B645" s="53"/>
    </row>
    <row r="646">
      <c r="B646" s="53"/>
    </row>
    <row r="647">
      <c r="B647" s="53"/>
    </row>
    <row r="648">
      <c r="B648" s="53"/>
    </row>
    <row r="649">
      <c r="B649" s="53"/>
    </row>
    <row r="650">
      <c r="B650" s="53"/>
    </row>
    <row r="651">
      <c r="B651" s="53"/>
    </row>
    <row r="652">
      <c r="B652" s="53"/>
    </row>
    <row r="653">
      <c r="B653" s="53"/>
    </row>
    <row r="654">
      <c r="B654" s="53"/>
    </row>
    <row r="655">
      <c r="B655" s="53"/>
    </row>
    <row r="656">
      <c r="B656" s="53"/>
    </row>
    <row r="657">
      <c r="B657" s="53"/>
    </row>
    <row r="658">
      <c r="B658" s="53"/>
    </row>
    <row r="659">
      <c r="B659" s="53"/>
    </row>
    <row r="660">
      <c r="B660" s="53"/>
    </row>
    <row r="661">
      <c r="B661" s="53"/>
    </row>
    <row r="662">
      <c r="B662" s="53"/>
    </row>
    <row r="663">
      <c r="B663" s="53"/>
    </row>
    <row r="664">
      <c r="B664" s="53"/>
    </row>
    <row r="665">
      <c r="B665" s="53"/>
    </row>
    <row r="666">
      <c r="B666" s="53"/>
    </row>
    <row r="667">
      <c r="B667" s="53"/>
    </row>
    <row r="668">
      <c r="B668" s="53"/>
    </row>
    <row r="669">
      <c r="B669" s="53"/>
    </row>
    <row r="670">
      <c r="B670" s="53"/>
    </row>
    <row r="671">
      <c r="B671" s="53"/>
    </row>
    <row r="672">
      <c r="B672" s="53"/>
    </row>
    <row r="673">
      <c r="B673" s="53"/>
    </row>
    <row r="674">
      <c r="B674" s="53"/>
    </row>
    <row r="675">
      <c r="B675" s="53"/>
    </row>
    <row r="676">
      <c r="B676" s="53"/>
    </row>
    <row r="677">
      <c r="B677" s="53"/>
    </row>
    <row r="678">
      <c r="B678" s="53"/>
    </row>
    <row r="679">
      <c r="B679" s="53"/>
    </row>
    <row r="680">
      <c r="B680" s="53"/>
    </row>
    <row r="681">
      <c r="B681" s="53"/>
    </row>
    <row r="682">
      <c r="B682" s="53"/>
    </row>
    <row r="683">
      <c r="B683" s="53"/>
    </row>
    <row r="684">
      <c r="B684" s="53"/>
    </row>
    <row r="685">
      <c r="B685" s="53"/>
    </row>
    <row r="686">
      <c r="B686" s="53"/>
    </row>
    <row r="687">
      <c r="B687" s="53"/>
    </row>
    <row r="688">
      <c r="B688" s="53"/>
    </row>
    <row r="689">
      <c r="B689" s="53"/>
    </row>
    <row r="690">
      <c r="B690" s="53"/>
    </row>
    <row r="691">
      <c r="B691" s="53"/>
    </row>
    <row r="692">
      <c r="B692" s="53"/>
    </row>
    <row r="693">
      <c r="B693" s="53"/>
    </row>
    <row r="694">
      <c r="B694" s="53"/>
    </row>
    <row r="695">
      <c r="B695" s="53"/>
    </row>
    <row r="696">
      <c r="B696" s="53"/>
    </row>
    <row r="697">
      <c r="B697" s="53"/>
    </row>
    <row r="698">
      <c r="B698" s="53"/>
    </row>
    <row r="699">
      <c r="B699" s="53"/>
    </row>
    <row r="700">
      <c r="B700" s="53"/>
    </row>
    <row r="701">
      <c r="B701" s="53"/>
    </row>
    <row r="702">
      <c r="B702" s="53"/>
    </row>
    <row r="703">
      <c r="B703" s="53"/>
    </row>
    <row r="704">
      <c r="B704" s="53"/>
    </row>
    <row r="705">
      <c r="B705" s="53"/>
    </row>
    <row r="706">
      <c r="B706" s="53"/>
    </row>
    <row r="707">
      <c r="B707" s="53"/>
    </row>
    <row r="708">
      <c r="B708" s="53"/>
    </row>
    <row r="709">
      <c r="B709" s="53"/>
    </row>
    <row r="710">
      <c r="B710" s="53"/>
    </row>
    <row r="711">
      <c r="B711" s="53"/>
    </row>
    <row r="712">
      <c r="B712" s="53"/>
    </row>
    <row r="713">
      <c r="B713" s="53"/>
    </row>
    <row r="714">
      <c r="B714" s="53"/>
    </row>
    <row r="715">
      <c r="B715" s="53"/>
    </row>
    <row r="716">
      <c r="B716" s="53"/>
    </row>
    <row r="717">
      <c r="B717" s="53"/>
    </row>
    <row r="718">
      <c r="B718" s="53"/>
    </row>
    <row r="719">
      <c r="B719" s="53"/>
    </row>
    <row r="720">
      <c r="B720" s="53"/>
    </row>
    <row r="721">
      <c r="B721" s="53"/>
    </row>
    <row r="722">
      <c r="B722" s="53"/>
    </row>
    <row r="723">
      <c r="B723" s="53"/>
    </row>
    <row r="724">
      <c r="B724" s="53"/>
    </row>
    <row r="725">
      <c r="B725" s="53"/>
    </row>
    <row r="726">
      <c r="B726" s="53"/>
    </row>
    <row r="727">
      <c r="B727" s="53"/>
    </row>
    <row r="728">
      <c r="B728" s="53"/>
    </row>
    <row r="729">
      <c r="B729" s="53"/>
    </row>
    <row r="730">
      <c r="B730" s="53"/>
    </row>
    <row r="731">
      <c r="B731" s="53"/>
    </row>
    <row r="732">
      <c r="B732" s="53"/>
    </row>
    <row r="733">
      <c r="B733" s="53"/>
    </row>
    <row r="734">
      <c r="B734" s="53"/>
    </row>
    <row r="735">
      <c r="B735" s="53"/>
    </row>
    <row r="736">
      <c r="B736" s="53"/>
    </row>
    <row r="737">
      <c r="B737" s="53"/>
    </row>
    <row r="738">
      <c r="B738" s="53"/>
    </row>
    <row r="739">
      <c r="B739" s="53"/>
    </row>
    <row r="740">
      <c r="B740" s="53"/>
    </row>
    <row r="741">
      <c r="B741" s="53"/>
    </row>
    <row r="742">
      <c r="B742" s="53"/>
    </row>
    <row r="743">
      <c r="B743" s="53"/>
    </row>
    <row r="744">
      <c r="B744" s="53"/>
    </row>
    <row r="745">
      <c r="B745" s="53"/>
    </row>
    <row r="746">
      <c r="B746" s="53"/>
    </row>
    <row r="747">
      <c r="B747" s="53"/>
    </row>
    <row r="748">
      <c r="B748" s="53"/>
    </row>
    <row r="749">
      <c r="B749" s="53"/>
    </row>
    <row r="750">
      <c r="B750" s="53"/>
    </row>
    <row r="751">
      <c r="B751" s="53"/>
    </row>
    <row r="752">
      <c r="B752" s="53"/>
    </row>
    <row r="753">
      <c r="B753" s="53"/>
    </row>
    <row r="754">
      <c r="B754" s="53"/>
    </row>
    <row r="755">
      <c r="B755" s="53"/>
    </row>
    <row r="756">
      <c r="B756" s="53"/>
    </row>
    <row r="757">
      <c r="B757" s="53"/>
    </row>
    <row r="758">
      <c r="B758" s="53"/>
    </row>
    <row r="759">
      <c r="B759" s="53"/>
    </row>
    <row r="760">
      <c r="B760" s="53"/>
    </row>
    <row r="761">
      <c r="B761" s="53"/>
    </row>
    <row r="762">
      <c r="B762" s="53"/>
    </row>
    <row r="763">
      <c r="B763" s="53"/>
    </row>
    <row r="764">
      <c r="B764" s="53"/>
    </row>
    <row r="765">
      <c r="B765" s="53"/>
    </row>
    <row r="766">
      <c r="B766" s="53"/>
    </row>
    <row r="767">
      <c r="B767" s="53"/>
    </row>
    <row r="768">
      <c r="B768" s="53"/>
    </row>
    <row r="769">
      <c r="B769" s="53"/>
    </row>
    <row r="770">
      <c r="B770" s="53"/>
    </row>
    <row r="771">
      <c r="B771" s="53"/>
    </row>
    <row r="772">
      <c r="B772" s="53"/>
    </row>
    <row r="773">
      <c r="B773" s="53"/>
    </row>
    <row r="774">
      <c r="B774" s="53"/>
    </row>
    <row r="775">
      <c r="B775" s="53"/>
    </row>
    <row r="776">
      <c r="B776" s="53"/>
    </row>
    <row r="777">
      <c r="B777" s="53"/>
    </row>
    <row r="778">
      <c r="B778" s="53"/>
    </row>
    <row r="779">
      <c r="B779" s="53"/>
    </row>
    <row r="780">
      <c r="B780" s="53"/>
    </row>
    <row r="781">
      <c r="B781" s="53"/>
    </row>
    <row r="782">
      <c r="B782" s="53"/>
    </row>
    <row r="783">
      <c r="B783" s="53"/>
    </row>
    <row r="784">
      <c r="B784" s="53"/>
    </row>
    <row r="785">
      <c r="B785" s="53"/>
    </row>
    <row r="786">
      <c r="B786" s="53"/>
    </row>
    <row r="787">
      <c r="B787" s="53"/>
    </row>
    <row r="788">
      <c r="B788" s="53"/>
    </row>
    <row r="789">
      <c r="B789" s="53"/>
    </row>
    <row r="790">
      <c r="B790" s="53"/>
    </row>
    <row r="791">
      <c r="B791" s="53"/>
    </row>
    <row r="792">
      <c r="B792" s="53"/>
    </row>
    <row r="793">
      <c r="B793" s="53"/>
    </row>
    <row r="794">
      <c r="B794" s="53"/>
    </row>
    <row r="795">
      <c r="B795" s="53"/>
    </row>
    <row r="796">
      <c r="B796" s="53"/>
    </row>
    <row r="797">
      <c r="B797" s="53"/>
    </row>
    <row r="798">
      <c r="B798" s="53"/>
    </row>
    <row r="799">
      <c r="B799" s="53"/>
    </row>
    <row r="800">
      <c r="B800" s="53"/>
    </row>
    <row r="801">
      <c r="B801" s="53"/>
    </row>
    <row r="802">
      <c r="B802" s="53"/>
    </row>
    <row r="803">
      <c r="B803" s="53"/>
    </row>
    <row r="804">
      <c r="B804" s="53"/>
    </row>
    <row r="805">
      <c r="B805" s="53"/>
    </row>
    <row r="806">
      <c r="B806" s="53"/>
    </row>
    <row r="807">
      <c r="B807" s="53"/>
    </row>
    <row r="808">
      <c r="B808" s="53"/>
    </row>
    <row r="809">
      <c r="B809" s="53"/>
    </row>
    <row r="810">
      <c r="B810" s="53"/>
    </row>
    <row r="811">
      <c r="B811" s="53"/>
    </row>
    <row r="812">
      <c r="B812" s="53"/>
    </row>
    <row r="813">
      <c r="B813" s="53"/>
    </row>
    <row r="814">
      <c r="B814" s="53"/>
    </row>
    <row r="815">
      <c r="B815" s="53"/>
    </row>
    <row r="816">
      <c r="B816" s="53"/>
    </row>
    <row r="817">
      <c r="B817" s="53"/>
    </row>
    <row r="818">
      <c r="B818" s="53"/>
    </row>
    <row r="819">
      <c r="B819" s="53"/>
    </row>
    <row r="820">
      <c r="B820" s="53"/>
    </row>
    <row r="821">
      <c r="B821" s="53"/>
    </row>
    <row r="822">
      <c r="B822" s="53"/>
    </row>
    <row r="823">
      <c r="B823" s="53"/>
    </row>
    <row r="824">
      <c r="B824" s="53"/>
    </row>
    <row r="825">
      <c r="B825" s="53"/>
    </row>
    <row r="826">
      <c r="B826" s="53"/>
    </row>
    <row r="827">
      <c r="B827" s="53"/>
    </row>
    <row r="828">
      <c r="B828" s="53"/>
    </row>
    <row r="829">
      <c r="B829" s="53"/>
    </row>
    <row r="830">
      <c r="B830" s="53"/>
    </row>
    <row r="831">
      <c r="B831" s="53"/>
    </row>
    <row r="832">
      <c r="B832" s="53"/>
    </row>
    <row r="833">
      <c r="B833" s="53"/>
    </row>
    <row r="834">
      <c r="B834" s="53"/>
    </row>
    <row r="835">
      <c r="B835" s="53"/>
    </row>
    <row r="836">
      <c r="B836" s="53"/>
    </row>
    <row r="837">
      <c r="B837" s="53"/>
    </row>
    <row r="838">
      <c r="B838" s="53"/>
    </row>
    <row r="839">
      <c r="B839" s="53"/>
    </row>
    <row r="840">
      <c r="B840" s="53"/>
    </row>
    <row r="841">
      <c r="B841" s="53"/>
    </row>
    <row r="842">
      <c r="B842" s="53"/>
    </row>
    <row r="843">
      <c r="B843" s="53"/>
    </row>
    <row r="844">
      <c r="B844" s="53"/>
    </row>
    <row r="845">
      <c r="B845" s="53"/>
    </row>
    <row r="846">
      <c r="B846" s="53"/>
    </row>
    <row r="847">
      <c r="B847" s="53"/>
    </row>
    <row r="848">
      <c r="B848" s="53"/>
    </row>
    <row r="849">
      <c r="B849" s="53"/>
    </row>
    <row r="850">
      <c r="B850" s="53"/>
    </row>
    <row r="851">
      <c r="B851" s="53"/>
    </row>
    <row r="852">
      <c r="B852" s="53"/>
    </row>
    <row r="853">
      <c r="B853" s="53"/>
    </row>
    <row r="854">
      <c r="B854" s="53"/>
    </row>
    <row r="855">
      <c r="B855" s="53"/>
    </row>
    <row r="856">
      <c r="B856" s="53"/>
    </row>
    <row r="857">
      <c r="B857" s="53"/>
    </row>
    <row r="858">
      <c r="B858" s="53"/>
    </row>
    <row r="859">
      <c r="B859" s="53"/>
    </row>
    <row r="860">
      <c r="B860" s="53"/>
    </row>
    <row r="861">
      <c r="B861" s="53"/>
    </row>
    <row r="862">
      <c r="B862" s="53"/>
    </row>
    <row r="863">
      <c r="B863" s="53"/>
    </row>
    <row r="864">
      <c r="B864" s="53"/>
    </row>
    <row r="865">
      <c r="B865" s="53"/>
    </row>
    <row r="866">
      <c r="B866" s="53"/>
    </row>
    <row r="867">
      <c r="B867" s="53"/>
    </row>
    <row r="868">
      <c r="B868" s="53"/>
    </row>
    <row r="869">
      <c r="B869" s="53"/>
    </row>
    <row r="870">
      <c r="B870" s="53"/>
    </row>
    <row r="871">
      <c r="B871" s="53"/>
    </row>
    <row r="872">
      <c r="B872" s="53"/>
    </row>
    <row r="873">
      <c r="B873" s="53"/>
    </row>
    <row r="874">
      <c r="B874" s="53"/>
    </row>
    <row r="875">
      <c r="B875" s="53"/>
    </row>
    <row r="876">
      <c r="B876" s="53"/>
    </row>
    <row r="877">
      <c r="B877" s="53"/>
    </row>
    <row r="878">
      <c r="B878" s="53"/>
    </row>
    <row r="879">
      <c r="B879" s="53"/>
    </row>
    <row r="880">
      <c r="B880" s="53"/>
    </row>
    <row r="881">
      <c r="B881" s="53"/>
    </row>
    <row r="882">
      <c r="B882" s="53"/>
    </row>
    <row r="883">
      <c r="B883" s="53"/>
    </row>
    <row r="884">
      <c r="B884" s="53"/>
    </row>
    <row r="885">
      <c r="B885" s="53"/>
    </row>
    <row r="886">
      <c r="B886" s="53"/>
    </row>
    <row r="887">
      <c r="B887" s="53"/>
    </row>
    <row r="888">
      <c r="B888" s="53"/>
    </row>
    <row r="889">
      <c r="B889" s="53"/>
    </row>
    <row r="890">
      <c r="B890" s="53"/>
    </row>
    <row r="891">
      <c r="B891" s="53"/>
    </row>
    <row r="892">
      <c r="B892" s="53"/>
    </row>
    <row r="893">
      <c r="B893" s="53"/>
    </row>
    <row r="894">
      <c r="B894" s="53"/>
    </row>
    <row r="895">
      <c r="B895" s="53"/>
    </row>
    <row r="896">
      <c r="B896" s="53"/>
    </row>
    <row r="897">
      <c r="B897" s="53"/>
    </row>
    <row r="898">
      <c r="B898" s="53"/>
    </row>
    <row r="899">
      <c r="B899" s="53"/>
    </row>
    <row r="900">
      <c r="B900" s="53"/>
    </row>
    <row r="901">
      <c r="B901" s="53"/>
    </row>
    <row r="902">
      <c r="B902" s="53"/>
    </row>
    <row r="903">
      <c r="B903" s="53"/>
    </row>
    <row r="904">
      <c r="B904" s="53"/>
    </row>
    <row r="905">
      <c r="B905" s="53"/>
    </row>
    <row r="906">
      <c r="B906" s="53"/>
    </row>
    <row r="907">
      <c r="B907" s="53"/>
    </row>
    <row r="908">
      <c r="B908" s="53"/>
    </row>
    <row r="909">
      <c r="B909" s="53"/>
    </row>
    <row r="910">
      <c r="B910" s="53"/>
    </row>
    <row r="911">
      <c r="B911" s="53"/>
    </row>
    <row r="912">
      <c r="B912" s="53"/>
    </row>
    <row r="913">
      <c r="B913" s="53"/>
    </row>
    <row r="914">
      <c r="B914" s="53"/>
    </row>
    <row r="915">
      <c r="B915" s="53"/>
    </row>
    <row r="916">
      <c r="B916" s="53"/>
    </row>
    <row r="917">
      <c r="B917" s="53"/>
    </row>
    <row r="918">
      <c r="B918" s="53"/>
    </row>
    <row r="919">
      <c r="B919" s="53"/>
    </row>
    <row r="920">
      <c r="B920" s="53"/>
    </row>
    <row r="921">
      <c r="B921" s="53"/>
    </row>
    <row r="922">
      <c r="B922" s="53"/>
    </row>
    <row r="923">
      <c r="B923" s="53"/>
    </row>
    <row r="924">
      <c r="B924" s="53"/>
    </row>
    <row r="925">
      <c r="B925" s="53"/>
    </row>
    <row r="926">
      <c r="B926" s="53"/>
    </row>
    <row r="927">
      <c r="B927" s="53"/>
    </row>
    <row r="928">
      <c r="B928" s="53"/>
    </row>
    <row r="929">
      <c r="B929" s="53"/>
    </row>
    <row r="930">
      <c r="B930" s="53"/>
    </row>
    <row r="931">
      <c r="B931" s="53"/>
    </row>
    <row r="932">
      <c r="B932" s="53"/>
    </row>
    <row r="933">
      <c r="B933" s="53"/>
    </row>
    <row r="934">
      <c r="B934" s="53"/>
    </row>
    <row r="935">
      <c r="B935" s="53"/>
    </row>
    <row r="936">
      <c r="B936" s="53"/>
    </row>
    <row r="937">
      <c r="B937" s="53"/>
    </row>
    <row r="938">
      <c r="B938" s="53"/>
    </row>
    <row r="939">
      <c r="B939" s="53"/>
    </row>
    <row r="940">
      <c r="B940" s="53"/>
    </row>
    <row r="941">
      <c r="B941" s="53"/>
    </row>
    <row r="942">
      <c r="B942" s="53"/>
    </row>
    <row r="943">
      <c r="B943" s="53"/>
    </row>
    <row r="944">
      <c r="B944" s="53"/>
    </row>
    <row r="945">
      <c r="B945" s="53"/>
    </row>
    <row r="946">
      <c r="B946" s="53"/>
    </row>
    <row r="947">
      <c r="B947" s="53"/>
    </row>
    <row r="948">
      <c r="B948" s="53"/>
    </row>
    <row r="949">
      <c r="B949" s="53"/>
    </row>
    <row r="950">
      <c r="B950" s="53"/>
    </row>
    <row r="951">
      <c r="B951" s="53"/>
    </row>
    <row r="952">
      <c r="B952" s="53"/>
    </row>
    <row r="953">
      <c r="B953" s="53"/>
    </row>
    <row r="954">
      <c r="B954" s="53"/>
    </row>
    <row r="955">
      <c r="B955" s="53"/>
    </row>
    <row r="956">
      <c r="B956" s="53"/>
    </row>
    <row r="957">
      <c r="B957" s="53"/>
    </row>
    <row r="958">
      <c r="B958" s="53"/>
    </row>
    <row r="959">
      <c r="B959" s="53"/>
    </row>
    <row r="960">
      <c r="B960" s="53"/>
    </row>
    <row r="961">
      <c r="B961" s="53"/>
    </row>
    <row r="962">
      <c r="B962" s="53"/>
    </row>
    <row r="963">
      <c r="B963" s="53"/>
    </row>
    <row r="964">
      <c r="B964" s="53"/>
    </row>
    <row r="965">
      <c r="B965" s="53"/>
    </row>
    <row r="966">
      <c r="B966" s="53"/>
    </row>
    <row r="967">
      <c r="B967" s="53"/>
    </row>
    <row r="968">
      <c r="B968" s="53"/>
    </row>
    <row r="969">
      <c r="B969" s="53"/>
    </row>
    <row r="970">
      <c r="B970" s="53"/>
    </row>
    <row r="971">
      <c r="B971" s="53"/>
    </row>
    <row r="972">
      <c r="B972" s="53"/>
    </row>
    <row r="973">
      <c r="B973" s="53"/>
    </row>
    <row r="974">
      <c r="B974" s="53"/>
    </row>
    <row r="975">
      <c r="B975" s="53"/>
    </row>
    <row r="976">
      <c r="B976" s="53"/>
    </row>
    <row r="977">
      <c r="B977" s="53"/>
    </row>
    <row r="978">
      <c r="B978" s="53"/>
    </row>
    <row r="979">
      <c r="B979" s="53"/>
    </row>
    <row r="980">
      <c r="B980" s="53"/>
    </row>
    <row r="981">
      <c r="B981" s="53"/>
    </row>
    <row r="982">
      <c r="B982" s="53"/>
    </row>
    <row r="983">
      <c r="B983" s="53"/>
    </row>
    <row r="984">
      <c r="B984" s="53"/>
    </row>
    <row r="985">
      <c r="B985" s="53"/>
    </row>
    <row r="986">
      <c r="B986" s="53"/>
    </row>
    <row r="987">
      <c r="B987" s="53"/>
    </row>
    <row r="988">
      <c r="B988" s="53"/>
    </row>
    <row r="989">
      <c r="B989" s="53"/>
    </row>
    <row r="990">
      <c r="B990" s="53"/>
    </row>
    <row r="991">
      <c r="B991" s="53"/>
    </row>
    <row r="992">
      <c r="B992" s="53"/>
    </row>
    <row r="993">
      <c r="B993" s="53"/>
    </row>
    <row r="994">
      <c r="B994" s="53"/>
    </row>
    <row r="995">
      <c r="B995" s="53"/>
    </row>
    <row r="996">
      <c r="B996" s="53"/>
    </row>
    <row r="997">
      <c r="B997" s="53"/>
    </row>
    <row r="998">
      <c r="B998" s="53"/>
    </row>
    <row r="999">
      <c r="B999" s="53"/>
    </row>
    <row r="1000">
      <c r="B1000" s="5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88"/>
    <col customWidth="1" min="2" max="2" width="5.5"/>
    <col customWidth="1" min="3" max="3" width="29.88"/>
    <col customWidth="1" min="4" max="4" width="17.75"/>
    <col customWidth="1" min="5" max="5" width="15.25"/>
    <col customWidth="1" min="6" max="6" width="9.0"/>
    <col customWidth="1" min="7" max="7" width="6.38"/>
    <col customWidth="1" min="8" max="8" width="7.63"/>
    <col customWidth="1" min="9" max="9" width="10.63"/>
    <col customWidth="1" min="10" max="10" width="12.88"/>
    <col customWidth="1" min="11" max="11" width="13.63"/>
  </cols>
  <sheetData>
    <row r="1">
      <c r="A1" s="35" t="s">
        <v>80</v>
      </c>
      <c r="B1" s="35" t="s">
        <v>81</v>
      </c>
      <c r="C1" s="35" t="s">
        <v>82</v>
      </c>
      <c r="D1" s="35" t="s">
        <v>83</v>
      </c>
      <c r="E1" s="35" t="s">
        <v>84</v>
      </c>
      <c r="F1" s="35" t="s">
        <v>85</v>
      </c>
      <c r="G1" s="35" t="s">
        <v>86</v>
      </c>
      <c r="H1" s="35" t="s">
        <v>87</v>
      </c>
      <c r="I1" s="35" t="s">
        <v>88</v>
      </c>
      <c r="J1" s="35" t="s">
        <v>89</v>
      </c>
      <c r="K1" s="35" t="s">
        <v>90</v>
      </c>
      <c r="L1" s="44"/>
      <c r="M1" s="44"/>
      <c r="N1" s="44"/>
      <c r="O1" s="44"/>
      <c r="P1" s="44"/>
      <c r="Q1" s="44"/>
      <c r="R1" s="44"/>
      <c r="S1" s="44"/>
    </row>
    <row r="2">
      <c r="A2" s="55" t="s">
        <v>3996</v>
      </c>
      <c r="B2" s="44"/>
      <c r="C2" s="55" t="s">
        <v>834</v>
      </c>
      <c r="D2" s="55" t="s">
        <v>3997</v>
      </c>
      <c r="E2" s="35" t="s">
        <v>167</v>
      </c>
      <c r="F2" s="55" t="s">
        <v>622</v>
      </c>
      <c r="G2" s="55" t="s">
        <v>623</v>
      </c>
      <c r="H2" s="55">
        <v>6.94</v>
      </c>
      <c r="I2" s="55">
        <v>1.38678373E8</v>
      </c>
      <c r="J2" s="55">
        <v>2.367101148737E10</v>
      </c>
      <c r="K2" s="55">
        <v>2.367101148737E10</v>
      </c>
      <c r="L2" s="44"/>
      <c r="M2" s="35"/>
      <c r="N2" s="44"/>
      <c r="O2" s="44"/>
      <c r="P2" s="44"/>
      <c r="Q2" s="44"/>
      <c r="R2" s="44"/>
      <c r="S2" s="44"/>
    </row>
    <row r="3">
      <c r="A3" s="55" t="s">
        <v>3998</v>
      </c>
      <c r="B3" s="44"/>
      <c r="C3" s="55" t="s">
        <v>836</v>
      </c>
      <c r="D3" s="55" t="s">
        <v>3997</v>
      </c>
      <c r="E3" s="35" t="s">
        <v>167</v>
      </c>
      <c r="F3" s="55" t="s">
        <v>622</v>
      </c>
      <c r="G3" s="55" t="s">
        <v>623</v>
      </c>
      <c r="H3" s="55">
        <v>6.45</v>
      </c>
      <c r="I3" s="55">
        <v>7.011E7</v>
      </c>
      <c r="J3" s="55">
        <v>2.19893004E10</v>
      </c>
      <c r="K3" s="55">
        <v>2.19893004E10</v>
      </c>
      <c r="L3" s="44"/>
      <c r="M3" s="44"/>
      <c r="N3" s="44"/>
      <c r="O3" s="44"/>
      <c r="P3" s="44"/>
      <c r="Q3" s="44"/>
      <c r="R3" s="44"/>
      <c r="S3" s="44"/>
    </row>
    <row r="4">
      <c r="A4" s="55" t="s">
        <v>3999</v>
      </c>
      <c r="B4" s="44"/>
      <c r="C4" s="55" t="s">
        <v>4000</v>
      </c>
      <c r="D4" s="55" t="s">
        <v>3997</v>
      </c>
      <c r="E4" s="55" t="s">
        <v>118</v>
      </c>
      <c r="F4" s="55" t="s">
        <v>622</v>
      </c>
      <c r="G4" s="55" t="s">
        <v>623</v>
      </c>
      <c r="H4" s="55">
        <v>3.17</v>
      </c>
      <c r="I4" s="55">
        <v>8.5678712E7</v>
      </c>
      <c r="J4" s="55">
        <v>1.079380413776E10</v>
      </c>
      <c r="K4" s="55">
        <v>1.079380413776E10</v>
      </c>
      <c r="L4" s="44"/>
      <c r="M4" s="44"/>
      <c r="N4" s="44"/>
      <c r="O4" s="44"/>
      <c r="P4" s="44"/>
      <c r="Q4" s="44"/>
      <c r="R4" s="44"/>
      <c r="S4" s="44"/>
    </row>
    <row r="5">
      <c r="A5" s="55" t="s">
        <v>4001</v>
      </c>
      <c r="B5" s="44"/>
      <c r="C5" s="55" t="s">
        <v>840</v>
      </c>
      <c r="D5" s="55" t="s">
        <v>3997</v>
      </c>
      <c r="E5" s="55" t="s">
        <v>167</v>
      </c>
      <c r="F5" s="55" t="s">
        <v>622</v>
      </c>
      <c r="G5" s="55" t="s">
        <v>623</v>
      </c>
      <c r="H5" s="55">
        <v>2.95</v>
      </c>
      <c r="I5" s="55">
        <v>2.3307689E7</v>
      </c>
      <c r="J5" s="55">
        <v>1.004305011321E10</v>
      </c>
      <c r="K5" s="55">
        <v>1.004305011321E10</v>
      </c>
      <c r="L5" s="44"/>
      <c r="M5" s="44"/>
      <c r="N5" s="44"/>
      <c r="O5" s="44"/>
      <c r="P5" s="44"/>
      <c r="Q5" s="44"/>
      <c r="R5" s="44"/>
      <c r="S5" s="44"/>
    </row>
    <row r="6">
      <c r="A6" s="55" t="s">
        <v>4002</v>
      </c>
      <c r="B6" s="44"/>
      <c r="C6" s="55" t="s">
        <v>4003</v>
      </c>
      <c r="D6" s="55" t="s">
        <v>3997</v>
      </c>
      <c r="E6" s="55" t="s">
        <v>4004</v>
      </c>
      <c r="F6" s="55" t="s">
        <v>622</v>
      </c>
      <c r="G6" s="55" t="s">
        <v>623</v>
      </c>
      <c r="H6" s="55">
        <v>2.17</v>
      </c>
      <c r="I6" s="55">
        <v>5.598584E7</v>
      </c>
      <c r="J6" s="55">
        <v>7.4074864904E9</v>
      </c>
      <c r="K6" s="55">
        <v>7.4074864904E9</v>
      </c>
      <c r="L6" s="44"/>
      <c r="M6" s="44"/>
      <c r="N6" s="44"/>
      <c r="O6" s="44"/>
      <c r="P6" s="44"/>
      <c r="Q6" s="44"/>
      <c r="R6" s="44"/>
      <c r="S6" s="44"/>
    </row>
    <row r="7">
      <c r="A7" s="55" t="s">
        <v>4005</v>
      </c>
      <c r="B7" s="44"/>
      <c r="C7" s="55" t="s">
        <v>621</v>
      </c>
      <c r="D7" s="55" t="s">
        <v>3997</v>
      </c>
      <c r="E7" s="55" t="s">
        <v>118</v>
      </c>
      <c r="F7" s="55" t="s">
        <v>622</v>
      </c>
      <c r="G7" s="55" t="s">
        <v>623</v>
      </c>
      <c r="H7" s="55">
        <v>1.88</v>
      </c>
      <c r="I7" s="55">
        <v>2.6057361E7</v>
      </c>
      <c r="J7" s="55">
        <v>6.42001260318E9</v>
      </c>
      <c r="K7" s="55">
        <v>6.42001260318E9</v>
      </c>
      <c r="L7" s="44"/>
      <c r="M7" s="44"/>
      <c r="N7" s="44"/>
      <c r="O7" s="44"/>
      <c r="P7" s="44"/>
      <c r="Q7" s="44"/>
      <c r="R7" s="44"/>
      <c r="S7" s="44"/>
    </row>
    <row r="8">
      <c r="A8" s="55" t="s">
        <v>4006</v>
      </c>
      <c r="B8" s="44"/>
      <c r="C8" s="55" t="s">
        <v>4007</v>
      </c>
      <c r="D8" s="55" t="s">
        <v>3997</v>
      </c>
      <c r="E8" s="55" t="s">
        <v>4004</v>
      </c>
      <c r="F8" s="55" t="s">
        <v>622</v>
      </c>
      <c r="G8" s="55" t="s">
        <v>623</v>
      </c>
      <c r="H8" s="55">
        <v>1.87</v>
      </c>
      <c r="I8" s="55">
        <v>2.0973089E7</v>
      </c>
      <c r="J8" s="55">
        <v>6.37498013244E9</v>
      </c>
      <c r="K8" s="55">
        <v>6.37498013244E9</v>
      </c>
      <c r="L8" s="44"/>
      <c r="M8" s="44"/>
      <c r="N8" s="44"/>
      <c r="O8" s="44"/>
      <c r="P8" s="44"/>
      <c r="Q8" s="44"/>
      <c r="R8" s="44"/>
      <c r="S8" s="44"/>
    </row>
    <row r="9">
      <c r="A9" s="55" t="s">
        <v>4008</v>
      </c>
      <c r="B9" s="44"/>
      <c r="C9" s="55" t="s">
        <v>4009</v>
      </c>
      <c r="D9" s="55" t="s">
        <v>3997</v>
      </c>
      <c r="E9" s="55" t="s">
        <v>4004</v>
      </c>
      <c r="F9" s="55" t="s">
        <v>622</v>
      </c>
      <c r="G9" s="55" t="s">
        <v>623</v>
      </c>
      <c r="H9" s="55">
        <v>1.86</v>
      </c>
      <c r="I9" s="55">
        <v>4.7624007E7</v>
      </c>
      <c r="J9" s="55">
        <v>6.34018405191E9</v>
      </c>
      <c r="K9" s="55">
        <v>6.34018405191E9</v>
      </c>
      <c r="L9" s="44"/>
      <c r="M9" s="44"/>
      <c r="N9" s="44"/>
      <c r="O9" s="44"/>
      <c r="P9" s="44"/>
      <c r="Q9" s="44"/>
      <c r="R9" s="44"/>
      <c r="S9" s="44"/>
    </row>
    <row r="10">
      <c r="A10" s="55" t="s">
        <v>4010</v>
      </c>
      <c r="B10" s="44"/>
      <c r="C10" s="55" t="s">
        <v>4011</v>
      </c>
      <c r="D10" s="55" t="s">
        <v>3997</v>
      </c>
      <c r="E10" s="55" t="s">
        <v>99</v>
      </c>
      <c r="F10" s="55" t="s">
        <v>622</v>
      </c>
      <c r="G10" s="55" t="s">
        <v>623</v>
      </c>
      <c r="H10" s="55">
        <v>1.8</v>
      </c>
      <c r="I10" s="55">
        <v>1.7208821E7</v>
      </c>
      <c r="J10" s="55">
        <v>6.14458162626E9</v>
      </c>
      <c r="K10" s="55">
        <v>6.14458162626E9</v>
      </c>
      <c r="L10" s="44"/>
      <c r="M10" s="44"/>
      <c r="N10" s="44"/>
      <c r="O10" s="44"/>
      <c r="P10" s="44"/>
      <c r="Q10" s="44"/>
      <c r="R10" s="44"/>
      <c r="S10" s="44"/>
    </row>
    <row r="11">
      <c r="A11" s="55" t="s">
        <v>4012</v>
      </c>
      <c r="B11" s="44"/>
      <c r="C11" s="55" t="s">
        <v>856</v>
      </c>
      <c r="D11" s="55" t="s">
        <v>3997</v>
      </c>
      <c r="E11" s="55" t="s">
        <v>115</v>
      </c>
      <c r="F11" s="55" t="s">
        <v>622</v>
      </c>
      <c r="G11" s="55" t="s">
        <v>623</v>
      </c>
      <c r="H11" s="55">
        <v>1.32</v>
      </c>
      <c r="I11" s="55">
        <v>3.7775685E7</v>
      </c>
      <c r="J11" s="55">
        <v>4.51306108695E9</v>
      </c>
      <c r="K11" s="55">
        <v>4.51306108695E9</v>
      </c>
      <c r="L11" s="44"/>
      <c r="M11" s="44"/>
      <c r="N11" s="44"/>
      <c r="O11" s="44"/>
      <c r="P11" s="44"/>
      <c r="Q11" s="44"/>
      <c r="R11" s="44"/>
      <c r="S11" s="44"/>
    </row>
    <row r="12">
      <c r="A12" s="55" t="s">
        <v>4013</v>
      </c>
      <c r="B12" s="44"/>
      <c r="C12" s="55" t="s">
        <v>854</v>
      </c>
      <c r="D12" s="55" t="s">
        <v>3997</v>
      </c>
      <c r="E12" s="55" t="s">
        <v>4014</v>
      </c>
      <c r="F12" s="55" t="s">
        <v>622</v>
      </c>
      <c r="G12" s="55" t="s">
        <v>623</v>
      </c>
      <c r="H12" s="55">
        <v>1.31</v>
      </c>
      <c r="I12" s="55">
        <v>8741026.0</v>
      </c>
      <c r="J12" s="55">
        <v>4.4587973626E9</v>
      </c>
      <c r="K12" s="55">
        <v>4.4587973626E9</v>
      </c>
      <c r="L12" s="44"/>
      <c r="M12" s="44"/>
      <c r="N12" s="44"/>
      <c r="O12" s="44"/>
      <c r="P12" s="44"/>
      <c r="Q12" s="44"/>
      <c r="R12" s="44"/>
      <c r="S12" s="44"/>
    </row>
    <row r="13">
      <c r="A13" s="55" t="s">
        <v>4015</v>
      </c>
      <c r="B13" s="44"/>
      <c r="C13" s="55" t="s">
        <v>4016</v>
      </c>
      <c r="D13" s="55" t="s">
        <v>3997</v>
      </c>
      <c r="E13" s="55" t="s">
        <v>4014</v>
      </c>
      <c r="F13" s="55" t="s">
        <v>622</v>
      </c>
      <c r="G13" s="55" t="s">
        <v>623</v>
      </c>
      <c r="H13" s="55">
        <v>1.2</v>
      </c>
      <c r="I13" s="55">
        <v>7524631.0</v>
      </c>
      <c r="J13" s="55">
        <v>4.09678534795E9</v>
      </c>
      <c r="K13" s="55">
        <v>4.09678534795E9</v>
      </c>
      <c r="L13" s="44"/>
      <c r="M13" s="44"/>
      <c r="N13" s="44"/>
      <c r="O13" s="44"/>
      <c r="P13" s="44"/>
      <c r="Q13" s="44"/>
      <c r="R13" s="44"/>
      <c r="S13" s="44"/>
    </row>
    <row r="14">
      <c r="A14" s="55" t="s">
        <v>4017</v>
      </c>
      <c r="B14" s="44"/>
      <c r="C14" s="55" t="s">
        <v>862</v>
      </c>
      <c r="D14" s="55" t="s">
        <v>3997</v>
      </c>
      <c r="E14" s="55" t="s">
        <v>99</v>
      </c>
      <c r="F14" s="55" t="s">
        <v>622</v>
      </c>
      <c r="G14" s="55" t="s">
        <v>623</v>
      </c>
      <c r="H14" s="55">
        <v>1.19</v>
      </c>
      <c r="I14" s="55">
        <v>2.7422809E7</v>
      </c>
      <c r="J14" s="55">
        <v>4.04733238031E9</v>
      </c>
      <c r="K14" s="55">
        <v>4.04733238031E9</v>
      </c>
      <c r="L14" s="44"/>
      <c r="M14" s="44"/>
      <c r="N14" s="44"/>
      <c r="O14" s="44"/>
      <c r="P14" s="44"/>
      <c r="Q14" s="44"/>
      <c r="R14" s="44"/>
      <c r="S14" s="44"/>
    </row>
    <row r="15">
      <c r="A15" s="55" t="s">
        <v>4018</v>
      </c>
      <c r="B15" s="44"/>
      <c r="C15" s="55" t="s">
        <v>860</v>
      </c>
      <c r="D15" s="55" t="s">
        <v>3997</v>
      </c>
      <c r="E15" s="55" t="s">
        <v>4014</v>
      </c>
      <c r="F15" s="55" t="s">
        <v>622</v>
      </c>
      <c r="G15" s="55" t="s">
        <v>623</v>
      </c>
      <c r="H15" s="55">
        <v>1.05</v>
      </c>
      <c r="I15" s="55">
        <v>2.2722738E7</v>
      </c>
      <c r="J15" s="55">
        <v>3.56474313744E9</v>
      </c>
      <c r="K15" s="55">
        <v>3.56474313744E9</v>
      </c>
      <c r="L15" s="44"/>
      <c r="M15" s="44"/>
      <c r="N15" s="44"/>
      <c r="O15" s="44"/>
      <c r="P15" s="44"/>
      <c r="Q15" s="44"/>
      <c r="R15" s="44"/>
      <c r="S15" s="44"/>
    </row>
    <row r="16">
      <c r="A16" s="55" t="s">
        <v>4019</v>
      </c>
      <c r="B16" s="44"/>
      <c r="C16" s="55" t="s">
        <v>4020</v>
      </c>
      <c r="D16" s="55" t="s">
        <v>3997</v>
      </c>
      <c r="E16" s="55" t="s">
        <v>99</v>
      </c>
      <c r="F16" s="55" t="s">
        <v>622</v>
      </c>
      <c r="G16" s="55" t="s">
        <v>623</v>
      </c>
      <c r="H16" s="55">
        <v>1.03</v>
      </c>
      <c r="I16" s="55">
        <v>1.5162208E7</v>
      </c>
      <c r="J16" s="55">
        <v>3.51247710528E9</v>
      </c>
      <c r="K16" s="55">
        <v>3.51247710528E9</v>
      </c>
      <c r="L16" s="44"/>
      <c r="M16" s="44"/>
      <c r="N16" s="44"/>
      <c r="O16" s="44"/>
      <c r="P16" s="44"/>
      <c r="Q16" s="44"/>
      <c r="R16" s="44"/>
      <c r="S16" s="44"/>
    </row>
    <row r="17">
      <c r="A17" s="55" t="s">
        <v>4021</v>
      </c>
      <c r="B17" s="44"/>
      <c r="C17" s="55" t="s">
        <v>4022</v>
      </c>
      <c r="D17" s="55" t="s">
        <v>3997</v>
      </c>
      <c r="E17" s="55" t="s">
        <v>124</v>
      </c>
      <c r="F17" s="55" t="s">
        <v>622</v>
      </c>
      <c r="G17" s="55" t="s">
        <v>623</v>
      </c>
      <c r="H17" s="55">
        <v>0.96</v>
      </c>
      <c r="I17" s="55">
        <v>2.2244345E7</v>
      </c>
      <c r="J17" s="55">
        <v>3.2552374473E9</v>
      </c>
      <c r="K17" s="55">
        <v>3.2552374473E9</v>
      </c>
      <c r="L17" s="44"/>
      <c r="M17" s="44"/>
      <c r="N17" s="44"/>
      <c r="O17" s="44"/>
      <c r="P17" s="44"/>
      <c r="Q17" s="44"/>
      <c r="R17" s="44"/>
      <c r="S17" s="44"/>
    </row>
    <row r="18">
      <c r="A18" s="55" t="s">
        <v>4023</v>
      </c>
      <c r="B18" s="44"/>
      <c r="C18" s="55" t="s">
        <v>873</v>
      </c>
      <c r="D18" s="55" t="s">
        <v>3997</v>
      </c>
      <c r="E18" s="55" t="s">
        <v>167</v>
      </c>
      <c r="F18" s="55" t="s">
        <v>622</v>
      </c>
      <c r="G18" s="55" t="s">
        <v>623</v>
      </c>
      <c r="H18" s="55">
        <v>0.95</v>
      </c>
      <c r="I18" s="55">
        <v>3894291.0</v>
      </c>
      <c r="J18" s="55">
        <v>3.240050112E9</v>
      </c>
      <c r="K18" s="55">
        <v>3.240050112E9</v>
      </c>
      <c r="L18" s="44"/>
      <c r="M18" s="44"/>
      <c r="N18" s="44"/>
      <c r="O18" s="44"/>
      <c r="P18" s="44"/>
      <c r="Q18" s="44"/>
      <c r="R18" s="44"/>
      <c r="S18" s="44"/>
    </row>
    <row r="19">
      <c r="A19" s="55" t="s">
        <v>4024</v>
      </c>
      <c r="B19" s="44"/>
      <c r="C19" s="55" t="s">
        <v>4025</v>
      </c>
      <c r="D19" s="55" t="s">
        <v>3997</v>
      </c>
      <c r="E19" s="55" t="s">
        <v>99</v>
      </c>
      <c r="F19" s="55" t="s">
        <v>622</v>
      </c>
      <c r="G19" s="55" t="s">
        <v>623</v>
      </c>
      <c r="H19" s="55">
        <v>0.92</v>
      </c>
      <c r="I19" s="55">
        <v>7851294.0</v>
      </c>
      <c r="J19" s="55">
        <v>3.13612087536E9</v>
      </c>
      <c r="K19" s="55">
        <v>3.13612087536E9</v>
      </c>
      <c r="L19" s="44"/>
      <c r="M19" s="44"/>
      <c r="N19" s="44"/>
      <c r="O19" s="44"/>
      <c r="P19" s="44"/>
      <c r="Q19" s="44"/>
      <c r="R19" s="44"/>
      <c r="S19" s="44"/>
    </row>
    <row r="20">
      <c r="A20" s="55" t="s">
        <v>4026</v>
      </c>
      <c r="B20" s="44"/>
      <c r="C20" s="55" t="s">
        <v>4027</v>
      </c>
      <c r="D20" s="55" t="s">
        <v>3997</v>
      </c>
      <c r="E20" s="55" t="s">
        <v>118</v>
      </c>
      <c r="F20" s="55" t="s">
        <v>622</v>
      </c>
      <c r="G20" s="55" t="s">
        <v>623</v>
      </c>
      <c r="H20" s="55">
        <v>0.84</v>
      </c>
      <c r="I20" s="55">
        <v>9487093.0</v>
      </c>
      <c r="J20" s="55">
        <v>2.87923785457E9</v>
      </c>
      <c r="K20" s="55">
        <v>2.87923785457E9</v>
      </c>
      <c r="L20" s="44"/>
      <c r="M20" s="44"/>
      <c r="N20" s="44"/>
      <c r="O20" s="44"/>
      <c r="P20" s="44"/>
      <c r="Q20" s="44"/>
      <c r="R20" s="44"/>
      <c r="S20" s="44"/>
    </row>
    <row r="21">
      <c r="A21" s="55" t="s">
        <v>4028</v>
      </c>
      <c r="B21" s="44"/>
      <c r="C21" s="55" t="s">
        <v>879</v>
      </c>
      <c r="D21" s="55" t="s">
        <v>3997</v>
      </c>
      <c r="E21" s="55" t="s">
        <v>115</v>
      </c>
      <c r="F21" s="55" t="s">
        <v>622</v>
      </c>
      <c r="G21" s="55" t="s">
        <v>623</v>
      </c>
      <c r="H21" s="55">
        <v>0.84</v>
      </c>
      <c r="I21" s="55">
        <v>1.6742561E7</v>
      </c>
      <c r="J21" s="55">
        <v>2.85611348099E9</v>
      </c>
      <c r="K21" s="55">
        <v>2.85611348099E9</v>
      </c>
      <c r="L21" s="44"/>
      <c r="M21" s="44"/>
      <c r="N21" s="44"/>
      <c r="O21" s="44"/>
      <c r="P21" s="44"/>
      <c r="Q21" s="44"/>
      <c r="R21" s="44"/>
      <c r="S21" s="44"/>
    </row>
    <row r="22">
      <c r="A22" s="55" t="s">
        <v>4029</v>
      </c>
      <c r="B22" s="44"/>
      <c r="C22" s="55" t="s">
        <v>887</v>
      </c>
      <c r="D22" s="55" t="s">
        <v>3997</v>
      </c>
      <c r="E22" s="55" t="s">
        <v>4014</v>
      </c>
      <c r="F22" s="55" t="s">
        <v>622</v>
      </c>
      <c r="G22" s="55" t="s">
        <v>623</v>
      </c>
      <c r="H22" s="55">
        <v>0.74</v>
      </c>
      <c r="I22" s="55">
        <v>1.6655492E7</v>
      </c>
      <c r="J22" s="55">
        <v>2.535798657E9</v>
      </c>
      <c r="K22" s="55">
        <v>2.535798657E9</v>
      </c>
      <c r="L22" s="44"/>
      <c r="M22" s="44"/>
      <c r="N22" s="44"/>
      <c r="O22" s="44"/>
      <c r="P22" s="44"/>
      <c r="Q22" s="44"/>
      <c r="R22" s="44"/>
      <c r="S22" s="44"/>
    </row>
    <row r="23">
      <c r="A23" s="55" t="s">
        <v>4030</v>
      </c>
      <c r="B23" s="44"/>
      <c r="C23" s="55" t="s">
        <v>889</v>
      </c>
      <c r="D23" s="55" t="s">
        <v>3997</v>
      </c>
      <c r="E23" s="55" t="s">
        <v>4014</v>
      </c>
      <c r="F23" s="55" t="s">
        <v>622</v>
      </c>
      <c r="G23" s="55" t="s">
        <v>623</v>
      </c>
      <c r="H23" s="55">
        <v>0.73</v>
      </c>
      <c r="I23" s="55">
        <v>2.3945108E7</v>
      </c>
      <c r="J23" s="55">
        <v>2.4974747644E9</v>
      </c>
      <c r="K23" s="55">
        <v>2.4974747644E9</v>
      </c>
      <c r="L23" s="44"/>
      <c r="M23" s="44"/>
      <c r="N23" s="44"/>
      <c r="O23" s="44"/>
      <c r="P23" s="44"/>
      <c r="Q23" s="44"/>
      <c r="R23" s="44"/>
      <c r="S23" s="44"/>
    </row>
    <row r="24">
      <c r="A24" s="55" t="s">
        <v>4031</v>
      </c>
      <c r="B24" s="44"/>
      <c r="C24" s="55" t="s">
        <v>891</v>
      </c>
      <c r="D24" s="55" t="s">
        <v>3997</v>
      </c>
      <c r="E24" s="55" t="s">
        <v>124</v>
      </c>
      <c r="F24" s="55" t="s">
        <v>622</v>
      </c>
      <c r="G24" s="55" t="s">
        <v>623</v>
      </c>
      <c r="H24" s="55">
        <v>0.7</v>
      </c>
      <c r="I24" s="55">
        <v>4181720.0</v>
      </c>
      <c r="J24" s="55">
        <v>2.3778514436E9</v>
      </c>
      <c r="K24" s="55">
        <v>2.3778514436E9</v>
      </c>
      <c r="L24" s="44"/>
      <c r="M24" s="44"/>
      <c r="N24" s="44"/>
      <c r="O24" s="44"/>
      <c r="P24" s="44"/>
      <c r="Q24" s="44"/>
      <c r="R24" s="44"/>
      <c r="S24" s="44"/>
    </row>
    <row r="25">
      <c r="A25" s="55" t="s">
        <v>4032</v>
      </c>
      <c r="B25" s="44"/>
      <c r="C25" s="55" t="s">
        <v>893</v>
      </c>
      <c r="D25" s="55" t="s">
        <v>3997</v>
      </c>
      <c r="E25" s="55" t="s">
        <v>124</v>
      </c>
      <c r="F25" s="55" t="s">
        <v>622</v>
      </c>
      <c r="G25" s="55" t="s">
        <v>623</v>
      </c>
      <c r="H25" s="55">
        <v>0.65</v>
      </c>
      <c r="I25" s="55">
        <v>1.2989885E7</v>
      </c>
      <c r="J25" s="55">
        <v>2.2017855075E9</v>
      </c>
      <c r="K25" s="55">
        <v>2.2017855075E9</v>
      </c>
      <c r="L25" s="44"/>
      <c r="M25" s="44"/>
      <c r="N25" s="44"/>
      <c r="O25" s="44"/>
      <c r="P25" s="44"/>
      <c r="Q25" s="44"/>
      <c r="R25" s="44"/>
      <c r="S25" s="44"/>
    </row>
    <row r="26">
      <c r="A26" s="55" t="s">
        <v>4033</v>
      </c>
      <c r="B26" s="44"/>
      <c r="C26" s="55" t="s">
        <v>900</v>
      </c>
      <c r="D26" s="55" t="s">
        <v>3997</v>
      </c>
      <c r="E26" s="55" t="s">
        <v>124</v>
      </c>
      <c r="F26" s="55" t="s">
        <v>622</v>
      </c>
      <c r="G26" s="55" t="s">
        <v>623</v>
      </c>
      <c r="H26" s="55">
        <v>0.64</v>
      </c>
      <c r="I26" s="55">
        <v>1.3467539E7</v>
      </c>
      <c r="J26" s="55">
        <v>2.18901378906E9</v>
      </c>
      <c r="K26" s="55">
        <v>2.18901378906E9</v>
      </c>
      <c r="L26" s="44"/>
      <c r="M26" s="44"/>
      <c r="N26" s="44"/>
      <c r="O26" s="44"/>
      <c r="P26" s="44"/>
      <c r="Q26" s="44"/>
      <c r="R26" s="44"/>
      <c r="S26" s="44"/>
    </row>
    <row r="27">
      <c r="A27" s="55" t="s">
        <v>4034</v>
      </c>
      <c r="B27" s="44"/>
      <c r="C27" s="55" t="s">
        <v>898</v>
      </c>
      <c r="D27" s="55" t="s">
        <v>3997</v>
      </c>
      <c r="E27" s="55" t="s">
        <v>167</v>
      </c>
      <c r="F27" s="55" t="s">
        <v>622</v>
      </c>
      <c r="G27" s="55" t="s">
        <v>623</v>
      </c>
      <c r="H27" s="55">
        <v>0.64</v>
      </c>
      <c r="I27" s="55">
        <v>4301224.0</v>
      </c>
      <c r="J27" s="55">
        <v>2.17069871608E9</v>
      </c>
      <c r="K27" s="55">
        <v>2.17069871608E9</v>
      </c>
      <c r="L27" s="44"/>
      <c r="M27" s="44"/>
      <c r="N27" s="44"/>
      <c r="O27" s="44"/>
      <c r="P27" s="44"/>
      <c r="Q27" s="44"/>
      <c r="R27" s="44"/>
      <c r="S27" s="44"/>
    </row>
    <row r="28">
      <c r="A28" s="55" t="s">
        <v>4035</v>
      </c>
      <c r="B28" s="44"/>
      <c r="C28" s="55" t="s">
        <v>902</v>
      </c>
      <c r="D28" s="55" t="s">
        <v>3997</v>
      </c>
      <c r="E28" s="55" t="s">
        <v>167</v>
      </c>
      <c r="F28" s="55" t="s">
        <v>622</v>
      </c>
      <c r="G28" s="55" t="s">
        <v>623</v>
      </c>
      <c r="H28" s="55">
        <v>0.61</v>
      </c>
      <c r="I28" s="55">
        <v>3.8453579E7</v>
      </c>
      <c r="J28" s="55">
        <v>2.07187883652E9</v>
      </c>
      <c r="K28" s="55">
        <v>2.07187883652E9</v>
      </c>
      <c r="L28" s="44"/>
      <c r="M28" s="44"/>
      <c r="N28" s="44"/>
      <c r="O28" s="44"/>
      <c r="P28" s="44"/>
      <c r="Q28" s="44"/>
      <c r="R28" s="44"/>
      <c r="S28" s="44"/>
    </row>
    <row r="29">
      <c r="A29" s="55" t="s">
        <v>61</v>
      </c>
      <c r="B29" s="44"/>
      <c r="C29" s="55" t="s">
        <v>4036</v>
      </c>
      <c r="D29" s="55" t="s">
        <v>3997</v>
      </c>
      <c r="E29" s="55" t="s">
        <v>124</v>
      </c>
      <c r="F29" s="55" t="s">
        <v>622</v>
      </c>
      <c r="G29" s="55" t="s">
        <v>623</v>
      </c>
      <c r="H29" s="55">
        <v>0.6</v>
      </c>
      <c r="I29" s="55">
        <v>3.6725391E7</v>
      </c>
      <c r="J29" s="55">
        <v>2.04964407171E9</v>
      </c>
      <c r="K29" s="55">
        <v>2.04964407171E9</v>
      </c>
      <c r="L29" s="44"/>
      <c r="M29" s="44"/>
      <c r="N29" s="44"/>
      <c r="O29" s="44"/>
      <c r="P29" s="44"/>
      <c r="Q29" s="44"/>
      <c r="R29" s="44"/>
      <c r="S29" s="44"/>
    </row>
    <row r="30">
      <c r="A30" s="55" t="s">
        <v>4037</v>
      </c>
      <c r="B30" s="44"/>
      <c r="C30" s="55" t="s">
        <v>924</v>
      </c>
      <c r="D30" s="55" t="s">
        <v>3997</v>
      </c>
      <c r="E30" s="55" t="s">
        <v>167</v>
      </c>
      <c r="F30" s="55" t="s">
        <v>622</v>
      </c>
      <c r="G30" s="55" t="s">
        <v>623</v>
      </c>
      <c r="H30" s="55">
        <v>0.55</v>
      </c>
      <c r="I30" s="55">
        <v>9190936.0</v>
      </c>
      <c r="J30" s="55">
        <v>1.8675981952E9</v>
      </c>
      <c r="K30" s="55">
        <v>1.8675981952E9</v>
      </c>
      <c r="L30" s="44"/>
      <c r="M30" s="44"/>
      <c r="N30" s="44"/>
      <c r="O30" s="44"/>
      <c r="P30" s="44"/>
      <c r="Q30" s="44"/>
      <c r="R30" s="44"/>
      <c r="S30" s="44"/>
    </row>
    <row r="31">
      <c r="A31" s="55" t="s">
        <v>4038</v>
      </c>
      <c r="B31" s="44"/>
      <c r="C31" s="55" t="s">
        <v>930</v>
      </c>
      <c r="D31" s="55" t="s">
        <v>3997</v>
      </c>
      <c r="E31" s="55" t="s">
        <v>4014</v>
      </c>
      <c r="F31" s="55" t="s">
        <v>622</v>
      </c>
      <c r="G31" s="55" t="s">
        <v>623</v>
      </c>
      <c r="H31" s="55">
        <v>0.54</v>
      </c>
      <c r="I31" s="55">
        <v>3641987.0</v>
      </c>
      <c r="J31" s="55">
        <v>1.83199230074E9</v>
      </c>
      <c r="K31" s="55">
        <v>1.83199230074E9</v>
      </c>
      <c r="L31" s="44"/>
      <c r="M31" s="44"/>
      <c r="N31" s="44"/>
      <c r="O31" s="44"/>
      <c r="P31" s="44"/>
      <c r="Q31" s="44"/>
      <c r="R31" s="44"/>
      <c r="S31" s="44"/>
    </row>
    <row r="32">
      <c r="A32" s="55" t="s">
        <v>4039</v>
      </c>
      <c r="B32" s="44"/>
      <c r="C32" s="55" t="s">
        <v>4040</v>
      </c>
      <c r="D32" s="55" t="s">
        <v>3997</v>
      </c>
      <c r="E32" s="55" t="s">
        <v>118</v>
      </c>
      <c r="F32" s="55" t="s">
        <v>622</v>
      </c>
      <c r="G32" s="55" t="s">
        <v>623</v>
      </c>
      <c r="H32" s="55">
        <v>0.54</v>
      </c>
      <c r="I32" s="55">
        <v>6876836.0</v>
      </c>
      <c r="J32" s="55">
        <v>1.82641887324E9</v>
      </c>
      <c r="K32" s="55">
        <v>1.82641887324E9</v>
      </c>
      <c r="L32" s="44"/>
      <c r="M32" s="44"/>
      <c r="N32" s="44"/>
      <c r="O32" s="44"/>
      <c r="P32" s="44"/>
      <c r="Q32" s="44"/>
      <c r="R32" s="44"/>
      <c r="S32" s="44"/>
    </row>
    <row r="33">
      <c r="A33" s="55" t="s">
        <v>4041</v>
      </c>
      <c r="B33" s="44"/>
      <c r="C33" s="55" t="s">
        <v>926</v>
      </c>
      <c r="D33" s="55" t="s">
        <v>3997</v>
      </c>
      <c r="E33" s="55" t="s">
        <v>99</v>
      </c>
      <c r="F33" s="55" t="s">
        <v>622</v>
      </c>
      <c r="G33" s="55" t="s">
        <v>623</v>
      </c>
      <c r="H33" s="55">
        <v>0.53</v>
      </c>
      <c r="I33" s="55">
        <v>6.5236757E7</v>
      </c>
      <c r="J33" s="55">
        <v>1.79792502292E9</v>
      </c>
      <c r="K33" s="55">
        <v>1.79792502292E9</v>
      </c>
      <c r="L33" s="44"/>
      <c r="M33" s="44"/>
      <c r="N33" s="44"/>
      <c r="O33" s="44"/>
      <c r="P33" s="44"/>
      <c r="Q33" s="44"/>
      <c r="R33" s="44"/>
      <c r="S33" s="44"/>
    </row>
    <row r="34">
      <c r="A34" s="55" t="s">
        <v>4042</v>
      </c>
      <c r="B34" s="44"/>
      <c r="C34" s="55" t="s">
        <v>4043</v>
      </c>
      <c r="D34" s="55" t="s">
        <v>3997</v>
      </c>
      <c r="E34" s="55" t="s">
        <v>167</v>
      </c>
      <c r="F34" s="55" t="s">
        <v>622</v>
      </c>
      <c r="G34" s="55" t="s">
        <v>623</v>
      </c>
      <c r="H34" s="55">
        <v>0.53</v>
      </c>
      <c r="I34" s="55">
        <v>5952510.0</v>
      </c>
      <c r="J34" s="55">
        <v>1.7903364327E9</v>
      </c>
      <c r="K34" s="55">
        <v>1.7903364327E9</v>
      </c>
      <c r="L34" s="44"/>
      <c r="M34" s="44"/>
      <c r="N34" s="44"/>
      <c r="O34" s="44"/>
      <c r="P34" s="44"/>
      <c r="Q34" s="44"/>
      <c r="R34" s="44"/>
      <c r="S34" s="44"/>
    </row>
    <row r="35">
      <c r="A35" s="55" t="s">
        <v>4044</v>
      </c>
      <c r="B35" s="44"/>
      <c r="C35" s="55" t="s">
        <v>4045</v>
      </c>
      <c r="D35" s="55" t="s">
        <v>3997</v>
      </c>
      <c r="E35" s="55" t="s">
        <v>4004</v>
      </c>
      <c r="F35" s="55" t="s">
        <v>622</v>
      </c>
      <c r="G35" s="55" t="s">
        <v>623</v>
      </c>
      <c r="H35" s="55">
        <v>0.51</v>
      </c>
      <c r="I35" s="55">
        <v>3.8837254E7</v>
      </c>
      <c r="J35" s="55">
        <v>1.74223921444E9</v>
      </c>
      <c r="K35" s="55">
        <v>1.74223921444E9</v>
      </c>
      <c r="L35" s="44"/>
      <c r="M35" s="44"/>
      <c r="N35" s="44"/>
      <c r="O35" s="44"/>
      <c r="P35" s="44"/>
      <c r="Q35" s="44"/>
      <c r="R35" s="44"/>
      <c r="S35" s="44"/>
    </row>
    <row r="36">
      <c r="A36" s="55" t="s">
        <v>4046</v>
      </c>
      <c r="B36" s="44"/>
      <c r="C36" s="55" t="s">
        <v>937</v>
      </c>
      <c r="D36" s="55" t="s">
        <v>3997</v>
      </c>
      <c r="E36" s="55" t="s">
        <v>94</v>
      </c>
      <c r="F36" s="55" t="s">
        <v>622</v>
      </c>
      <c r="G36" s="55" t="s">
        <v>623</v>
      </c>
      <c r="H36" s="55">
        <v>0.5</v>
      </c>
      <c r="I36" s="55">
        <v>4604534.0</v>
      </c>
      <c r="J36" s="55">
        <v>1.71974740366E9</v>
      </c>
      <c r="K36" s="55">
        <v>1.71974740366E9</v>
      </c>
      <c r="L36" s="44"/>
      <c r="M36" s="44"/>
      <c r="N36" s="44"/>
      <c r="O36" s="44"/>
      <c r="P36" s="44"/>
      <c r="Q36" s="44"/>
      <c r="R36" s="44"/>
      <c r="S36" s="44"/>
    </row>
    <row r="37">
      <c r="A37" s="55" t="s">
        <v>4047</v>
      </c>
      <c r="B37" s="44"/>
      <c r="C37" s="55" t="s">
        <v>934</v>
      </c>
      <c r="D37" s="55" t="s">
        <v>3997</v>
      </c>
      <c r="E37" s="55" t="s">
        <v>4014</v>
      </c>
      <c r="F37" s="55" t="s">
        <v>622</v>
      </c>
      <c r="G37" s="55" t="s">
        <v>623</v>
      </c>
      <c r="H37" s="55">
        <v>0.5</v>
      </c>
      <c r="I37" s="55">
        <v>5.327724E7</v>
      </c>
      <c r="J37" s="55">
        <v>1.7096666316E9</v>
      </c>
      <c r="K37" s="55">
        <v>1.7096666316E9</v>
      </c>
      <c r="L37" s="44"/>
      <c r="M37" s="44"/>
      <c r="N37" s="44"/>
      <c r="O37" s="44"/>
      <c r="P37" s="44"/>
      <c r="Q37" s="44"/>
      <c r="R37" s="44"/>
      <c r="S37" s="44"/>
    </row>
    <row r="38">
      <c r="A38" s="55" t="s">
        <v>4048</v>
      </c>
      <c r="B38" s="44"/>
      <c r="C38" s="55" t="s">
        <v>939</v>
      </c>
      <c r="D38" s="55" t="s">
        <v>3997</v>
      </c>
      <c r="E38" s="55" t="s">
        <v>4014</v>
      </c>
      <c r="F38" s="55" t="s">
        <v>622</v>
      </c>
      <c r="G38" s="55" t="s">
        <v>623</v>
      </c>
      <c r="H38" s="55">
        <v>0.47</v>
      </c>
      <c r="I38" s="55">
        <v>1.6375563E7</v>
      </c>
      <c r="J38" s="55">
        <v>1.60677024156E9</v>
      </c>
      <c r="K38" s="55">
        <v>1.60677024156E9</v>
      </c>
      <c r="L38" s="44"/>
      <c r="M38" s="44"/>
      <c r="N38" s="44"/>
      <c r="O38" s="44"/>
      <c r="P38" s="44"/>
      <c r="Q38" s="44"/>
      <c r="R38" s="44"/>
      <c r="S38" s="44"/>
    </row>
    <row r="39">
      <c r="A39" s="55" t="s">
        <v>4049</v>
      </c>
      <c r="B39" s="44"/>
      <c r="C39" s="55" t="s">
        <v>943</v>
      </c>
      <c r="D39" s="55" t="s">
        <v>3997</v>
      </c>
      <c r="E39" s="55" t="s">
        <v>167</v>
      </c>
      <c r="F39" s="55" t="s">
        <v>622</v>
      </c>
      <c r="G39" s="55" t="s">
        <v>623</v>
      </c>
      <c r="H39" s="55">
        <v>0.46</v>
      </c>
      <c r="I39" s="55">
        <v>1.4855443E7</v>
      </c>
      <c r="J39" s="55">
        <v>1.57690527445E9</v>
      </c>
      <c r="K39" s="55">
        <v>1.57690527445E9</v>
      </c>
      <c r="L39" s="44"/>
      <c r="M39" s="44"/>
      <c r="N39" s="44"/>
      <c r="O39" s="44"/>
      <c r="P39" s="44"/>
      <c r="Q39" s="44"/>
      <c r="R39" s="44"/>
      <c r="S39" s="44"/>
    </row>
    <row r="40">
      <c r="A40" s="55" t="s">
        <v>4050</v>
      </c>
      <c r="B40" s="44"/>
      <c r="C40" s="55" t="s">
        <v>945</v>
      </c>
      <c r="D40" s="55" t="s">
        <v>3997</v>
      </c>
      <c r="E40" s="55" t="s">
        <v>4004</v>
      </c>
      <c r="F40" s="55" t="s">
        <v>622</v>
      </c>
      <c r="G40" s="55" t="s">
        <v>623</v>
      </c>
      <c r="H40" s="55">
        <v>0.46</v>
      </c>
      <c r="I40" s="55">
        <v>4181710.0</v>
      </c>
      <c r="J40" s="55">
        <v>1.5738283756E9</v>
      </c>
      <c r="K40" s="55">
        <v>1.5738283756E9</v>
      </c>
      <c r="L40" s="44"/>
      <c r="M40" s="44"/>
      <c r="N40" s="44"/>
      <c r="O40" s="44"/>
      <c r="P40" s="44"/>
      <c r="Q40" s="44"/>
      <c r="R40" s="44"/>
      <c r="S40" s="44"/>
    </row>
    <row r="41">
      <c r="A41" s="55" t="s">
        <v>4051</v>
      </c>
      <c r="B41" s="44"/>
      <c r="C41" s="55" t="s">
        <v>956</v>
      </c>
      <c r="D41" s="55" t="s">
        <v>3997</v>
      </c>
      <c r="E41" s="55" t="s">
        <v>167</v>
      </c>
      <c r="F41" s="55" t="s">
        <v>622</v>
      </c>
      <c r="G41" s="55" t="s">
        <v>623</v>
      </c>
      <c r="H41" s="55">
        <v>0.46</v>
      </c>
      <c r="I41" s="55">
        <v>1.5245897E7</v>
      </c>
      <c r="J41" s="55">
        <v>1.56666837572E9</v>
      </c>
      <c r="K41" s="55">
        <v>1.56666837572E9</v>
      </c>
      <c r="L41" s="44"/>
      <c r="M41" s="44"/>
      <c r="N41" s="44"/>
      <c r="O41" s="44"/>
      <c r="P41" s="44"/>
      <c r="Q41" s="44"/>
      <c r="R41" s="44"/>
      <c r="S41" s="44"/>
    </row>
    <row r="42">
      <c r="A42" s="55" t="s">
        <v>4052</v>
      </c>
      <c r="B42" s="44"/>
      <c r="C42" s="55" t="s">
        <v>941</v>
      </c>
      <c r="D42" s="55" t="s">
        <v>3997</v>
      </c>
      <c r="E42" s="55" t="s">
        <v>4014</v>
      </c>
      <c r="F42" s="55" t="s">
        <v>622</v>
      </c>
      <c r="G42" s="55" t="s">
        <v>623</v>
      </c>
      <c r="H42" s="55">
        <v>0.45</v>
      </c>
      <c r="I42" s="55">
        <v>6200819.0</v>
      </c>
      <c r="J42" s="55">
        <v>1.53278044861E9</v>
      </c>
      <c r="K42" s="55">
        <v>1.53278044861E9</v>
      </c>
      <c r="L42" s="44"/>
      <c r="M42" s="44"/>
      <c r="N42" s="44"/>
      <c r="O42" s="44"/>
      <c r="P42" s="44"/>
      <c r="Q42" s="44"/>
      <c r="R42" s="44"/>
      <c r="S42" s="44"/>
    </row>
    <row r="43">
      <c r="A43" s="55" t="s">
        <v>4053</v>
      </c>
      <c r="B43" s="44"/>
      <c r="C43" s="55" t="s">
        <v>4054</v>
      </c>
      <c r="D43" s="55" t="s">
        <v>3997</v>
      </c>
      <c r="E43" s="55" t="s">
        <v>99</v>
      </c>
      <c r="F43" s="55" t="s">
        <v>622</v>
      </c>
      <c r="G43" s="55" t="s">
        <v>623</v>
      </c>
      <c r="H43" s="55">
        <v>0.41</v>
      </c>
      <c r="I43" s="55">
        <v>3.4525754E7</v>
      </c>
      <c r="J43" s="55">
        <v>1.41244859614E9</v>
      </c>
      <c r="K43" s="55">
        <v>1.41244859614E9</v>
      </c>
      <c r="L43" s="44"/>
      <c r="M43" s="44"/>
      <c r="N43" s="44"/>
      <c r="O43" s="44"/>
      <c r="P43" s="44"/>
      <c r="Q43" s="44"/>
      <c r="R43" s="44"/>
      <c r="S43" s="44"/>
    </row>
    <row r="44">
      <c r="A44" s="55" t="s">
        <v>4055</v>
      </c>
      <c r="B44" s="44"/>
      <c r="C44" s="55" t="s">
        <v>4056</v>
      </c>
      <c r="D44" s="55" t="s">
        <v>3997</v>
      </c>
      <c r="E44" s="55" t="s">
        <v>167</v>
      </c>
      <c r="F44" s="55" t="s">
        <v>622</v>
      </c>
      <c r="G44" s="55" t="s">
        <v>623</v>
      </c>
      <c r="H44" s="55">
        <v>0.41</v>
      </c>
      <c r="I44" s="55">
        <v>3.9519536E7</v>
      </c>
      <c r="J44" s="55">
        <v>1.39029727648E9</v>
      </c>
      <c r="K44" s="55">
        <v>1.39029727648E9</v>
      </c>
      <c r="L44" s="44"/>
      <c r="M44" s="44"/>
      <c r="N44" s="44"/>
      <c r="O44" s="44"/>
      <c r="P44" s="44"/>
      <c r="Q44" s="44"/>
      <c r="R44" s="44"/>
      <c r="S44" s="44"/>
    </row>
    <row r="45">
      <c r="A45" s="55" t="s">
        <v>4057</v>
      </c>
      <c r="B45" s="44"/>
      <c r="C45" s="55" t="s">
        <v>965</v>
      </c>
      <c r="D45" s="55" t="s">
        <v>3997</v>
      </c>
      <c r="E45" s="55" t="s">
        <v>115</v>
      </c>
      <c r="F45" s="55" t="s">
        <v>622</v>
      </c>
      <c r="G45" s="55" t="s">
        <v>623</v>
      </c>
      <c r="H45" s="55">
        <v>0.41</v>
      </c>
      <c r="I45" s="55">
        <v>1.1299884E7</v>
      </c>
      <c r="J45" s="55">
        <v>1.38672176448E9</v>
      </c>
      <c r="K45" s="55">
        <v>1.38672176448E9</v>
      </c>
      <c r="L45" s="44"/>
      <c r="M45" s="44"/>
      <c r="N45" s="44"/>
      <c r="O45" s="44"/>
      <c r="P45" s="44"/>
      <c r="Q45" s="44"/>
      <c r="R45" s="44"/>
      <c r="S45" s="44"/>
    </row>
    <row r="46">
      <c r="A46" s="55" t="s">
        <v>4058</v>
      </c>
      <c r="B46" s="44"/>
      <c r="C46" s="55" t="s">
        <v>4059</v>
      </c>
      <c r="D46" s="55" t="s">
        <v>3997</v>
      </c>
      <c r="E46" s="55" t="s">
        <v>4004</v>
      </c>
      <c r="F46" s="55" t="s">
        <v>622</v>
      </c>
      <c r="G46" s="55" t="s">
        <v>623</v>
      </c>
      <c r="H46" s="55">
        <v>0.41</v>
      </c>
      <c r="I46" s="55">
        <v>1.7266445E7</v>
      </c>
      <c r="J46" s="55">
        <v>1.38356023785E9</v>
      </c>
      <c r="K46" s="55">
        <v>1.38356023785E9</v>
      </c>
      <c r="L46" s="44"/>
      <c r="M46" s="44"/>
      <c r="N46" s="44"/>
      <c r="O46" s="44"/>
      <c r="P46" s="44"/>
      <c r="Q46" s="44"/>
      <c r="R46" s="44"/>
      <c r="S46" s="44"/>
    </row>
    <row r="47">
      <c r="A47" s="55" t="s">
        <v>4060</v>
      </c>
      <c r="B47" s="44"/>
      <c r="C47" s="55" t="s">
        <v>961</v>
      </c>
      <c r="D47" s="55" t="s">
        <v>3997</v>
      </c>
      <c r="E47" s="55" t="s">
        <v>4014</v>
      </c>
      <c r="F47" s="55" t="s">
        <v>622</v>
      </c>
      <c r="G47" s="55" t="s">
        <v>623</v>
      </c>
      <c r="H47" s="55">
        <v>0.4</v>
      </c>
      <c r="I47" s="55">
        <v>5047634.0</v>
      </c>
      <c r="J47" s="55">
        <v>1.36700023988E9</v>
      </c>
      <c r="K47" s="55">
        <v>1.36700023988E9</v>
      </c>
      <c r="L47" s="44"/>
      <c r="M47" s="44"/>
      <c r="N47" s="44"/>
      <c r="O47" s="44"/>
      <c r="P47" s="44"/>
      <c r="Q47" s="44"/>
      <c r="R47" s="44"/>
      <c r="S47" s="44"/>
    </row>
    <row r="48">
      <c r="A48" s="55" t="s">
        <v>4061</v>
      </c>
      <c r="B48" s="44"/>
      <c r="C48" s="55" t="s">
        <v>4062</v>
      </c>
      <c r="D48" s="55" t="s">
        <v>3997</v>
      </c>
      <c r="E48" s="55" t="s">
        <v>167</v>
      </c>
      <c r="F48" s="55" t="s">
        <v>622</v>
      </c>
      <c r="G48" s="55" t="s">
        <v>623</v>
      </c>
      <c r="H48" s="55">
        <v>0.4</v>
      </c>
      <c r="I48" s="55">
        <v>8567951.0</v>
      </c>
      <c r="J48" s="55">
        <v>1.36307532459E9</v>
      </c>
      <c r="K48" s="55">
        <v>1.36307532459E9</v>
      </c>
      <c r="L48" s="44"/>
      <c r="M48" s="44"/>
      <c r="N48" s="44"/>
      <c r="O48" s="44"/>
      <c r="P48" s="44"/>
      <c r="Q48" s="44"/>
      <c r="R48" s="44"/>
      <c r="S48" s="44"/>
    </row>
    <row r="49">
      <c r="A49" s="55" t="s">
        <v>4063</v>
      </c>
      <c r="B49" s="44"/>
      <c r="C49" s="55" t="s">
        <v>4064</v>
      </c>
      <c r="D49" s="55" t="s">
        <v>3997</v>
      </c>
      <c r="E49" s="55" t="s">
        <v>124</v>
      </c>
      <c r="F49" s="55" t="s">
        <v>622</v>
      </c>
      <c r="G49" s="55" t="s">
        <v>623</v>
      </c>
      <c r="H49" s="55">
        <v>0.4</v>
      </c>
      <c r="I49" s="55">
        <v>1.464856E7</v>
      </c>
      <c r="J49" s="55">
        <v>1.363048508E9</v>
      </c>
      <c r="K49" s="55">
        <v>1.363048508E9</v>
      </c>
      <c r="L49" s="44"/>
      <c r="M49" s="44"/>
      <c r="N49" s="44"/>
      <c r="O49" s="44"/>
      <c r="P49" s="44"/>
      <c r="Q49" s="44"/>
      <c r="R49" s="44"/>
      <c r="S49" s="44"/>
    </row>
    <row r="50">
      <c r="A50" s="55" t="s">
        <v>4065</v>
      </c>
      <c r="B50" s="44"/>
      <c r="C50" s="55" t="s">
        <v>969</v>
      </c>
      <c r="D50" s="55" t="s">
        <v>3997</v>
      </c>
      <c r="E50" s="55" t="s">
        <v>167</v>
      </c>
      <c r="F50" s="55" t="s">
        <v>622</v>
      </c>
      <c r="G50" s="55" t="s">
        <v>623</v>
      </c>
      <c r="H50" s="55">
        <v>0.4</v>
      </c>
      <c r="I50" s="55">
        <v>2642771.0</v>
      </c>
      <c r="J50" s="55">
        <v>1.35373301704E9</v>
      </c>
      <c r="K50" s="55">
        <v>1.35373301704E9</v>
      </c>
      <c r="L50" s="44"/>
      <c r="M50" s="44"/>
      <c r="N50" s="44"/>
      <c r="O50" s="44"/>
      <c r="P50" s="44"/>
      <c r="Q50" s="44"/>
      <c r="R50" s="44"/>
      <c r="S50" s="44"/>
    </row>
    <row r="51">
      <c r="A51" s="55" t="s">
        <v>4066</v>
      </c>
      <c r="B51" s="44"/>
      <c r="C51" s="55" t="s">
        <v>975</v>
      </c>
      <c r="D51" s="55" t="s">
        <v>3997</v>
      </c>
      <c r="E51" s="55" t="s">
        <v>127</v>
      </c>
      <c r="F51" s="55" t="s">
        <v>622</v>
      </c>
      <c r="G51" s="55" t="s">
        <v>623</v>
      </c>
      <c r="H51" s="55">
        <v>0.39</v>
      </c>
      <c r="I51" s="55">
        <v>4813943.0</v>
      </c>
      <c r="J51" s="55">
        <v>1.32980361432E9</v>
      </c>
      <c r="K51" s="55">
        <v>1.32980361432E9</v>
      </c>
      <c r="L51" s="44"/>
      <c r="M51" s="44"/>
      <c r="N51" s="44"/>
      <c r="O51" s="44"/>
      <c r="P51" s="44"/>
      <c r="Q51" s="44"/>
      <c r="R51" s="44"/>
      <c r="S51" s="44"/>
    </row>
    <row r="52">
      <c r="A52" s="55" t="s">
        <v>4067</v>
      </c>
      <c r="B52" s="44"/>
      <c r="C52" s="55" t="s">
        <v>963</v>
      </c>
      <c r="D52" s="55" t="s">
        <v>3997</v>
      </c>
      <c r="E52" s="55" t="s">
        <v>4004</v>
      </c>
      <c r="F52" s="55" t="s">
        <v>622</v>
      </c>
      <c r="G52" s="55" t="s">
        <v>623</v>
      </c>
      <c r="H52" s="55">
        <v>0.38</v>
      </c>
      <c r="I52" s="55">
        <v>3.9670762E7</v>
      </c>
      <c r="J52" s="55">
        <v>1.2912833031E9</v>
      </c>
      <c r="K52" s="55">
        <v>1.2912833031E9</v>
      </c>
      <c r="L52" s="44"/>
      <c r="M52" s="44"/>
      <c r="N52" s="44"/>
      <c r="O52" s="44"/>
      <c r="P52" s="44"/>
      <c r="Q52" s="44"/>
      <c r="R52" s="44"/>
      <c r="S52" s="44"/>
    </row>
    <row r="53">
      <c r="A53" s="55" t="s">
        <v>4068</v>
      </c>
      <c r="B53" s="44"/>
      <c r="C53" s="55" t="s">
        <v>4069</v>
      </c>
      <c r="D53" s="55" t="s">
        <v>3997</v>
      </c>
      <c r="E53" s="55" t="s">
        <v>167</v>
      </c>
      <c r="F53" s="55" t="s">
        <v>622</v>
      </c>
      <c r="G53" s="55" t="s">
        <v>623</v>
      </c>
      <c r="H53" s="55">
        <v>0.36</v>
      </c>
      <c r="I53" s="55">
        <v>8596685.0</v>
      </c>
      <c r="J53" s="55">
        <v>1.2171186623E9</v>
      </c>
      <c r="K53" s="55">
        <v>1.2171186623E9</v>
      </c>
      <c r="L53" s="44"/>
      <c r="M53" s="44"/>
      <c r="N53" s="44"/>
      <c r="O53" s="44"/>
      <c r="P53" s="44"/>
      <c r="Q53" s="44"/>
      <c r="R53" s="44"/>
      <c r="S53" s="44"/>
    </row>
    <row r="54">
      <c r="A54" s="55" t="s">
        <v>4070</v>
      </c>
      <c r="B54" s="44"/>
      <c r="C54" s="55" t="s">
        <v>977</v>
      </c>
      <c r="D54" s="55" t="s">
        <v>3997</v>
      </c>
      <c r="E54" s="55" t="s">
        <v>127</v>
      </c>
      <c r="F54" s="55" t="s">
        <v>622</v>
      </c>
      <c r="G54" s="55" t="s">
        <v>623</v>
      </c>
      <c r="H54" s="55">
        <v>0.34</v>
      </c>
      <c r="I54" s="55">
        <v>5751009.0</v>
      </c>
      <c r="J54" s="55">
        <v>1.17383844699E9</v>
      </c>
      <c r="K54" s="55">
        <v>1.17383844699E9</v>
      </c>
      <c r="L54" s="44"/>
      <c r="M54" s="44"/>
      <c r="N54" s="44"/>
      <c r="O54" s="44"/>
      <c r="P54" s="44"/>
      <c r="Q54" s="44"/>
      <c r="R54" s="44"/>
      <c r="S54" s="44"/>
    </row>
    <row r="55">
      <c r="A55" s="55" t="s">
        <v>4071</v>
      </c>
      <c r="B55" s="44"/>
      <c r="C55" s="55" t="s">
        <v>986</v>
      </c>
      <c r="D55" s="55" t="s">
        <v>3997</v>
      </c>
      <c r="E55" s="55" t="s">
        <v>127</v>
      </c>
      <c r="F55" s="55" t="s">
        <v>622</v>
      </c>
      <c r="G55" s="55" t="s">
        <v>623</v>
      </c>
      <c r="H55" s="55">
        <v>0.34</v>
      </c>
      <c r="I55" s="55">
        <v>6265542.0</v>
      </c>
      <c r="J55" s="55">
        <v>1.17234556362E9</v>
      </c>
      <c r="K55" s="55">
        <v>1.17234556362E9</v>
      </c>
      <c r="L55" s="44"/>
      <c r="M55" s="44"/>
      <c r="N55" s="44"/>
      <c r="O55" s="44"/>
      <c r="P55" s="44"/>
      <c r="Q55" s="44"/>
      <c r="R55" s="44"/>
      <c r="S55" s="44"/>
    </row>
    <row r="56">
      <c r="A56" s="55" t="s">
        <v>4072</v>
      </c>
      <c r="B56" s="44"/>
      <c r="C56" s="55" t="s">
        <v>1000</v>
      </c>
      <c r="D56" s="55" t="s">
        <v>3997</v>
      </c>
      <c r="E56" s="55" t="s">
        <v>167</v>
      </c>
      <c r="F56" s="55" t="s">
        <v>622</v>
      </c>
      <c r="G56" s="55" t="s">
        <v>623</v>
      </c>
      <c r="H56" s="55">
        <v>0.34</v>
      </c>
      <c r="I56" s="55">
        <v>1.0531024E7</v>
      </c>
      <c r="J56" s="55">
        <v>1.1699967664E9</v>
      </c>
      <c r="K56" s="55">
        <v>1.1699967664E9</v>
      </c>
      <c r="L56" s="44"/>
      <c r="M56" s="44"/>
      <c r="N56" s="44"/>
      <c r="O56" s="44"/>
      <c r="P56" s="44"/>
      <c r="Q56" s="44"/>
      <c r="R56" s="44"/>
      <c r="S56" s="44"/>
    </row>
    <row r="57">
      <c r="A57" s="55" t="s">
        <v>4073</v>
      </c>
      <c r="B57" s="44"/>
      <c r="C57" s="55" t="s">
        <v>4074</v>
      </c>
      <c r="D57" s="55" t="s">
        <v>3997</v>
      </c>
      <c r="E57" s="55" t="s">
        <v>127</v>
      </c>
      <c r="F57" s="55" t="s">
        <v>622</v>
      </c>
      <c r="G57" s="55" t="s">
        <v>623</v>
      </c>
      <c r="H57" s="55">
        <v>0.34</v>
      </c>
      <c r="I57" s="55">
        <v>1.0270235E7</v>
      </c>
      <c r="J57" s="55">
        <v>1.1537581999E9</v>
      </c>
      <c r="K57" s="55">
        <v>1.1537581999E9</v>
      </c>
      <c r="L57" s="44"/>
      <c r="M57" s="44"/>
      <c r="N57" s="44"/>
      <c r="O57" s="44"/>
      <c r="P57" s="44"/>
      <c r="Q57" s="44"/>
      <c r="R57" s="44"/>
      <c r="S57" s="44"/>
    </row>
    <row r="58">
      <c r="A58" s="55" t="s">
        <v>4075</v>
      </c>
      <c r="B58" s="44"/>
      <c r="C58" s="55" t="s">
        <v>4076</v>
      </c>
      <c r="D58" s="55" t="s">
        <v>3997</v>
      </c>
      <c r="E58" s="55" t="s">
        <v>118</v>
      </c>
      <c r="F58" s="55" t="s">
        <v>622</v>
      </c>
      <c r="G58" s="55" t="s">
        <v>623</v>
      </c>
      <c r="H58" s="55">
        <v>0.34</v>
      </c>
      <c r="I58" s="55">
        <v>5529482.0</v>
      </c>
      <c r="J58" s="55">
        <v>1.14891576996E9</v>
      </c>
      <c r="K58" s="55">
        <v>1.14891576996E9</v>
      </c>
      <c r="L58" s="44"/>
      <c r="M58" s="44"/>
      <c r="N58" s="44"/>
      <c r="O58" s="44"/>
      <c r="P58" s="44"/>
      <c r="Q58" s="44"/>
      <c r="R58" s="44"/>
      <c r="S58" s="44"/>
    </row>
    <row r="59">
      <c r="A59" s="55" t="s">
        <v>4077</v>
      </c>
      <c r="B59" s="44"/>
      <c r="C59" s="55" t="s">
        <v>4078</v>
      </c>
      <c r="D59" s="55" t="s">
        <v>3997</v>
      </c>
      <c r="E59" s="55" t="s">
        <v>4014</v>
      </c>
      <c r="F59" s="55" t="s">
        <v>622</v>
      </c>
      <c r="G59" s="55" t="s">
        <v>623</v>
      </c>
      <c r="H59" s="55">
        <v>0.34</v>
      </c>
      <c r="I59" s="55">
        <v>1.9713382E7</v>
      </c>
      <c r="J59" s="55">
        <v>1.14613602948E9</v>
      </c>
      <c r="K59" s="55">
        <v>1.14613602948E9</v>
      </c>
      <c r="L59" s="44"/>
      <c r="M59" s="44"/>
      <c r="N59" s="44"/>
      <c r="O59" s="44"/>
      <c r="P59" s="44"/>
      <c r="Q59" s="44"/>
      <c r="R59" s="44"/>
      <c r="S59" s="44"/>
    </row>
    <row r="60">
      <c r="A60" s="55" t="s">
        <v>4079</v>
      </c>
      <c r="B60" s="44"/>
      <c r="C60" s="55" t="s">
        <v>995</v>
      </c>
      <c r="D60" s="55" t="s">
        <v>3997</v>
      </c>
      <c r="E60" s="55" t="s">
        <v>99</v>
      </c>
      <c r="F60" s="55" t="s">
        <v>622</v>
      </c>
      <c r="G60" s="55" t="s">
        <v>623</v>
      </c>
      <c r="H60" s="55">
        <v>0.33</v>
      </c>
      <c r="I60" s="55">
        <v>3070622.0</v>
      </c>
      <c r="J60" s="55">
        <v>1.13161632566E9</v>
      </c>
      <c r="K60" s="55">
        <v>1.13161632566E9</v>
      </c>
      <c r="L60" s="44"/>
      <c r="M60" s="44"/>
      <c r="N60" s="44"/>
      <c r="O60" s="44"/>
      <c r="P60" s="44"/>
      <c r="Q60" s="44"/>
      <c r="R60" s="44"/>
      <c r="S60" s="44"/>
    </row>
    <row r="61">
      <c r="A61" s="55" t="s">
        <v>4080</v>
      </c>
      <c r="B61" s="44"/>
      <c r="C61" s="55" t="s">
        <v>4081</v>
      </c>
      <c r="D61" s="55" t="s">
        <v>3997</v>
      </c>
      <c r="E61" s="55" t="s">
        <v>167</v>
      </c>
      <c r="F61" s="55" t="s">
        <v>622</v>
      </c>
      <c r="G61" s="55" t="s">
        <v>623</v>
      </c>
      <c r="H61" s="55">
        <v>0.32</v>
      </c>
      <c r="I61" s="55">
        <v>7924112.0</v>
      </c>
      <c r="J61" s="55">
        <v>1.09527076064E9</v>
      </c>
      <c r="K61" s="55">
        <v>1.09527076064E9</v>
      </c>
      <c r="L61" s="44"/>
      <c r="M61" s="44"/>
      <c r="N61" s="44"/>
      <c r="O61" s="44"/>
      <c r="P61" s="44"/>
      <c r="Q61" s="44"/>
      <c r="R61" s="44"/>
      <c r="S61" s="44"/>
    </row>
    <row r="62">
      <c r="A62" s="55" t="s">
        <v>4082</v>
      </c>
      <c r="B62" s="44"/>
      <c r="C62" s="55" t="s">
        <v>979</v>
      </c>
      <c r="D62" s="55" t="s">
        <v>3997</v>
      </c>
      <c r="E62" s="55" t="s">
        <v>170</v>
      </c>
      <c r="F62" s="55" t="s">
        <v>622</v>
      </c>
      <c r="G62" s="55" t="s">
        <v>623</v>
      </c>
      <c r="H62" s="55">
        <v>0.32</v>
      </c>
      <c r="I62" s="55">
        <v>1.9096634E7</v>
      </c>
      <c r="J62" s="55">
        <v>1.09003586872E9</v>
      </c>
      <c r="K62" s="55">
        <v>1.09003586872E9</v>
      </c>
      <c r="L62" s="44"/>
      <c r="M62" s="44"/>
      <c r="N62" s="44"/>
      <c r="O62" s="44"/>
      <c r="P62" s="44"/>
      <c r="Q62" s="44"/>
      <c r="R62" s="44"/>
      <c r="S62" s="44"/>
    </row>
    <row r="63">
      <c r="A63" s="55" t="s">
        <v>4083</v>
      </c>
      <c r="B63" s="44"/>
      <c r="C63" s="55" t="s">
        <v>1006</v>
      </c>
      <c r="D63" s="55" t="s">
        <v>3997</v>
      </c>
      <c r="E63" s="55" t="s">
        <v>167</v>
      </c>
      <c r="F63" s="55" t="s">
        <v>622</v>
      </c>
      <c r="G63" s="55" t="s">
        <v>623</v>
      </c>
      <c r="H63" s="55">
        <v>0.31</v>
      </c>
      <c r="I63" s="55">
        <v>1925169.0</v>
      </c>
      <c r="J63" s="55">
        <v>1.06561954488E9</v>
      </c>
      <c r="K63" s="55">
        <v>1.06561954488E9</v>
      </c>
      <c r="L63" s="44"/>
      <c r="M63" s="44"/>
      <c r="N63" s="44"/>
      <c r="O63" s="44"/>
      <c r="P63" s="44"/>
      <c r="Q63" s="44"/>
      <c r="R63" s="44"/>
      <c r="S63" s="44"/>
    </row>
    <row r="64">
      <c r="A64" s="55" t="s">
        <v>4084</v>
      </c>
      <c r="B64" s="44"/>
      <c r="C64" s="55" t="s">
        <v>4085</v>
      </c>
      <c r="D64" s="55" t="s">
        <v>3997</v>
      </c>
      <c r="E64" s="55" t="s">
        <v>127</v>
      </c>
      <c r="F64" s="55" t="s">
        <v>622</v>
      </c>
      <c r="G64" s="55" t="s">
        <v>623</v>
      </c>
      <c r="H64" s="55">
        <v>0.31</v>
      </c>
      <c r="I64" s="55">
        <v>6825123.0</v>
      </c>
      <c r="J64" s="55">
        <v>1.0613066265E9</v>
      </c>
      <c r="K64" s="55">
        <v>1.0613066265E9</v>
      </c>
      <c r="L64" s="44"/>
      <c r="M64" s="44"/>
      <c r="N64" s="44"/>
      <c r="O64" s="44"/>
      <c r="P64" s="44"/>
      <c r="Q64" s="44"/>
      <c r="R64" s="44"/>
      <c r="S64" s="44"/>
    </row>
    <row r="65">
      <c r="A65" s="55" t="s">
        <v>4086</v>
      </c>
      <c r="B65" s="44"/>
      <c r="C65" s="55" t="s">
        <v>1029</v>
      </c>
      <c r="D65" s="55" t="s">
        <v>3997</v>
      </c>
      <c r="E65" s="55" t="s">
        <v>118</v>
      </c>
      <c r="F65" s="55" t="s">
        <v>622</v>
      </c>
      <c r="G65" s="55" t="s">
        <v>623</v>
      </c>
      <c r="H65" s="55">
        <v>0.31</v>
      </c>
      <c r="I65" s="55">
        <v>336745.0</v>
      </c>
      <c r="J65" s="55">
        <v>1.04553597835E9</v>
      </c>
      <c r="K65" s="55">
        <v>1.04553597835E9</v>
      </c>
      <c r="L65" s="44"/>
      <c r="M65" s="44"/>
      <c r="N65" s="44"/>
      <c r="O65" s="44"/>
      <c r="P65" s="44"/>
      <c r="Q65" s="44"/>
      <c r="R65" s="44"/>
      <c r="S65" s="44"/>
    </row>
    <row r="66">
      <c r="A66" s="55" t="s">
        <v>4087</v>
      </c>
      <c r="B66" s="44"/>
      <c r="C66" s="55" t="s">
        <v>4088</v>
      </c>
      <c r="D66" s="55" t="s">
        <v>3997</v>
      </c>
      <c r="E66" s="55" t="s">
        <v>118</v>
      </c>
      <c r="F66" s="55" t="s">
        <v>622</v>
      </c>
      <c r="G66" s="55" t="s">
        <v>623</v>
      </c>
      <c r="H66" s="55">
        <v>0.3</v>
      </c>
      <c r="I66" s="55">
        <v>1.1560311E7</v>
      </c>
      <c r="J66" s="55">
        <v>1.03615067493E9</v>
      </c>
      <c r="K66" s="55">
        <v>1.03615067493E9</v>
      </c>
      <c r="L66" s="44"/>
      <c r="M66" s="44"/>
      <c r="N66" s="44"/>
      <c r="O66" s="44"/>
      <c r="P66" s="44"/>
      <c r="Q66" s="44"/>
      <c r="R66" s="44"/>
      <c r="S66" s="44"/>
    </row>
    <row r="67">
      <c r="A67" s="55" t="s">
        <v>4089</v>
      </c>
      <c r="B67" s="44"/>
      <c r="C67" s="55" t="s">
        <v>4090</v>
      </c>
      <c r="D67" s="55" t="s">
        <v>3997</v>
      </c>
      <c r="E67" s="55" t="s">
        <v>127</v>
      </c>
      <c r="F67" s="55" t="s">
        <v>622</v>
      </c>
      <c r="G67" s="55" t="s">
        <v>623</v>
      </c>
      <c r="H67" s="55">
        <v>0.3</v>
      </c>
      <c r="I67" s="55">
        <v>5350617.0</v>
      </c>
      <c r="J67" s="55">
        <v>1.01891799531E9</v>
      </c>
      <c r="K67" s="55">
        <v>1.01891799531E9</v>
      </c>
      <c r="L67" s="44"/>
      <c r="M67" s="44"/>
      <c r="N67" s="44"/>
      <c r="O67" s="44"/>
      <c r="P67" s="44"/>
      <c r="Q67" s="44"/>
      <c r="R67" s="44"/>
      <c r="S67" s="44"/>
    </row>
    <row r="68">
      <c r="A68" s="55" t="s">
        <v>4091</v>
      </c>
      <c r="B68" s="44"/>
      <c r="C68" s="55" t="s">
        <v>1010</v>
      </c>
      <c r="D68" s="55" t="s">
        <v>3997</v>
      </c>
      <c r="E68" s="55" t="s">
        <v>4004</v>
      </c>
      <c r="F68" s="55" t="s">
        <v>622</v>
      </c>
      <c r="G68" s="55" t="s">
        <v>623</v>
      </c>
      <c r="H68" s="55">
        <v>0.3</v>
      </c>
      <c r="I68" s="55">
        <v>6.7460687E7</v>
      </c>
      <c r="J68" s="55">
        <v>1.01258491187E9</v>
      </c>
      <c r="K68" s="55">
        <v>1.01258491187E9</v>
      </c>
      <c r="L68" s="44"/>
      <c r="M68" s="44"/>
      <c r="N68" s="44"/>
      <c r="O68" s="44"/>
      <c r="P68" s="44"/>
      <c r="Q68" s="44"/>
      <c r="R68" s="44"/>
      <c r="S68" s="44"/>
    </row>
    <row r="69">
      <c r="A69" s="55" t="s">
        <v>4092</v>
      </c>
      <c r="B69" s="44"/>
      <c r="C69" s="55" t="s">
        <v>4093</v>
      </c>
      <c r="D69" s="55" t="s">
        <v>3997</v>
      </c>
      <c r="E69" s="55" t="s">
        <v>99</v>
      </c>
      <c r="F69" s="55" t="s">
        <v>622</v>
      </c>
      <c r="G69" s="55" t="s">
        <v>623</v>
      </c>
      <c r="H69" s="55">
        <v>0.3</v>
      </c>
      <c r="I69" s="55">
        <v>3110792.0</v>
      </c>
      <c r="J69" s="55">
        <v>1.0116295584E9</v>
      </c>
      <c r="K69" s="55">
        <v>1.0116295584E9</v>
      </c>
      <c r="L69" s="44"/>
      <c r="M69" s="44"/>
      <c r="N69" s="44"/>
      <c r="O69" s="44"/>
      <c r="P69" s="44"/>
      <c r="Q69" s="44"/>
      <c r="R69" s="44"/>
      <c r="S69" s="44"/>
    </row>
    <row r="70">
      <c r="A70" s="55" t="s">
        <v>4094</v>
      </c>
      <c r="B70" s="44"/>
      <c r="C70" s="55" t="s">
        <v>1013</v>
      </c>
      <c r="D70" s="55" t="s">
        <v>3997</v>
      </c>
      <c r="E70" s="55" t="s">
        <v>4014</v>
      </c>
      <c r="F70" s="55" t="s">
        <v>622</v>
      </c>
      <c r="G70" s="55" t="s">
        <v>623</v>
      </c>
      <c r="H70" s="55">
        <v>0.29</v>
      </c>
      <c r="I70" s="55">
        <v>2223543.0</v>
      </c>
      <c r="J70" s="55">
        <v>9.9454631304E8</v>
      </c>
      <c r="K70" s="55">
        <v>9.9454631304E8</v>
      </c>
      <c r="L70" s="44"/>
      <c r="M70" s="44"/>
      <c r="N70" s="44"/>
      <c r="O70" s="44"/>
      <c r="P70" s="44"/>
      <c r="Q70" s="44"/>
      <c r="R70" s="44"/>
      <c r="S70" s="44"/>
    </row>
    <row r="71">
      <c r="A71" s="55" t="s">
        <v>4095</v>
      </c>
      <c r="B71" s="44"/>
      <c r="C71" s="55" t="s">
        <v>4096</v>
      </c>
      <c r="D71" s="55" t="s">
        <v>3997</v>
      </c>
      <c r="E71" s="55" t="s">
        <v>127</v>
      </c>
      <c r="F71" s="55" t="s">
        <v>622</v>
      </c>
      <c r="G71" s="55" t="s">
        <v>623</v>
      </c>
      <c r="H71" s="55">
        <v>0.29</v>
      </c>
      <c r="I71" s="55">
        <v>2572876.0</v>
      </c>
      <c r="J71" s="55">
        <v>9.8986258348E8</v>
      </c>
      <c r="K71" s="55">
        <v>9.8986258348E8</v>
      </c>
      <c r="L71" s="44"/>
      <c r="M71" s="44"/>
      <c r="N71" s="44"/>
      <c r="O71" s="44"/>
      <c r="P71" s="44"/>
      <c r="Q71" s="44"/>
      <c r="R71" s="44"/>
      <c r="S71" s="44"/>
    </row>
    <row r="72">
      <c r="A72" s="55" t="s">
        <v>4097</v>
      </c>
      <c r="B72" s="44"/>
      <c r="C72" s="55" t="s">
        <v>1039</v>
      </c>
      <c r="D72" s="55" t="s">
        <v>3997</v>
      </c>
      <c r="E72" s="55" t="s">
        <v>99</v>
      </c>
      <c r="F72" s="55" t="s">
        <v>622</v>
      </c>
      <c r="G72" s="55" t="s">
        <v>623</v>
      </c>
      <c r="H72" s="55">
        <v>0.29</v>
      </c>
      <c r="I72" s="55">
        <v>1.2039535E7</v>
      </c>
      <c r="J72" s="55">
        <v>9.8952938165E8</v>
      </c>
      <c r="K72" s="55">
        <v>9.8952938165E8</v>
      </c>
      <c r="L72" s="44"/>
      <c r="M72" s="44"/>
      <c r="N72" s="44"/>
      <c r="O72" s="44"/>
      <c r="P72" s="44"/>
      <c r="Q72" s="44"/>
      <c r="R72" s="44"/>
      <c r="S72" s="44"/>
    </row>
    <row r="73">
      <c r="A73" s="55" t="s">
        <v>4098</v>
      </c>
      <c r="B73" s="44"/>
      <c r="C73" s="55" t="s">
        <v>4099</v>
      </c>
      <c r="D73" s="55" t="s">
        <v>3997</v>
      </c>
      <c r="E73" s="55" t="s">
        <v>127</v>
      </c>
      <c r="F73" s="55" t="s">
        <v>622</v>
      </c>
      <c r="G73" s="55" t="s">
        <v>623</v>
      </c>
      <c r="H73" s="55">
        <v>0.29</v>
      </c>
      <c r="I73" s="55">
        <v>1.3734743E7</v>
      </c>
      <c r="J73" s="55">
        <v>9.88901496E8</v>
      </c>
      <c r="K73" s="55">
        <v>9.88901496E8</v>
      </c>
      <c r="L73" s="44"/>
      <c r="M73" s="44"/>
      <c r="N73" s="44"/>
      <c r="O73" s="44"/>
      <c r="P73" s="44"/>
      <c r="Q73" s="44"/>
      <c r="R73" s="44"/>
      <c r="S73" s="44"/>
    </row>
    <row r="74">
      <c r="A74" s="55" t="s">
        <v>4100</v>
      </c>
      <c r="B74" s="44"/>
      <c r="C74" s="55" t="s">
        <v>1047</v>
      </c>
      <c r="D74" s="55" t="s">
        <v>3997</v>
      </c>
      <c r="E74" s="55" t="s">
        <v>4014</v>
      </c>
      <c r="F74" s="55" t="s">
        <v>622</v>
      </c>
      <c r="G74" s="55" t="s">
        <v>623</v>
      </c>
      <c r="H74" s="55">
        <v>0.29</v>
      </c>
      <c r="I74" s="55">
        <v>1.256131E7</v>
      </c>
      <c r="J74" s="55">
        <v>9.884494839E8</v>
      </c>
      <c r="K74" s="55">
        <v>9.884494839E8</v>
      </c>
      <c r="L74" s="44"/>
      <c r="M74" s="44"/>
      <c r="N74" s="44"/>
      <c r="O74" s="44"/>
      <c r="P74" s="44"/>
      <c r="Q74" s="44"/>
      <c r="R74" s="44"/>
      <c r="S74" s="44"/>
    </row>
    <row r="75">
      <c r="A75" s="55" t="s">
        <v>4101</v>
      </c>
      <c r="B75" s="44"/>
      <c r="C75" s="55" t="s">
        <v>1031</v>
      </c>
      <c r="D75" s="55" t="s">
        <v>3997</v>
      </c>
      <c r="E75" s="55" t="s">
        <v>118</v>
      </c>
      <c r="F75" s="55" t="s">
        <v>622</v>
      </c>
      <c r="G75" s="55" t="s">
        <v>623</v>
      </c>
      <c r="H75" s="55">
        <v>0.29</v>
      </c>
      <c r="I75" s="55">
        <v>1.0808333E7</v>
      </c>
      <c r="J75" s="55">
        <v>9.8442296964E8</v>
      </c>
      <c r="K75" s="55">
        <v>9.8442296964E8</v>
      </c>
      <c r="L75" s="44"/>
      <c r="M75" s="44"/>
      <c r="N75" s="44"/>
      <c r="O75" s="44"/>
      <c r="P75" s="44"/>
      <c r="Q75" s="44"/>
      <c r="R75" s="44"/>
      <c r="S75" s="44"/>
    </row>
    <row r="76">
      <c r="A76" s="55" t="s">
        <v>4102</v>
      </c>
      <c r="B76" s="44"/>
      <c r="C76" s="55" t="s">
        <v>1066</v>
      </c>
      <c r="D76" s="55" t="s">
        <v>3997</v>
      </c>
      <c r="E76" s="55" t="s">
        <v>4014</v>
      </c>
      <c r="F76" s="55" t="s">
        <v>622</v>
      </c>
      <c r="G76" s="55" t="s">
        <v>623</v>
      </c>
      <c r="H76" s="55">
        <v>0.29</v>
      </c>
      <c r="I76" s="55">
        <v>3315434.0</v>
      </c>
      <c r="J76" s="55">
        <v>9.818657791E8</v>
      </c>
      <c r="K76" s="55">
        <v>9.818657791E8</v>
      </c>
      <c r="L76" s="44"/>
      <c r="M76" s="44"/>
      <c r="N76" s="44"/>
      <c r="O76" s="44"/>
      <c r="P76" s="44"/>
      <c r="Q76" s="44"/>
      <c r="R76" s="44"/>
      <c r="S76" s="44"/>
    </row>
    <row r="77">
      <c r="A77" s="55" t="s">
        <v>4103</v>
      </c>
      <c r="B77" s="44"/>
      <c r="C77" s="55" t="s">
        <v>4104</v>
      </c>
      <c r="D77" s="55" t="s">
        <v>3997</v>
      </c>
      <c r="E77" s="55" t="s">
        <v>133</v>
      </c>
      <c r="F77" s="55" t="s">
        <v>622</v>
      </c>
      <c r="G77" s="55" t="s">
        <v>623</v>
      </c>
      <c r="H77" s="55">
        <v>0.29</v>
      </c>
      <c r="I77" s="55">
        <v>8717775.0</v>
      </c>
      <c r="J77" s="55">
        <v>9.7752411075E8</v>
      </c>
      <c r="K77" s="55">
        <v>9.7752411075E8</v>
      </c>
      <c r="L77" s="44"/>
      <c r="M77" s="44"/>
      <c r="N77" s="44"/>
      <c r="O77" s="44"/>
      <c r="P77" s="44"/>
      <c r="Q77" s="44"/>
      <c r="R77" s="44"/>
      <c r="S77" s="44"/>
    </row>
    <row r="78">
      <c r="A78" s="55" t="s">
        <v>4105</v>
      </c>
      <c r="B78" s="44"/>
      <c r="C78" s="55" t="s">
        <v>4106</v>
      </c>
      <c r="D78" s="55" t="s">
        <v>3997</v>
      </c>
      <c r="E78" s="55" t="s">
        <v>118</v>
      </c>
      <c r="F78" s="55" t="s">
        <v>622</v>
      </c>
      <c r="G78" s="55" t="s">
        <v>623</v>
      </c>
      <c r="H78" s="55">
        <v>0.29</v>
      </c>
      <c r="I78" s="55">
        <v>1.0844725E7</v>
      </c>
      <c r="J78" s="55">
        <v>9.714704655E8</v>
      </c>
      <c r="K78" s="55">
        <v>9.714704655E8</v>
      </c>
      <c r="L78" s="44"/>
      <c r="M78" s="44"/>
      <c r="N78" s="44"/>
      <c r="O78" s="44"/>
      <c r="P78" s="44"/>
      <c r="Q78" s="44"/>
      <c r="R78" s="44"/>
      <c r="S78" s="44"/>
    </row>
    <row r="79">
      <c r="A79" s="55" t="s">
        <v>4107</v>
      </c>
      <c r="B79" s="44"/>
      <c r="C79" s="55" t="s">
        <v>1068</v>
      </c>
      <c r="D79" s="55" t="s">
        <v>3997</v>
      </c>
      <c r="E79" s="55" t="s">
        <v>127</v>
      </c>
      <c r="F79" s="55" t="s">
        <v>622</v>
      </c>
      <c r="G79" s="55" t="s">
        <v>623</v>
      </c>
      <c r="H79" s="55">
        <v>0.28</v>
      </c>
      <c r="I79" s="55">
        <v>3887561.0</v>
      </c>
      <c r="J79" s="55">
        <v>9.4588246691E8</v>
      </c>
      <c r="K79" s="55">
        <v>9.4588246691E8</v>
      </c>
      <c r="L79" s="44"/>
      <c r="M79" s="44"/>
      <c r="N79" s="44"/>
      <c r="O79" s="44"/>
      <c r="P79" s="44"/>
      <c r="Q79" s="44"/>
      <c r="R79" s="44"/>
      <c r="S79" s="44"/>
    </row>
    <row r="80">
      <c r="A80" s="55" t="s">
        <v>4108</v>
      </c>
      <c r="B80" s="44"/>
      <c r="C80" s="55" t="s">
        <v>4109</v>
      </c>
      <c r="D80" s="55" t="s">
        <v>3997</v>
      </c>
      <c r="E80" s="55" t="s">
        <v>99</v>
      </c>
      <c r="F80" s="55" t="s">
        <v>622</v>
      </c>
      <c r="G80" s="55" t="s">
        <v>623</v>
      </c>
      <c r="H80" s="55">
        <v>0.26</v>
      </c>
      <c r="I80" s="55">
        <v>4661023.0</v>
      </c>
      <c r="J80" s="55">
        <v>9.014418482E8</v>
      </c>
      <c r="K80" s="55">
        <v>9.014418482E8</v>
      </c>
      <c r="L80" s="44"/>
      <c r="M80" s="44"/>
      <c r="N80" s="44"/>
      <c r="O80" s="44"/>
      <c r="P80" s="44"/>
      <c r="Q80" s="44"/>
      <c r="R80" s="44"/>
      <c r="S80" s="44"/>
    </row>
    <row r="81">
      <c r="A81" s="55" t="s">
        <v>4110</v>
      </c>
      <c r="B81" s="44"/>
      <c r="C81" s="55" t="s">
        <v>4111</v>
      </c>
      <c r="D81" s="55" t="s">
        <v>3997</v>
      </c>
      <c r="E81" s="55" t="s">
        <v>124</v>
      </c>
      <c r="F81" s="55" t="s">
        <v>622</v>
      </c>
      <c r="G81" s="55" t="s">
        <v>623</v>
      </c>
      <c r="H81" s="55">
        <v>0.26</v>
      </c>
      <c r="I81" s="55">
        <v>1.2837271E7</v>
      </c>
      <c r="J81" s="55">
        <v>8.9077823469E8</v>
      </c>
      <c r="K81" s="55">
        <v>8.9077823469E8</v>
      </c>
      <c r="L81" s="44"/>
      <c r="M81" s="44"/>
      <c r="N81" s="44"/>
      <c r="O81" s="44"/>
      <c r="P81" s="44"/>
      <c r="Q81" s="44"/>
      <c r="R81" s="44"/>
      <c r="S81" s="44"/>
    </row>
    <row r="82">
      <c r="A82" s="55" t="s">
        <v>4112</v>
      </c>
      <c r="B82" s="44"/>
      <c r="C82" s="55" t="s">
        <v>1083</v>
      </c>
      <c r="D82" s="55" t="s">
        <v>3997</v>
      </c>
      <c r="E82" s="55" t="s">
        <v>4014</v>
      </c>
      <c r="F82" s="55" t="s">
        <v>622</v>
      </c>
      <c r="G82" s="55" t="s">
        <v>623</v>
      </c>
      <c r="H82" s="55">
        <v>0.26</v>
      </c>
      <c r="I82" s="55">
        <v>1.1757796E7</v>
      </c>
      <c r="J82" s="55">
        <v>8.8677297432E8</v>
      </c>
      <c r="K82" s="55">
        <v>8.8677297432E8</v>
      </c>
      <c r="L82" s="44"/>
      <c r="M82" s="44"/>
      <c r="N82" s="44"/>
      <c r="O82" s="44"/>
      <c r="P82" s="44"/>
      <c r="Q82" s="44"/>
      <c r="R82" s="44"/>
      <c r="S82" s="44"/>
    </row>
    <row r="83">
      <c r="A83" s="55" t="s">
        <v>4113</v>
      </c>
      <c r="B83" s="44"/>
      <c r="C83" s="55" t="s">
        <v>1079</v>
      </c>
      <c r="D83" s="55" t="s">
        <v>3997</v>
      </c>
      <c r="E83" s="55" t="s">
        <v>4014</v>
      </c>
      <c r="F83" s="55" t="s">
        <v>622</v>
      </c>
      <c r="G83" s="55" t="s">
        <v>623</v>
      </c>
      <c r="H83" s="55">
        <v>0.26</v>
      </c>
      <c r="I83" s="55">
        <v>3189421.0</v>
      </c>
      <c r="J83" s="55">
        <v>8.7201959561E8</v>
      </c>
      <c r="K83" s="55">
        <v>8.7201959561E8</v>
      </c>
      <c r="L83" s="44"/>
      <c r="M83" s="44"/>
      <c r="N83" s="44"/>
      <c r="O83" s="44"/>
      <c r="P83" s="44"/>
      <c r="Q83" s="44"/>
      <c r="R83" s="44"/>
      <c r="S83" s="44"/>
    </row>
    <row r="84">
      <c r="A84" s="55" t="s">
        <v>4114</v>
      </c>
      <c r="B84" s="44"/>
      <c r="C84" s="55" t="s">
        <v>1054</v>
      </c>
      <c r="D84" s="55" t="s">
        <v>3997</v>
      </c>
      <c r="E84" s="55" t="s">
        <v>127</v>
      </c>
      <c r="F84" s="55" t="s">
        <v>622</v>
      </c>
      <c r="G84" s="55" t="s">
        <v>623</v>
      </c>
      <c r="H84" s="55">
        <v>0.26</v>
      </c>
      <c r="I84" s="55">
        <v>2115125.0</v>
      </c>
      <c r="J84" s="55">
        <v>8.6923177E8</v>
      </c>
      <c r="K84" s="55">
        <v>8.6923177E8</v>
      </c>
      <c r="L84" s="44"/>
      <c r="M84" s="44"/>
      <c r="N84" s="44"/>
      <c r="O84" s="44"/>
      <c r="P84" s="44"/>
      <c r="Q84" s="44"/>
      <c r="R84" s="44"/>
      <c r="S84" s="44"/>
    </row>
    <row r="85">
      <c r="A85" s="55" t="s">
        <v>4115</v>
      </c>
      <c r="B85" s="44"/>
      <c r="C85" s="55" t="s">
        <v>1060</v>
      </c>
      <c r="D85" s="55" t="s">
        <v>3997</v>
      </c>
      <c r="E85" s="55" t="s">
        <v>4014</v>
      </c>
      <c r="F85" s="55" t="s">
        <v>622</v>
      </c>
      <c r="G85" s="55" t="s">
        <v>623</v>
      </c>
      <c r="H85" s="55">
        <v>0.25</v>
      </c>
      <c r="I85" s="55">
        <v>2435584.0</v>
      </c>
      <c r="J85" s="55">
        <v>8.5854336E8</v>
      </c>
      <c r="K85" s="55">
        <v>8.5854336E8</v>
      </c>
      <c r="L85" s="44"/>
      <c r="M85" s="44"/>
      <c r="N85" s="44"/>
      <c r="O85" s="44"/>
      <c r="P85" s="44"/>
      <c r="Q85" s="44"/>
      <c r="R85" s="44"/>
      <c r="S85" s="44"/>
    </row>
    <row r="86">
      <c r="A86" s="55" t="s">
        <v>4116</v>
      </c>
      <c r="B86" s="44"/>
      <c r="C86" s="55" t="s">
        <v>1064</v>
      </c>
      <c r="D86" s="55" t="s">
        <v>3997</v>
      </c>
      <c r="E86" s="55" t="s">
        <v>99</v>
      </c>
      <c r="F86" s="55" t="s">
        <v>622</v>
      </c>
      <c r="G86" s="55" t="s">
        <v>623</v>
      </c>
      <c r="H86" s="55">
        <v>0.25</v>
      </c>
      <c r="I86" s="55">
        <v>1324466.0</v>
      </c>
      <c r="J86" s="55">
        <v>8.5459844184E8</v>
      </c>
      <c r="K86" s="55">
        <v>8.5459844184E8</v>
      </c>
      <c r="L86" s="44"/>
      <c r="M86" s="44"/>
      <c r="N86" s="44"/>
      <c r="O86" s="44"/>
      <c r="P86" s="44"/>
      <c r="Q86" s="44"/>
      <c r="R86" s="44"/>
      <c r="S86" s="44"/>
    </row>
    <row r="87">
      <c r="A87" s="55" t="s">
        <v>4117</v>
      </c>
      <c r="B87" s="44"/>
      <c r="C87" s="55" t="s">
        <v>1056</v>
      </c>
      <c r="D87" s="55" t="s">
        <v>3997</v>
      </c>
      <c r="E87" s="55" t="s">
        <v>4014</v>
      </c>
      <c r="F87" s="55" t="s">
        <v>622</v>
      </c>
      <c r="G87" s="55" t="s">
        <v>623</v>
      </c>
      <c r="H87" s="55">
        <v>0.25</v>
      </c>
      <c r="I87" s="55">
        <v>1.212005E7</v>
      </c>
      <c r="J87" s="55">
        <v>8.487671015E8</v>
      </c>
      <c r="K87" s="55">
        <v>8.487671015E8</v>
      </c>
      <c r="L87" s="44"/>
      <c r="M87" s="44"/>
      <c r="N87" s="44"/>
      <c r="O87" s="44"/>
      <c r="P87" s="44"/>
      <c r="Q87" s="44"/>
      <c r="R87" s="44"/>
      <c r="S87" s="44"/>
    </row>
    <row r="88">
      <c r="A88" s="55" t="s">
        <v>4118</v>
      </c>
      <c r="B88" s="44"/>
      <c r="C88" s="55" t="s">
        <v>1087</v>
      </c>
      <c r="D88" s="55" t="s">
        <v>3997</v>
      </c>
      <c r="E88" s="55" t="s">
        <v>4014</v>
      </c>
      <c r="F88" s="55" t="s">
        <v>622</v>
      </c>
      <c r="G88" s="55" t="s">
        <v>623</v>
      </c>
      <c r="H88" s="55">
        <v>0.25</v>
      </c>
      <c r="I88" s="55">
        <v>1007366.0</v>
      </c>
      <c r="J88" s="55">
        <v>8.4071744262E8</v>
      </c>
      <c r="K88" s="55">
        <v>8.4071744262E8</v>
      </c>
      <c r="L88" s="44"/>
      <c r="M88" s="44"/>
      <c r="N88" s="44"/>
      <c r="O88" s="44"/>
      <c r="P88" s="44"/>
      <c r="Q88" s="44"/>
      <c r="R88" s="44"/>
      <c r="S88" s="44"/>
    </row>
    <row r="89">
      <c r="A89" s="55" t="s">
        <v>4119</v>
      </c>
      <c r="B89" s="44"/>
      <c r="C89" s="55" t="s">
        <v>1062</v>
      </c>
      <c r="D89" s="55" t="s">
        <v>3997</v>
      </c>
      <c r="E89" s="55" t="s">
        <v>167</v>
      </c>
      <c r="F89" s="55" t="s">
        <v>622</v>
      </c>
      <c r="G89" s="55" t="s">
        <v>623</v>
      </c>
      <c r="H89" s="55">
        <v>0.24</v>
      </c>
      <c r="I89" s="55">
        <v>4731657.0</v>
      </c>
      <c r="J89" s="55">
        <v>8.3471161137E8</v>
      </c>
      <c r="K89" s="55">
        <v>8.3471161137E8</v>
      </c>
      <c r="L89" s="44"/>
      <c r="M89" s="44"/>
      <c r="N89" s="44"/>
      <c r="O89" s="44"/>
      <c r="P89" s="44"/>
      <c r="Q89" s="44"/>
      <c r="R89" s="44"/>
      <c r="S89" s="44"/>
    </row>
    <row r="90">
      <c r="A90" s="55" t="s">
        <v>4120</v>
      </c>
      <c r="B90" s="44"/>
      <c r="C90" s="55" t="s">
        <v>4121</v>
      </c>
      <c r="D90" s="55" t="s">
        <v>3997</v>
      </c>
      <c r="E90" s="55" t="s">
        <v>99</v>
      </c>
      <c r="F90" s="55" t="s">
        <v>622</v>
      </c>
      <c r="G90" s="55" t="s">
        <v>623</v>
      </c>
      <c r="H90" s="55">
        <v>0.24</v>
      </c>
      <c r="I90" s="55">
        <v>5490237.0</v>
      </c>
      <c r="J90" s="55">
        <v>8.2479830451E8</v>
      </c>
      <c r="K90" s="55">
        <v>8.2479830451E8</v>
      </c>
      <c r="L90" s="44"/>
      <c r="M90" s="44"/>
      <c r="N90" s="44"/>
      <c r="O90" s="44"/>
      <c r="P90" s="44"/>
      <c r="Q90" s="44"/>
      <c r="R90" s="44"/>
      <c r="S90" s="44"/>
    </row>
    <row r="91">
      <c r="A91" s="55" t="s">
        <v>4122</v>
      </c>
      <c r="B91" s="44"/>
      <c r="C91" s="55" t="s">
        <v>1100</v>
      </c>
      <c r="D91" s="55" t="s">
        <v>3997</v>
      </c>
      <c r="E91" s="55" t="s">
        <v>99</v>
      </c>
      <c r="F91" s="55" t="s">
        <v>622</v>
      </c>
      <c r="G91" s="55" t="s">
        <v>623</v>
      </c>
      <c r="H91" s="55">
        <v>0.24</v>
      </c>
      <c r="I91" s="55">
        <v>3875929.0</v>
      </c>
      <c r="J91" s="55">
        <v>8.2274344883E8</v>
      </c>
      <c r="K91" s="55">
        <v>8.2274344883E8</v>
      </c>
      <c r="L91" s="44"/>
      <c r="M91" s="44"/>
      <c r="N91" s="44"/>
      <c r="O91" s="44"/>
      <c r="P91" s="44"/>
      <c r="Q91" s="44"/>
      <c r="R91" s="44"/>
      <c r="S91" s="44"/>
    </row>
    <row r="92">
      <c r="A92" s="55" t="s">
        <v>4123</v>
      </c>
      <c r="B92" s="44"/>
      <c r="C92" s="55" t="s">
        <v>1104</v>
      </c>
      <c r="D92" s="55" t="s">
        <v>3997</v>
      </c>
      <c r="E92" s="55" t="s">
        <v>115</v>
      </c>
      <c r="F92" s="55" t="s">
        <v>622</v>
      </c>
      <c r="G92" s="55" t="s">
        <v>623</v>
      </c>
      <c r="H92" s="55">
        <v>0.24</v>
      </c>
      <c r="I92" s="55">
        <v>1.3410971E7</v>
      </c>
      <c r="J92" s="55">
        <v>8.1726457274E8</v>
      </c>
      <c r="K92" s="55">
        <v>8.1726457274E8</v>
      </c>
      <c r="L92" s="44"/>
      <c r="M92" s="44"/>
      <c r="N92" s="44"/>
      <c r="O92" s="44"/>
      <c r="P92" s="44"/>
      <c r="Q92" s="44"/>
      <c r="R92" s="44"/>
      <c r="S92" s="44"/>
    </row>
    <row r="93">
      <c r="A93" s="55" t="s">
        <v>4124</v>
      </c>
      <c r="B93" s="44"/>
      <c r="C93" s="55" t="s">
        <v>4125</v>
      </c>
      <c r="D93" s="55" t="s">
        <v>3997</v>
      </c>
      <c r="E93" s="55" t="s">
        <v>127</v>
      </c>
      <c r="F93" s="55" t="s">
        <v>622</v>
      </c>
      <c r="G93" s="55" t="s">
        <v>623</v>
      </c>
      <c r="H93" s="55">
        <v>0.24</v>
      </c>
      <c r="I93" s="55">
        <v>3765189.0</v>
      </c>
      <c r="J93" s="55">
        <v>8.1151118517E8</v>
      </c>
      <c r="K93" s="55">
        <v>8.1151118517E8</v>
      </c>
      <c r="L93" s="44"/>
      <c r="M93" s="44"/>
      <c r="N93" s="44"/>
      <c r="O93" s="44"/>
      <c r="P93" s="44"/>
      <c r="Q93" s="44"/>
      <c r="R93" s="44"/>
      <c r="S93" s="44"/>
    </row>
    <row r="94">
      <c r="A94" s="55" t="s">
        <v>4126</v>
      </c>
      <c r="B94" s="44"/>
      <c r="C94" s="55" t="s">
        <v>4127</v>
      </c>
      <c r="D94" s="55" t="s">
        <v>3997</v>
      </c>
      <c r="E94" s="55" t="s">
        <v>4014</v>
      </c>
      <c r="F94" s="55" t="s">
        <v>622</v>
      </c>
      <c r="G94" s="55" t="s">
        <v>623</v>
      </c>
      <c r="H94" s="55">
        <v>0.24</v>
      </c>
      <c r="I94" s="55">
        <v>2792883.0</v>
      </c>
      <c r="J94" s="55">
        <v>8.1082979256E8</v>
      </c>
      <c r="K94" s="55">
        <v>8.1082979256E8</v>
      </c>
      <c r="L94" s="44"/>
      <c r="M94" s="44"/>
      <c r="N94" s="44"/>
      <c r="O94" s="44"/>
      <c r="P94" s="44"/>
      <c r="Q94" s="44"/>
      <c r="R94" s="44"/>
      <c r="S94" s="44"/>
    </row>
    <row r="95">
      <c r="A95" s="55" t="s">
        <v>4128</v>
      </c>
      <c r="B95" s="44"/>
      <c r="C95" s="55" t="s">
        <v>1121</v>
      </c>
      <c r="D95" s="55" t="s">
        <v>3997</v>
      </c>
      <c r="E95" s="55" t="s">
        <v>167</v>
      </c>
      <c r="F95" s="55" t="s">
        <v>622</v>
      </c>
      <c r="G95" s="55" t="s">
        <v>623</v>
      </c>
      <c r="H95" s="55">
        <v>0.23</v>
      </c>
      <c r="I95" s="55">
        <v>1257698.0</v>
      </c>
      <c r="J95" s="55">
        <v>7.8923064896E8</v>
      </c>
      <c r="K95" s="55">
        <v>7.8923064896E8</v>
      </c>
      <c r="L95" s="44"/>
      <c r="M95" s="44"/>
      <c r="N95" s="44"/>
      <c r="O95" s="44"/>
      <c r="P95" s="44"/>
      <c r="Q95" s="44"/>
      <c r="R95" s="44"/>
      <c r="S95" s="44"/>
    </row>
    <row r="96">
      <c r="A96" s="55" t="s">
        <v>4129</v>
      </c>
      <c r="B96" s="44"/>
      <c r="C96" s="55" t="s">
        <v>4130</v>
      </c>
      <c r="D96" s="55" t="s">
        <v>3997</v>
      </c>
      <c r="E96" s="55" t="s">
        <v>99</v>
      </c>
      <c r="F96" s="55" t="s">
        <v>622</v>
      </c>
      <c r="G96" s="55" t="s">
        <v>623</v>
      </c>
      <c r="H96" s="55">
        <v>0.23</v>
      </c>
      <c r="I96" s="55">
        <v>5523536.0</v>
      </c>
      <c r="J96" s="55">
        <v>7.7555968976E8</v>
      </c>
      <c r="K96" s="55">
        <v>7.7555968976E8</v>
      </c>
      <c r="L96" s="44"/>
      <c r="M96" s="44"/>
      <c r="N96" s="44"/>
      <c r="O96" s="44"/>
      <c r="P96" s="44"/>
      <c r="Q96" s="44"/>
      <c r="R96" s="44"/>
      <c r="S96" s="44"/>
    </row>
    <row r="97">
      <c r="A97" s="55" t="s">
        <v>4131</v>
      </c>
      <c r="B97" s="44"/>
      <c r="C97" s="55" t="s">
        <v>4132</v>
      </c>
      <c r="D97" s="55" t="s">
        <v>3997</v>
      </c>
      <c r="E97" s="55" t="s">
        <v>99</v>
      </c>
      <c r="F97" s="55" t="s">
        <v>622</v>
      </c>
      <c r="G97" s="55" t="s">
        <v>623</v>
      </c>
      <c r="H97" s="55">
        <v>0.22</v>
      </c>
      <c r="I97" s="55">
        <v>1.4031771E7</v>
      </c>
      <c r="J97" s="55">
        <v>7.6543310805E8</v>
      </c>
      <c r="K97" s="55">
        <v>7.6543310805E8</v>
      </c>
      <c r="L97" s="44"/>
      <c r="M97" s="44"/>
      <c r="N97" s="44"/>
      <c r="O97" s="44"/>
      <c r="P97" s="44"/>
      <c r="Q97" s="44"/>
      <c r="R97" s="44"/>
      <c r="S97" s="44"/>
    </row>
    <row r="98">
      <c r="A98" s="55" t="s">
        <v>4133</v>
      </c>
      <c r="B98" s="44"/>
      <c r="C98" s="55" t="s">
        <v>4134</v>
      </c>
      <c r="D98" s="55" t="s">
        <v>3997</v>
      </c>
      <c r="E98" s="55" t="s">
        <v>4014</v>
      </c>
      <c r="F98" s="55" t="s">
        <v>622</v>
      </c>
      <c r="G98" s="55" t="s">
        <v>623</v>
      </c>
      <c r="H98" s="55">
        <v>0.22</v>
      </c>
      <c r="I98" s="55">
        <v>4343680.0</v>
      </c>
      <c r="J98" s="55">
        <v>7.558437568E8</v>
      </c>
      <c r="K98" s="55">
        <v>7.558437568E8</v>
      </c>
      <c r="L98" s="44"/>
      <c r="M98" s="44"/>
      <c r="N98" s="44"/>
      <c r="O98" s="44"/>
      <c r="P98" s="44"/>
      <c r="Q98" s="44"/>
      <c r="R98" s="44"/>
      <c r="S98" s="44"/>
    </row>
    <row r="99">
      <c r="A99" s="55" t="s">
        <v>4135</v>
      </c>
      <c r="B99" s="44"/>
      <c r="C99" s="55" t="s">
        <v>1138</v>
      </c>
      <c r="D99" s="55" t="s">
        <v>3997</v>
      </c>
      <c r="E99" s="55" t="s">
        <v>99</v>
      </c>
      <c r="F99" s="55" t="s">
        <v>622</v>
      </c>
      <c r="G99" s="55" t="s">
        <v>623</v>
      </c>
      <c r="H99" s="55">
        <v>0.22</v>
      </c>
      <c r="I99" s="55">
        <v>1.8171591E7</v>
      </c>
      <c r="J99" s="55">
        <v>7.486695492E8</v>
      </c>
      <c r="K99" s="55">
        <v>7.486695492E8</v>
      </c>
      <c r="L99" s="44"/>
      <c r="M99" s="44"/>
      <c r="N99" s="44"/>
      <c r="O99" s="44"/>
      <c r="P99" s="44"/>
      <c r="Q99" s="44"/>
      <c r="R99" s="44"/>
      <c r="S99" s="44"/>
    </row>
    <row r="100">
      <c r="A100" s="55" t="s">
        <v>4136</v>
      </c>
      <c r="B100" s="44"/>
      <c r="C100" s="55" t="s">
        <v>1102</v>
      </c>
      <c r="D100" s="55" t="s">
        <v>3997</v>
      </c>
      <c r="E100" s="55" t="s">
        <v>4014</v>
      </c>
      <c r="F100" s="55" t="s">
        <v>622</v>
      </c>
      <c r="G100" s="55" t="s">
        <v>623</v>
      </c>
      <c r="H100" s="55">
        <v>0.22</v>
      </c>
      <c r="I100" s="55">
        <v>1.3816871E7</v>
      </c>
      <c r="J100" s="55">
        <v>7.3740640527E8</v>
      </c>
      <c r="K100" s="55">
        <v>7.3740640527E8</v>
      </c>
      <c r="L100" s="44"/>
      <c r="M100" s="44"/>
      <c r="N100" s="44"/>
      <c r="O100" s="44"/>
      <c r="P100" s="44"/>
      <c r="Q100" s="44"/>
      <c r="R100" s="44"/>
      <c r="S100" s="44"/>
    </row>
    <row r="101">
      <c r="A101" s="55" t="s">
        <v>4137</v>
      </c>
      <c r="B101" s="44"/>
      <c r="C101" s="55" t="s">
        <v>1132</v>
      </c>
      <c r="D101" s="55" t="s">
        <v>3997</v>
      </c>
      <c r="E101" s="55" t="s">
        <v>99</v>
      </c>
      <c r="F101" s="55" t="s">
        <v>622</v>
      </c>
      <c r="G101" s="55" t="s">
        <v>623</v>
      </c>
      <c r="H101" s="55">
        <v>0.21</v>
      </c>
      <c r="I101" s="55">
        <v>6697499.0</v>
      </c>
      <c r="J101" s="55">
        <v>7.2487031677E8</v>
      </c>
      <c r="K101" s="55">
        <v>7.2487031677E8</v>
      </c>
      <c r="L101" s="44"/>
      <c r="M101" s="44"/>
      <c r="N101" s="44"/>
      <c r="O101" s="44"/>
      <c r="P101" s="44"/>
      <c r="Q101" s="44"/>
      <c r="R101" s="44"/>
      <c r="S101" s="44"/>
    </row>
    <row r="102">
      <c r="A102" s="55" t="s">
        <v>4138</v>
      </c>
      <c r="B102" s="44"/>
      <c r="C102" s="55" t="s">
        <v>4139</v>
      </c>
      <c r="D102" s="55" t="s">
        <v>3997</v>
      </c>
      <c r="E102" s="55" t="s">
        <v>4014</v>
      </c>
      <c r="F102" s="55" t="s">
        <v>622</v>
      </c>
      <c r="G102" s="55" t="s">
        <v>623</v>
      </c>
      <c r="H102" s="55">
        <v>0.21</v>
      </c>
      <c r="I102" s="55">
        <v>2737603.0</v>
      </c>
      <c r="J102" s="55">
        <v>7.1927781222E8</v>
      </c>
      <c r="K102" s="55">
        <v>7.1927781222E8</v>
      </c>
      <c r="L102" s="44"/>
      <c r="M102" s="44"/>
      <c r="N102" s="44"/>
      <c r="O102" s="44"/>
      <c r="P102" s="44"/>
      <c r="Q102" s="44"/>
      <c r="R102" s="44"/>
      <c r="S102" s="44"/>
    </row>
    <row r="103">
      <c r="A103" s="55" t="s">
        <v>4140</v>
      </c>
      <c r="B103" s="44"/>
      <c r="C103" s="55" t="s">
        <v>4141</v>
      </c>
      <c r="D103" s="55" t="s">
        <v>3997</v>
      </c>
      <c r="E103" s="55" t="s">
        <v>133</v>
      </c>
      <c r="F103" s="55" t="s">
        <v>622</v>
      </c>
      <c r="G103" s="55" t="s">
        <v>623</v>
      </c>
      <c r="H103" s="55">
        <v>0.21</v>
      </c>
      <c r="I103" s="55">
        <v>4398907.0</v>
      </c>
      <c r="J103" s="55">
        <v>7.1403058424E8</v>
      </c>
      <c r="K103" s="55">
        <v>7.1403058424E8</v>
      </c>
      <c r="L103" s="44"/>
      <c r="M103" s="44"/>
      <c r="N103" s="44"/>
      <c r="O103" s="44"/>
      <c r="P103" s="44"/>
      <c r="Q103" s="44"/>
      <c r="R103" s="44"/>
      <c r="S103" s="44"/>
    </row>
    <row r="104">
      <c r="A104" s="55" t="s">
        <v>4142</v>
      </c>
      <c r="B104" s="44"/>
      <c r="C104" s="55" t="s">
        <v>1136</v>
      </c>
      <c r="D104" s="55" t="s">
        <v>3997</v>
      </c>
      <c r="E104" s="55" t="s">
        <v>115</v>
      </c>
      <c r="F104" s="55" t="s">
        <v>622</v>
      </c>
      <c r="G104" s="55" t="s">
        <v>623</v>
      </c>
      <c r="H104" s="55">
        <v>0.21</v>
      </c>
      <c r="I104" s="55">
        <v>5494496.0</v>
      </c>
      <c r="J104" s="55">
        <v>7.1137239712E8</v>
      </c>
      <c r="K104" s="55">
        <v>7.1137239712E8</v>
      </c>
      <c r="L104" s="44"/>
      <c r="M104" s="44"/>
      <c r="N104" s="44"/>
      <c r="O104" s="44"/>
      <c r="P104" s="44"/>
      <c r="Q104" s="44"/>
      <c r="R104" s="44"/>
      <c r="S104" s="44"/>
    </row>
    <row r="105">
      <c r="A105" s="55" t="s">
        <v>4143</v>
      </c>
      <c r="B105" s="44"/>
      <c r="C105" s="55" t="s">
        <v>1148</v>
      </c>
      <c r="D105" s="55" t="s">
        <v>3997</v>
      </c>
      <c r="E105" s="55" t="s">
        <v>124</v>
      </c>
      <c r="F105" s="55" t="s">
        <v>622</v>
      </c>
      <c r="G105" s="55" t="s">
        <v>623</v>
      </c>
      <c r="H105" s="55">
        <v>0.21</v>
      </c>
      <c r="I105" s="55">
        <v>1.6745808E7</v>
      </c>
      <c r="J105" s="55">
        <v>7.0566834912E8</v>
      </c>
      <c r="K105" s="55">
        <v>7.0566834912E8</v>
      </c>
      <c r="L105" s="44"/>
      <c r="M105" s="44"/>
      <c r="N105" s="44"/>
      <c r="O105" s="44"/>
      <c r="P105" s="44"/>
      <c r="Q105" s="44"/>
      <c r="R105" s="44"/>
      <c r="S105" s="44"/>
    </row>
    <row r="106">
      <c r="A106" s="55" t="s">
        <v>4144</v>
      </c>
      <c r="B106" s="44"/>
      <c r="C106" s="55" t="s">
        <v>4145</v>
      </c>
      <c r="D106" s="55" t="s">
        <v>3997</v>
      </c>
      <c r="E106" s="55" t="s">
        <v>99</v>
      </c>
      <c r="F106" s="55" t="s">
        <v>622</v>
      </c>
      <c r="G106" s="55" t="s">
        <v>623</v>
      </c>
      <c r="H106" s="55">
        <v>0.2</v>
      </c>
      <c r="I106" s="55">
        <v>3394617.0</v>
      </c>
      <c r="J106" s="55">
        <v>6.8455846422E8</v>
      </c>
      <c r="K106" s="55">
        <v>6.8455846422E8</v>
      </c>
      <c r="L106" s="44"/>
      <c r="M106" s="44"/>
      <c r="N106" s="44"/>
      <c r="O106" s="44"/>
      <c r="P106" s="44"/>
      <c r="Q106" s="44"/>
      <c r="R106" s="44"/>
      <c r="S106" s="44"/>
    </row>
    <row r="107">
      <c r="A107" s="55" t="s">
        <v>4146</v>
      </c>
      <c r="B107" s="44"/>
      <c r="C107" s="55" t="s">
        <v>4147</v>
      </c>
      <c r="D107" s="55" t="s">
        <v>3997</v>
      </c>
      <c r="E107" s="55" t="s">
        <v>4004</v>
      </c>
      <c r="F107" s="55" t="s">
        <v>622</v>
      </c>
      <c r="G107" s="55" t="s">
        <v>623</v>
      </c>
      <c r="H107" s="55">
        <v>0.2</v>
      </c>
      <c r="I107" s="55">
        <v>4884520.0</v>
      </c>
      <c r="J107" s="55">
        <v>6.82367444E8</v>
      </c>
      <c r="K107" s="55">
        <v>6.82367444E8</v>
      </c>
      <c r="L107" s="44"/>
      <c r="M107" s="44"/>
      <c r="N107" s="44"/>
      <c r="O107" s="44"/>
      <c r="P107" s="44"/>
      <c r="Q107" s="44"/>
      <c r="R107" s="44"/>
      <c r="S107" s="44"/>
    </row>
    <row r="108">
      <c r="A108" s="55" t="s">
        <v>4148</v>
      </c>
      <c r="B108" s="44"/>
      <c r="C108" s="55" t="s">
        <v>1183</v>
      </c>
      <c r="D108" s="55" t="s">
        <v>3997</v>
      </c>
      <c r="E108" s="55" t="s">
        <v>167</v>
      </c>
      <c r="F108" s="55" t="s">
        <v>622</v>
      </c>
      <c r="G108" s="55" t="s">
        <v>623</v>
      </c>
      <c r="H108" s="55">
        <v>0.2</v>
      </c>
      <c r="I108" s="55">
        <v>2886098.0</v>
      </c>
      <c r="J108" s="55">
        <v>6.7875252764E8</v>
      </c>
      <c r="K108" s="55">
        <v>6.7875252764E8</v>
      </c>
      <c r="L108" s="44"/>
      <c r="M108" s="44"/>
      <c r="N108" s="44"/>
      <c r="O108" s="44"/>
      <c r="P108" s="44"/>
      <c r="Q108" s="44"/>
      <c r="R108" s="44"/>
      <c r="S108" s="44"/>
    </row>
    <row r="109">
      <c r="A109" s="55" t="s">
        <v>4149</v>
      </c>
      <c r="B109" s="44"/>
      <c r="C109" s="55" t="s">
        <v>1153</v>
      </c>
      <c r="D109" s="55" t="s">
        <v>3997</v>
      </c>
      <c r="E109" s="55" t="s">
        <v>167</v>
      </c>
      <c r="F109" s="55" t="s">
        <v>622</v>
      </c>
      <c r="G109" s="55" t="s">
        <v>623</v>
      </c>
      <c r="H109" s="55">
        <v>0.2</v>
      </c>
      <c r="I109" s="55">
        <v>1.0335543E7</v>
      </c>
      <c r="J109" s="55">
        <v>6.738774036E8</v>
      </c>
      <c r="K109" s="55">
        <v>6.738774036E8</v>
      </c>
      <c r="L109" s="44"/>
      <c r="M109" s="44"/>
      <c r="N109" s="44"/>
      <c r="O109" s="44"/>
      <c r="P109" s="44"/>
      <c r="Q109" s="44"/>
      <c r="R109" s="44"/>
      <c r="S109" s="44"/>
    </row>
    <row r="110">
      <c r="A110" s="55" t="s">
        <v>4150</v>
      </c>
      <c r="B110" s="44"/>
      <c r="C110" s="55" t="s">
        <v>4151</v>
      </c>
      <c r="D110" s="55" t="s">
        <v>3997</v>
      </c>
      <c r="E110" s="55" t="s">
        <v>170</v>
      </c>
      <c r="F110" s="55" t="s">
        <v>622</v>
      </c>
      <c r="G110" s="55" t="s">
        <v>623</v>
      </c>
      <c r="H110" s="55">
        <v>0.2</v>
      </c>
      <c r="I110" s="55">
        <v>1.0290941E7</v>
      </c>
      <c r="J110" s="55">
        <v>6.6963153087E8</v>
      </c>
      <c r="K110" s="55">
        <v>6.6963153087E8</v>
      </c>
      <c r="L110" s="44"/>
      <c r="M110" s="44"/>
      <c r="N110" s="44"/>
      <c r="O110" s="44"/>
      <c r="P110" s="44"/>
      <c r="Q110" s="44"/>
      <c r="R110" s="44"/>
      <c r="S110" s="44"/>
    </row>
    <row r="111">
      <c r="A111" s="55" t="s">
        <v>4152</v>
      </c>
      <c r="B111" s="44"/>
      <c r="C111" s="55" t="s">
        <v>1178</v>
      </c>
      <c r="D111" s="55" t="s">
        <v>3997</v>
      </c>
      <c r="E111" s="55" t="s">
        <v>167</v>
      </c>
      <c r="F111" s="55" t="s">
        <v>622</v>
      </c>
      <c r="G111" s="55" t="s">
        <v>623</v>
      </c>
      <c r="H111" s="55">
        <v>0.19</v>
      </c>
      <c r="I111" s="55">
        <v>1435950.0</v>
      </c>
      <c r="J111" s="55">
        <v>6.615565245E8</v>
      </c>
      <c r="K111" s="55">
        <v>6.615565245E8</v>
      </c>
      <c r="L111" s="44"/>
      <c r="M111" s="44"/>
      <c r="N111" s="44"/>
      <c r="O111" s="44"/>
      <c r="P111" s="44"/>
      <c r="Q111" s="44"/>
      <c r="R111" s="44"/>
      <c r="S111" s="44"/>
    </row>
    <row r="112">
      <c r="A112" s="55" t="s">
        <v>4153</v>
      </c>
      <c r="B112" s="44"/>
      <c r="C112" s="55" t="s">
        <v>1134</v>
      </c>
      <c r="D112" s="55" t="s">
        <v>3997</v>
      </c>
      <c r="E112" s="55" t="s">
        <v>99</v>
      </c>
      <c r="F112" s="55" t="s">
        <v>622</v>
      </c>
      <c r="G112" s="55" t="s">
        <v>623</v>
      </c>
      <c r="H112" s="55">
        <v>0.19</v>
      </c>
      <c r="I112" s="55">
        <v>5752486.0</v>
      </c>
      <c r="J112" s="55">
        <v>6.531947853E8</v>
      </c>
      <c r="K112" s="55">
        <v>6.531947853E8</v>
      </c>
      <c r="L112" s="44"/>
      <c r="M112" s="44"/>
      <c r="N112" s="44"/>
      <c r="O112" s="44"/>
      <c r="P112" s="44"/>
      <c r="Q112" s="44"/>
      <c r="R112" s="44"/>
      <c r="S112" s="44"/>
    </row>
    <row r="113">
      <c r="A113" s="55" t="s">
        <v>4154</v>
      </c>
      <c r="B113" s="44"/>
      <c r="C113" s="55" t="s">
        <v>1165</v>
      </c>
      <c r="D113" s="55" t="s">
        <v>3997</v>
      </c>
      <c r="E113" s="55" t="s">
        <v>170</v>
      </c>
      <c r="F113" s="55" t="s">
        <v>622</v>
      </c>
      <c r="G113" s="55" t="s">
        <v>623</v>
      </c>
      <c r="H113" s="55">
        <v>0.19</v>
      </c>
      <c r="I113" s="55">
        <v>7272654.0</v>
      </c>
      <c r="J113" s="55">
        <v>6.4493895672E8</v>
      </c>
      <c r="K113" s="55">
        <v>6.4493895672E8</v>
      </c>
      <c r="L113" s="44"/>
      <c r="M113" s="44"/>
      <c r="N113" s="44"/>
      <c r="O113" s="44"/>
      <c r="P113" s="44"/>
      <c r="Q113" s="44"/>
      <c r="R113" s="44"/>
      <c r="S113" s="44"/>
    </row>
    <row r="114">
      <c r="A114" s="55" t="s">
        <v>4155</v>
      </c>
      <c r="B114" s="44"/>
      <c r="C114" s="55" t="s">
        <v>4156</v>
      </c>
      <c r="D114" s="55" t="s">
        <v>3997</v>
      </c>
      <c r="E114" s="55" t="s">
        <v>133</v>
      </c>
      <c r="F114" s="55" t="s">
        <v>622</v>
      </c>
      <c r="G114" s="55" t="s">
        <v>623</v>
      </c>
      <c r="H114" s="55">
        <v>0.19</v>
      </c>
      <c r="I114" s="55">
        <v>882993.0</v>
      </c>
      <c r="J114" s="55">
        <v>6.3661146321E8</v>
      </c>
      <c r="K114" s="55">
        <v>6.3661146321E8</v>
      </c>
      <c r="L114" s="44"/>
      <c r="M114" s="44"/>
      <c r="N114" s="44"/>
      <c r="O114" s="44"/>
      <c r="P114" s="44"/>
      <c r="Q114" s="44"/>
      <c r="R114" s="44"/>
      <c r="S114" s="44"/>
    </row>
    <row r="115">
      <c r="A115" s="55" t="s">
        <v>4157</v>
      </c>
      <c r="B115" s="44"/>
      <c r="C115" s="55" t="s">
        <v>1155</v>
      </c>
      <c r="D115" s="55" t="s">
        <v>3997</v>
      </c>
      <c r="E115" s="55" t="s">
        <v>4004</v>
      </c>
      <c r="F115" s="55" t="s">
        <v>622</v>
      </c>
      <c r="G115" s="55" t="s">
        <v>623</v>
      </c>
      <c r="H115" s="55">
        <v>0.19</v>
      </c>
      <c r="I115" s="55">
        <v>6750769.0</v>
      </c>
      <c r="J115" s="55">
        <v>6.3146693226E8</v>
      </c>
      <c r="K115" s="55">
        <v>6.3146693226E8</v>
      </c>
      <c r="L115" s="44"/>
      <c r="M115" s="44"/>
      <c r="N115" s="44"/>
      <c r="O115" s="44"/>
      <c r="P115" s="44"/>
      <c r="Q115" s="44"/>
      <c r="R115" s="44"/>
      <c r="S115" s="44"/>
    </row>
    <row r="116">
      <c r="A116" s="55" t="s">
        <v>4158</v>
      </c>
      <c r="B116" s="44"/>
      <c r="C116" s="55" t="s">
        <v>4159</v>
      </c>
      <c r="D116" s="55" t="s">
        <v>3997</v>
      </c>
      <c r="E116" s="55" t="s">
        <v>99</v>
      </c>
      <c r="F116" s="55" t="s">
        <v>622</v>
      </c>
      <c r="G116" s="55" t="s">
        <v>623</v>
      </c>
      <c r="H116" s="55">
        <v>0.19</v>
      </c>
      <c r="I116" s="55">
        <v>1914398.0</v>
      </c>
      <c r="J116" s="55">
        <v>6.3056441324E8</v>
      </c>
      <c r="K116" s="55">
        <v>6.3056441324E8</v>
      </c>
      <c r="L116" s="44"/>
      <c r="M116" s="44"/>
      <c r="N116" s="44"/>
      <c r="O116" s="44"/>
      <c r="P116" s="44"/>
      <c r="Q116" s="44"/>
      <c r="R116" s="44"/>
      <c r="S116" s="44"/>
    </row>
    <row r="117">
      <c r="A117" s="55" t="s">
        <v>4160</v>
      </c>
      <c r="B117" s="44"/>
      <c r="C117" s="55" t="s">
        <v>1207</v>
      </c>
      <c r="D117" s="55" t="s">
        <v>3997</v>
      </c>
      <c r="E117" s="55" t="s">
        <v>99</v>
      </c>
      <c r="F117" s="55" t="s">
        <v>622</v>
      </c>
      <c r="G117" s="55" t="s">
        <v>623</v>
      </c>
      <c r="H117" s="55">
        <v>0.18</v>
      </c>
      <c r="I117" s="55">
        <v>1.0361443E7</v>
      </c>
      <c r="J117" s="55">
        <v>6.0282875374E8</v>
      </c>
      <c r="K117" s="55">
        <v>6.0282875374E8</v>
      </c>
      <c r="L117" s="44"/>
      <c r="M117" s="44"/>
      <c r="N117" s="44"/>
      <c r="O117" s="44"/>
      <c r="P117" s="44"/>
      <c r="Q117" s="44"/>
      <c r="R117" s="44"/>
      <c r="S117" s="44"/>
    </row>
    <row r="118">
      <c r="A118" s="55" t="s">
        <v>4161</v>
      </c>
      <c r="B118" s="44"/>
      <c r="C118" s="55" t="s">
        <v>4162</v>
      </c>
      <c r="D118" s="55" t="s">
        <v>3997</v>
      </c>
      <c r="E118" s="55" t="s">
        <v>127</v>
      </c>
      <c r="F118" s="55" t="s">
        <v>622</v>
      </c>
      <c r="G118" s="55" t="s">
        <v>623</v>
      </c>
      <c r="H118" s="55">
        <v>0.18</v>
      </c>
      <c r="I118" s="55">
        <v>2596651.0</v>
      </c>
      <c r="J118" s="55">
        <v>6.0255286455E8</v>
      </c>
      <c r="K118" s="55">
        <v>6.0255286455E8</v>
      </c>
      <c r="L118" s="44"/>
      <c r="M118" s="44"/>
      <c r="N118" s="44"/>
      <c r="O118" s="44"/>
      <c r="P118" s="44"/>
      <c r="Q118" s="44"/>
      <c r="R118" s="44"/>
      <c r="S118" s="44"/>
    </row>
    <row r="119">
      <c r="A119" s="55" t="s">
        <v>4163</v>
      </c>
      <c r="B119" s="44"/>
      <c r="C119" s="55" t="s">
        <v>1234</v>
      </c>
      <c r="D119" s="55" t="s">
        <v>3997</v>
      </c>
      <c r="E119" s="55" t="s">
        <v>94</v>
      </c>
      <c r="F119" s="55" t="s">
        <v>622</v>
      </c>
      <c r="G119" s="55" t="s">
        <v>623</v>
      </c>
      <c r="H119" s="55">
        <v>0.18</v>
      </c>
      <c r="I119" s="55">
        <v>2096170.0</v>
      </c>
      <c r="J119" s="55">
        <v>6.013282879E8</v>
      </c>
      <c r="K119" s="55">
        <v>6.013282879E8</v>
      </c>
      <c r="L119" s="44"/>
      <c r="M119" s="44"/>
      <c r="N119" s="44"/>
      <c r="O119" s="44"/>
      <c r="P119" s="44"/>
      <c r="Q119" s="44"/>
      <c r="R119" s="44"/>
      <c r="S119" s="44"/>
    </row>
    <row r="120">
      <c r="A120" s="55" t="s">
        <v>4164</v>
      </c>
      <c r="B120" s="44"/>
      <c r="C120" s="55" t="s">
        <v>1228</v>
      </c>
      <c r="D120" s="55" t="s">
        <v>3997</v>
      </c>
      <c r="E120" s="55" t="s">
        <v>167</v>
      </c>
      <c r="F120" s="55" t="s">
        <v>622</v>
      </c>
      <c r="G120" s="55" t="s">
        <v>623</v>
      </c>
      <c r="H120" s="55">
        <v>0.18</v>
      </c>
      <c r="I120" s="55">
        <v>2564713.0</v>
      </c>
      <c r="J120" s="55">
        <v>6.0016848913E8</v>
      </c>
      <c r="K120" s="55">
        <v>6.0016848913E8</v>
      </c>
      <c r="L120" s="44"/>
      <c r="M120" s="44"/>
      <c r="N120" s="44"/>
      <c r="O120" s="44"/>
      <c r="P120" s="44"/>
      <c r="Q120" s="44"/>
      <c r="R120" s="44"/>
      <c r="S120" s="44"/>
    </row>
    <row r="121">
      <c r="A121" s="55" t="s">
        <v>4165</v>
      </c>
      <c r="B121" s="44"/>
      <c r="C121" s="55" t="s">
        <v>1174</v>
      </c>
      <c r="D121" s="55" t="s">
        <v>3997</v>
      </c>
      <c r="E121" s="55" t="s">
        <v>99</v>
      </c>
      <c r="F121" s="55" t="s">
        <v>622</v>
      </c>
      <c r="G121" s="55" t="s">
        <v>623</v>
      </c>
      <c r="H121" s="55">
        <v>0.18</v>
      </c>
      <c r="I121" s="55">
        <v>5400845.0</v>
      </c>
      <c r="J121" s="55">
        <v>5.985216429E8</v>
      </c>
      <c r="K121" s="55">
        <v>5.985216429E8</v>
      </c>
      <c r="L121" s="44"/>
      <c r="M121" s="44"/>
      <c r="N121" s="44"/>
      <c r="O121" s="44"/>
      <c r="P121" s="44"/>
      <c r="Q121" s="44"/>
      <c r="R121" s="44"/>
      <c r="S121" s="44"/>
    </row>
    <row r="122">
      <c r="A122" s="55" t="s">
        <v>4166</v>
      </c>
      <c r="B122" s="44"/>
      <c r="C122" s="55" t="s">
        <v>1245</v>
      </c>
      <c r="D122" s="55" t="s">
        <v>3997</v>
      </c>
      <c r="E122" s="55" t="s">
        <v>167</v>
      </c>
      <c r="F122" s="55" t="s">
        <v>622</v>
      </c>
      <c r="G122" s="55" t="s">
        <v>623</v>
      </c>
      <c r="H122" s="55">
        <v>0.17</v>
      </c>
      <c r="I122" s="55">
        <v>1289989.0</v>
      </c>
      <c r="J122" s="55">
        <v>5.9093106101E8</v>
      </c>
      <c r="K122" s="55">
        <v>5.9093106101E8</v>
      </c>
      <c r="L122" s="44"/>
      <c r="M122" s="44"/>
      <c r="N122" s="44"/>
      <c r="O122" s="44"/>
      <c r="P122" s="44"/>
      <c r="Q122" s="44"/>
      <c r="R122" s="44"/>
      <c r="S122" s="44"/>
    </row>
    <row r="123">
      <c r="A123" s="55" t="s">
        <v>4167</v>
      </c>
      <c r="B123" s="44"/>
      <c r="C123" s="55" t="s">
        <v>1212</v>
      </c>
      <c r="D123" s="55" t="s">
        <v>3997</v>
      </c>
      <c r="E123" s="55" t="s">
        <v>127</v>
      </c>
      <c r="F123" s="55" t="s">
        <v>622</v>
      </c>
      <c r="G123" s="55" t="s">
        <v>623</v>
      </c>
      <c r="H123" s="55">
        <v>0.17</v>
      </c>
      <c r="I123" s="55">
        <v>1342151.0</v>
      </c>
      <c r="J123" s="55">
        <v>5.898753645E8</v>
      </c>
      <c r="K123" s="55">
        <v>5.898753645E8</v>
      </c>
      <c r="L123" s="44"/>
      <c r="M123" s="44"/>
      <c r="N123" s="44"/>
      <c r="O123" s="44"/>
      <c r="P123" s="44"/>
      <c r="Q123" s="44"/>
      <c r="R123" s="44"/>
      <c r="S123" s="44"/>
    </row>
    <row r="124">
      <c r="A124" s="55" t="s">
        <v>4168</v>
      </c>
      <c r="B124" s="44"/>
      <c r="C124" s="55" t="s">
        <v>1210</v>
      </c>
      <c r="D124" s="55" t="s">
        <v>3997</v>
      </c>
      <c r="E124" s="55" t="s">
        <v>115</v>
      </c>
      <c r="F124" s="55" t="s">
        <v>622</v>
      </c>
      <c r="G124" s="55" t="s">
        <v>623</v>
      </c>
      <c r="H124" s="55">
        <v>0.17</v>
      </c>
      <c r="I124" s="55">
        <v>3773030.0</v>
      </c>
      <c r="J124" s="55">
        <v>5.826690229E8</v>
      </c>
      <c r="K124" s="55">
        <v>5.826690229E8</v>
      </c>
      <c r="L124" s="44"/>
      <c r="M124" s="44"/>
      <c r="N124" s="44"/>
      <c r="O124" s="44"/>
      <c r="P124" s="44"/>
      <c r="Q124" s="44"/>
      <c r="R124" s="44"/>
      <c r="S124" s="44"/>
    </row>
    <row r="125">
      <c r="A125" s="55" t="s">
        <v>4169</v>
      </c>
      <c r="B125" s="44"/>
      <c r="C125" s="55" t="s">
        <v>1259</v>
      </c>
      <c r="D125" s="55" t="s">
        <v>3997</v>
      </c>
      <c r="E125" s="55" t="s">
        <v>127</v>
      </c>
      <c r="F125" s="55" t="s">
        <v>622</v>
      </c>
      <c r="G125" s="55" t="s">
        <v>623</v>
      </c>
      <c r="H125" s="55">
        <v>0.17</v>
      </c>
      <c r="I125" s="55">
        <v>2183551.0</v>
      </c>
      <c r="J125" s="55">
        <v>5.8178532844E8</v>
      </c>
      <c r="K125" s="55">
        <v>5.8178532844E8</v>
      </c>
      <c r="L125" s="44"/>
      <c r="M125" s="44"/>
      <c r="N125" s="44"/>
      <c r="O125" s="44"/>
      <c r="P125" s="44"/>
      <c r="Q125" s="44"/>
      <c r="R125" s="44"/>
      <c r="S125" s="44"/>
    </row>
    <row r="126">
      <c r="A126" s="55" t="s">
        <v>4170</v>
      </c>
      <c r="B126" s="44"/>
      <c r="C126" s="55" t="s">
        <v>1247</v>
      </c>
      <c r="D126" s="55" t="s">
        <v>3997</v>
      </c>
      <c r="E126" s="55" t="s">
        <v>4014</v>
      </c>
      <c r="F126" s="55" t="s">
        <v>622</v>
      </c>
      <c r="G126" s="55" t="s">
        <v>623</v>
      </c>
      <c r="H126" s="55">
        <v>0.17</v>
      </c>
      <c r="I126" s="55">
        <v>1169299.0</v>
      </c>
      <c r="J126" s="55">
        <v>5.7904855779E8</v>
      </c>
      <c r="K126" s="55">
        <v>5.7904855779E8</v>
      </c>
      <c r="L126" s="44"/>
      <c r="M126" s="44"/>
      <c r="N126" s="44"/>
      <c r="O126" s="44"/>
      <c r="P126" s="44"/>
      <c r="Q126" s="44"/>
      <c r="R126" s="44"/>
      <c r="S126" s="44"/>
    </row>
    <row r="127">
      <c r="A127" s="55" t="s">
        <v>4171</v>
      </c>
      <c r="B127" s="44"/>
      <c r="C127" s="55" t="s">
        <v>1232</v>
      </c>
      <c r="D127" s="55" t="s">
        <v>3997</v>
      </c>
      <c r="E127" s="55" t="s">
        <v>127</v>
      </c>
      <c r="F127" s="55" t="s">
        <v>622</v>
      </c>
      <c r="G127" s="55" t="s">
        <v>623</v>
      </c>
      <c r="H127" s="55">
        <v>0.17</v>
      </c>
      <c r="I127" s="55">
        <v>1.8932432E7</v>
      </c>
      <c r="J127" s="55">
        <v>5.7876444624E8</v>
      </c>
      <c r="K127" s="55">
        <v>5.7876444624E8</v>
      </c>
      <c r="L127" s="44"/>
      <c r="M127" s="44"/>
      <c r="N127" s="44"/>
      <c r="O127" s="44"/>
      <c r="P127" s="44"/>
      <c r="Q127" s="44"/>
      <c r="R127" s="44"/>
      <c r="S127" s="44"/>
    </row>
    <row r="128">
      <c r="A128" s="55" t="s">
        <v>4172</v>
      </c>
      <c r="B128" s="44"/>
      <c r="C128" s="55" t="s">
        <v>4173</v>
      </c>
      <c r="D128" s="55" t="s">
        <v>3997</v>
      </c>
      <c r="E128" s="55" t="s">
        <v>94</v>
      </c>
      <c r="F128" s="55" t="s">
        <v>622</v>
      </c>
      <c r="G128" s="55" t="s">
        <v>623</v>
      </c>
      <c r="H128" s="55">
        <v>0.17</v>
      </c>
      <c r="I128" s="55">
        <v>2232420.0</v>
      </c>
      <c r="J128" s="55">
        <v>5.719683282E8</v>
      </c>
      <c r="K128" s="55">
        <v>5.719683282E8</v>
      </c>
      <c r="L128" s="44"/>
      <c r="M128" s="44"/>
      <c r="N128" s="44"/>
      <c r="O128" s="44"/>
      <c r="P128" s="44"/>
      <c r="Q128" s="44"/>
      <c r="R128" s="44"/>
      <c r="S128" s="44"/>
    </row>
    <row r="129">
      <c r="A129" s="55" t="s">
        <v>4174</v>
      </c>
      <c r="B129" s="44"/>
      <c r="C129" s="55" t="s">
        <v>1267</v>
      </c>
      <c r="D129" s="55" t="s">
        <v>3997</v>
      </c>
      <c r="E129" s="55" t="s">
        <v>4014</v>
      </c>
      <c r="F129" s="55" t="s">
        <v>622</v>
      </c>
      <c r="G129" s="55" t="s">
        <v>623</v>
      </c>
      <c r="H129" s="55">
        <v>0.17</v>
      </c>
      <c r="I129" s="55">
        <v>1272854.0</v>
      </c>
      <c r="J129" s="55">
        <v>5.6265238216E8</v>
      </c>
      <c r="K129" s="55">
        <v>5.6265238216E8</v>
      </c>
      <c r="L129" s="44"/>
      <c r="M129" s="44"/>
      <c r="N129" s="44"/>
      <c r="O129" s="44"/>
      <c r="P129" s="44"/>
      <c r="Q129" s="44"/>
      <c r="R129" s="44"/>
      <c r="S129" s="44"/>
    </row>
    <row r="130">
      <c r="A130" s="55" t="s">
        <v>4175</v>
      </c>
      <c r="B130" s="44"/>
      <c r="C130" s="55" t="s">
        <v>4176</v>
      </c>
      <c r="D130" s="55" t="s">
        <v>3997</v>
      </c>
      <c r="E130" s="55" t="s">
        <v>124</v>
      </c>
      <c r="F130" s="55" t="s">
        <v>622</v>
      </c>
      <c r="G130" s="55" t="s">
        <v>623</v>
      </c>
      <c r="H130" s="55">
        <v>0.16</v>
      </c>
      <c r="I130" s="55">
        <v>7800799.0</v>
      </c>
      <c r="J130" s="55">
        <v>5.5627497669E8</v>
      </c>
      <c r="K130" s="55">
        <v>5.5627497669E8</v>
      </c>
      <c r="L130" s="44"/>
      <c r="M130" s="44"/>
      <c r="N130" s="44"/>
      <c r="O130" s="44"/>
      <c r="P130" s="44"/>
      <c r="Q130" s="44"/>
      <c r="R130" s="44"/>
      <c r="S130" s="44"/>
    </row>
    <row r="131">
      <c r="A131" s="55" t="s">
        <v>4177</v>
      </c>
      <c r="B131" s="44"/>
      <c r="C131" s="55" t="s">
        <v>4178</v>
      </c>
      <c r="D131" s="55" t="s">
        <v>3997</v>
      </c>
      <c r="E131" s="55" t="s">
        <v>118</v>
      </c>
      <c r="F131" s="55" t="s">
        <v>622</v>
      </c>
      <c r="G131" s="55" t="s">
        <v>623</v>
      </c>
      <c r="H131" s="55">
        <v>0.16</v>
      </c>
      <c r="I131" s="55">
        <v>4023290.0</v>
      </c>
      <c r="J131" s="55">
        <v>5.490583863E8</v>
      </c>
      <c r="K131" s="55">
        <v>5.490583863E8</v>
      </c>
      <c r="L131" s="44"/>
      <c r="M131" s="44"/>
      <c r="N131" s="44"/>
      <c r="O131" s="44"/>
      <c r="P131" s="44"/>
      <c r="Q131" s="44"/>
      <c r="R131" s="44"/>
      <c r="S131" s="44"/>
    </row>
    <row r="132">
      <c r="A132" s="55" t="s">
        <v>4179</v>
      </c>
      <c r="B132" s="44"/>
      <c r="C132" s="55" t="s">
        <v>1226</v>
      </c>
      <c r="D132" s="55" t="s">
        <v>3997</v>
      </c>
      <c r="E132" s="55" t="s">
        <v>127</v>
      </c>
      <c r="F132" s="55" t="s">
        <v>622</v>
      </c>
      <c r="G132" s="55" t="s">
        <v>623</v>
      </c>
      <c r="H132" s="55">
        <v>0.16</v>
      </c>
      <c r="I132" s="55">
        <v>3478379.0</v>
      </c>
      <c r="J132" s="55">
        <v>5.3720085276E8</v>
      </c>
      <c r="K132" s="55">
        <v>5.3720085276E8</v>
      </c>
      <c r="L132" s="44"/>
      <c r="M132" s="44"/>
      <c r="N132" s="44"/>
      <c r="O132" s="44"/>
      <c r="P132" s="44"/>
      <c r="Q132" s="44"/>
      <c r="R132" s="44"/>
      <c r="S132" s="44"/>
    </row>
    <row r="133">
      <c r="A133" s="55" t="s">
        <v>4180</v>
      </c>
      <c r="B133" s="44"/>
      <c r="C133" s="55" t="s">
        <v>4181</v>
      </c>
      <c r="D133" s="55" t="s">
        <v>3997</v>
      </c>
      <c r="E133" s="55" t="s">
        <v>127</v>
      </c>
      <c r="F133" s="55" t="s">
        <v>622</v>
      </c>
      <c r="G133" s="55" t="s">
        <v>623</v>
      </c>
      <c r="H133" s="55">
        <v>0.15</v>
      </c>
      <c r="I133" s="55">
        <v>5392741.0</v>
      </c>
      <c r="J133" s="55">
        <v>5.2314980441E8</v>
      </c>
      <c r="K133" s="55">
        <v>5.2314980441E8</v>
      </c>
      <c r="L133" s="44"/>
      <c r="M133" s="44"/>
      <c r="N133" s="44"/>
      <c r="O133" s="44"/>
      <c r="P133" s="44"/>
      <c r="Q133" s="44"/>
      <c r="R133" s="44"/>
      <c r="S133" s="44"/>
    </row>
    <row r="134">
      <c r="A134" s="55" t="s">
        <v>4182</v>
      </c>
      <c r="B134" s="44"/>
      <c r="C134" s="55" t="s">
        <v>4183</v>
      </c>
      <c r="D134" s="55" t="s">
        <v>3997</v>
      </c>
      <c r="E134" s="55" t="s">
        <v>118</v>
      </c>
      <c r="F134" s="55" t="s">
        <v>622</v>
      </c>
      <c r="G134" s="55" t="s">
        <v>623</v>
      </c>
      <c r="H134" s="55">
        <v>0.15</v>
      </c>
      <c r="I134" s="55">
        <v>569990.0</v>
      </c>
      <c r="J134" s="55">
        <v>5.229145259E8</v>
      </c>
      <c r="K134" s="55">
        <v>5.229145259E8</v>
      </c>
      <c r="L134" s="44"/>
      <c r="M134" s="44"/>
      <c r="N134" s="44"/>
      <c r="O134" s="44"/>
      <c r="P134" s="44"/>
      <c r="Q134" s="44"/>
      <c r="R134" s="44"/>
      <c r="S134" s="44"/>
    </row>
    <row r="135">
      <c r="A135" s="55" t="s">
        <v>4184</v>
      </c>
      <c r="B135" s="44"/>
      <c r="C135" s="55" t="s">
        <v>4185</v>
      </c>
      <c r="D135" s="55" t="s">
        <v>3997</v>
      </c>
      <c r="E135" s="55" t="s">
        <v>115</v>
      </c>
      <c r="F135" s="55" t="s">
        <v>622</v>
      </c>
      <c r="G135" s="55" t="s">
        <v>623</v>
      </c>
      <c r="H135" s="55">
        <v>0.15</v>
      </c>
      <c r="I135" s="55">
        <v>4201847.0</v>
      </c>
      <c r="J135" s="55">
        <v>5.1842388286E8</v>
      </c>
      <c r="K135" s="55">
        <v>5.1842388286E8</v>
      </c>
      <c r="L135" s="44"/>
      <c r="M135" s="44"/>
      <c r="N135" s="44"/>
      <c r="O135" s="44"/>
      <c r="P135" s="44"/>
      <c r="Q135" s="44"/>
      <c r="R135" s="44"/>
      <c r="S135" s="44"/>
    </row>
    <row r="136">
      <c r="A136" s="55" t="s">
        <v>4186</v>
      </c>
      <c r="B136" s="44"/>
      <c r="C136" s="55" t="s">
        <v>4187</v>
      </c>
      <c r="D136" s="55" t="s">
        <v>3997</v>
      </c>
      <c r="E136" s="55" t="s">
        <v>115</v>
      </c>
      <c r="F136" s="55" t="s">
        <v>622</v>
      </c>
      <c r="G136" s="55" t="s">
        <v>623</v>
      </c>
      <c r="H136" s="55">
        <v>0.15</v>
      </c>
      <c r="I136" s="55">
        <v>2200071.0</v>
      </c>
      <c r="J136" s="55">
        <v>5.1523462749E8</v>
      </c>
      <c r="K136" s="55">
        <v>5.1523462749E8</v>
      </c>
      <c r="L136" s="44"/>
      <c r="M136" s="44"/>
      <c r="N136" s="44"/>
      <c r="O136" s="44"/>
      <c r="P136" s="44"/>
      <c r="Q136" s="44"/>
      <c r="R136" s="44"/>
      <c r="S136" s="44"/>
    </row>
    <row r="137">
      <c r="A137" s="55" t="s">
        <v>4188</v>
      </c>
      <c r="B137" s="44"/>
      <c r="C137" s="55" t="s">
        <v>4189</v>
      </c>
      <c r="D137" s="55" t="s">
        <v>3997</v>
      </c>
      <c r="E137" s="55" t="s">
        <v>94</v>
      </c>
      <c r="F137" s="55" t="s">
        <v>622</v>
      </c>
      <c r="G137" s="55" t="s">
        <v>623</v>
      </c>
      <c r="H137" s="55">
        <v>0.15</v>
      </c>
      <c r="I137" s="55">
        <v>1.3528289E7</v>
      </c>
      <c r="J137" s="55">
        <v>5.0501102837E8</v>
      </c>
      <c r="K137" s="55">
        <v>5.0501102837E8</v>
      </c>
      <c r="L137" s="44"/>
      <c r="M137" s="44"/>
      <c r="N137" s="44"/>
      <c r="O137" s="44"/>
      <c r="P137" s="44"/>
      <c r="Q137" s="44"/>
      <c r="R137" s="44"/>
      <c r="S137" s="44"/>
    </row>
    <row r="138">
      <c r="A138" s="55" t="s">
        <v>4190</v>
      </c>
      <c r="B138" s="44"/>
      <c r="C138" s="55" t="s">
        <v>1318</v>
      </c>
      <c r="D138" s="55" t="s">
        <v>3997</v>
      </c>
      <c r="E138" s="55" t="s">
        <v>167</v>
      </c>
      <c r="F138" s="55" t="s">
        <v>622</v>
      </c>
      <c r="G138" s="55" t="s">
        <v>623</v>
      </c>
      <c r="H138" s="55">
        <v>0.14</v>
      </c>
      <c r="I138" s="55">
        <v>1007087.0</v>
      </c>
      <c r="J138" s="55">
        <v>4.9094484163E8</v>
      </c>
      <c r="K138" s="55">
        <v>4.9094484163E8</v>
      </c>
      <c r="L138" s="44"/>
      <c r="M138" s="44"/>
      <c r="N138" s="44"/>
      <c r="O138" s="44"/>
      <c r="P138" s="44"/>
      <c r="Q138" s="44"/>
      <c r="R138" s="44"/>
      <c r="S138" s="44"/>
    </row>
    <row r="139">
      <c r="A139" s="55" t="s">
        <v>4191</v>
      </c>
      <c r="B139" s="44"/>
      <c r="C139" s="55" t="s">
        <v>1320</v>
      </c>
      <c r="D139" s="55" t="s">
        <v>3997</v>
      </c>
      <c r="E139" s="55" t="s">
        <v>115</v>
      </c>
      <c r="F139" s="55" t="s">
        <v>622</v>
      </c>
      <c r="G139" s="55" t="s">
        <v>623</v>
      </c>
      <c r="H139" s="55">
        <v>0.14</v>
      </c>
      <c r="I139" s="55">
        <v>3332199.0</v>
      </c>
      <c r="J139" s="55">
        <v>4.9043304882E8</v>
      </c>
      <c r="K139" s="55">
        <v>4.9043304882E8</v>
      </c>
      <c r="L139" s="44"/>
      <c r="M139" s="44"/>
      <c r="N139" s="44"/>
      <c r="O139" s="44"/>
      <c r="P139" s="44"/>
      <c r="Q139" s="44"/>
      <c r="R139" s="44"/>
      <c r="S139" s="44"/>
    </row>
    <row r="140">
      <c r="A140" s="55" t="s">
        <v>4192</v>
      </c>
      <c r="B140" s="44"/>
      <c r="C140" s="55" t="s">
        <v>1341</v>
      </c>
      <c r="D140" s="55" t="s">
        <v>3997</v>
      </c>
      <c r="E140" s="55" t="s">
        <v>167</v>
      </c>
      <c r="F140" s="55" t="s">
        <v>622</v>
      </c>
      <c r="G140" s="55" t="s">
        <v>623</v>
      </c>
      <c r="H140" s="55">
        <v>0.14</v>
      </c>
      <c r="I140" s="55">
        <v>2432861.0</v>
      </c>
      <c r="J140" s="55">
        <v>4.8786161633E8</v>
      </c>
      <c r="K140" s="55">
        <v>4.8786161633E8</v>
      </c>
      <c r="L140" s="44"/>
      <c r="M140" s="44"/>
      <c r="N140" s="44"/>
      <c r="O140" s="44"/>
      <c r="P140" s="44"/>
      <c r="Q140" s="44"/>
      <c r="R140" s="44"/>
      <c r="S140" s="44"/>
    </row>
    <row r="141">
      <c r="A141" s="55" t="s">
        <v>4193</v>
      </c>
      <c r="B141" s="44"/>
      <c r="C141" s="55" t="s">
        <v>4194</v>
      </c>
      <c r="D141" s="55" t="s">
        <v>3997</v>
      </c>
      <c r="E141" s="55" t="s">
        <v>127</v>
      </c>
      <c r="F141" s="55" t="s">
        <v>622</v>
      </c>
      <c r="G141" s="55" t="s">
        <v>623</v>
      </c>
      <c r="H141" s="55">
        <v>0.14</v>
      </c>
      <c r="I141" s="55">
        <v>5208869.0</v>
      </c>
      <c r="J141" s="55">
        <v>4.8577912294E8</v>
      </c>
      <c r="K141" s="55">
        <v>4.8577912294E8</v>
      </c>
      <c r="L141" s="44"/>
      <c r="M141" s="44"/>
      <c r="N141" s="44"/>
      <c r="O141" s="44"/>
      <c r="P141" s="44"/>
      <c r="Q141" s="44"/>
      <c r="R141" s="44"/>
      <c r="S141" s="44"/>
    </row>
    <row r="142">
      <c r="A142" s="55" t="s">
        <v>4195</v>
      </c>
      <c r="B142" s="44"/>
      <c r="C142" s="55" t="s">
        <v>4196</v>
      </c>
      <c r="D142" s="55" t="s">
        <v>4197</v>
      </c>
      <c r="E142" s="55" t="s">
        <v>4198</v>
      </c>
      <c r="F142" s="55" t="s">
        <v>622</v>
      </c>
      <c r="G142" s="55" t="s">
        <v>623</v>
      </c>
      <c r="H142" s="55">
        <v>0.14</v>
      </c>
      <c r="I142" s="55">
        <v>4.83687746E8</v>
      </c>
      <c r="J142" s="55">
        <v>4.8368774605E8</v>
      </c>
      <c r="K142" s="55">
        <v>4.8368774605E8</v>
      </c>
      <c r="L142" s="44"/>
      <c r="M142" s="44"/>
      <c r="N142" s="44"/>
      <c r="O142" s="44"/>
      <c r="P142" s="44"/>
      <c r="Q142" s="44"/>
      <c r="R142" s="44"/>
      <c r="S142" s="44"/>
    </row>
    <row r="143">
      <c r="A143" s="55" t="s">
        <v>4199</v>
      </c>
      <c r="B143" s="44"/>
      <c r="C143" s="55" t="s">
        <v>1328</v>
      </c>
      <c r="D143" s="55" t="s">
        <v>3997</v>
      </c>
      <c r="E143" s="55" t="s">
        <v>118</v>
      </c>
      <c r="F143" s="55" t="s">
        <v>622</v>
      </c>
      <c r="G143" s="55" t="s">
        <v>623</v>
      </c>
      <c r="H143" s="55">
        <v>0.14</v>
      </c>
      <c r="I143" s="55">
        <v>260229.0</v>
      </c>
      <c r="J143" s="55">
        <v>4.7849086917E8</v>
      </c>
      <c r="K143" s="55">
        <v>4.7849086917E8</v>
      </c>
      <c r="L143" s="44"/>
      <c r="M143" s="44"/>
      <c r="N143" s="44"/>
      <c r="O143" s="44"/>
      <c r="P143" s="44"/>
      <c r="Q143" s="44"/>
      <c r="R143" s="44"/>
      <c r="S143" s="44"/>
    </row>
    <row r="144">
      <c r="A144" s="55" t="s">
        <v>4200</v>
      </c>
      <c r="B144" s="44"/>
      <c r="C144" s="55" t="s">
        <v>1249</v>
      </c>
      <c r="D144" s="55" t="s">
        <v>3997</v>
      </c>
      <c r="E144" s="55" t="s">
        <v>124</v>
      </c>
      <c r="F144" s="55" t="s">
        <v>622</v>
      </c>
      <c r="G144" s="55" t="s">
        <v>623</v>
      </c>
      <c r="H144" s="55">
        <v>0.14</v>
      </c>
      <c r="I144" s="55">
        <v>4355473.0</v>
      </c>
      <c r="J144" s="55">
        <v>4.7718562188E8</v>
      </c>
      <c r="K144" s="55">
        <v>4.7718562188E8</v>
      </c>
      <c r="L144" s="44"/>
      <c r="M144" s="44"/>
      <c r="N144" s="44"/>
      <c r="O144" s="44"/>
      <c r="P144" s="44"/>
      <c r="Q144" s="44"/>
      <c r="R144" s="44"/>
      <c r="S144" s="44"/>
    </row>
    <row r="145">
      <c r="A145" s="55" t="s">
        <v>4201</v>
      </c>
      <c r="B145" s="44"/>
      <c r="C145" s="55" t="s">
        <v>1279</v>
      </c>
      <c r="D145" s="55" t="s">
        <v>3997</v>
      </c>
      <c r="E145" s="55" t="s">
        <v>99</v>
      </c>
      <c r="F145" s="55" t="s">
        <v>622</v>
      </c>
      <c r="G145" s="55" t="s">
        <v>623</v>
      </c>
      <c r="H145" s="55">
        <v>0.14</v>
      </c>
      <c r="I145" s="55">
        <v>1.4691973E7</v>
      </c>
      <c r="J145" s="55">
        <v>4.7704836331E8</v>
      </c>
      <c r="K145" s="55">
        <v>4.7704836331E8</v>
      </c>
      <c r="L145" s="44"/>
      <c r="M145" s="44"/>
      <c r="N145" s="44"/>
      <c r="O145" s="44"/>
      <c r="P145" s="44"/>
      <c r="Q145" s="44"/>
      <c r="R145" s="44"/>
      <c r="S145" s="44"/>
    </row>
    <row r="146">
      <c r="A146" s="55" t="s">
        <v>4202</v>
      </c>
      <c r="B146" s="44"/>
      <c r="C146" s="55" t="s">
        <v>1316</v>
      </c>
      <c r="D146" s="55" t="s">
        <v>3997</v>
      </c>
      <c r="E146" s="55" t="s">
        <v>4014</v>
      </c>
      <c r="F146" s="55" t="s">
        <v>622</v>
      </c>
      <c r="G146" s="55" t="s">
        <v>623</v>
      </c>
      <c r="H146" s="55">
        <v>0.14</v>
      </c>
      <c r="I146" s="55">
        <v>1899327.0</v>
      </c>
      <c r="J146" s="55">
        <v>4.7606631255E8</v>
      </c>
      <c r="K146" s="55">
        <v>4.7606631255E8</v>
      </c>
      <c r="L146" s="44"/>
      <c r="M146" s="44"/>
      <c r="N146" s="44"/>
      <c r="O146" s="44"/>
      <c r="P146" s="44"/>
      <c r="Q146" s="44"/>
      <c r="R146" s="44"/>
      <c r="S146" s="44"/>
    </row>
    <row r="147">
      <c r="A147" s="55" t="s">
        <v>4203</v>
      </c>
      <c r="B147" s="44"/>
      <c r="C147" s="55" t="s">
        <v>1354</v>
      </c>
      <c r="D147" s="55" t="s">
        <v>3997</v>
      </c>
      <c r="E147" s="55" t="s">
        <v>127</v>
      </c>
      <c r="F147" s="55" t="s">
        <v>622</v>
      </c>
      <c r="G147" s="55" t="s">
        <v>623</v>
      </c>
      <c r="H147" s="55">
        <v>0.14</v>
      </c>
      <c r="I147" s="55">
        <v>2138496.0</v>
      </c>
      <c r="J147" s="55">
        <v>4.7558012544E8</v>
      </c>
      <c r="K147" s="55">
        <v>4.7558012544E8</v>
      </c>
      <c r="L147" s="44"/>
      <c r="M147" s="44"/>
      <c r="N147" s="44"/>
      <c r="O147" s="44"/>
      <c r="P147" s="44"/>
      <c r="Q147" s="44"/>
      <c r="R147" s="44"/>
      <c r="S147" s="44"/>
    </row>
    <row r="148">
      <c r="A148" s="55" t="s">
        <v>4204</v>
      </c>
      <c r="B148" s="44"/>
      <c r="C148" s="55" t="s">
        <v>1356</v>
      </c>
      <c r="D148" s="55" t="s">
        <v>3997</v>
      </c>
      <c r="E148" s="55" t="s">
        <v>127</v>
      </c>
      <c r="F148" s="55" t="s">
        <v>622</v>
      </c>
      <c r="G148" s="55" t="s">
        <v>623</v>
      </c>
      <c r="H148" s="55">
        <v>0.14</v>
      </c>
      <c r="I148" s="55">
        <v>1210501.0</v>
      </c>
      <c r="J148" s="55">
        <v>4.7503690743E8</v>
      </c>
      <c r="K148" s="55">
        <v>4.7503690743E8</v>
      </c>
      <c r="L148" s="44"/>
      <c r="M148" s="44"/>
      <c r="N148" s="44"/>
      <c r="O148" s="44"/>
      <c r="P148" s="44"/>
      <c r="Q148" s="44"/>
      <c r="R148" s="44"/>
      <c r="S148" s="44"/>
    </row>
    <row r="149">
      <c r="A149" s="55" t="s">
        <v>4205</v>
      </c>
      <c r="B149" s="44"/>
      <c r="C149" s="55" t="s">
        <v>4206</v>
      </c>
      <c r="D149" s="55" t="s">
        <v>3997</v>
      </c>
      <c r="E149" s="55" t="s">
        <v>99</v>
      </c>
      <c r="F149" s="55" t="s">
        <v>622</v>
      </c>
      <c r="G149" s="55" t="s">
        <v>623</v>
      </c>
      <c r="H149" s="55">
        <v>0.14</v>
      </c>
      <c r="I149" s="55">
        <v>1489177.0</v>
      </c>
      <c r="J149" s="55">
        <v>4.7424330742E8</v>
      </c>
      <c r="K149" s="55">
        <v>4.7424330742E8</v>
      </c>
      <c r="L149" s="44"/>
      <c r="M149" s="44"/>
      <c r="N149" s="44"/>
      <c r="O149" s="44"/>
      <c r="P149" s="44"/>
      <c r="Q149" s="44"/>
      <c r="R149" s="44"/>
      <c r="S149" s="44"/>
    </row>
    <row r="150">
      <c r="A150" s="55" t="s">
        <v>4207</v>
      </c>
      <c r="B150" s="44"/>
      <c r="C150" s="55" t="s">
        <v>4208</v>
      </c>
      <c r="D150" s="55" t="s">
        <v>3997</v>
      </c>
      <c r="E150" s="55" t="s">
        <v>167</v>
      </c>
      <c r="F150" s="55" t="s">
        <v>622</v>
      </c>
      <c r="G150" s="55" t="s">
        <v>623</v>
      </c>
      <c r="H150" s="55">
        <v>0.14</v>
      </c>
      <c r="I150" s="55">
        <v>5628253.0</v>
      </c>
      <c r="J150" s="55">
        <v>4.7322351224E8</v>
      </c>
      <c r="K150" s="55">
        <v>4.7322351224E8</v>
      </c>
      <c r="L150" s="44"/>
      <c r="M150" s="44"/>
      <c r="N150" s="44"/>
      <c r="O150" s="44"/>
      <c r="P150" s="44"/>
      <c r="Q150" s="44"/>
      <c r="R150" s="44"/>
      <c r="S150" s="44"/>
    </row>
    <row r="151">
      <c r="A151" s="55" t="s">
        <v>4209</v>
      </c>
      <c r="B151" s="44"/>
      <c r="C151" s="55" t="s">
        <v>4210</v>
      </c>
      <c r="D151" s="55" t="s">
        <v>3997</v>
      </c>
      <c r="E151" s="55" t="s">
        <v>118</v>
      </c>
      <c r="F151" s="55" t="s">
        <v>622</v>
      </c>
      <c r="G151" s="55" t="s">
        <v>623</v>
      </c>
      <c r="H151" s="55">
        <v>0.14</v>
      </c>
      <c r="I151" s="55">
        <v>2363933.0</v>
      </c>
      <c r="J151" s="55">
        <v>4.7172283015E8</v>
      </c>
      <c r="K151" s="55">
        <v>4.7172283015E8</v>
      </c>
      <c r="L151" s="44"/>
      <c r="M151" s="44"/>
      <c r="N151" s="44"/>
      <c r="O151" s="44"/>
      <c r="P151" s="44"/>
      <c r="Q151" s="44"/>
      <c r="R151" s="44"/>
      <c r="S151" s="44"/>
    </row>
    <row r="152">
      <c r="A152" s="55" t="s">
        <v>4211</v>
      </c>
      <c r="B152" s="44"/>
      <c r="C152" s="55" t="s">
        <v>4212</v>
      </c>
      <c r="D152" s="55" t="s">
        <v>3997</v>
      </c>
      <c r="E152" s="55" t="s">
        <v>99</v>
      </c>
      <c r="F152" s="55" t="s">
        <v>622</v>
      </c>
      <c r="G152" s="55" t="s">
        <v>623</v>
      </c>
      <c r="H152" s="55">
        <v>0.14</v>
      </c>
      <c r="I152" s="55">
        <v>2033472.0</v>
      </c>
      <c r="J152" s="55">
        <v>4.6926433344E8</v>
      </c>
      <c r="K152" s="55">
        <v>4.6926433344E8</v>
      </c>
      <c r="L152" s="44"/>
      <c r="M152" s="44"/>
      <c r="N152" s="44"/>
      <c r="O152" s="44"/>
      <c r="P152" s="44"/>
      <c r="Q152" s="44"/>
      <c r="R152" s="44"/>
      <c r="S152" s="44"/>
    </row>
    <row r="153">
      <c r="A153" s="55" t="s">
        <v>4213</v>
      </c>
      <c r="B153" s="44"/>
      <c r="C153" s="55" t="s">
        <v>1363</v>
      </c>
      <c r="D153" s="55" t="s">
        <v>3997</v>
      </c>
      <c r="E153" s="55" t="s">
        <v>118</v>
      </c>
      <c r="F153" s="55" t="s">
        <v>622</v>
      </c>
      <c r="G153" s="55" t="s">
        <v>623</v>
      </c>
      <c r="H153" s="55">
        <v>0.14</v>
      </c>
      <c r="I153" s="55">
        <v>3.709791E7</v>
      </c>
      <c r="J153" s="55">
        <v>4.659497496E8</v>
      </c>
      <c r="K153" s="55">
        <v>4.659497496E8</v>
      </c>
      <c r="L153" s="44"/>
      <c r="M153" s="44"/>
      <c r="N153" s="44"/>
      <c r="O153" s="44"/>
      <c r="P153" s="44"/>
      <c r="Q153" s="44"/>
      <c r="R153" s="44"/>
      <c r="S153" s="44"/>
    </row>
    <row r="154">
      <c r="A154" s="55" t="s">
        <v>4214</v>
      </c>
      <c r="B154" s="44"/>
      <c r="C154" s="55" t="s">
        <v>4215</v>
      </c>
      <c r="D154" s="55" t="s">
        <v>3997</v>
      </c>
      <c r="E154" s="55" t="s">
        <v>99</v>
      </c>
      <c r="F154" s="55" t="s">
        <v>622</v>
      </c>
      <c r="G154" s="55" t="s">
        <v>623</v>
      </c>
      <c r="H154" s="55">
        <v>0.14</v>
      </c>
      <c r="I154" s="55">
        <v>3758023.0</v>
      </c>
      <c r="J154" s="55">
        <v>4.6159796509E8</v>
      </c>
      <c r="K154" s="55">
        <v>4.6159796509E8</v>
      </c>
      <c r="L154" s="44"/>
      <c r="M154" s="44"/>
      <c r="N154" s="44"/>
      <c r="O154" s="44"/>
      <c r="P154" s="44"/>
      <c r="Q154" s="44"/>
      <c r="R154" s="44"/>
      <c r="S154" s="44"/>
    </row>
    <row r="155">
      <c r="A155" s="55" t="s">
        <v>4216</v>
      </c>
      <c r="B155" s="44"/>
      <c r="C155" s="55" t="s">
        <v>1430</v>
      </c>
      <c r="D155" s="55" t="s">
        <v>3997</v>
      </c>
      <c r="E155" s="55" t="s">
        <v>127</v>
      </c>
      <c r="F155" s="55" t="s">
        <v>622</v>
      </c>
      <c r="G155" s="55" t="s">
        <v>623</v>
      </c>
      <c r="H155" s="55">
        <v>0.13</v>
      </c>
      <c r="I155" s="55">
        <v>7904180.0</v>
      </c>
      <c r="J155" s="55">
        <v>4.421598292E8</v>
      </c>
      <c r="K155" s="55">
        <v>4.421598292E8</v>
      </c>
      <c r="L155" s="44"/>
      <c r="M155" s="44"/>
      <c r="N155" s="44"/>
      <c r="O155" s="44"/>
      <c r="P155" s="44"/>
      <c r="Q155" s="44"/>
      <c r="R155" s="44"/>
      <c r="S155" s="44"/>
    </row>
    <row r="156">
      <c r="A156" s="55" t="s">
        <v>4217</v>
      </c>
      <c r="B156" s="44"/>
      <c r="C156" s="55" t="s">
        <v>1455</v>
      </c>
      <c r="D156" s="55" t="s">
        <v>3997</v>
      </c>
      <c r="E156" s="55" t="s">
        <v>127</v>
      </c>
      <c r="F156" s="55" t="s">
        <v>622</v>
      </c>
      <c r="G156" s="55" t="s">
        <v>623</v>
      </c>
      <c r="H156" s="55">
        <v>0.13</v>
      </c>
      <c r="I156" s="55">
        <v>520767.0</v>
      </c>
      <c r="J156" s="55">
        <v>4.4180309979E8</v>
      </c>
      <c r="K156" s="55">
        <v>4.4180309979E8</v>
      </c>
      <c r="L156" s="44"/>
      <c r="M156" s="44"/>
      <c r="N156" s="44"/>
      <c r="O156" s="44"/>
      <c r="P156" s="44"/>
      <c r="Q156" s="44"/>
      <c r="R156" s="44"/>
      <c r="S156" s="44"/>
    </row>
    <row r="157">
      <c r="A157" s="55" t="s">
        <v>4218</v>
      </c>
      <c r="B157" s="44"/>
      <c r="C157" s="55" t="s">
        <v>1406</v>
      </c>
      <c r="D157" s="55" t="s">
        <v>3997</v>
      </c>
      <c r="E157" s="55" t="s">
        <v>127</v>
      </c>
      <c r="F157" s="55" t="s">
        <v>622</v>
      </c>
      <c r="G157" s="55" t="s">
        <v>623</v>
      </c>
      <c r="H157" s="55">
        <v>0.13</v>
      </c>
      <c r="I157" s="55">
        <v>2155206.0</v>
      </c>
      <c r="J157" s="55">
        <v>4.4007151314E8</v>
      </c>
      <c r="K157" s="55">
        <v>4.4007151314E8</v>
      </c>
      <c r="L157" s="44"/>
      <c r="M157" s="44"/>
      <c r="N157" s="44"/>
      <c r="O157" s="44"/>
      <c r="P157" s="44"/>
      <c r="Q157" s="44"/>
      <c r="R157" s="44"/>
      <c r="S157" s="44"/>
    </row>
    <row r="158">
      <c r="A158" s="55" t="s">
        <v>4219</v>
      </c>
      <c r="B158" s="44"/>
      <c r="C158" s="55" t="s">
        <v>1403</v>
      </c>
      <c r="D158" s="55" t="s">
        <v>3997</v>
      </c>
      <c r="E158" s="55" t="s">
        <v>118</v>
      </c>
      <c r="F158" s="55" t="s">
        <v>622</v>
      </c>
      <c r="G158" s="55" t="s">
        <v>623</v>
      </c>
      <c r="H158" s="55">
        <v>0.13</v>
      </c>
      <c r="I158" s="55">
        <v>171375.0</v>
      </c>
      <c r="J158" s="55">
        <v>4.38630885E8</v>
      </c>
      <c r="K158" s="55">
        <v>4.38630885E8</v>
      </c>
      <c r="L158" s="44"/>
      <c r="M158" s="44"/>
      <c r="N158" s="44"/>
      <c r="O158" s="44"/>
      <c r="P158" s="44"/>
      <c r="Q158" s="44"/>
      <c r="R158" s="44"/>
      <c r="S158" s="44"/>
    </row>
    <row r="159">
      <c r="A159" s="55" t="s">
        <v>4220</v>
      </c>
      <c r="B159" s="44"/>
      <c r="C159" s="55" t="s">
        <v>1460</v>
      </c>
      <c r="D159" s="55" t="s">
        <v>3997</v>
      </c>
      <c r="E159" s="55" t="s">
        <v>167</v>
      </c>
      <c r="F159" s="55" t="s">
        <v>622</v>
      </c>
      <c r="G159" s="55" t="s">
        <v>623</v>
      </c>
      <c r="H159" s="55">
        <v>0.13</v>
      </c>
      <c r="I159" s="55">
        <v>2366154.0</v>
      </c>
      <c r="J159" s="55">
        <v>4.3638978222E8</v>
      </c>
      <c r="K159" s="55">
        <v>4.3638978222E8</v>
      </c>
      <c r="L159" s="44"/>
      <c r="M159" s="44"/>
      <c r="N159" s="44"/>
      <c r="O159" s="44"/>
      <c r="P159" s="44"/>
      <c r="Q159" s="44"/>
      <c r="R159" s="44"/>
      <c r="S159" s="44"/>
    </row>
    <row r="160">
      <c r="A160" s="55" t="s">
        <v>4221</v>
      </c>
      <c r="B160" s="44"/>
      <c r="C160" s="55" t="s">
        <v>1395</v>
      </c>
      <c r="D160" s="55" t="s">
        <v>3997</v>
      </c>
      <c r="E160" s="55" t="s">
        <v>167</v>
      </c>
      <c r="F160" s="55" t="s">
        <v>622</v>
      </c>
      <c r="G160" s="55" t="s">
        <v>623</v>
      </c>
      <c r="H160" s="55">
        <v>0.13</v>
      </c>
      <c r="I160" s="55">
        <v>1575904.0</v>
      </c>
      <c r="J160" s="55">
        <v>4.3209711776E8</v>
      </c>
      <c r="K160" s="55">
        <v>4.3209711776E8</v>
      </c>
      <c r="L160" s="44"/>
      <c r="M160" s="44"/>
      <c r="N160" s="44"/>
      <c r="O160" s="44"/>
      <c r="P160" s="44"/>
      <c r="Q160" s="44"/>
      <c r="R160" s="44"/>
      <c r="S160" s="44"/>
    </row>
    <row r="161">
      <c r="A161" s="55" t="s">
        <v>4222</v>
      </c>
      <c r="B161" s="44"/>
      <c r="C161" s="55" t="s">
        <v>4223</v>
      </c>
      <c r="D161" s="55" t="s">
        <v>3997</v>
      </c>
      <c r="E161" s="55" t="s">
        <v>118</v>
      </c>
      <c r="F161" s="55" t="s">
        <v>622</v>
      </c>
      <c r="G161" s="55" t="s">
        <v>623</v>
      </c>
      <c r="H161" s="55">
        <v>0.13</v>
      </c>
      <c r="I161" s="55">
        <v>1.2983669E7</v>
      </c>
      <c r="J161" s="55">
        <v>4.3053846404E8</v>
      </c>
      <c r="K161" s="55">
        <v>4.3053846404E8</v>
      </c>
      <c r="L161" s="44"/>
      <c r="M161" s="44"/>
      <c r="N161" s="44"/>
      <c r="O161" s="44"/>
      <c r="P161" s="44"/>
      <c r="Q161" s="44"/>
      <c r="R161" s="44"/>
      <c r="S161" s="44"/>
    </row>
    <row r="162">
      <c r="A162" s="55" t="s">
        <v>4224</v>
      </c>
      <c r="B162" s="44"/>
      <c r="C162" s="55" t="s">
        <v>4225</v>
      </c>
      <c r="D162" s="55" t="s">
        <v>3997</v>
      </c>
      <c r="E162" s="55" t="s">
        <v>4004</v>
      </c>
      <c r="F162" s="55" t="s">
        <v>622</v>
      </c>
      <c r="G162" s="55" t="s">
        <v>623</v>
      </c>
      <c r="H162" s="55">
        <v>0.13</v>
      </c>
      <c r="I162" s="55">
        <v>960506.0</v>
      </c>
      <c r="J162" s="55">
        <v>4.2692570688E8</v>
      </c>
      <c r="K162" s="55">
        <v>4.2692570688E8</v>
      </c>
      <c r="L162" s="44"/>
      <c r="M162" s="44"/>
      <c r="N162" s="44"/>
      <c r="O162" s="44"/>
      <c r="P162" s="44"/>
      <c r="Q162" s="44"/>
      <c r="R162" s="44"/>
      <c r="S162" s="44"/>
    </row>
    <row r="163">
      <c r="A163" s="55" t="s">
        <v>4226</v>
      </c>
      <c r="B163" s="44"/>
      <c r="C163" s="55" t="s">
        <v>1411</v>
      </c>
      <c r="D163" s="55" t="s">
        <v>3997</v>
      </c>
      <c r="E163" s="55" t="s">
        <v>127</v>
      </c>
      <c r="F163" s="55" t="s">
        <v>622</v>
      </c>
      <c r="G163" s="55" t="s">
        <v>623</v>
      </c>
      <c r="H163" s="55">
        <v>0.12</v>
      </c>
      <c r="I163" s="55">
        <v>2142113.0</v>
      </c>
      <c r="J163" s="55">
        <v>4.2281026394E8</v>
      </c>
      <c r="K163" s="55">
        <v>4.2281026394E8</v>
      </c>
      <c r="L163" s="44"/>
      <c r="M163" s="44"/>
      <c r="N163" s="44"/>
      <c r="O163" s="44"/>
      <c r="P163" s="44"/>
      <c r="Q163" s="44"/>
      <c r="R163" s="44"/>
      <c r="S163" s="44"/>
    </row>
    <row r="164">
      <c r="A164" s="55" t="s">
        <v>4227</v>
      </c>
      <c r="B164" s="44"/>
      <c r="C164" s="55" t="s">
        <v>1457</v>
      </c>
      <c r="D164" s="55" t="s">
        <v>3997</v>
      </c>
      <c r="E164" s="55" t="s">
        <v>127</v>
      </c>
      <c r="F164" s="55" t="s">
        <v>622</v>
      </c>
      <c r="G164" s="55" t="s">
        <v>623</v>
      </c>
      <c r="H164" s="55">
        <v>0.12</v>
      </c>
      <c r="I164" s="55">
        <v>4933230.0</v>
      </c>
      <c r="J164" s="55">
        <v>4.228271433E8</v>
      </c>
      <c r="K164" s="55">
        <v>4.228271433E8</v>
      </c>
      <c r="L164" s="44"/>
      <c r="M164" s="44"/>
      <c r="N164" s="44"/>
      <c r="O164" s="44"/>
      <c r="P164" s="44"/>
      <c r="Q164" s="44"/>
      <c r="R164" s="44"/>
      <c r="S164" s="44"/>
    </row>
    <row r="165">
      <c r="A165" s="55" t="s">
        <v>4228</v>
      </c>
      <c r="B165" s="44"/>
      <c r="C165" s="55" t="s">
        <v>1443</v>
      </c>
      <c r="D165" s="55" t="s">
        <v>3997</v>
      </c>
      <c r="E165" s="55" t="s">
        <v>167</v>
      </c>
      <c r="F165" s="55" t="s">
        <v>622</v>
      </c>
      <c r="G165" s="55" t="s">
        <v>623</v>
      </c>
      <c r="H165" s="55">
        <v>0.12</v>
      </c>
      <c r="I165" s="55">
        <v>2016690.0</v>
      </c>
      <c r="J165" s="55">
        <v>4.192496841E8</v>
      </c>
      <c r="K165" s="55">
        <v>4.192496841E8</v>
      </c>
      <c r="L165" s="44"/>
      <c r="M165" s="44"/>
      <c r="N165" s="44"/>
      <c r="O165" s="44"/>
      <c r="P165" s="44"/>
      <c r="Q165" s="44"/>
      <c r="R165" s="44"/>
      <c r="S165" s="44"/>
    </row>
    <row r="166">
      <c r="A166" s="55" t="s">
        <v>4229</v>
      </c>
      <c r="B166" s="44"/>
      <c r="C166" s="55" t="s">
        <v>1469</v>
      </c>
      <c r="D166" s="55" t="s">
        <v>3997</v>
      </c>
      <c r="E166" s="55" t="s">
        <v>115</v>
      </c>
      <c r="F166" s="55" t="s">
        <v>622</v>
      </c>
      <c r="G166" s="55" t="s">
        <v>623</v>
      </c>
      <c r="H166" s="55">
        <v>0.12</v>
      </c>
      <c r="I166" s="55">
        <v>6261056.0</v>
      </c>
      <c r="J166" s="55">
        <v>4.1247836928E8</v>
      </c>
      <c r="K166" s="55">
        <v>4.1247836928E8</v>
      </c>
      <c r="L166" s="44"/>
      <c r="M166" s="44"/>
      <c r="N166" s="44"/>
      <c r="O166" s="44"/>
      <c r="P166" s="44"/>
      <c r="Q166" s="44"/>
      <c r="R166" s="44"/>
      <c r="S166" s="44"/>
    </row>
    <row r="167">
      <c r="A167" s="55" t="s">
        <v>4230</v>
      </c>
      <c r="B167" s="44"/>
      <c r="C167" s="55" t="s">
        <v>4231</v>
      </c>
      <c r="D167" s="55" t="s">
        <v>3997</v>
      </c>
      <c r="E167" s="55" t="s">
        <v>99</v>
      </c>
      <c r="F167" s="55" t="s">
        <v>622</v>
      </c>
      <c r="G167" s="55" t="s">
        <v>623</v>
      </c>
      <c r="H167" s="55">
        <v>0.12</v>
      </c>
      <c r="I167" s="55">
        <v>6717719.0</v>
      </c>
      <c r="J167" s="55">
        <v>4.1166182032E8</v>
      </c>
      <c r="K167" s="55">
        <v>4.1166182032E8</v>
      </c>
      <c r="L167" s="44"/>
      <c r="M167" s="44"/>
      <c r="N167" s="44"/>
      <c r="O167" s="44"/>
      <c r="P167" s="44"/>
      <c r="Q167" s="44"/>
      <c r="R167" s="44"/>
      <c r="S167" s="44"/>
    </row>
    <row r="168">
      <c r="A168" s="55" t="s">
        <v>4232</v>
      </c>
      <c r="B168" s="44"/>
      <c r="C168" s="55" t="s">
        <v>1495</v>
      </c>
      <c r="D168" s="55" t="s">
        <v>3997</v>
      </c>
      <c r="E168" s="55" t="s">
        <v>115</v>
      </c>
      <c r="F168" s="55" t="s">
        <v>622</v>
      </c>
      <c r="G168" s="55" t="s">
        <v>623</v>
      </c>
      <c r="H168" s="55">
        <v>0.12</v>
      </c>
      <c r="I168" s="55">
        <v>2607848.0</v>
      </c>
      <c r="J168" s="55">
        <v>4.0849331072E8</v>
      </c>
      <c r="K168" s="55">
        <v>4.0849331072E8</v>
      </c>
      <c r="L168" s="44"/>
      <c r="M168" s="44"/>
      <c r="N168" s="44"/>
      <c r="O168" s="44"/>
      <c r="P168" s="44"/>
      <c r="Q168" s="44"/>
      <c r="R168" s="44"/>
      <c r="S168" s="44"/>
    </row>
    <row r="169">
      <c r="A169" s="55" t="s">
        <v>4233</v>
      </c>
      <c r="B169" s="44"/>
      <c r="C169" s="55" t="s">
        <v>1465</v>
      </c>
      <c r="D169" s="55" t="s">
        <v>3997</v>
      </c>
      <c r="E169" s="55" t="s">
        <v>94</v>
      </c>
      <c r="F169" s="55" t="s">
        <v>622</v>
      </c>
      <c r="G169" s="55" t="s">
        <v>623</v>
      </c>
      <c r="H169" s="55">
        <v>0.12</v>
      </c>
      <c r="I169" s="55">
        <v>2393769.0</v>
      </c>
      <c r="J169" s="55">
        <v>4.0519327863E8</v>
      </c>
      <c r="K169" s="55">
        <v>4.0519327863E8</v>
      </c>
      <c r="L169" s="44"/>
      <c r="M169" s="44"/>
      <c r="N169" s="44"/>
      <c r="O169" s="44"/>
      <c r="P169" s="44"/>
      <c r="Q169" s="44"/>
      <c r="R169" s="44"/>
      <c r="S169" s="44"/>
    </row>
    <row r="170">
      <c r="A170" s="55" t="s">
        <v>4234</v>
      </c>
      <c r="B170" s="44"/>
      <c r="C170" s="55" t="s">
        <v>1499</v>
      </c>
      <c r="D170" s="55" t="s">
        <v>3997</v>
      </c>
      <c r="E170" s="55" t="s">
        <v>167</v>
      </c>
      <c r="F170" s="55" t="s">
        <v>622</v>
      </c>
      <c r="G170" s="55" t="s">
        <v>623</v>
      </c>
      <c r="H170" s="55">
        <v>0.12</v>
      </c>
      <c r="I170" s="55">
        <v>5136432.0</v>
      </c>
      <c r="J170" s="55">
        <v>4.0377491952E8</v>
      </c>
      <c r="K170" s="55">
        <v>4.0377491952E8</v>
      </c>
      <c r="L170" s="44"/>
      <c r="M170" s="44"/>
      <c r="N170" s="44"/>
      <c r="O170" s="44"/>
      <c r="P170" s="44"/>
      <c r="Q170" s="44"/>
      <c r="R170" s="44"/>
      <c r="S170" s="44"/>
    </row>
    <row r="171">
      <c r="A171" s="55" t="s">
        <v>4235</v>
      </c>
      <c r="B171" s="44"/>
      <c r="C171" s="55" t="s">
        <v>4236</v>
      </c>
      <c r="D171" s="55" t="s">
        <v>3997</v>
      </c>
      <c r="E171" s="55" t="s">
        <v>170</v>
      </c>
      <c r="F171" s="55" t="s">
        <v>622</v>
      </c>
      <c r="G171" s="55" t="s">
        <v>623</v>
      </c>
      <c r="H171" s="55">
        <v>0.12</v>
      </c>
      <c r="I171" s="55">
        <v>5938441.0</v>
      </c>
      <c r="J171" s="55">
        <v>4.0244814657E8</v>
      </c>
      <c r="K171" s="55">
        <v>4.0244814657E8</v>
      </c>
      <c r="L171" s="44"/>
      <c r="M171" s="44"/>
      <c r="N171" s="44"/>
      <c r="O171" s="44"/>
      <c r="P171" s="44"/>
      <c r="Q171" s="44"/>
      <c r="R171" s="44"/>
      <c r="S171" s="44"/>
    </row>
    <row r="172">
      <c r="A172" s="55" t="s">
        <v>4237</v>
      </c>
      <c r="B172" s="44"/>
      <c r="C172" s="55" t="s">
        <v>1471</v>
      </c>
      <c r="D172" s="55" t="s">
        <v>3997</v>
      </c>
      <c r="E172" s="55" t="s">
        <v>4014</v>
      </c>
      <c r="F172" s="55" t="s">
        <v>622</v>
      </c>
      <c r="G172" s="55" t="s">
        <v>623</v>
      </c>
      <c r="H172" s="55">
        <v>0.12</v>
      </c>
      <c r="I172" s="55">
        <v>5736521.0</v>
      </c>
      <c r="J172" s="55">
        <v>4.0132700916E8</v>
      </c>
      <c r="K172" s="55">
        <v>4.0132700916E8</v>
      </c>
      <c r="L172" s="44"/>
      <c r="M172" s="44"/>
      <c r="N172" s="44"/>
      <c r="O172" s="44"/>
      <c r="P172" s="44"/>
      <c r="Q172" s="44"/>
      <c r="R172" s="44"/>
      <c r="S172" s="44"/>
    </row>
    <row r="173">
      <c r="A173" s="55" t="s">
        <v>4238</v>
      </c>
      <c r="B173" s="44"/>
      <c r="C173" s="55" t="s">
        <v>1434</v>
      </c>
      <c r="D173" s="55" t="s">
        <v>3997</v>
      </c>
      <c r="E173" s="55" t="s">
        <v>99</v>
      </c>
      <c r="F173" s="55" t="s">
        <v>622</v>
      </c>
      <c r="G173" s="55" t="s">
        <v>623</v>
      </c>
      <c r="H173" s="55">
        <v>0.12</v>
      </c>
      <c r="I173" s="55">
        <v>5101283.0</v>
      </c>
      <c r="J173" s="55">
        <v>3.9621665061E8</v>
      </c>
      <c r="K173" s="55">
        <v>3.9621665061E8</v>
      </c>
      <c r="L173" s="44"/>
      <c r="M173" s="44"/>
      <c r="N173" s="44"/>
      <c r="O173" s="44"/>
      <c r="P173" s="44"/>
      <c r="Q173" s="44"/>
      <c r="R173" s="44"/>
      <c r="S173" s="44"/>
    </row>
    <row r="174">
      <c r="A174" s="55" t="s">
        <v>4239</v>
      </c>
      <c r="B174" s="44"/>
      <c r="C174" s="55" t="s">
        <v>4240</v>
      </c>
      <c r="D174" s="55" t="s">
        <v>3997</v>
      </c>
      <c r="E174" s="55" t="s">
        <v>115</v>
      </c>
      <c r="F174" s="55" t="s">
        <v>622</v>
      </c>
      <c r="G174" s="55" t="s">
        <v>623</v>
      </c>
      <c r="H174" s="55">
        <v>0.12</v>
      </c>
      <c r="I174" s="55">
        <v>1.1478694E7</v>
      </c>
      <c r="J174" s="55">
        <v>3.9498186054E8</v>
      </c>
      <c r="K174" s="55">
        <v>3.9498186054E8</v>
      </c>
      <c r="L174" s="44"/>
      <c r="M174" s="44"/>
      <c r="N174" s="44"/>
      <c r="O174" s="44"/>
      <c r="P174" s="44"/>
      <c r="Q174" s="44"/>
      <c r="R174" s="44"/>
      <c r="S174" s="44"/>
    </row>
    <row r="175">
      <c r="A175" s="55" t="s">
        <v>4241</v>
      </c>
      <c r="B175" s="44"/>
      <c r="C175" s="55" t="s">
        <v>1449</v>
      </c>
      <c r="D175" s="55" t="s">
        <v>3997</v>
      </c>
      <c r="E175" s="55" t="s">
        <v>127</v>
      </c>
      <c r="F175" s="55" t="s">
        <v>622</v>
      </c>
      <c r="G175" s="55" t="s">
        <v>623</v>
      </c>
      <c r="H175" s="55">
        <v>0.12</v>
      </c>
      <c r="I175" s="55">
        <v>816196.0</v>
      </c>
      <c r="J175" s="55">
        <v>3.9494908244E8</v>
      </c>
      <c r="K175" s="55">
        <v>3.9494908244E8</v>
      </c>
      <c r="L175" s="44"/>
      <c r="M175" s="44"/>
      <c r="N175" s="44"/>
      <c r="O175" s="44"/>
      <c r="P175" s="44"/>
      <c r="Q175" s="44"/>
      <c r="R175" s="44"/>
      <c r="S175" s="44"/>
    </row>
    <row r="176">
      <c r="A176" s="55" t="s">
        <v>4242</v>
      </c>
      <c r="B176" s="44"/>
      <c r="C176" s="55" t="s">
        <v>4243</v>
      </c>
      <c r="D176" s="55" t="s">
        <v>3997</v>
      </c>
      <c r="E176" s="55" t="s">
        <v>133</v>
      </c>
      <c r="F176" s="55" t="s">
        <v>622</v>
      </c>
      <c r="G176" s="55" t="s">
        <v>623</v>
      </c>
      <c r="H176" s="55">
        <v>0.12</v>
      </c>
      <c r="I176" s="55">
        <v>1493164.0</v>
      </c>
      <c r="J176" s="55">
        <v>3.9461338192E8</v>
      </c>
      <c r="K176" s="55">
        <v>3.9461338192E8</v>
      </c>
      <c r="L176" s="44"/>
      <c r="M176" s="44"/>
      <c r="N176" s="44"/>
      <c r="O176" s="44"/>
      <c r="P176" s="44"/>
      <c r="Q176" s="44"/>
      <c r="R176" s="44"/>
      <c r="S176" s="44"/>
    </row>
    <row r="177">
      <c r="A177" s="55" t="s">
        <v>4244</v>
      </c>
      <c r="B177" s="44"/>
      <c r="C177" s="55" t="s">
        <v>1477</v>
      </c>
      <c r="D177" s="55" t="s">
        <v>3997</v>
      </c>
      <c r="E177" s="55" t="s">
        <v>133</v>
      </c>
      <c r="F177" s="55" t="s">
        <v>622</v>
      </c>
      <c r="G177" s="55" t="s">
        <v>623</v>
      </c>
      <c r="H177" s="55">
        <v>0.12</v>
      </c>
      <c r="I177" s="55">
        <v>4894937.0</v>
      </c>
      <c r="J177" s="55">
        <v>3.9384663102E8</v>
      </c>
      <c r="K177" s="55">
        <v>3.9384663102E8</v>
      </c>
      <c r="L177" s="44"/>
      <c r="M177" s="44"/>
      <c r="N177" s="44"/>
      <c r="O177" s="44"/>
      <c r="P177" s="44"/>
      <c r="Q177" s="44"/>
      <c r="R177" s="44"/>
      <c r="S177" s="44"/>
    </row>
    <row r="178">
      <c r="A178" s="55" t="s">
        <v>4245</v>
      </c>
      <c r="B178" s="44"/>
      <c r="C178" s="55" t="s">
        <v>1521</v>
      </c>
      <c r="D178" s="55" t="s">
        <v>3997</v>
      </c>
      <c r="E178" s="55" t="s">
        <v>99</v>
      </c>
      <c r="F178" s="55" t="s">
        <v>622</v>
      </c>
      <c r="G178" s="55" t="s">
        <v>623</v>
      </c>
      <c r="H178" s="55">
        <v>0.11</v>
      </c>
      <c r="I178" s="55">
        <v>746298.0</v>
      </c>
      <c r="J178" s="55">
        <v>3.89194407E8</v>
      </c>
      <c r="K178" s="55">
        <v>3.89194407E8</v>
      </c>
      <c r="L178" s="44"/>
      <c r="M178" s="44"/>
      <c r="N178" s="44"/>
      <c r="O178" s="44"/>
      <c r="P178" s="44"/>
      <c r="Q178" s="44"/>
      <c r="R178" s="44"/>
      <c r="S178" s="44"/>
    </row>
    <row r="179">
      <c r="A179" s="55" t="s">
        <v>4246</v>
      </c>
      <c r="B179" s="44"/>
      <c r="C179" s="55" t="s">
        <v>4247</v>
      </c>
      <c r="D179" s="55" t="s">
        <v>3997</v>
      </c>
      <c r="E179" s="55" t="s">
        <v>124</v>
      </c>
      <c r="F179" s="55" t="s">
        <v>622</v>
      </c>
      <c r="G179" s="55" t="s">
        <v>623</v>
      </c>
      <c r="H179" s="55">
        <v>0.11</v>
      </c>
      <c r="I179" s="55">
        <v>3191117.0</v>
      </c>
      <c r="J179" s="55">
        <v>3.880398272E8</v>
      </c>
      <c r="K179" s="55">
        <v>3.880398272E8</v>
      </c>
      <c r="L179" s="44"/>
      <c r="M179" s="44"/>
      <c r="N179" s="44"/>
      <c r="O179" s="44"/>
      <c r="P179" s="44"/>
      <c r="Q179" s="44"/>
      <c r="R179" s="44"/>
      <c r="S179" s="44"/>
    </row>
    <row r="180">
      <c r="A180" s="55" t="s">
        <v>4248</v>
      </c>
      <c r="B180" s="44"/>
      <c r="C180" s="55" t="s">
        <v>4249</v>
      </c>
      <c r="D180" s="55" t="s">
        <v>3997</v>
      </c>
      <c r="E180" s="55" t="s">
        <v>124</v>
      </c>
      <c r="F180" s="55" t="s">
        <v>622</v>
      </c>
      <c r="G180" s="55" t="s">
        <v>623</v>
      </c>
      <c r="H180" s="55">
        <v>0.11</v>
      </c>
      <c r="I180" s="55">
        <v>5058727.0</v>
      </c>
      <c r="J180" s="55">
        <v>3.8466560108E8</v>
      </c>
      <c r="K180" s="55">
        <v>3.8466560108E8</v>
      </c>
      <c r="L180" s="44"/>
      <c r="M180" s="44"/>
      <c r="N180" s="44"/>
      <c r="O180" s="44"/>
      <c r="P180" s="44"/>
      <c r="Q180" s="44"/>
      <c r="R180" s="44"/>
      <c r="S180" s="44"/>
    </row>
    <row r="181">
      <c r="A181" s="55" t="s">
        <v>4250</v>
      </c>
      <c r="B181" s="44"/>
      <c r="C181" s="55" t="s">
        <v>1536</v>
      </c>
      <c r="D181" s="55" t="s">
        <v>3997</v>
      </c>
      <c r="E181" s="55" t="s">
        <v>167</v>
      </c>
      <c r="F181" s="55" t="s">
        <v>622</v>
      </c>
      <c r="G181" s="55" t="s">
        <v>623</v>
      </c>
      <c r="H181" s="55">
        <v>0.11</v>
      </c>
      <c r="I181" s="55">
        <v>4072058.0</v>
      </c>
      <c r="J181" s="55">
        <v>3.829770549E8</v>
      </c>
      <c r="K181" s="55">
        <v>3.829770549E8</v>
      </c>
      <c r="L181" s="44"/>
      <c r="M181" s="44"/>
      <c r="N181" s="44"/>
      <c r="O181" s="44"/>
      <c r="P181" s="44"/>
      <c r="Q181" s="44"/>
      <c r="R181" s="44"/>
      <c r="S181" s="44"/>
    </row>
    <row r="182">
      <c r="A182" s="55" t="s">
        <v>4251</v>
      </c>
      <c r="B182" s="44"/>
      <c r="C182" s="55" t="s">
        <v>4252</v>
      </c>
      <c r="D182" s="55" t="s">
        <v>3997</v>
      </c>
      <c r="E182" s="55" t="s">
        <v>124</v>
      </c>
      <c r="F182" s="55" t="s">
        <v>622</v>
      </c>
      <c r="G182" s="55" t="s">
        <v>623</v>
      </c>
      <c r="H182" s="55">
        <v>0.11</v>
      </c>
      <c r="I182" s="55">
        <v>1522137.0</v>
      </c>
      <c r="J182" s="55">
        <v>3.8298489057E8</v>
      </c>
      <c r="K182" s="55">
        <v>3.8298489057E8</v>
      </c>
      <c r="L182" s="44"/>
      <c r="M182" s="44"/>
      <c r="N182" s="44"/>
      <c r="O182" s="44"/>
      <c r="P182" s="44"/>
      <c r="Q182" s="44"/>
      <c r="R182" s="44"/>
      <c r="S182" s="44"/>
    </row>
    <row r="183">
      <c r="A183" s="55" t="s">
        <v>4253</v>
      </c>
      <c r="B183" s="44"/>
      <c r="C183" s="55" t="s">
        <v>1333</v>
      </c>
      <c r="D183" s="55" t="s">
        <v>3997</v>
      </c>
      <c r="E183" s="55" t="s">
        <v>118</v>
      </c>
      <c r="F183" s="55" t="s">
        <v>622</v>
      </c>
      <c r="G183" s="55" t="s">
        <v>623</v>
      </c>
      <c r="H183" s="55">
        <v>0.11</v>
      </c>
      <c r="I183" s="55">
        <v>2467838.0</v>
      </c>
      <c r="J183" s="55">
        <v>3.7923266546E8</v>
      </c>
      <c r="K183" s="55">
        <v>3.7923266546E8</v>
      </c>
      <c r="L183" s="44"/>
      <c r="M183" s="44"/>
      <c r="N183" s="44"/>
      <c r="O183" s="44"/>
      <c r="P183" s="44"/>
      <c r="Q183" s="44"/>
      <c r="R183" s="44"/>
      <c r="S183" s="44"/>
    </row>
    <row r="184">
      <c r="A184" s="55" t="s">
        <v>4254</v>
      </c>
      <c r="B184" s="44"/>
      <c r="C184" s="55" t="s">
        <v>1510</v>
      </c>
      <c r="D184" s="55" t="s">
        <v>3997</v>
      </c>
      <c r="E184" s="55" t="s">
        <v>133</v>
      </c>
      <c r="F184" s="55" t="s">
        <v>622</v>
      </c>
      <c r="G184" s="55" t="s">
        <v>623</v>
      </c>
      <c r="H184" s="55">
        <v>0.11</v>
      </c>
      <c r="I184" s="55">
        <v>4092278.0</v>
      </c>
      <c r="J184" s="55">
        <v>3.7681695824E8</v>
      </c>
      <c r="K184" s="55">
        <v>3.7681695824E8</v>
      </c>
      <c r="L184" s="44"/>
      <c r="M184" s="44"/>
      <c r="N184" s="44"/>
      <c r="O184" s="44"/>
      <c r="P184" s="44"/>
      <c r="Q184" s="44"/>
      <c r="R184" s="44"/>
      <c r="S184" s="44"/>
    </row>
    <row r="185">
      <c r="A185" s="55" t="s">
        <v>4255</v>
      </c>
      <c r="B185" s="44"/>
      <c r="C185" s="55" t="s">
        <v>1490</v>
      </c>
      <c r="D185" s="55" t="s">
        <v>3997</v>
      </c>
      <c r="E185" s="55" t="s">
        <v>99</v>
      </c>
      <c r="F185" s="55" t="s">
        <v>622</v>
      </c>
      <c r="G185" s="55" t="s">
        <v>623</v>
      </c>
      <c r="H185" s="55">
        <v>0.11</v>
      </c>
      <c r="I185" s="55">
        <v>5960840.0</v>
      </c>
      <c r="J185" s="55">
        <v>3.74936836E8</v>
      </c>
      <c r="K185" s="55">
        <v>3.74936836E8</v>
      </c>
      <c r="L185" s="44"/>
      <c r="M185" s="44"/>
      <c r="N185" s="44"/>
      <c r="O185" s="44"/>
      <c r="P185" s="44"/>
      <c r="Q185" s="44"/>
      <c r="R185" s="44"/>
      <c r="S185" s="44"/>
    </row>
    <row r="186">
      <c r="A186" s="55" t="s">
        <v>4256</v>
      </c>
      <c r="B186" s="44"/>
      <c r="C186" s="55" t="s">
        <v>1874</v>
      </c>
      <c r="D186" s="55" t="s">
        <v>3997</v>
      </c>
      <c r="E186" s="55" t="s">
        <v>124</v>
      </c>
      <c r="F186" s="55" t="s">
        <v>622</v>
      </c>
      <c r="G186" s="55" t="s">
        <v>623</v>
      </c>
      <c r="H186" s="55">
        <v>0.11</v>
      </c>
      <c r="I186" s="55">
        <v>7018165.0</v>
      </c>
      <c r="J186" s="55">
        <v>3.730856514E8</v>
      </c>
      <c r="K186" s="55">
        <v>3.730856514E8</v>
      </c>
      <c r="L186" s="44"/>
      <c r="M186" s="44"/>
      <c r="N186" s="44"/>
      <c r="O186" s="44"/>
      <c r="P186" s="44"/>
      <c r="Q186" s="44"/>
      <c r="R186" s="44"/>
      <c r="S186" s="44"/>
    </row>
    <row r="187">
      <c r="A187" s="55" t="s">
        <v>4257</v>
      </c>
      <c r="B187" s="44"/>
      <c r="C187" s="55" t="s">
        <v>1445</v>
      </c>
      <c r="D187" s="55" t="s">
        <v>3997</v>
      </c>
      <c r="E187" s="55" t="s">
        <v>94</v>
      </c>
      <c r="F187" s="55" t="s">
        <v>622</v>
      </c>
      <c r="G187" s="55" t="s">
        <v>623</v>
      </c>
      <c r="H187" s="55">
        <v>0.11</v>
      </c>
      <c r="I187" s="55">
        <v>2346968.0</v>
      </c>
      <c r="J187" s="55">
        <v>3.7025767168E8</v>
      </c>
      <c r="K187" s="55">
        <v>3.7025767168E8</v>
      </c>
      <c r="L187" s="44"/>
      <c r="M187" s="44"/>
      <c r="N187" s="44"/>
      <c r="O187" s="44"/>
      <c r="P187" s="44"/>
      <c r="Q187" s="44"/>
      <c r="R187" s="44"/>
      <c r="S187" s="44"/>
    </row>
    <row r="188">
      <c r="A188" s="55" t="s">
        <v>4258</v>
      </c>
      <c r="B188" s="44"/>
      <c r="C188" s="55" t="s">
        <v>1567</v>
      </c>
      <c r="D188" s="55" t="s">
        <v>3997</v>
      </c>
      <c r="E188" s="55" t="s">
        <v>167</v>
      </c>
      <c r="F188" s="55" t="s">
        <v>622</v>
      </c>
      <c r="G188" s="55" t="s">
        <v>623</v>
      </c>
      <c r="H188" s="55">
        <v>0.11</v>
      </c>
      <c r="I188" s="55">
        <v>2962427.0</v>
      </c>
      <c r="J188" s="55">
        <v>3.6677808687E8</v>
      </c>
      <c r="K188" s="55">
        <v>3.6677808687E8</v>
      </c>
      <c r="L188" s="44"/>
      <c r="M188" s="44"/>
      <c r="N188" s="44"/>
      <c r="O188" s="44"/>
      <c r="P188" s="44"/>
      <c r="Q188" s="44"/>
      <c r="R188" s="44"/>
      <c r="S188" s="44"/>
    </row>
    <row r="189">
      <c r="A189" s="55" t="s">
        <v>4259</v>
      </c>
      <c r="B189" s="44"/>
      <c r="C189" s="55" t="s">
        <v>4260</v>
      </c>
      <c r="D189" s="55" t="s">
        <v>3997</v>
      </c>
      <c r="E189" s="55" t="s">
        <v>170</v>
      </c>
      <c r="F189" s="55" t="s">
        <v>622</v>
      </c>
      <c r="G189" s="55" t="s">
        <v>623</v>
      </c>
      <c r="H189" s="55">
        <v>0.11</v>
      </c>
      <c r="I189" s="55">
        <v>4861437.0</v>
      </c>
      <c r="J189" s="55">
        <v>3.6300350079E8</v>
      </c>
      <c r="K189" s="55">
        <v>3.6300350079E8</v>
      </c>
      <c r="L189" s="44"/>
      <c r="M189" s="44"/>
      <c r="N189" s="44"/>
      <c r="O189" s="44"/>
      <c r="P189" s="44"/>
      <c r="Q189" s="44"/>
      <c r="R189" s="44"/>
      <c r="S189" s="44"/>
    </row>
    <row r="190">
      <c r="A190" s="55" t="s">
        <v>4261</v>
      </c>
      <c r="B190" s="44"/>
      <c r="C190" s="55" t="s">
        <v>4262</v>
      </c>
      <c r="D190" s="55" t="s">
        <v>3997</v>
      </c>
      <c r="E190" s="55" t="s">
        <v>99</v>
      </c>
      <c r="F190" s="55" t="s">
        <v>622</v>
      </c>
      <c r="G190" s="55" t="s">
        <v>623</v>
      </c>
      <c r="H190" s="55">
        <v>0.11</v>
      </c>
      <c r="I190" s="55">
        <v>2160261.0</v>
      </c>
      <c r="J190" s="55">
        <v>3.6210294882E8</v>
      </c>
      <c r="K190" s="55">
        <v>3.6210294882E8</v>
      </c>
      <c r="L190" s="44"/>
      <c r="M190" s="44"/>
      <c r="N190" s="44"/>
      <c r="O190" s="44"/>
      <c r="P190" s="44"/>
      <c r="Q190" s="44"/>
      <c r="R190" s="44"/>
      <c r="S190" s="44"/>
    </row>
    <row r="191">
      <c r="A191" s="55" t="s">
        <v>4263</v>
      </c>
      <c r="B191" s="44"/>
      <c r="C191" s="55" t="s">
        <v>1513</v>
      </c>
      <c r="D191" s="55" t="s">
        <v>3997</v>
      </c>
      <c r="E191" s="55" t="s">
        <v>167</v>
      </c>
      <c r="F191" s="55" t="s">
        <v>622</v>
      </c>
      <c r="G191" s="55" t="s">
        <v>623</v>
      </c>
      <c r="H191" s="55">
        <v>0.11</v>
      </c>
      <c r="I191" s="55">
        <v>6150811.0</v>
      </c>
      <c r="J191" s="55">
        <v>3.604375246E8</v>
      </c>
      <c r="K191" s="55">
        <v>3.604375246E8</v>
      </c>
      <c r="L191" s="44"/>
      <c r="M191" s="44"/>
      <c r="N191" s="44"/>
      <c r="O191" s="44"/>
      <c r="P191" s="44"/>
      <c r="Q191" s="44"/>
      <c r="R191" s="44"/>
      <c r="S191" s="44"/>
    </row>
    <row r="192">
      <c r="A192" s="55" t="s">
        <v>4264</v>
      </c>
      <c r="B192" s="44"/>
      <c r="C192" s="55" t="s">
        <v>1538</v>
      </c>
      <c r="D192" s="55" t="s">
        <v>3997</v>
      </c>
      <c r="E192" s="55" t="s">
        <v>118</v>
      </c>
      <c r="F192" s="55" t="s">
        <v>622</v>
      </c>
      <c r="G192" s="55" t="s">
        <v>623</v>
      </c>
      <c r="H192" s="55">
        <v>0.11</v>
      </c>
      <c r="I192" s="55">
        <v>3214564.0</v>
      </c>
      <c r="J192" s="55">
        <v>3.5942040084E8</v>
      </c>
      <c r="K192" s="55">
        <v>3.5942040084E8</v>
      </c>
      <c r="L192" s="44"/>
      <c r="M192" s="44"/>
      <c r="N192" s="44"/>
      <c r="O192" s="44"/>
      <c r="P192" s="44"/>
      <c r="Q192" s="44"/>
      <c r="R192" s="44"/>
      <c r="S192" s="44"/>
    </row>
    <row r="193">
      <c r="A193" s="55" t="s">
        <v>4265</v>
      </c>
      <c r="B193" s="44"/>
      <c r="C193" s="55" t="s">
        <v>1841</v>
      </c>
      <c r="D193" s="55" t="s">
        <v>3997</v>
      </c>
      <c r="E193" s="55" t="s">
        <v>115</v>
      </c>
      <c r="F193" s="55" t="s">
        <v>622</v>
      </c>
      <c r="G193" s="55" t="s">
        <v>623</v>
      </c>
      <c r="H193" s="55">
        <v>0.1</v>
      </c>
      <c r="I193" s="55">
        <v>5501657.0</v>
      </c>
      <c r="J193" s="55">
        <v>3.5700252273E8</v>
      </c>
      <c r="K193" s="55">
        <v>3.5700252273E8</v>
      </c>
      <c r="L193" s="44"/>
      <c r="M193" s="44"/>
      <c r="N193" s="44"/>
      <c r="O193" s="44"/>
      <c r="P193" s="44"/>
      <c r="Q193" s="44"/>
      <c r="R193" s="44"/>
      <c r="S193" s="44"/>
    </row>
    <row r="194">
      <c r="A194" s="55" t="s">
        <v>4266</v>
      </c>
      <c r="B194" s="44"/>
      <c r="C194" s="55" t="s">
        <v>1571</v>
      </c>
      <c r="D194" s="55" t="s">
        <v>3997</v>
      </c>
      <c r="E194" s="55" t="s">
        <v>127</v>
      </c>
      <c r="F194" s="55" t="s">
        <v>622</v>
      </c>
      <c r="G194" s="55" t="s">
        <v>623</v>
      </c>
      <c r="H194" s="55">
        <v>0.1</v>
      </c>
      <c r="I194" s="55">
        <v>8199749.0</v>
      </c>
      <c r="J194" s="55">
        <v>3.5611509907E8</v>
      </c>
      <c r="K194" s="55">
        <v>3.5611509907E8</v>
      </c>
      <c r="L194" s="44"/>
      <c r="M194" s="44"/>
      <c r="N194" s="44"/>
      <c r="O194" s="44"/>
      <c r="P194" s="44"/>
      <c r="Q194" s="44"/>
      <c r="R194" s="44"/>
      <c r="S194" s="44"/>
    </row>
    <row r="195">
      <c r="A195" s="55" t="s">
        <v>4267</v>
      </c>
      <c r="B195" s="44"/>
      <c r="C195" s="55" t="s">
        <v>1534</v>
      </c>
      <c r="D195" s="55" t="s">
        <v>3997</v>
      </c>
      <c r="E195" s="55" t="s">
        <v>170</v>
      </c>
      <c r="F195" s="55" t="s">
        <v>622</v>
      </c>
      <c r="G195" s="55" t="s">
        <v>623</v>
      </c>
      <c r="H195" s="55">
        <v>0.1</v>
      </c>
      <c r="I195" s="55">
        <v>9391323.0</v>
      </c>
      <c r="J195" s="55">
        <v>3.5574331524E8</v>
      </c>
      <c r="K195" s="55">
        <v>3.5574331524E8</v>
      </c>
      <c r="L195" s="44"/>
      <c r="M195" s="44"/>
      <c r="N195" s="44"/>
      <c r="O195" s="44"/>
      <c r="P195" s="44"/>
      <c r="Q195" s="44"/>
      <c r="R195" s="44"/>
      <c r="S195" s="44"/>
    </row>
    <row r="196">
      <c r="A196" s="55" t="s">
        <v>4268</v>
      </c>
      <c r="B196" s="44"/>
      <c r="C196" s="55" t="s">
        <v>1552</v>
      </c>
      <c r="D196" s="55" t="s">
        <v>3997</v>
      </c>
      <c r="E196" s="55" t="s">
        <v>99</v>
      </c>
      <c r="F196" s="55" t="s">
        <v>622</v>
      </c>
      <c r="G196" s="55" t="s">
        <v>623</v>
      </c>
      <c r="H196" s="55">
        <v>0.1</v>
      </c>
      <c r="I196" s="55">
        <v>1.2568864E7</v>
      </c>
      <c r="J196" s="55">
        <v>3.5481903072E8</v>
      </c>
      <c r="K196" s="55">
        <v>3.5481903072E8</v>
      </c>
      <c r="L196" s="44"/>
      <c r="M196" s="44"/>
      <c r="N196" s="44"/>
      <c r="O196" s="44"/>
      <c r="P196" s="44"/>
      <c r="Q196" s="44"/>
      <c r="R196" s="44"/>
      <c r="S196" s="44"/>
    </row>
    <row r="197">
      <c r="A197" s="55" t="s">
        <v>4269</v>
      </c>
      <c r="B197" s="44"/>
      <c r="C197" s="55" t="s">
        <v>1586</v>
      </c>
      <c r="D197" s="55" t="s">
        <v>3997</v>
      </c>
      <c r="E197" s="55" t="s">
        <v>127</v>
      </c>
      <c r="F197" s="55" t="s">
        <v>622</v>
      </c>
      <c r="G197" s="55" t="s">
        <v>623</v>
      </c>
      <c r="H197" s="55">
        <v>0.1</v>
      </c>
      <c r="I197" s="55">
        <v>3027949.0</v>
      </c>
      <c r="J197" s="55">
        <v>3.5463338688E8</v>
      </c>
      <c r="K197" s="55">
        <v>3.5463338688E8</v>
      </c>
      <c r="L197" s="44"/>
      <c r="M197" s="44"/>
      <c r="N197" s="44"/>
      <c r="O197" s="44"/>
      <c r="P197" s="44"/>
      <c r="Q197" s="44"/>
      <c r="R197" s="44"/>
      <c r="S197" s="44"/>
    </row>
    <row r="198">
      <c r="A198" s="55" t="s">
        <v>4270</v>
      </c>
      <c r="B198" s="44"/>
      <c r="C198" s="55" t="s">
        <v>4271</v>
      </c>
      <c r="D198" s="55" t="s">
        <v>3997</v>
      </c>
      <c r="E198" s="55" t="s">
        <v>115</v>
      </c>
      <c r="F198" s="55" t="s">
        <v>622</v>
      </c>
      <c r="G198" s="55" t="s">
        <v>623</v>
      </c>
      <c r="H198" s="55">
        <v>0.1</v>
      </c>
      <c r="I198" s="55">
        <v>8478900.0</v>
      </c>
      <c r="J198" s="55">
        <v>3.54333231E8</v>
      </c>
      <c r="K198" s="55">
        <v>3.54333231E8</v>
      </c>
      <c r="L198" s="44"/>
      <c r="M198" s="44"/>
      <c r="N198" s="44"/>
      <c r="O198" s="44"/>
      <c r="P198" s="44"/>
      <c r="Q198" s="44"/>
      <c r="R198" s="44"/>
      <c r="S198" s="44"/>
    </row>
    <row r="199">
      <c r="A199" s="55" t="s">
        <v>4272</v>
      </c>
      <c r="B199" s="44"/>
      <c r="C199" s="55" t="s">
        <v>1569</v>
      </c>
      <c r="D199" s="55" t="s">
        <v>3997</v>
      </c>
      <c r="E199" s="55" t="s">
        <v>124</v>
      </c>
      <c r="F199" s="55" t="s">
        <v>622</v>
      </c>
      <c r="G199" s="55" t="s">
        <v>623</v>
      </c>
      <c r="H199" s="55">
        <v>0.1</v>
      </c>
      <c r="I199" s="55">
        <v>5522133.0</v>
      </c>
      <c r="J199" s="55">
        <v>3.5402394663E8</v>
      </c>
      <c r="K199" s="55">
        <v>3.5402394663E8</v>
      </c>
      <c r="L199" s="44"/>
      <c r="M199" s="44"/>
      <c r="N199" s="44"/>
      <c r="O199" s="44"/>
      <c r="P199" s="44"/>
      <c r="Q199" s="44"/>
      <c r="R199" s="44"/>
      <c r="S199" s="44"/>
    </row>
    <row r="200">
      <c r="A200" s="55" t="s">
        <v>4273</v>
      </c>
      <c r="B200" s="44"/>
      <c r="C200" s="55" t="s">
        <v>1558</v>
      </c>
      <c r="D200" s="55" t="s">
        <v>3997</v>
      </c>
      <c r="E200" s="55" t="s">
        <v>4014</v>
      </c>
      <c r="F200" s="55" t="s">
        <v>622</v>
      </c>
      <c r="G200" s="55" t="s">
        <v>623</v>
      </c>
      <c r="H200" s="55">
        <v>0.1</v>
      </c>
      <c r="I200" s="55">
        <v>5109727.0</v>
      </c>
      <c r="J200" s="55">
        <v>3.5389969202E8</v>
      </c>
      <c r="K200" s="55">
        <v>3.5389969202E8</v>
      </c>
      <c r="L200" s="44"/>
      <c r="M200" s="44"/>
      <c r="N200" s="44"/>
      <c r="O200" s="44"/>
      <c r="P200" s="44"/>
      <c r="Q200" s="44"/>
      <c r="R200" s="44"/>
      <c r="S200" s="44"/>
    </row>
    <row r="201">
      <c r="A201" s="55" t="s">
        <v>4274</v>
      </c>
      <c r="B201" s="44"/>
      <c r="C201" s="55" t="s">
        <v>1584</v>
      </c>
      <c r="D201" s="55" t="s">
        <v>3997</v>
      </c>
      <c r="E201" s="55" t="s">
        <v>4014</v>
      </c>
      <c r="F201" s="55" t="s">
        <v>622</v>
      </c>
      <c r="G201" s="55" t="s">
        <v>623</v>
      </c>
      <c r="H201" s="55">
        <v>0.1</v>
      </c>
      <c r="I201" s="55">
        <v>1366496.0</v>
      </c>
      <c r="J201" s="55">
        <v>3.5232366368E8</v>
      </c>
      <c r="K201" s="55">
        <v>3.5232366368E8</v>
      </c>
      <c r="L201" s="44"/>
      <c r="M201" s="44"/>
      <c r="N201" s="44"/>
      <c r="O201" s="44"/>
      <c r="P201" s="44"/>
      <c r="Q201" s="44"/>
      <c r="R201" s="44"/>
      <c r="S201" s="44"/>
    </row>
    <row r="202">
      <c r="A202" s="55" t="s">
        <v>4275</v>
      </c>
      <c r="B202" s="44"/>
      <c r="C202" s="55" t="s">
        <v>1684</v>
      </c>
      <c r="D202" s="55" t="s">
        <v>3997</v>
      </c>
      <c r="E202" s="55" t="s">
        <v>4014</v>
      </c>
      <c r="F202" s="55" t="s">
        <v>622</v>
      </c>
      <c r="G202" s="55" t="s">
        <v>623</v>
      </c>
      <c r="H202" s="55">
        <v>0.1</v>
      </c>
      <c r="I202" s="55">
        <v>3660088.0</v>
      </c>
      <c r="J202" s="55">
        <v>3.4939200048E8</v>
      </c>
      <c r="K202" s="55">
        <v>3.4939200048E8</v>
      </c>
      <c r="L202" s="44"/>
      <c r="M202" s="44"/>
      <c r="N202" s="44"/>
      <c r="O202" s="44"/>
      <c r="P202" s="44"/>
      <c r="Q202" s="44"/>
      <c r="R202" s="44"/>
      <c r="S202" s="44"/>
    </row>
    <row r="203">
      <c r="A203" s="55" t="s">
        <v>4276</v>
      </c>
      <c r="B203" s="44"/>
      <c r="C203" s="55" t="s">
        <v>1575</v>
      </c>
      <c r="D203" s="55" t="s">
        <v>3997</v>
      </c>
      <c r="E203" s="55" t="s">
        <v>99</v>
      </c>
      <c r="F203" s="55" t="s">
        <v>622</v>
      </c>
      <c r="G203" s="55" t="s">
        <v>623</v>
      </c>
      <c r="H203" s="55">
        <v>0.1</v>
      </c>
      <c r="I203" s="55">
        <v>3599361.0</v>
      </c>
      <c r="J203" s="55">
        <v>3.4917401061E8</v>
      </c>
      <c r="K203" s="55">
        <v>3.4917401061E8</v>
      </c>
      <c r="L203" s="44"/>
      <c r="M203" s="44"/>
      <c r="N203" s="44"/>
      <c r="O203" s="44"/>
      <c r="P203" s="44"/>
      <c r="Q203" s="44"/>
      <c r="R203" s="44"/>
      <c r="S203" s="44"/>
    </row>
    <row r="204">
      <c r="A204" s="55" t="s">
        <v>4277</v>
      </c>
      <c r="B204" s="44"/>
      <c r="C204" s="55" t="s">
        <v>4278</v>
      </c>
      <c r="D204" s="55" t="s">
        <v>3997</v>
      </c>
      <c r="E204" s="55" t="s">
        <v>115</v>
      </c>
      <c r="F204" s="55" t="s">
        <v>622</v>
      </c>
      <c r="G204" s="55" t="s">
        <v>623</v>
      </c>
      <c r="H204" s="55">
        <v>0.1</v>
      </c>
      <c r="I204" s="55">
        <v>9527328.0</v>
      </c>
      <c r="J204" s="55">
        <v>3.4860493152E8</v>
      </c>
      <c r="K204" s="55">
        <v>3.4860493152E8</v>
      </c>
      <c r="L204" s="44"/>
      <c r="M204" s="44"/>
      <c r="N204" s="44"/>
      <c r="O204" s="44"/>
      <c r="P204" s="44"/>
      <c r="Q204" s="44"/>
      <c r="R204" s="44"/>
      <c r="S204" s="44"/>
    </row>
    <row r="205">
      <c r="A205" s="55" t="s">
        <v>4279</v>
      </c>
      <c r="B205" s="44"/>
      <c r="C205" s="55" t="s">
        <v>1525</v>
      </c>
      <c r="D205" s="55" t="s">
        <v>3997</v>
      </c>
      <c r="E205" s="55" t="s">
        <v>170</v>
      </c>
      <c r="F205" s="55" t="s">
        <v>622</v>
      </c>
      <c r="G205" s="55" t="s">
        <v>623</v>
      </c>
      <c r="H205" s="55">
        <v>0.1</v>
      </c>
      <c r="I205" s="55">
        <v>7895927.0</v>
      </c>
      <c r="J205" s="55">
        <v>3.4852621778E8</v>
      </c>
      <c r="K205" s="55">
        <v>3.4852621778E8</v>
      </c>
      <c r="L205" s="44"/>
      <c r="M205" s="44"/>
      <c r="N205" s="44"/>
      <c r="O205" s="44"/>
      <c r="P205" s="44"/>
      <c r="Q205" s="44"/>
      <c r="R205" s="44"/>
      <c r="S205" s="44"/>
    </row>
    <row r="206">
      <c r="A206" s="55" t="s">
        <v>4280</v>
      </c>
      <c r="B206" s="44"/>
      <c r="C206" s="55" t="s">
        <v>1542</v>
      </c>
      <c r="D206" s="55" t="s">
        <v>3997</v>
      </c>
      <c r="E206" s="55" t="s">
        <v>127</v>
      </c>
      <c r="F206" s="55" t="s">
        <v>622</v>
      </c>
      <c r="G206" s="55" t="s">
        <v>623</v>
      </c>
      <c r="H206" s="55">
        <v>0.1</v>
      </c>
      <c r="I206" s="55">
        <v>845355.0</v>
      </c>
      <c r="J206" s="55">
        <v>3.4325639775E8</v>
      </c>
      <c r="K206" s="55">
        <v>3.4325639775E8</v>
      </c>
      <c r="L206" s="44"/>
      <c r="M206" s="44"/>
      <c r="N206" s="44"/>
      <c r="O206" s="44"/>
      <c r="P206" s="44"/>
      <c r="Q206" s="44"/>
      <c r="R206" s="44"/>
      <c r="S206" s="44"/>
    </row>
    <row r="207">
      <c r="A207" s="55" t="s">
        <v>4281</v>
      </c>
      <c r="B207" s="44"/>
      <c r="C207" s="55" t="s">
        <v>1573</v>
      </c>
      <c r="D207" s="55" t="s">
        <v>3997</v>
      </c>
      <c r="E207" s="55" t="s">
        <v>4014</v>
      </c>
      <c r="F207" s="55" t="s">
        <v>622</v>
      </c>
      <c r="G207" s="55" t="s">
        <v>623</v>
      </c>
      <c r="H207" s="55">
        <v>0.1</v>
      </c>
      <c r="I207" s="55">
        <v>783171.0</v>
      </c>
      <c r="J207" s="55">
        <v>3.4223006358E8</v>
      </c>
      <c r="K207" s="55">
        <v>3.4223006358E8</v>
      </c>
      <c r="L207" s="44"/>
      <c r="M207" s="44"/>
      <c r="N207" s="44"/>
      <c r="O207" s="44"/>
      <c r="P207" s="44"/>
      <c r="Q207" s="44"/>
      <c r="R207" s="44"/>
      <c r="S207" s="44"/>
    </row>
    <row r="208">
      <c r="A208" s="55" t="s">
        <v>4282</v>
      </c>
      <c r="B208" s="44"/>
      <c r="C208" s="55" t="s">
        <v>1617</v>
      </c>
      <c r="D208" s="55" t="s">
        <v>3997</v>
      </c>
      <c r="E208" s="55" t="s">
        <v>4014</v>
      </c>
      <c r="F208" s="55" t="s">
        <v>622</v>
      </c>
      <c r="G208" s="55" t="s">
        <v>623</v>
      </c>
      <c r="H208" s="55">
        <v>0.1</v>
      </c>
      <c r="I208" s="55">
        <v>1727951.0</v>
      </c>
      <c r="J208" s="55">
        <v>3.416159127E8</v>
      </c>
      <c r="K208" s="55">
        <v>3.416159127E8</v>
      </c>
      <c r="L208" s="44"/>
      <c r="M208" s="44"/>
      <c r="N208" s="44"/>
      <c r="O208" s="44"/>
      <c r="P208" s="44"/>
      <c r="Q208" s="44"/>
      <c r="R208" s="44"/>
      <c r="S208" s="44"/>
    </row>
    <row r="209">
      <c r="A209" s="55" t="s">
        <v>4283</v>
      </c>
      <c r="B209" s="44"/>
      <c r="C209" s="55" t="s">
        <v>4284</v>
      </c>
      <c r="D209" s="55" t="s">
        <v>3997</v>
      </c>
      <c r="E209" s="55" t="s">
        <v>127</v>
      </c>
      <c r="F209" s="55" t="s">
        <v>622</v>
      </c>
      <c r="G209" s="55" t="s">
        <v>623</v>
      </c>
      <c r="H209" s="55">
        <v>0.1</v>
      </c>
      <c r="I209" s="55">
        <v>6419667.0</v>
      </c>
      <c r="J209" s="55">
        <v>3.4146208773E8</v>
      </c>
      <c r="K209" s="55">
        <v>3.4146208773E8</v>
      </c>
      <c r="L209" s="44"/>
      <c r="M209" s="44"/>
      <c r="N209" s="44"/>
      <c r="O209" s="44"/>
      <c r="P209" s="44"/>
      <c r="Q209" s="44"/>
      <c r="R209" s="44"/>
      <c r="S209" s="44"/>
    </row>
    <row r="210">
      <c r="A210" s="55" t="s">
        <v>4285</v>
      </c>
      <c r="B210" s="44"/>
      <c r="C210" s="55" t="s">
        <v>1625</v>
      </c>
      <c r="D210" s="55" t="s">
        <v>3997</v>
      </c>
      <c r="E210" s="55" t="s">
        <v>94</v>
      </c>
      <c r="F210" s="55" t="s">
        <v>622</v>
      </c>
      <c r="G210" s="55" t="s">
        <v>623</v>
      </c>
      <c r="H210" s="55">
        <v>0.1</v>
      </c>
      <c r="I210" s="55">
        <v>6697629.0</v>
      </c>
      <c r="J210" s="55">
        <v>3.4097629239E8</v>
      </c>
      <c r="K210" s="55">
        <v>3.4097629239E8</v>
      </c>
      <c r="L210" s="44"/>
      <c r="M210" s="44"/>
      <c r="N210" s="44"/>
      <c r="O210" s="44"/>
      <c r="P210" s="44"/>
      <c r="Q210" s="44"/>
      <c r="R210" s="44"/>
      <c r="S210" s="44"/>
    </row>
    <row r="211">
      <c r="A211" s="55" t="s">
        <v>4286</v>
      </c>
      <c r="B211" s="44"/>
      <c r="C211" s="55" t="s">
        <v>4287</v>
      </c>
      <c r="D211" s="55" t="s">
        <v>3997</v>
      </c>
      <c r="E211" s="55" t="s">
        <v>133</v>
      </c>
      <c r="F211" s="55" t="s">
        <v>622</v>
      </c>
      <c r="G211" s="55" t="s">
        <v>623</v>
      </c>
      <c r="H211" s="55">
        <v>0.1</v>
      </c>
      <c r="I211" s="55">
        <v>2856379.0</v>
      </c>
      <c r="J211" s="55">
        <v>3.3859516666E8</v>
      </c>
      <c r="K211" s="55">
        <v>3.3859516666E8</v>
      </c>
      <c r="L211" s="44"/>
      <c r="M211" s="44"/>
      <c r="N211" s="44"/>
      <c r="O211" s="44"/>
      <c r="P211" s="44"/>
      <c r="Q211" s="44"/>
      <c r="R211" s="44"/>
      <c r="S211" s="44"/>
    </row>
    <row r="212">
      <c r="A212" s="55" t="s">
        <v>4288</v>
      </c>
      <c r="B212" s="44"/>
      <c r="C212" s="55" t="s">
        <v>1631</v>
      </c>
      <c r="D212" s="55" t="s">
        <v>3997</v>
      </c>
      <c r="E212" s="55" t="s">
        <v>94</v>
      </c>
      <c r="F212" s="55" t="s">
        <v>622</v>
      </c>
      <c r="G212" s="55" t="s">
        <v>623</v>
      </c>
      <c r="H212" s="55">
        <v>0.1</v>
      </c>
      <c r="I212" s="55">
        <v>6634504.0</v>
      </c>
      <c r="J212" s="55">
        <v>3.3789528872E8</v>
      </c>
      <c r="K212" s="55">
        <v>3.3789528872E8</v>
      </c>
      <c r="L212" s="44"/>
      <c r="M212" s="44"/>
      <c r="N212" s="44"/>
      <c r="O212" s="44"/>
      <c r="P212" s="44"/>
      <c r="Q212" s="44"/>
      <c r="R212" s="44"/>
      <c r="S212" s="44"/>
    </row>
    <row r="213">
      <c r="A213" s="55" t="s">
        <v>4289</v>
      </c>
      <c r="B213" s="44"/>
      <c r="C213" s="55" t="s">
        <v>4290</v>
      </c>
      <c r="D213" s="55" t="s">
        <v>3997</v>
      </c>
      <c r="E213" s="55" t="s">
        <v>133</v>
      </c>
      <c r="F213" s="55" t="s">
        <v>622</v>
      </c>
      <c r="G213" s="55" t="s">
        <v>623</v>
      </c>
      <c r="H213" s="55">
        <v>0.1</v>
      </c>
      <c r="I213" s="55">
        <v>3087506.0</v>
      </c>
      <c r="J213" s="55">
        <v>3.3601327798E8</v>
      </c>
      <c r="K213" s="55">
        <v>3.3601327798E8</v>
      </c>
      <c r="L213" s="44"/>
      <c r="M213" s="44"/>
      <c r="N213" s="44"/>
      <c r="O213" s="44"/>
      <c r="P213" s="44"/>
      <c r="Q213" s="44"/>
      <c r="R213" s="44"/>
      <c r="S213" s="44"/>
    </row>
    <row r="214">
      <c r="A214" s="55" t="s">
        <v>4291</v>
      </c>
      <c r="B214" s="44"/>
      <c r="C214" s="55" t="s">
        <v>4292</v>
      </c>
      <c r="D214" s="55" t="s">
        <v>3997</v>
      </c>
      <c r="E214" s="55" t="s">
        <v>133</v>
      </c>
      <c r="F214" s="55" t="s">
        <v>622</v>
      </c>
      <c r="G214" s="55" t="s">
        <v>623</v>
      </c>
      <c r="H214" s="55">
        <v>0.1</v>
      </c>
      <c r="I214" s="55">
        <v>6688316.0</v>
      </c>
      <c r="J214" s="55">
        <v>3.3187423992E8</v>
      </c>
      <c r="K214" s="55">
        <v>3.3187423992E8</v>
      </c>
      <c r="L214" s="44"/>
      <c r="M214" s="44"/>
      <c r="N214" s="44"/>
      <c r="O214" s="44"/>
      <c r="P214" s="44"/>
      <c r="Q214" s="44"/>
      <c r="R214" s="44"/>
      <c r="S214" s="44"/>
    </row>
    <row r="215">
      <c r="A215" s="55" t="s">
        <v>4293</v>
      </c>
      <c r="B215" s="44"/>
      <c r="C215" s="55" t="s">
        <v>1609</v>
      </c>
      <c r="D215" s="55" t="s">
        <v>3997</v>
      </c>
      <c r="E215" s="55" t="s">
        <v>170</v>
      </c>
      <c r="F215" s="55" t="s">
        <v>622</v>
      </c>
      <c r="G215" s="55" t="s">
        <v>623</v>
      </c>
      <c r="H215" s="55">
        <v>0.1</v>
      </c>
      <c r="I215" s="55">
        <v>3034818.0</v>
      </c>
      <c r="J215" s="55">
        <v>3.3176630376E8</v>
      </c>
      <c r="K215" s="55">
        <v>3.3176630376E8</v>
      </c>
      <c r="L215" s="44"/>
      <c r="M215" s="44"/>
      <c r="N215" s="44"/>
      <c r="O215" s="44"/>
      <c r="P215" s="44"/>
      <c r="Q215" s="44"/>
      <c r="R215" s="44"/>
      <c r="S215" s="44"/>
    </row>
    <row r="216">
      <c r="A216" s="55" t="s">
        <v>4294</v>
      </c>
      <c r="B216" s="44"/>
      <c r="C216" s="55" t="s">
        <v>1646</v>
      </c>
      <c r="D216" s="55" t="s">
        <v>3997</v>
      </c>
      <c r="E216" s="55" t="s">
        <v>127</v>
      </c>
      <c r="F216" s="55" t="s">
        <v>622</v>
      </c>
      <c r="G216" s="55" t="s">
        <v>623</v>
      </c>
      <c r="H216" s="55">
        <v>0.1</v>
      </c>
      <c r="I216" s="55">
        <v>1368391.0</v>
      </c>
      <c r="J216" s="55">
        <v>3.2915277114E8</v>
      </c>
      <c r="K216" s="55">
        <v>3.2915277114E8</v>
      </c>
      <c r="L216" s="44"/>
      <c r="M216" s="44"/>
      <c r="N216" s="44"/>
      <c r="O216" s="44"/>
      <c r="P216" s="44"/>
      <c r="Q216" s="44"/>
      <c r="R216" s="44"/>
      <c r="S216" s="44"/>
    </row>
    <row r="217">
      <c r="A217" s="55" t="s">
        <v>4295</v>
      </c>
      <c r="B217" s="44"/>
      <c r="C217" s="55" t="s">
        <v>4296</v>
      </c>
      <c r="D217" s="55" t="s">
        <v>3997</v>
      </c>
      <c r="E217" s="55" t="s">
        <v>118</v>
      </c>
      <c r="F217" s="55" t="s">
        <v>622</v>
      </c>
      <c r="G217" s="55" t="s">
        <v>623</v>
      </c>
      <c r="H217" s="55">
        <v>0.1</v>
      </c>
      <c r="I217" s="55">
        <v>2644174.0</v>
      </c>
      <c r="J217" s="55">
        <v>3.2808910992E8</v>
      </c>
      <c r="K217" s="55">
        <v>3.2808910992E8</v>
      </c>
      <c r="L217" s="44"/>
      <c r="M217" s="44"/>
      <c r="N217" s="44"/>
      <c r="O217" s="44"/>
      <c r="P217" s="44"/>
      <c r="Q217" s="44"/>
      <c r="R217" s="44"/>
      <c r="S217" s="44"/>
    </row>
    <row r="218">
      <c r="A218" s="55" t="s">
        <v>4297</v>
      </c>
      <c r="B218" s="44"/>
      <c r="C218" s="55" t="s">
        <v>3699</v>
      </c>
      <c r="D218" s="55" t="s">
        <v>3997</v>
      </c>
      <c r="E218" s="55" t="s">
        <v>124</v>
      </c>
      <c r="F218" s="55" t="s">
        <v>622</v>
      </c>
      <c r="G218" s="55" t="s">
        <v>623</v>
      </c>
      <c r="H218" s="55">
        <v>0.1</v>
      </c>
      <c r="I218" s="55">
        <v>1.6262794E7</v>
      </c>
      <c r="J218" s="55">
        <v>3.2704478734E8</v>
      </c>
      <c r="K218" s="55">
        <v>3.2704478734E8</v>
      </c>
      <c r="L218" s="44"/>
      <c r="M218" s="44"/>
      <c r="N218" s="44"/>
      <c r="O218" s="44"/>
      <c r="P218" s="44"/>
      <c r="Q218" s="44"/>
      <c r="R218" s="44"/>
      <c r="S218" s="44"/>
    </row>
    <row r="219">
      <c r="A219" s="55" t="s">
        <v>4298</v>
      </c>
      <c r="B219" s="44"/>
      <c r="C219" s="55" t="s">
        <v>1635</v>
      </c>
      <c r="D219" s="55" t="s">
        <v>3997</v>
      </c>
      <c r="E219" s="55" t="s">
        <v>99</v>
      </c>
      <c r="F219" s="55" t="s">
        <v>622</v>
      </c>
      <c r="G219" s="55" t="s">
        <v>623</v>
      </c>
      <c r="H219" s="55">
        <v>0.1</v>
      </c>
      <c r="I219" s="55">
        <v>3425339.0</v>
      </c>
      <c r="J219" s="55">
        <v>3.2492765754E8</v>
      </c>
      <c r="K219" s="55">
        <v>3.2492765754E8</v>
      </c>
      <c r="L219" s="44"/>
      <c r="M219" s="44"/>
      <c r="N219" s="44"/>
      <c r="O219" s="44"/>
      <c r="P219" s="44"/>
      <c r="Q219" s="44"/>
      <c r="R219" s="44"/>
      <c r="S219" s="44"/>
    </row>
    <row r="220">
      <c r="A220" s="55" t="s">
        <v>4299</v>
      </c>
      <c r="B220" s="44"/>
      <c r="C220" s="55" t="s">
        <v>1659</v>
      </c>
      <c r="D220" s="55" t="s">
        <v>3997</v>
      </c>
      <c r="E220" s="55" t="s">
        <v>127</v>
      </c>
      <c r="F220" s="55" t="s">
        <v>622</v>
      </c>
      <c r="G220" s="55" t="s">
        <v>623</v>
      </c>
      <c r="H220" s="55">
        <v>0.1</v>
      </c>
      <c r="I220" s="55">
        <v>2176950.0</v>
      </c>
      <c r="J220" s="55">
        <v>3.23973699E8</v>
      </c>
      <c r="K220" s="55">
        <v>3.23973699E8</v>
      </c>
      <c r="L220" s="44"/>
      <c r="M220" s="44"/>
      <c r="N220" s="44"/>
      <c r="O220" s="44"/>
      <c r="P220" s="44"/>
      <c r="Q220" s="44"/>
      <c r="R220" s="44"/>
      <c r="S220" s="44"/>
    </row>
    <row r="221">
      <c r="A221" s="55" t="s">
        <v>4300</v>
      </c>
      <c r="B221" s="44"/>
      <c r="C221" s="55" t="s">
        <v>4301</v>
      </c>
      <c r="D221" s="55" t="s">
        <v>3997</v>
      </c>
      <c r="E221" s="55" t="s">
        <v>167</v>
      </c>
      <c r="F221" s="55" t="s">
        <v>622</v>
      </c>
      <c r="G221" s="55" t="s">
        <v>623</v>
      </c>
      <c r="H221" s="55">
        <v>0.09</v>
      </c>
      <c r="I221" s="55">
        <v>4765807.0</v>
      </c>
      <c r="J221" s="55">
        <v>3.2331234688E8</v>
      </c>
      <c r="K221" s="55">
        <v>3.2331234688E8</v>
      </c>
      <c r="L221" s="44"/>
      <c r="M221" s="44"/>
      <c r="N221" s="44"/>
      <c r="O221" s="44"/>
      <c r="P221" s="44"/>
      <c r="Q221" s="44"/>
      <c r="R221" s="44"/>
      <c r="S221" s="44"/>
    </row>
    <row r="222">
      <c r="A222" s="55" t="s">
        <v>4302</v>
      </c>
      <c r="B222" s="44"/>
      <c r="C222" s="55" t="s">
        <v>1790</v>
      </c>
      <c r="D222" s="55" t="s">
        <v>3997</v>
      </c>
      <c r="E222" s="55" t="s">
        <v>94</v>
      </c>
      <c r="F222" s="55" t="s">
        <v>622</v>
      </c>
      <c r="G222" s="55" t="s">
        <v>623</v>
      </c>
      <c r="H222" s="55">
        <v>0.09</v>
      </c>
      <c r="I222" s="55">
        <v>4331701.0</v>
      </c>
      <c r="J222" s="55">
        <v>3.2288499254E8</v>
      </c>
      <c r="K222" s="55">
        <v>3.2288499254E8</v>
      </c>
      <c r="L222" s="44"/>
      <c r="M222" s="44"/>
      <c r="N222" s="44"/>
      <c r="O222" s="44"/>
      <c r="P222" s="44"/>
      <c r="Q222" s="44"/>
      <c r="R222" s="44"/>
      <c r="S222" s="44"/>
    </row>
    <row r="223">
      <c r="A223" s="55" t="s">
        <v>4303</v>
      </c>
      <c r="B223" s="44"/>
      <c r="C223" s="55" t="s">
        <v>1527</v>
      </c>
      <c r="D223" s="55" t="s">
        <v>3997</v>
      </c>
      <c r="E223" s="55" t="s">
        <v>170</v>
      </c>
      <c r="F223" s="55" t="s">
        <v>622</v>
      </c>
      <c r="G223" s="55" t="s">
        <v>623</v>
      </c>
      <c r="H223" s="55">
        <v>0.09</v>
      </c>
      <c r="I223" s="55">
        <v>1.97338E7</v>
      </c>
      <c r="J223" s="55">
        <v>3.21266264E8</v>
      </c>
      <c r="K223" s="55">
        <v>3.21266264E8</v>
      </c>
      <c r="L223" s="44"/>
      <c r="M223" s="44"/>
      <c r="N223" s="44"/>
      <c r="O223" s="44"/>
      <c r="P223" s="44"/>
      <c r="Q223" s="44"/>
      <c r="R223" s="44"/>
      <c r="S223" s="44"/>
    </row>
    <row r="224">
      <c r="A224" s="55" t="s">
        <v>4304</v>
      </c>
      <c r="B224" s="44"/>
      <c r="C224" s="55" t="s">
        <v>4305</v>
      </c>
      <c r="D224" s="55" t="s">
        <v>3997</v>
      </c>
      <c r="E224" s="55" t="s">
        <v>99</v>
      </c>
      <c r="F224" s="55" t="s">
        <v>622</v>
      </c>
      <c r="G224" s="55" t="s">
        <v>623</v>
      </c>
      <c r="H224" s="55">
        <v>0.09</v>
      </c>
      <c r="I224" s="55">
        <v>968401.0</v>
      </c>
      <c r="J224" s="55">
        <v>3.1991127035E8</v>
      </c>
      <c r="K224" s="55">
        <v>3.1991127035E8</v>
      </c>
      <c r="L224" s="44"/>
      <c r="M224" s="44"/>
      <c r="N224" s="44"/>
      <c r="O224" s="44"/>
      <c r="P224" s="44"/>
      <c r="Q224" s="44"/>
      <c r="R224" s="44"/>
      <c r="S224" s="44"/>
    </row>
    <row r="225">
      <c r="A225" s="55" t="s">
        <v>4306</v>
      </c>
      <c r="B225" s="44"/>
      <c r="C225" s="55" t="s">
        <v>1611</v>
      </c>
      <c r="D225" s="55" t="s">
        <v>3997</v>
      </c>
      <c r="E225" s="55" t="s">
        <v>124</v>
      </c>
      <c r="F225" s="55" t="s">
        <v>622</v>
      </c>
      <c r="G225" s="55" t="s">
        <v>623</v>
      </c>
      <c r="H225" s="55">
        <v>0.09</v>
      </c>
      <c r="I225" s="55">
        <v>4766467.0</v>
      </c>
      <c r="J225" s="55">
        <v>3.1706538484E8</v>
      </c>
      <c r="K225" s="55">
        <v>3.1706538484E8</v>
      </c>
      <c r="L225" s="44"/>
      <c r="M225" s="44"/>
      <c r="N225" s="44"/>
      <c r="O225" s="44"/>
      <c r="P225" s="44"/>
      <c r="Q225" s="44"/>
      <c r="R225" s="44"/>
      <c r="S225" s="44"/>
    </row>
    <row r="226">
      <c r="A226" s="55" t="s">
        <v>4307</v>
      </c>
      <c r="B226" s="44"/>
      <c r="C226" s="55" t="s">
        <v>4308</v>
      </c>
      <c r="D226" s="55" t="s">
        <v>3997</v>
      </c>
      <c r="E226" s="55" t="s">
        <v>99</v>
      </c>
      <c r="F226" s="55" t="s">
        <v>622</v>
      </c>
      <c r="G226" s="55" t="s">
        <v>623</v>
      </c>
      <c r="H226" s="55">
        <v>0.09</v>
      </c>
      <c r="I226" s="55">
        <v>7348891.0</v>
      </c>
      <c r="J226" s="55">
        <v>3.1365066788E8</v>
      </c>
      <c r="K226" s="55">
        <v>3.1365066788E8</v>
      </c>
      <c r="L226" s="44"/>
      <c r="M226" s="44"/>
      <c r="N226" s="44"/>
      <c r="O226" s="44"/>
      <c r="P226" s="44"/>
      <c r="Q226" s="44"/>
      <c r="R226" s="44"/>
      <c r="S226" s="44"/>
    </row>
    <row r="227">
      <c r="A227" s="55" t="s">
        <v>4309</v>
      </c>
      <c r="B227" s="44"/>
      <c r="C227" s="55" t="s">
        <v>1704</v>
      </c>
      <c r="D227" s="55" t="s">
        <v>3997</v>
      </c>
      <c r="E227" s="55" t="s">
        <v>4014</v>
      </c>
      <c r="F227" s="55" t="s">
        <v>622</v>
      </c>
      <c r="G227" s="55" t="s">
        <v>623</v>
      </c>
      <c r="H227" s="55">
        <v>0.09</v>
      </c>
      <c r="I227" s="55">
        <v>3124461.0</v>
      </c>
      <c r="J227" s="55">
        <v>3.1328970447E8</v>
      </c>
      <c r="K227" s="55">
        <v>3.1328970447E8</v>
      </c>
      <c r="L227" s="44"/>
      <c r="M227" s="44"/>
      <c r="N227" s="44"/>
      <c r="O227" s="44"/>
      <c r="P227" s="44"/>
      <c r="Q227" s="44"/>
      <c r="R227" s="44"/>
      <c r="S227" s="44"/>
    </row>
    <row r="228">
      <c r="A228" s="55" t="s">
        <v>4310</v>
      </c>
      <c r="B228" s="44"/>
      <c r="C228" s="55" t="s">
        <v>4311</v>
      </c>
      <c r="D228" s="55" t="s">
        <v>3997</v>
      </c>
      <c r="E228" s="55" t="s">
        <v>118</v>
      </c>
      <c r="F228" s="55" t="s">
        <v>622</v>
      </c>
      <c r="G228" s="55" t="s">
        <v>623</v>
      </c>
      <c r="H228" s="55">
        <v>0.09</v>
      </c>
      <c r="I228" s="55">
        <v>2872960.0</v>
      </c>
      <c r="J228" s="55">
        <v>3.129228032E8</v>
      </c>
      <c r="K228" s="55">
        <v>3.129228032E8</v>
      </c>
      <c r="L228" s="44"/>
      <c r="M228" s="44"/>
      <c r="N228" s="44"/>
      <c r="O228" s="44"/>
      <c r="P228" s="44"/>
      <c r="Q228" s="44"/>
      <c r="R228" s="44"/>
      <c r="S228" s="44"/>
    </row>
    <row r="229">
      <c r="A229" s="55" t="s">
        <v>4312</v>
      </c>
      <c r="B229" s="44"/>
      <c r="C229" s="55" t="s">
        <v>1700</v>
      </c>
      <c r="D229" s="55" t="s">
        <v>3997</v>
      </c>
      <c r="E229" s="55" t="s">
        <v>127</v>
      </c>
      <c r="F229" s="55" t="s">
        <v>622</v>
      </c>
      <c r="G229" s="55" t="s">
        <v>623</v>
      </c>
      <c r="H229" s="55">
        <v>0.09</v>
      </c>
      <c r="I229" s="55">
        <v>3885313.0</v>
      </c>
      <c r="J229" s="55">
        <v>3.1265113711E8</v>
      </c>
      <c r="K229" s="55">
        <v>3.1265113711E8</v>
      </c>
      <c r="L229" s="44"/>
      <c r="M229" s="44"/>
      <c r="N229" s="44"/>
      <c r="O229" s="44"/>
      <c r="P229" s="44"/>
      <c r="Q229" s="44"/>
      <c r="R229" s="44"/>
      <c r="S229" s="44"/>
    </row>
    <row r="230">
      <c r="A230" s="55" t="s">
        <v>4313</v>
      </c>
      <c r="B230" s="44"/>
      <c r="C230" s="55" t="s">
        <v>1719</v>
      </c>
      <c r="D230" s="55" t="s">
        <v>3997</v>
      </c>
      <c r="E230" s="55" t="s">
        <v>4014</v>
      </c>
      <c r="F230" s="55" t="s">
        <v>622</v>
      </c>
      <c r="G230" s="55" t="s">
        <v>623</v>
      </c>
      <c r="H230" s="55">
        <v>0.09</v>
      </c>
      <c r="I230" s="55">
        <v>2787271.0</v>
      </c>
      <c r="J230" s="55">
        <v>3.12174352E8</v>
      </c>
      <c r="K230" s="55">
        <v>3.12174352E8</v>
      </c>
      <c r="L230" s="44"/>
      <c r="M230" s="44"/>
      <c r="N230" s="44"/>
      <c r="O230" s="44"/>
      <c r="P230" s="44"/>
      <c r="Q230" s="44"/>
      <c r="R230" s="44"/>
      <c r="S230" s="44"/>
    </row>
    <row r="231">
      <c r="A231" s="55" t="s">
        <v>4314</v>
      </c>
      <c r="B231" s="44"/>
      <c r="C231" s="55" t="s">
        <v>4315</v>
      </c>
      <c r="D231" s="55" t="s">
        <v>3997</v>
      </c>
      <c r="E231" s="55" t="s">
        <v>99</v>
      </c>
      <c r="F231" s="55" t="s">
        <v>622</v>
      </c>
      <c r="G231" s="55" t="s">
        <v>623</v>
      </c>
      <c r="H231" s="55">
        <v>0.09</v>
      </c>
      <c r="I231" s="55">
        <v>5590768.0</v>
      </c>
      <c r="J231" s="55">
        <v>3.1207666976E8</v>
      </c>
      <c r="K231" s="55">
        <v>3.1207666976E8</v>
      </c>
      <c r="L231" s="44"/>
      <c r="M231" s="44"/>
      <c r="N231" s="44"/>
      <c r="O231" s="44"/>
      <c r="P231" s="44"/>
      <c r="Q231" s="44"/>
      <c r="R231" s="44"/>
      <c r="S231" s="44"/>
    </row>
    <row r="232">
      <c r="A232" s="55" t="s">
        <v>4316</v>
      </c>
      <c r="B232" s="44"/>
      <c r="C232" s="55" t="s">
        <v>4317</v>
      </c>
      <c r="D232" s="55" t="s">
        <v>3997</v>
      </c>
      <c r="E232" s="55" t="s">
        <v>124</v>
      </c>
      <c r="F232" s="55" t="s">
        <v>622</v>
      </c>
      <c r="G232" s="55" t="s">
        <v>623</v>
      </c>
      <c r="H232" s="55">
        <v>0.09</v>
      </c>
      <c r="I232" s="55">
        <v>2187963.0</v>
      </c>
      <c r="J232" s="55">
        <v>3.1058134785E8</v>
      </c>
      <c r="K232" s="55">
        <v>3.1058134785E8</v>
      </c>
      <c r="L232" s="44"/>
      <c r="M232" s="44"/>
      <c r="N232" s="44"/>
      <c r="O232" s="44"/>
      <c r="P232" s="44"/>
      <c r="Q232" s="44"/>
      <c r="R232" s="44"/>
      <c r="S232" s="44"/>
    </row>
    <row r="233">
      <c r="A233" s="55" t="s">
        <v>4318</v>
      </c>
      <c r="B233" s="44"/>
      <c r="C233" s="55" t="s">
        <v>1717</v>
      </c>
      <c r="D233" s="55" t="s">
        <v>3997</v>
      </c>
      <c r="E233" s="55" t="s">
        <v>127</v>
      </c>
      <c r="F233" s="55" t="s">
        <v>622</v>
      </c>
      <c r="G233" s="55" t="s">
        <v>623</v>
      </c>
      <c r="H233" s="55">
        <v>0.09</v>
      </c>
      <c r="I233" s="55">
        <v>1083712.0</v>
      </c>
      <c r="J233" s="55">
        <v>3.1038595392E8</v>
      </c>
      <c r="K233" s="55">
        <v>3.1038595392E8</v>
      </c>
      <c r="L233" s="44"/>
      <c r="M233" s="44"/>
      <c r="N233" s="44"/>
      <c r="O233" s="44"/>
      <c r="P233" s="44"/>
      <c r="Q233" s="44"/>
      <c r="R233" s="44"/>
      <c r="S233" s="44"/>
    </row>
    <row r="234">
      <c r="A234" s="55" t="s">
        <v>4319</v>
      </c>
      <c r="B234" s="44"/>
      <c r="C234" s="55" t="s">
        <v>1580</v>
      </c>
      <c r="D234" s="55" t="s">
        <v>3997</v>
      </c>
      <c r="E234" s="55" t="s">
        <v>127</v>
      </c>
      <c r="F234" s="55" t="s">
        <v>622</v>
      </c>
      <c r="G234" s="55" t="s">
        <v>623</v>
      </c>
      <c r="H234" s="55">
        <v>0.09</v>
      </c>
      <c r="I234" s="55">
        <v>1336499.0</v>
      </c>
      <c r="J234" s="55">
        <v>3.0914558369E8</v>
      </c>
      <c r="K234" s="55">
        <v>3.0914558369E8</v>
      </c>
      <c r="L234" s="44"/>
      <c r="M234" s="44"/>
      <c r="N234" s="44"/>
      <c r="O234" s="44"/>
      <c r="P234" s="44"/>
      <c r="Q234" s="44"/>
      <c r="R234" s="44"/>
      <c r="S234" s="44"/>
    </row>
    <row r="235">
      <c r="A235" s="55" t="s">
        <v>4320</v>
      </c>
      <c r="B235" s="44"/>
      <c r="C235" s="55" t="s">
        <v>1409</v>
      </c>
      <c r="D235" s="55" t="s">
        <v>3997</v>
      </c>
      <c r="E235" s="55" t="s">
        <v>127</v>
      </c>
      <c r="F235" s="55" t="s">
        <v>622</v>
      </c>
      <c r="G235" s="55" t="s">
        <v>623</v>
      </c>
      <c r="H235" s="55">
        <v>0.09</v>
      </c>
      <c r="I235" s="55">
        <v>1784841.0</v>
      </c>
      <c r="J235" s="55">
        <v>3.0759949794E8</v>
      </c>
      <c r="K235" s="55">
        <v>3.0759949794E8</v>
      </c>
      <c r="L235" s="44"/>
      <c r="M235" s="44"/>
      <c r="N235" s="44"/>
      <c r="O235" s="44"/>
      <c r="P235" s="44"/>
      <c r="Q235" s="44"/>
      <c r="R235" s="44"/>
      <c r="S235" s="44"/>
    </row>
    <row r="236">
      <c r="A236" s="55" t="s">
        <v>4321</v>
      </c>
      <c r="B236" s="44"/>
      <c r="C236" s="55" t="s">
        <v>1730</v>
      </c>
      <c r="D236" s="55" t="s">
        <v>3997</v>
      </c>
      <c r="E236" s="55" t="s">
        <v>115</v>
      </c>
      <c r="F236" s="55" t="s">
        <v>622</v>
      </c>
      <c r="G236" s="55" t="s">
        <v>623</v>
      </c>
      <c r="H236" s="55">
        <v>0.09</v>
      </c>
      <c r="I236" s="55">
        <v>1.8292485E7</v>
      </c>
      <c r="J236" s="55">
        <v>3.0493572495E8</v>
      </c>
      <c r="K236" s="55">
        <v>3.0493572495E8</v>
      </c>
      <c r="L236" s="44"/>
      <c r="M236" s="44"/>
      <c r="N236" s="44"/>
      <c r="O236" s="44"/>
      <c r="P236" s="44"/>
      <c r="Q236" s="44"/>
      <c r="R236" s="44"/>
      <c r="S236" s="44"/>
    </row>
    <row r="237">
      <c r="A237" s="55" t="s">
        <v>4322</v>
      </c>
      <c r="B237" s="44"/>
      <c r="C237" s="55" t="s">
        <v>4323</v>
      </c>
      <c r="D237" s="55" t="s">
        <v>3997</v>
      </c>
      <c r="E237" s="55" t="s">
        <v>127</v>
      </c>
      <c r="F237" s="55" t="s">
        <v>622</v>
      </c>
      <c r="G237" s="55" t="s">
        <v>623</v>
      </c>
      <c r="H237" s="55">
        <v>0.09</v>
      </c>
      <c r="I237" s="55">
        <v>5391189.0</v>
      </c>
      <c r="J237" s="55">
        <v>3.0001966785E8</v>
      </c>
      <c r="K237" s="55">
        <v>3.0001966785E8</v>
      </c>
      <c r="L237" s="44"/>
      <c r="M237" s="44"/>
      <c r="N237" s="44"/>
      <c r="O237" s="44"/>
      <c r="P237" s="44"/>
      <c r="Q237" s="44"/>
      <c r="R237" s="44"/>
      <c r="S237" s="44"/>
    </row>
    <row r="238">
      <c r="A238" s="55" t="s">
        <v>4324</v>
      </c>
      <c r="B238" s="44"/>
      <c r="C238" s="55" t="s">
        <v>1811</v>
      </c>
      <c r="D238" s="55" t="s">
        <v>3997</v>
      </c>
      <c r="E238" s="55" t="s">
        <v>124</v>
      </c>
      <c r="F238" s="55" t="s">
        <v>622</v>
      </c>
      <c r="G238" s="55" t="s">
        <v>623</v>
      </c>
      <c r="H238" s="55">
        <v>0.09</v>
      </c>
      <c r="I238" s="55">
        <v>9493136.0</v>
      </c>
      <c r="J238" s="55">
        <v>2.9865405856E8</v>
      </c>
      <c r="K238" s="55">
        <v>2.9865405856E8</v>
      </c>
      <c r="L238" s="44"/>
      <c r="M238" s="44"/>
      <c r="N238" s="44"/>
      <c r="O238" s="44"/>
      <c r="P238" s="44"/>
      <c r="Q238" s="44"/>
      <c r="R238" s="44"/>
      <c r="S238" s="44"/>
    </row>
    <row r="239">
      <c r="A239" s="55" t="s">
        <v>4325</v>
      </c>
      <c r="B239" s="44"/>
      <c r="C239" s="55" t="s">
        <v>1529</v>
      </c>
      <c r="D239" s="55" t="s">
        <v>3997</v>
      </c>
      <c r="E239" s="55" t="s">
        <v>170</v>
      </c>
      <c r="F239" s="55" t="s">
        <v>622</v>
      </c>
      <c r="G239" s="55" t="s">
        <v>623</v>
      </c>
      <c r="H239" s="55">
        <v>0.09</v>
      </c>
      <c r="I239" s="55">
        <v>5204605.0</v>
      </c>
      <c r="J239" s="55">
        <v>2.9598588635E8</v>
      </c>
      <c r="K239" s="55">
        <v>2.9598588635E8</v>
      </c>
      <c r="L239" s="44"/>
      <c r="M239" s="44"/>
      <c r="N239" s="44"/>
      <c r="O239" s="44"/>
      <c r="P239" s="44"/>
      <c r="Q239" s="44"/>
      <c r="R239" s="44"/>
      <c r="S239" s="44"/>
    </row>
    <row r="240">
      <c r="A240" s="55" t="s">
        <v>4326</v>
      </c>
      <c r="B240" s="44"/>
      <c r="C240" s="55" t="s">
        <v>1711</v>
      </c>
      <c r="D240" s="55" t="s">
        <v>3997</v>
      </c>
      <c r="E240" s="55" t="s">
        <v>133</v>
      </c>
      <c r="F240" s="55" t="s">
        <v>622</v>
      </c>
      <c r="G240" s="55" t="s">
        <v>623</v>
      </c>
      <c r="H240" s="55">
        <v>0.09</v>
      </c>
      <c r="I240" s="55">
        <v>3853160.0</v>
      </c>
      <c r="J240" s="55">
        <v>2.959612196E8</v>
      </c>
      <c r="K240" s="55">
        <v>2.959612196E8</v>
      </c>
      <c r="L240" s="44"/>
      <c r="M240" s="44"/>
      <c r="N240" s="44"/>
      <c r="O240" s="44"/>
      <c r="P240" s="44"/>
      <c r="Q240" s="44"/>
      <c r="R240" s="44"/>
      <c r="S240" s="44"/>
    </row>
    <row r="241">
      <c r="A241" s="55" t="s">
        <v>4327</v>
      </c>
      <c r="B241" s="44"/>
      <c r="C241" s="55" t="s">
        <v>1831</v>
      </c>
      <c r="D241" s="55" t="s">
        <v>3997</v>
      </c>
      <c r="E241" s="55" t="s">
        <v>115</v>
      </c>
      <c r="F241" s="55" t="s">
        <v>622</v>
      </c>
      <c r="G241" s="55" t="s">
        <v>623</v>
      </c>
      <c r="H241" s="55">
        <v>0.09</v>
      </c>
      <c r="I241" s="55">
        <v>6046003.0</v>
      </c>
      <c r="J241" s="55">
        <v>2.9510540643E8</v>
      </c>
      <c r="K241" s="55">
        <v>2.9510540643E8</v>
      </c>
      <c r="L241" s="44"/>
      <c r="M241" s="44"/>
      <c r="N241" s="44"/>
      <c r="O241" s="44"/>
      <c r="P241" s="44"/>
      <c r="Q241" s="44"/>
      <c r="R241" s="44"/>
      <c r="S241" s="44"/>
    </row>
    <row r="242">
      <c r="A242" s="55" t="s">
        <v>4328</v>
      </c>
      <c r="B242" s="44"/>
      <c r="C242" s="55" t="s">
        <v>1871</v>
      </c>
      <c r="D242" s="55" t="s">
        <v>3997</v>
      </c>
      <c r="E242" s="55" t="s">
        <v>127</v>
      </c>
      <c r="F242" s="55" t="s">
        <v>622</v>
      </c>
      <c r="G242" s="55" t="s">
        <v>623</v>
      </c>
      <c r="H242" s="55">
        <v>0.09</v>
      </c>
      <c r="I242" s="55">
        <v>420054.0</v>
      </c>
      <c r="J242" s="55">
        <v>2.935547379E8</v>
      </c>
      <c r="K242" s="55">
        <v>2.935547379E8</v>
      </c>
      <c r="L242" s="44"/>
      <c r="M242" s="44"/>
      <c r="N242" s="44"/>
      <c r="O242" s="44"/>
      <c r="P242" s="44"/>
      <c r="Q242" s="44"/>
      <c r="R242" s="44"/>
      <c r="S242" s="44"/>
    </row>
    <row r="243">
      <c r="A243" s="55" t="s">
        <v>4329</v>
      </c>
      <c r="B243" s="44"/>
      <c r="C243" s="55" t="s">
        <v>1824</v>
      </c>
      <c r="D243" s="55" t="s">
        <v>3997</v>
      </c>
      <c r="E243" s="55" t="s">
        <v>94</v>
      </c>
      <c r="F243" s="55" t="s">
        <v>622</v>
      </c>
      <c r="G243" s="55" t="s">
        <v>623</v>
      </c>
      <c r="H243" s="55">
        <v>0.09</v>
      </c>
      <c r="I243" s="55">
        <v>2222289.0</v>
      </c>
      <c r="J243" s="55">
        <v>2.9014205184E8</v>
      </c>
      <c r="K243" s="55">
        <v>2.9014205184E8</v>
      </c>
      <c r="L243" s="44"/>
      <c r="M243" s="44"/>
      <c r="N243" s="44"/>
      <c r="O243" s="44"/>
      <c r="P243" s="44"/>
      <c r="Q243" s="44"/>
      <c r="R243" s="44"/>
      <c r="S243" s="44"/>
    </row>
    <row r="244">
      <c r="A244" s="55" t="s">
        <v>4330</v>
      </c>
      <c r="B244" s="44"/>
      <c r="C244" s="55" t="s">
        <v>1782</v>
      </c>
      <c r="D244" s="55" t="s">
        <v>3997</v>
      </c>
      <c r="E244" s="55" t="s">
        <v>127</v>
      </c>
      <c r="F244" s="55" t="s">
        <v>622</v>
      </c>
      <c r="G244" s="55" t="s">
        <v>623</v>
      </c>
      <c r="H244" s="55">
        <v>0.08</v>
      </c>
      <c r="I244" s="55">
        <v>644434.0</v>
      </c>
      <c r="J244" s="55">
        <v>2.8884820748E8</v>
      </c>
      <c r="K244" s="55">
        <v>2.8884820748E8</v>
      </c>
      <c r="L244" s="44"/>
      <c r="M244" s="44"/>
      <c r="N244" s="44"/>
      <c r="O244" s="44"/>
      <c r="P244" s="44"/>
      <c r="Q244" s="44"/>
      <c r="R244" s="44"/>
      <c r="S244" s="44"/>
    </row>
    <row r="245">
      <c r="A245" s="55" t="s">
        <v>4331</v>
      </c>
      <c r="B245" s="44"/>
      <c r="C245" s="55" t="s">
        <v>4332</v>
      </c>
      <c r="D245" s="55" t="s">
        <v>3997</v>
      </c>
      <c r="E245" s="55" t="s">
        <v>4014</v>
      </c>
      <c r="F245" s="55" t="s">
        <v>622</v>
      </c>
      <c r="G245" s="55" t="s">
        <v>623</v>
      </c>
      <c r="H245" s="55">
        <v>0.08</v>
      </c>
      <c r="I245" s="55">
        <v>1573013.0</v>
      </c>
      <c r="J245" s="55">
        <v>2.8764115718E8</v>
      </c>
      <c r="K245" s="55">
        <v>2.8764115718E8</v>
      </c>
      <c r="L245" s="44"/>
      <c r="M245" s="44"/>
      <c r="N245" s="44"/>
      <c r="O245" s="44"/>
      <c r="P245" s="44"/>
      <c r="Q245" s="44"/>
      <c r="R245" s="44"/>
      <c r="S245" s="44"/>
    </row>
    <row r="246">
      <c r="A246" s="55" t="s">
        <v>4333</v>
      </c>
      <c r="B246" s="44"/>
      <c r="C246" s="55" t="s">
        <v>1859</v>
      </c>
      <c r="D246" s="55" t="s">
        <v>3997</v>
      </c>
      <c r="E246" s="55" t="s">
        <v>99</v>
      </c>
      <c r="F246" s="55" t="s">
        <v>622</v>
      </c>
      <c r="G246" s="55" t="s">
        <v>623</v>
      </c>
      <c r="H246" s="55">
        <v>0.08</v>
      </c>
      <c r="I246" s="55">
        <v>3519287.0</v>
      </c>
      <c r="J246" s="55">
        <v>2.8731459068E8</v>
      </c>
      <c r="K246" s="55">
        <v>2.8731459068E8</v>
      </c>
      <c r="L246" s="44"/>
      <c r="M246" s="44"/>
      <c r="N246" s="44"/>
      <c r="O246" s="44"/>
      <c r="P246" s="44"/>
      <c r="Q246" s="44"/>
      <c r="R246" s="44"/>
      <c r="S246" s="44"/>
    </row>
    <row r="247">
      <c r="A247" s="55" t="s">
        <v>4334</v>
      </c>
      <c r="B247" s="44"/>
      <c r="C247" s="55" t="s">
        <v>4335</v>
      </c>
      <c r="D247" s="55" t="s">
        <v>3997</v>
      </c>
      <c r="E247" s="55" t="s">
        <v>124</v>
      </c>
      <c r="F247" s="55" t="s">
        <v>622</v>
      </c>
      <c r="G247" s="55" t="s">
        <v>623</v>
      </c>
      <c r="H247" s="55">
        <v>0.08</v>
      </c>
      <c r="I247" s="55">
        <v>1413972.0</v>
      </c>
      <c r="J247" s="55">
        <v>2.8539610848E8</v>
      </c>
      <c r="K247" s="55">
        <v>2.8539610848E8</v>
      </c>
      <c r="L247" s="44"/>
      <c r="M247" s="44"/>
      <c r="N247" s="44"/>
      <c r="O247" s="44"/>
      <c r="P247" s="44"/>
      <c r="Q247" s="44"/>
      <c r="R247" s="44"/>
      <c r="S247" s="44"/>
    </row>
    <row r="248">
      <c r="A248" s="55" t="s">
        <v>4336</v>
      </c>
      <c r="B248" s="44"/>
      <c r="C248" s="55" t="s">
        <v>1750</v>
      </c>
      <c r="D248" s="55" t="s">
        <v>3997</v>
      </c>
      <c r="E248" s="55" t="s">
        <v>99</v>
      </c>
      <c r="F248" s="55" t="s">
        <v>622</v>
      </c>
      <c r="G248" s="55" t="s">
        <v>623</v>
      </c>
      <c r="H248" s="55">
        <v>0.08</v>
      </c>
      <c r="I248" s="55">
        <v>2453407.0</v>
      </c>
      <c r="J248" s="55">
        <v>2.848405527E8</v>
      </c>
      <c r="K248" s="55">
        <v>2.848405527E8</v>
      </c>
      <c r="L248" s="44"/>
      <c r="M248" s="44"/>
      <c r="N248" s="44"/>
      <c r="O248" s="44"/>
      <c r="P248" s="44"/>
      <c r="Q248" s="44"/>
      <c r="R248" s="44"/>
      <c r="S248" s="44"/>
    </row>
    <row r="249">
      <c r="A249" s="55" t="s">
        <v>4337</v>
      </c>
      <c r="B249" s="44"/>
      <c r="C249" s="55" t="s">
        <v>4338</v>
      </c>
      <c r="D249" s="55" t="s">
        <v>3997</v>
      </c>
      <c r="E249" s="55" t="s">
        <v>133</v>
      </c>
      <c r="F249" s="55" t="s">
        <v>622</v>
      </c>
      <c r="G249" s="55" t="s">
        <v>623</v>
      </c>
      <c r="H249" s="55">
        <v>0.08</v>
      </c>
      <c r="I249" s="55">
        <v>9563190.0</v>
      </c>
      <c r="J249" s="55">
        <v>2.818272093E8</v>
      </c>
      <c r="K249" s="55">
        <v>2.818272093E8</v>
      </c>
      <c r="L249" s="44"/>
      <c r="M249" s="44"/>
      <c r="N249" s="44"/>
      <c r="O249" s="44"/>
      <c r="P249" s="44"/>
      <c r="Q249" s="44"/>
      <c r="R249" s="44"/>
      <c r="S249" s="44"/>
    </row>
    <row r="250">
      <c r="A250" s="55" t="s">
        <v>4339</v>
      </c>
      <c r="B250" s="44"/>
      <c r="C250" s="55" t="s">
        <v>1792</v>
      </c>
      <c r="D250" s="55" t="s">
        <v>3997</v>
      </c>
      <c r="E250" s="55" t="s">
        <v>127</v>
      </c>
      <c r="F250" s="55" t="s">
        <v>622</v>
      </c>
      <c r="G250" s="55" t="s">
        <v>623</v>
      </c>
      <c r="H250" s="55">
        <v>0.08</v>
      </c>
      <c r="I250" s="55">
        <v>1940081.0</v>
      </c>
      <c r="J250" s="55">
        <v>2.8127294338E8</v>
      </c>
      <c r="K250" s="55">
        <v>2.8127294338E8</v>
      </c>
      <c r="L250" s="44"/>
      <c r="M250" s="44"/>
      <c r="N250" s="44"/>
      <c r="O250" s="44"/>
      <c r="P250" s="44"/>
      <c r="Q250" s="44"/>
      <c r="R250" s="44"/>
      <c r="S250" s="44"/>
    </row>
    <row r="251">
      <c r="A251" s="55" t="s">
        <v>4340</v>
      </c>
      <c r="B251" s="44"/>
      <c r="C251" s="55" t="s">
        <v>4341</v>
      </c>
      <c r="D251" s="55" t="s">
        <v>3997</v>
      </c>
      <c r="E251" s="55" t="s">
        <v>124</v>
      </c>
      <c r="F251" s="55" t="s">
        <v>622</v>
      </c>
      <c r="G251" s="55" t="s">
        <v>623</v>
      </c>
      <c r="H251" s="55">
        <v>0.08</v>
      </c>
      <c r="I251" s="55">
        <v>6230974.0</v>
      </c>
      <c r="J251" s="55">
        <v>2.8095461766E8</v>
      </c>
      <c r="K251" s="55">
        <v>2.8095461766E8</v>
      </c>
      <c r="L251" s="44"/>
      <c r="M251" s="44"/>
      <c r="N251" s="44"/>
      <c r="O251" s="44"/>
      <c r="P251" s="44"/>
      <c r="Q251" s="44"/>
      <c r="R251" s="44"/>
      <c r="S251" s="44"/>
    </row>
    <row r="252">
      <c r="A252" s="55" t="s">
        <v>623</v>
      </c>
      <c r="B252" s="44"/>
      <c r="C252" s="55" t="s">
        <v>4342</v>
      </c>
      <c r="D252" s="55" t="s">
        <v>617</v>
      </c>
      <c r="E252" s="55" t="s">
        <v>4198</v>
      </c>
      <c r="F252" s="55" t="s">
        <v>622</v>
      </c>
      <c r="G252" s="55" t="s">
        <v>623</v>
      </c>
      <c r="H252" s="55">
        <v>0.08</v>
      </c>
      <c r="I252" s="55">
        <v>2.80872749E8</v>
      </c>
      <c r="J252" s="55">
        <v>2.8087274944E8</v>
      </c>
      <c r="K252" s="55">
        <v>2.8087274944E8</v>
      </c>
      <c r="L252" s="44"/>
      <c r="M252" s="44"/>
      <c r="N252" s="44"/>
      <c r="O252" s="44"/>
      <c r="P252" s="44"/>
      <c r="Q252" s="44"/>
      <c r="R252" s="44"/>
      <c r="S252" s="44"/>
    </row>
    <row r="253">
      <c r="A253" s="55" t="s">
        <v>4343</v>
      </c>
      <c r="B253" s="44"/>
      <c r="C253" s="55" t="s">
        <v>1748</v>
      </c>
      <c r="D253" s="55" t="s">
        <v>3997</v>
      </c>
      <c r="E253" s="55" t="s">
        <v>170</v>
      </c>
      <c r="F253" s="55" t="s">
        <v>622</v>
      </c>
      <c r="G253" s="55" t="s">
        <v>623</v>
      </c>
      <c r="H253" s="55">
        <v>0.08</v>
      </c>
      <c r="I253" s="55">
        <v>3254707.0</v>
      </c>
      <c r="J253" s="55">
        <v>2.7824490143E8</v>
      </c>
      <c r="K253" s="55">
        <v>2.7824490143E8</v>
      </c>
      <c r="L253" s="44"/>
      <c r="M253" s="44"/>
      <c r="N253" s="44"/>
      <c r="O253" s="44"/>
      <c r="P253" s="44"/>
      <c r="Q253" s="44"/>
      <c r="R253" s="44"/>
      <c r="S253" s="44"/>
    </row>
    <row r="254">
      <c r="A254" s="55" t="s">
        <v>4344</v>
      </c>
      <c r="B254" s="44"/>
      <c r="C254" s="55" t="s">
        <v>4345</v>
      </c>
      <c r="D254" s="55" t="s">
        <v>3997</v>
      </c>
      <c r="E254" s="55" t="s">
        <v>94</v>
      </c>
      <c r="F254" s="55" t="s">
        <v>622</v>
      </c>
      <c r="G254" s="55" t="s">
        <v>623</v>
      </c>
      <c r="H254" s="55">
        <v>0.08</v>
      </c>
      <c r="I254" s="55">
        <v>7499282.0</v>
      </c>
      <c r="J254" s="55">
        <v>2.7769841246E8</v>
      </c>
      <c r="K254" s="55">
        <v>2.7769841246E8</v>
      </c>
      <c r="L254" s="44"/>
      <c r="M254" s="44"/>
      <c r="N254" s="44"/>
      <c r="O254" s="44"/>
      <c r="P254" s="44"/>
      <c r="Q254" s="44"/>
      <c r="R254" s="44"/>
      <c r="S254" s="44"/>
    </row>
    <row r="255">
      <c r="A255" s="55" t="s">
        <v>4346</v>
      </c>
      <c r="B255" s="44"/>
      <c r="C255" s="55" t="s">
        <v>4347</v>
      </c>
      <c r="D255" s="55" t="s">
        <v>3997</v>
      </c>
      <c r="E255" s="55" t="s">
        <v>99</v>
      </c>
      <c r="F255" s="55" t="s">
        <v>622</v>
      </c>
      <c r="G255" s="55" t="s">
        <v>623</v>
      </c>
      <c r="H255" s="55">
        <v>0.08</v>
      </c>
      <c r="I255" s="55">
        <v>2468331.0</v>
      </c>
      <c r="J255" s="55">
        <v>2.7766255419E8</v>
      </c>
      <c r="K255" s="55">
        <v>2.7766255419E8</v>
      </c>
      <c r="L255" s="44"/>
      <c r="M255" s="44"/>
      <c r="N255" s="44"/>
      <c r="O255" s="44"/>
      <c r="P255" s="44"/>
      <c r="Q255" s="44"/>
      <c r="R255" s="44"/>
      <c r="S255" s="44"/>
    </row>
    <row r="256">
      <c r="A256" s="55" t="s">
        <v>4348</v>
      </c>
      <c r="B256" s="44"/>
      <c r="C256" s="55" t="s">
        <v>1713</v>
      </c>
      <c r="D256" s="55" t="s">
        <v>3997</v>
      </c>
      <c r="E256" s="55" t="s">
        <v>4004</v>
      </c>
      <c r="F256" s="55" t="s">
        <v>622</v>
      </c>
      <c r="G256" s="55" t="s">
        <v>623</v>
      </c>
      <c r="H256" s="55">
        <v>0.08</v>
      </c>
      <c r="I256" s="55">
        <v>2326357.0</v>
      </c>
      <c r="J256" s="55">
        <v>2.7725522726E8</v>
      </c>
      <c r="K256" s="55">
        <v>2.7725522726E8</v>
      </c>
      <c r="L256" s="44"/>
      <c r="M256" s="44"/>
      <c r="N256" s="44"/>
      <c r="O256" s="44"/>
      <c r="P256" s="44"/>
      <c r="Q256" s="44"/>
      <c r="R256" s="44"/>
      <c r="S256" s="44"/>
    </row>
    <row r="257">
      <c r="A257" s="55" t="s">
        <v>4349</v>
      </c>
      <c r="B257" s="44"/>
      <c r="C257" s="55" t="s">
        <v>4350</v>
      </c>
      <c r="D257" s="55" t="s">
        <v>3997</v>
      </c>
      <c r="E257" s="55" t="s">
        <v>118</v>
      </c>
      <c r="F257" s="55" t="s">
        <v>622</v>
      </c>
      <c r="G257" s="55" t="s">
        <v>623</v>
      </c>
      <c r="H257" s="55">
        <v>0.08</v>
      </c>
      <c r="I257" s="55">
        <v>2382800.0</v>
      </c>
      <c r="J257" s="55">
        <v>2.7211576E8</v>
      </c>
      <c r="K257" s="55">
        <v>2.7211576E8</v>
      </c>
      <c r="L257" s="44"/>
      <c r="M257" s="44"/>
      <c r="N257" s="44"/>
      <c r="O257" s="44"/>
      <c r="P257" s="44"/>
      <c r="Q257" s="44"/>
      <c r="R257" s="44"/>
      <c r="S257" s="44"/>
    </row>
    <row r="258">
      <c r="A258" s="55" t="s">
        <v>4351</v>
      </c>
      <c r="B258" s="44"/>
      <c r="C258" s="55" t="s">
        <v>4352</v>
      </c>
      <c r="D258" s="55" t="s">
        <v>3997</v>
      </c>
      <c r="E258" s="55" t="s">
        <v>170</v>
      </c>
      <c r="F258" s="55" t="s">
        <v>622</v>
      </c>
      <c r="G258" s="55" t="s">
        <v>623</v>
      </c>
      <c r="H258" s="55">
        <v>0.08</v>
      </c>
      <c r="I258" s="55">
        <v>4709669.0</v>
      </c>
      <c r="J258" s="55">
        <v>2.6684984554E8</v>
      </c>
      <c r="K258" s="55">
        <v>2.6684984554E8</v>
      </c>
      <c r="L258" s="44"/>
      <c r="M258" s="44"/>
      <c r="N258" s="44"/>
      <c r="O258" s="44"/>
      <c r="P258" s="44"/>
      <c r="Q258" s="44"/>
      <c r="R258" s="44"/>
      <c r="S258" s="44"/>
    </row>
    <row r="259">
      <c r="A259" s="55" t="s">
        <v>25</v>
      </c>
      <c r="B259" s="44"/>
      <c r="C259" s="55" t="s">
        <v>1952</v>
      </c>
      <c r="D259" s="55" t="s">
        <v>3997</v>
      </c>
      <c r="E259" s="55" t="s">
        <v>115</v>
      </c>
      <c r="F259" s="55" t="s">
        <v>622</v>
      </c>
      <c r="G259" s="55" t="s">
        <v>623</v>
      </c>
      <c r="H259" s="55">
        <v>0.08</v>
      </c>
      <c r="I259" s="55">
        <v>1687539.0</v>
      </c>
      <c r="J259" s="55">
        <v>2.6517987846E8</v>
      </c>
      <c r="K259" s="55">
        <v>2.6517987846E8</v>
      </c>
      <c r="L259" s="44"/>
      <c r="M259" s="44"/>
      <c r="N259" s="44"/>
      <c r="O259" s="44"/>
      <c r="P259" s="44"/>
      <c r="Q259" s="44"/>
      <c r="R259" s="44"/>
      <c r="S259" s="44"/>
    </row>
    <row r="260">
      <c r="A260" s="55" t="s">
        <v>4353</v>
      </c>
      <c r="B260" s="44"/>
      <c r="C260" s="55" t="s">
        <v>1857</v>
      </c>
      <c r="D260" s="55" t="s">
        <v>3997</v>
      </c>
      <c r="E260" s="55" t="s">
        <v>118</v>
      </c>
      <c r="F260" s="55" t="s">
        <v>622</v>
      </c>
      <c r="G260" s="55" t="s">
        <v>623</v>
      </c>
      <c r="H260" s="55">
        <v>0.08</v>
      </c>
      <c r="I260" s="55">
        <v>2668696.0</v>
      </c>
      <c r="J260" s="55">
        <v>2.6457452144E8</v>
      </c>
      <c r="K260" s="55">
        <v>2.6457452144E8</v>
      </c>
      <c r="L260" s="44"/>
      <c r="M260" s="44"/>
      <c r="N260" s="44"/>
      <c r="O260" s="44"/>
      <c r="P260" s="44"/>
      <c r="Q260" s="44"/>
      <c r="R260" s="44"/>
      <c r="S260" s="44"/>
    </row>
    <row r="261">
      <c r="A261" s="55" t="s">
        <v>4354</v>
      </c>
      <c r="B261" s="44"/>
      <c r="C261" s="55" t="s">
        <v>4355</v>
      </c>
      <c r="D261" s="55" t="s">
        <v>3997</v>
      </c>
      <c r="E261" s="55" t="s">
        <v>4014</v>
      </c>
      <c r="F261" s="55" t="s">
        <v>622</v>
      </c>
      <c r="G261" s="55" t="s">
        <v>623</v>
      </c>
      <c r="H261" s="55">
        <v>0.08</v>
      </c>
      <c r="I261" s="55">
        <v>696992.0</v>
      </c>
      <c r="J261" s="55">
        <v>2.6421572736E8</v>
      </c>
      <c r="K261" s="55">
        <v>2.6421572736E8</v>
      </c>
      <c r="L261" s="44"/>
      <c r="M261" s="44"/>
      <c r="N261" s="44"/>
      <c r="O261" s="44"/>
      <c r="P261" s="44"/>
      <c r="Q261" s="44"/>
      <c r="R261" s="44"/>
      <c r="S261" s="44"/>
    </row>
    <row r="262">
      <c r="A262" s="55" t="s">
        <v>4356</v>
      </c>
      <c r="B262" s="44"/>
      <c r="C262" s="55" t="s">
        <v>1906</v>
      </c>
      <c r="D262" s="55" t="s">
        <v>3997</v>
      </c>
      <c r="E262" s="55" t="s">
        <v>127</v>
      </c>
      <c r="F262" s="55" t="s">
        <v>622</v>
      </c>
      <c r="G262" s="55" t="s">
        <v>623</v>
      </c>
      <c r="H262" s="55">
        <v>0.08</v>
      </c>
      <c r="I262" s="55">
        <v>1369989.0</v>
      </c>
      <c r="J262" s="55">
        <v>2.5881832188E8</v>
      </c>
      <c r="K262" s="55">
        <v>2.5881832188E8</v>
      </c>
      <c r="L262" s="44"/>
      <c r="M262" s="44"/>
      <c r="N262" s="44"/>
      <c r="O262" s="44"/>
      <c r="P262" s="44"/>
      <c r="Q262" s="44"/>
      <c r="R262" s="44"/>
      <c r="S262" s="44"/>
    </row>
    <row r="263">
      <c r="A263" s="55" t="s">
        <v>4357</v>
      </c>
      <c r="B263" s="44"/>
      <c r="C263" s="55" t="s">
        <v>1819</v>
      </c>
      <c r="D263" s="55" t="s">
        <v>3997</v>
      </c>
      <c r="E263" s="55" t="s">
        <v>167</v>
      </c>
      <c r="F263" s="55" t="s">
        <v>622</v>
      </c>
      <c r="G263" s="55" t="s">
        <v>623</v>
      </c>
      <c r="H263" s="55">
        <v>0.08</v>
      </c>
      <c r="I263" s="55">
        <v>743845.0</v>
      </c>
      <c r="J263" s="55">
        <v>2.576827849E8</v>
      </c>
      <c r="K263" s="55">
        <v>2.576827849E8</v>
      </c>
      <c r="L263" s="44"/>
      <c r="M263" s="44"/>
      <c r="N263" s="44"/>
      <c r="O263" s="44"/>
      <c r="P263" s="44"/>
      <c r="Q263" s="44"/>
      <c r="R263" s="44"/>
      <c r="S263" s="44"/>
    </row>
    <row r="264">
      <c r="A264" s="55" t="s">
        <v>4358</v>
      </c>
      <c r="B264" s="44"/>
      <c r="C264" s="55" t="s">
        <v>2044</v>
      </c>
      <c r="D264" s="55" t="s">
        <v>3997</v>
      </c>
      <c r="E264" s="55" t="s">
        <v>4014</v>
      </c>
      <c r="F264" s="55" t="s">
        <v>622</v>
      </c>
      <c r="G264" s="55" t="s">
        <v>623</v>
      </c>
      <c r="H264" s="55">
        <v>0.08</v>
      </c>
      <c r="I264" s="55">
        <v>3691132.0</v>
      </c>
      <c r="J264" s="55">
        <v>2.5756719096E8</v>
      </c>
      <c r="K264" s="55">
        <v>2.5756719096E8</v>
      </c>
      <c r="L264" s="44"/>
      <c r="M264" s="44"/>
      <c r="N264" s="44"/>
      <c r="O264" s="44"/>
      <c r="P264" s="44"/>
      <c r="Q264" s="44"/>
      <c r="R264" s="44"/>
      <c r="S264" s="44"/>
    </row>
    <row r="265">
      <c r="A265" s="55" t="s">
        <v>4359</v>
      </c>
      <c r="B265" s="44"/>
      <c r="C265" s="55" t="s">
        <v>4360</v>
      </c>
      <c r="D265" s="55" t="s">
        <v>3997</v>
      </c>
      <c r="E265" s="55" t="s">
        <v>94</v>
      </c>
      <c r="F265" s="55" t="s">
        <v>622</v>
      </c>
      <c r="G265" s="55" t="s">
        <v>623</v>
      </c>
      <c r="H265" s="55">
        <v>0.08</v>
      </c>
      <c r="I265" s="55">
        <v>1253758.0</v>
      </c>
      <c r="J265" s="55">
        <v>2.5705800274E8</v>
      </c>
      <c r="K265" s="55">
        <v>2.5705800274E8</v>
      </c>
      <c r="L265" s="44"/>
      <c r="M265" s="44"/>
      <c r="N265" s="44"/>
      <c r="O265" s="44"/>
      <c r="P265" s="44"/>
      <c r="Q265" s="44"/>
      <c r="R265" s="44"/>
      <c r="S265" s="44"/>
    </row>
    <row r="266">
      <c r="A266" s="55" t="s">
        <v>4361</v>
      </c>
      <c r="B266" s="44"/>
      <c r="C266" s="55" t="s">
        <v>4362</v>
      </c>
      <c r="D266" s="55" t="s">
        <v>3997</v>
      </c>
      <c r="E266" s="55" t="s">
        <v>167</v>
      </c>
      <c r="F266" s="55" t="s">
        <v>622</v>
      </c>
      <c r="G266" s="55" t="s">
        <v>623</v>
      </c>
      <c r="H266" s="55">
        <v>0.08</v>
      </c>
      <c r="I266" s="55">
        <v>1264984.0</v>
      </c>
      <c r="J266" s="55">
        <v>2.5663995392E8</v>
      </c>
      <c r="K266" s="55">
        <v>2.5663995392E8</v>
      </c>
      <c r="L266" s="44"/>
      <c r="M266" s="44"/>
      <c r="N266" s="44"/>
      <c r="O266" s="44"/>
      <c r="P266" s="44"/>
      <c r="Q266" s="44"/>
      <c r="R266" s="44"/>
      <c r="S266" s="44"/>
    </row>
    <row r="267">
      <c r="A267" s="55" t="s">
        <v>4363</v>
      </c>
      <c r="B267" s="44"/>
      <c r="C267" s="55" t="s">
        <v>4364</v>
      </c>
      <c r="D267" s="55" t="s">
        <v>3997</v>
      </c>
      <c r="E267" s="55" t="s">
        <v>124</v>
      </c>
      <c r="F267" s="55" t="s">
        <v>622</v>
      </c>
      <c r="G267" s="55" t="s">
        <v>623</v>
      </c>
      <c r="H267" s="55">
        <v>0.07</v>
      </c>
      <c r="I267" s="55">
        <v>7534017.0</v>
      </c>
      <c r="J267" s="55">
        <v>2.5427307375E8</v>
      </c>
      <c r="K267" s="55">
        <v>2.5427307375E8</v>
      </c>
      <c r="L267" s="44"/>
      <c r="M267" s="44"/>
      <c r="N267" s="44"/>
      <c r="O267" s="44"/>
      <c r="P267" s="44"/>
      <c r="Q267" s="44"/>
      <c r="R267" s="44"/>
      <c r="S267" s="44"/>
    </row>
    <row r="268">
      <c r="A268" s="55" t="s">
        <v>4365</v>
      </c>
      <c r="B268" s="44"/>
      <c r="C268" s="55" t="s">
        <v>1934</v>
      </c>
      <c r="D268" s="55" t="s">
        <v>3997</v>
      </c>
      <c r="E268" s="55" t="s">
        <v>127</v>
      </c>
      <c r="F268" s="55" t="s">
        <v>622</v>
      </c>
      <c r="G268" s="55" t="s">
        <v>623</v>
      </c>
      <c r="H268" s="55">
        <v>0.07</v>
      </c>
      <c r="I268" s="55">
        <v>3321894.0</v>
      </c>
      <c r="J268" s="55">
        <v>2.4704925678E8</v>
      </c>
      <c r="K268" s="55">
        <v>2.4704925678E8</v>
      </c>
      <c r="L268" s="44"/>
      <c r="M268" s="44"/>
      <c r="N268" s="44"/>
      <c r="O268" s="44"/>
      <c r="P268" s="44"/>
      <c r="Q268" s="44"/>
      <c r="R268" s="44"/>
      <c r="S268" s="44"/>
    </row>
    <row r="269">
      <c r="A269" s="55" t="s">
        <v>4366</v>
      </c>
      <c r="B269" s="44"/>
      <c r="C269" s="55" t="s">
        <v>1589</v>
      </c>
      <c r="D269" s="55" t="s">
        <v>3997</v>
      </c>
      <c r="E269" s="55" t="s">
        <v>127</v>
      </c>
      <c r="F269" s="55" t="s">
        <v>622</v>
      </c>
      <c r="G269" s="55" t="s">
        <v>623</v>
      </c>
      <c r="H269" s="55">
        <v>0.07</v>
      </c>
      <c r="I269" s="55">
        <v>3816084.0</v>
      </c>
      <c r="J269" s="55">
        <v>2.4525971868E8</v>
      </c>
      <c r="K269" s="55">
        <v>2.4525971868E8</v>
      </c>
      <c r="L269" s="44"/>
      <c r="M269" s="44"/>
      <c r="N269" s="44"/>
      <c r="O269" s="44"/>
      <c r="P269" s="44"/>
      <c r="Q269" s="44"/>
      <c r="R269" s="44"/>
      <c r="S269" s="44"/>
    </row>
    <row r="270">
      <c r="A270" s="55" t="s">
        <v>4367</v>
      </c>
      <c r="B270" s="44"/>
      <c r="C270" s="55" t="s">
        <v>1914</v>
      </c>
      <c r="D270" s="55" t="s">
        <v>3997</v>
      </c>
      <c r="E270" s="55" t="s">
        <v>167</v>
      </c>
      <c r="F270" s="55" t="s">
        <v>622</v>
      </c>
      <c r="G270" s="55" t="s">
        <v>623</v>
      </c>
      <c r="H270" s="55">
        <v>0.07</v>
      </c>
      <c r="I270" s="55">
        <v>819079.0</v>
      </c>
      <c r="J270" s="55">
        <v>2.4397087094E8</v>
      </c>
      <c r="K270" s="55">
        <v>2.4397087094E8</v>
      </c>
      <c r="L270" s="44"/>
      <c r="M270" s="44"/>
      <c r="N270" s="44"/>
      <c r="O270" s="44"/>
      <c r="P270" s="44"/>
      <c r="Q270" s="44"/>
      <c r="R270" s="44"/>
      <c r="S270" s="44"/>
    </row>
    <row r="271">
      <c r="A271" s="55" t="s">
        <v>4368</v>
      </c>
      <c r="B271" s="44"/>
      <c r="C271" s="55" t="s">
        <v>1801</v>
      </c>
      <c r="D271" s="55" t="s">
        <v>3997</v>
      </c>
      <c r="E271" s="55" t="s">
        <v>94</v>
      </c>
      <c r="F271" s="55" t="s">
        <v>622</v>
      </c>
      <c r="G271" s="55" t="s">
        <v>623</v>
      </c>
      <c r="H271" s="55">
        <v>0.07</v>
      </c>
      <c r="I271" s="55">
        <v>583260.0</v>
      </c>
      <c r="J271" s="55">
        <v>2.417729352E8</v>
      </c>
      <c r="K271" s="55">
        <v>2.417729352E8</v>
      </c>
      <c r="L271" s="44"/>
      <c r="M271" s="44"/>
      <c r="N271" s="44"/>
      <c r="O271" s="44"/>
      <c r="P271" s="44"/>
      <c r="Q271" s="44"/>
      <c r="R271" s="44"/>
      <c r="S271" s="44"/>
    </row>
    <row r="272">
      <c r="A272" s="55" t="s">
        <v>4369</v>
      </c>
      <c r="B272" s="44"/>
      <c r="C272" s="55" t="s">
        <v>4370</v>
      </c>
      <c r="D272" s="55" t="s">
        <v>3997</v>
      </c>
      <c r="E272" s="55" t="s">
        <v>133</v>
      </c>
      <c r="F272" s="55" t="s">
        <v>622</v>
      </c>
      <c r="G272" s="55" t="s">
        <v>623</v>
      </c>
      <c r="H272" s="55">
        <v>0.07</v>
      </c>
      <c r="I272" s="55">
        <v>1993757.0</v>
      </c>
      <c r="J272" s="55">
        <v>2.4088572074E8</v>
      </c>
      <c r="K272" s="55">
        <v>2.4088572074E8</v>
      </c>
      <c r="L272" s="44"/>
      <c r="M272" s="44"/>
      <c r="N272" s="44"/>
      <c r="O272" s="44"/>
      <c r="P272" s="44"/>
      <c r="Q272" s="44"/>
      <c r="R272" s="44"/>
      <c r="S272" s="44"/>
    </row>
    <row r="273">
      <c r="A273" s="55" t="s">
        <v>4371</v>
      </c>
      <c r="B273" s="44"/>
      <c r="C273" s="55" t="s">
        <v>1662</v>
      </c>
      <c r="D273" s="55" t="s">
        <v>3997</v>
      </c>
      <c r="E273" s="55" t="s">
        <v>170</v>
      </c>
      <c r="F273" s="55" t="s">
        <v>622</v>
      </c>
      <c r="G273" s="55" t="s">
        <v>623</v>
      </c>
      <c r="H273" s="55">
        <v>0.07</v>
      </c>
      <c r="I273" s="55">
        <v>2976571.0</v>
      </c>
      <c r="J273" s="55">
        <v>2.3776849148E8</v>
      </c>
      <c r="K273" s="55">
        <v>2.3776849148E8</v>
      </c>
      <c r="L273" s="44"/>
      <c r="M273" s="44"/>
      <c r="N273" s="44"/>
      <c r="O273" s="44"/>
      <c r="P273" s="44"/>
      <c r="Q273" s="44"/>
      <c r="R273" s="44"/>
      <c r="S273" s="44"/>
    </row>
    <row r="274">
      <c r="A274" s="55" t="s">
        <v>4372</v>
      </c>
      <c r="B274" s="44"/>
      <c r="C274" s="55" t="s">
        <v>4373</v>
      </c>
      <c r="D274" s="55" t="s">
        <v>3997</v>
      </c>
      <c r="E274" s="55" t="s">
        <v>4014</v>
      </c>
      <c r="F274" s="55" t="s">
        <v>622</v>
      </c>
      <c r="G274" s="55" t="s">
        <v>623</v>
      </c>
      <c r="H274" s="55">
        <v>0.07</v>
      </c>
      <c r="I274" s="55">
        <v>206324.0</v>
      </c>
      <c r="J274" s="55">
        <v>2.3071974976E8</v>
      </c>
      <c r="K274" s="55">
        <v>2.3071974976E8</v>
      </c>
      <c r="L274" s="44"/>
      <c r="M274" s="44"/>
      <c r="N274" s="44"/>
      <c r="O274" s="44"/>
      <c r="P274" s="44"/>
      <c r="Q274" s="44"/>
      <c r="R274" s="44"/>
      <c r="S274" s="44"/>
    </row>
    <row r="275">
      <c r="A275" s="55" t="s">
        <v>4374</v>
      </c>
      <c r="B275" s="44"/>
      <c r="C275" s="55" t="s">
        <v>1923</v>
      </c>
      <c r="D275" s="55" t="s">
        <v>3997</v>
      </c>
      <c r="E275" s="55" t="s">
        <v>170</v>
      </c>
      <c r="F275" s="55" t="s">
        <v>622</v>
      </c>
      <c r="G275" s="55" t="s">
        <v>623</v>
      </c>
      <c r="H275" s="55">
        <v>0.07</v>
      </c>
      <c r="I275" s="55">
        <v>3616775.0</v>
      </c>
      <c r="J275" s="55">
        <v>2.2999072225E8</v>
      </c>
      <c r="K275" s="55">
        <v>2.2999072225E8</v>
      </c>
      <c r="L275" s="44"/>
      <c r="M275" s="44"/>
      <c r="N275" s="44"/>
      <c r="O275" s="44"/>
      <c r="P275" s="44"/>
      <c r="Q275" s="44"/>
      <c r="R275" s="44"/>
      <c r="S275" s="44"/>
    </row>
    <row r="276">
      <c r="A276" s="55" t="s">
        <v>4375</v>
      </c>
      <c r="B276" s="44"/>
      <c r="C276" s="55" t="s">
        <v>4376</v>
      </c>
      <c r="D276" s="55" t="s">
        <v>3997</v>
      </c>
      <c r="E276" s="55" t="s">
        <v>133</v>
      </c>
      <c r="F276" s="55" t="s">
        <v>622</v>
      </c>
      <c r="G276" s="55" t="s">
        <v>623</v>
      </c>
      <c r="H276" s="55">
        <v>0.07</v>
      </c>
      <c r="I276" s="55">
        <v>1340237.0</v>
      </c>
      <c r="J276" s="55">
        <v>2.2956919573E8</v>
      </c>
      <c r="K276" s="55">
        <v>2.2956919573E8</v>
      </c>
      <c r="L276" s="44"/>
      <c r="M276" s="44"/>
      <c r="N276" s="44"/>
      <c r="O276" s="44"/>
      <c r="P276" s="44"/>
      <c r="Q276" s="44"/>
      <c r="R276" s="44"/>
      <c r="S276" s="44"/>
    </row>
    <row r="277">
      <c r="A277" s="55" t="s">
        <v>4377</v>
      </c>
      <c r="B277" s="44"/>
      <c r="C277" s="55" t="s">
        <v>4378</v>
      </c>
      <c r="D277" s="55" t="s">
        <v>3997</v>
      </c>
      <c r="E277" s="55" t="s">
        <v>94</v>
      </c>
      <c r="F277" s="55" t="s">
        <v>622</v>
      </c>
      <c r="G277" s="55" t="s">
        <v>623</v>
      </c>
      <c r="H277" s="55">
        <v>0.07</v>
      </c>
      <c r="I277" s="55">
        <v>2416949.0</v>
      </c>
      <c r="J277" s="55">
        <v>2.2849835846E8</v>
      </c>
      <c r="K277" s="55">
        <v>2.2849835846E8</v>
      </c>
      <c r="L277" s="44"/>
      <c r="M277" s="44"/>
      <c r="N277" s="44"/>
      <c r="O277" s="44"/>
      <c r="P277" s="44"/>
      <c r="Q277" s="44"/>
      <c r="R277" s="44"/>
      <c r="S277" s="44"/>
    </row>
    <row r="278">
      <c r="A278" s="55" t="s">
        <v>4379</v>
      </c>
      <c r="B278" s="44"/>
      <c r="C278" s="55" t="s">
        <v>4380</v>
      </c>
      <c r="D278" s="55" t="s">
        <v>3997</v>
      </c>
      <c r="E278" s="55" t="s">
        <v>170</v>
      </c>
      <c r="F278" s="55" t="s">
        <v>622</v>
      </c>
      <c r="G278" s="55" t="s">
        <v>623</v>
      </c>
      <c r="H278" s="55">
        <v>0.07</v>
      </c>
      <c r="I278" s="55">
        <v>1837009.0</v>
      </c>
      <c r="J278" s="55">
        <v>2.2701757222E8</v>
      </c>
      <c r="K278" s="55">
        <v>2.2701757222E8</v>
      </c>
      <c r="L278" s="44"/>
      <c r="M278" s="44"/>
      <c r="N278" s="44"/>
      <c r="O278" s="44"/>
      <c r="P278" s="44"/>
      <c r="Q278" s="44"/>
      <c r="R278" s="44"/>
      <c r="S278" s="44"/>
    </row>
    <row r="279">
      <c r="A279" s="55" t="s">
        <v>4381</v>
      </c>
      <c r="B279" s="44"/>
      <c r="C279" s="55" t="s">
        <v>1606</v>
      </c>
      <c r="D279" s="55" t="s">
        <v>3997</v>
      </c>
      <c r="E279" s="55" t="s">
        <v>127</v>
      </c>
      <c r="F279" s="55" t="s">
        <v>622</v>
      </c>
      <c r="G279" s="55" t="s">
        <v>623</v>
      </c>
      <c r="H279" s="55">
        <v>0.07</v>
      </c>
      <c r="I279" s="55">
        <v>6071436.0</v>
      </c>
      <c r="J279" s="55">
        <v>2.243395602E8</v>
      </c>
      <c r="K279" s="55">
        <v>2.243395602E8</v>
      </c>
      <c r="L279" s="44"/>
      <c r="M279" s="44"/>
      <c r="N279" s="44"/>
      <c r="O279" s="44"/>
      <c r="P279" s="44"/>
      <c r="Q279" s="44"/>
      <c r="R279" s="44"/>
      <c r="S279" s="44"/>
    </row>
    <row r="280">
      <c r="A280" s="55" t="s">
        <v>4382</v>
      </c>
      <c r="B280" s="44"/>
      <c r="C280" s="55" t="s">
        <v>4383</v>
      </c>
      <c r="D280" s="55" t="s">
        <v>3997</v>
      </c>
      <c r="E280" s="55" t="s">
        <v>4004</v>
      </c>
      <c r="F280" s="55" t="s">
        <v>622</v>
      </c>
      <c r="G280" s="55" t="s">
        <v>623</v>
      </c>
      <c r="H280" s="55">
        <v>0.07</v>
      </c>
      <c r="I280" s="55">
        <v>2.0929957E7</v>
      </c>
      <c r="J280" s="55">
        <v>2.2374124033E8</v>
      </c>
      <c r="K280" s="55">
        <v>2.2374124033E8</v>
      </c>
      <c r="L280" s="44"/>
      <c r="M280" s="44"/>
      <c r="N280" s="44"/>
      <c r="O280" s="44"/>
      <c r="P280" s="44"/>
      <c r="Q280" s="44"/>
      <c r="R280" s="44"/>
      <c r="S280" s="44"/>
    </row>
    <row r="281">
      <c r="A281" s="55" t="s">
        <v>4384</v>
      </c>
      <c r="B281" s="44"/>
      <c r="C281" s="55" t="s">
        <v>2015</v>
      </c>
      <c r="D281" s="55" t="s">
        <v>3997</v>
      </c>
      <c r="E281" s="55" t="s">
        <v>167</v>
      </c>
      <c r="F281" s="55" t="s">
        <v>622</v>
      </c>
      <c r="G281" s="55" t="s">
        <v>623</v>
      </c>
      <c r="H281" s="55">
        <v>0.07</v>
      </c>
      <c r="I281" s="55">
        <v>1683049.0</v>
      </c>
      <c r="J281" s="55">
        <v>2.2323961936E8</v>
      </c>
      <c r="K281" s="55">
        <v>2.2323961936E8</v>
      </c>
      <c r="L281" s="44"/>
      <c r="M281" s="44"/>
      <c r="N281" s="44"/>
      <c r="O281" s="44"/>
      <c r="P281" s="44"/>
      <c r="Q281" s="44"/>
      <c r="R281" s="44"/>
      <c r="S281" s="44"/>
    </row>
    <row r="282">
      <c r="A282" s="55" t="s">
        <v>4385</v>
      </c>
      <c r="B282" s="44"/>
      <c r="C282" s="55" t="s">
        <v>1993</v>
      </c>
      <c r="D282" s="55" t="s">
        <v>3997</v>
      </c>
      <c r="E282" s="55" t="s">
        <v>4014</v>
      </c>
      <c r="F282" s="55" t="s">
        <v>622</v>
      </c>
      <c r="G282" s="55" t="s">
        <v>623</v>
      </c>
      <c r="H282" s="55">
        <v>0.07</v>
      </c>
      <c r="I282" s="55">
        <v>1971714.0</v>
      </c>
      <c r="J282" s="55">
        <v>2.2173895644E8</v>
      </c>
      <c r="K282" s="55">
        <v>2.2173895644E8</v>
      </c>
      <c r="L282" s="44"/>
      <c r="M282" s="44"/>
      <c r="N282" s="44"/>
      <c r="O282" s="44"/>
      <c r="P282" s="44"/>
      <c r="Q282" s="44"/>
      <c r="R282" s="44"/>
      <c r="S282" s="44"/>
    </row>
    <row r="283">
      <c r="A283" s="55" t="s">
        <v>4386</v>
      </c>
      <c r="B283" s="44"/>
      <c r="C283" s="55" t="s">
        <v>2012</v>
      </c>
      <c r="D283" s="55" t="s">
        <v>3997</v>
      </c>
      <c r="E283" s="55" t="s">
        <v>99</v>
      </c>
      <c r="F283" s="55" t="s">
        <v>622</v>
      </c>
      <c r="G283" s="55" t="s">
        <v>623</v>
      </c>
      <c r="H283" s="55">
        <v>0.06</v>
      </c>
      <c r="I283" s="55">
        <v>2116662.0</v>
      </c>
      <c r="J283" s="55">
        <v>2.2042918068E8</v>
      </c>
      <c r="K283" s="55">
        <v>2.2042918068E8</v>
      </c>
      <c r="L283" s="44"/>
      <c r="M283" s="44"/>
      <c r="N283" s="44"/>
      <c r="O283" s="44"/>
      <c r="P283" s="44"/>
      <c r="Q283" s="44"/>
      <c r="R283" s="44"/>
      <c r="S283" s="44"/>
    </row>
    <row r="284">
      <c r="A284" s="55" t="s">
        <v>4387</v>
      </c>
      <c r="B284" s="44"/>
      <c r="C284" s="55" t="s">
        <v>2017</v>
      </c>
      <c r="D284" s="55" t="s">
        <v>3997</v>
      </c>
      <c r="E284" s="55" t="s">
        <v>167</v>
      </c>
      <c r="F284" s="55" t="s">
        <v>622</v>
      </c>
      <c r="G284" s="55" t="s">
        <v>623</v>
      </c>
      <c r="H284" s="55">
        <v>0.06</v>
      </c>
      <c r="I284" s="55">
        <v>7244068.0</v>
      </c>
      <c r="J284" s="55">
        <v>2.1964014176E8</v>
      </c>
      <c r="K284" s="55">
        <v>2.1964014176E8</v>
      </c>
      <c r="L284" s="44"/>
      <c r="M284" s="44"/>
      <c r="N284" s="44"/>
      <c r="O284" s="44"/>
      <c r="P284" s="44"/>
      <c r="Q284" s="44"/>
      <c r="R284" s="44"/>
      <c r="S284" s="44"/>
    </row>
    <row r="285">
      <c r="A285" s="55" t="s">
        <v>4388</v>
      </c>
      <c r="B285" s="44"/>
      <c r="C285" s="55" t="s">
        <v>2005</v>
      </c>
      <c r="D285" s="55" t="s">
        <v>3997</v>
      </c>
      <c r="E285" s="55" t="s">
        <v>118</v>
      </c>
      <c r="F285" s="55" t="s">
        <v>622</v>
      </c>
      <c r="G285" s="55" t="s">
        <v>623</v>
      </c>
      <c r="H285" s="55">
        <v>0.06</v>
      </c>
      <c r="I285" s="55">
        <v>5021651.0</v>
      </c>
      <c r="J285" s="55">
        <v>2.1919506615E8</v>
      </c>
      <c r="K285" s="55">
        <v>2.1919506615E8</v>
      </c>
      <c r="L285" s="44"/>
      <c r="M285" s="44"/>
      <c r="N285" s="44"/>
      <c r="O285" s="44"/>
      <c r="P285" s="44"/>
      <c r="Q285" s="44"/>
      <c r="R285" s="44"/>
      <c r="S285" s="44"/>
    </row>
    <row r="286">
      <c r="A286" s="55" t="s">
        <v>4389</v>
      </c>
      <c r="B286" s="44"/>
      <c r="C286" s="55" t="s">
        <v>1998</v>
      </c>
      <c r="D286" s="55" t="s">
        <v>3997</v>
      </c>
      <c r="E286" s="55" t="s">
        <v>124</v>
      </c>
      <c r="F286" s="55" t="s">
        <v>622</v>
      </c>
      <c r="G286" s="55" t="s">
        <v>623</v>
      </c>
      <c r="H286" s="55">
        <v>0.06</v>
      </c>
      <c r="I286" s="55">
        <v>2069901.0</v>
      </c>
      <c r="J286" s="55">
        <v>2.1810546837E8</v>
      </c>
      <c r="K286" s="55">
        <v>2.1810546837E8</v>
      </c>
      <c r="L286" s="44"/>
      <c r="M286" s="44"/>
      <c r="N286" s="44"/>
      <c r="O286" s="44"/>
      <c r="P286" s="44"/>
      <c r="Q286" s="44"/>
      <c r="R286" s="44"/>
      <c r="S286" s="44"/>
    </row>
    <row r="287">
      <c r="A287" s="55" t="s">
        <v>4390</v>
      </c>
      <c r="B287" s="44"/>
      <c r="C287" s="55" t="s">
        <v>4391</v>
      </c>
      <c r="D287" s="55" t="s">
        <v>3997</v>
      </c>
      <c r="E287" s="55" t="s">
        <v>167</v>
      </c>
      <c r="F287" s="55" t="s">
        <v>622</v>
      </c>
      <c r="G287" s="55" t="s">
        <v>623</v>
      </c>
      <c r="H287" s="55">
        <v>0.06</v>
      </c>
      <c r="I287" s="55">
        <v>1.2187105E7</v>
      </c>
      <c r="J287" s="55">
        <v>2.1485866115E8</v>
      </c>
      <c r="K287" s="55">
        <v>2.1485866115E8</v>
      </c>
      <c r="L287" s="44"/>
      <c r="M287" s="44"/>
      <c r="N287" s="44"/>
      <c r="O287" s="44"/>
      <c r="P287" s="44"/>
      <c r="Q287" s="44"/>
      <c r="R287" s="44"/>
      <c r="S287" s="44"/>
    </row>
    <row r="288">
      <c r="A288" s="55" t="s">
        <v>4392</v>
      </c>
      <c r="B288" s="44"/>
      <c r="C288" s="55" t="s">
        <v>4393</v>
      </c>
      <c r="D288" s="55" t="s">
        <v>3997</v>
      </c>
      <c r="E288" s="55" t="s">
        <v>133</v>
      </c>
      <c r="F288" s="55" t="s">
        <v>622</v>
      </c>
      <c r="G288" s="55" t="s">
        <v>623</v>
      </c>
      <c r="H288" s="55">
        <v>0.06</v>
      </c>
      <c r="I288" s="55">
        <v>2923901.0</v>
      </c>
      <c r="J288" s="55">
        <v>2.143219433E8</v>
      </c>
      <c r="K288" s="55">
        <v>2.143219433E8</v>
      </c>
      <c r="L288" s="44"/>
      <c r="M288" s="44"/>
      <c r="N288" s="44"/>
      <c r="O288" s="44"/>
      <c r="P288" s="44"/>
      <c r="Q288" s="44"/>
      <c r="R288" s="44"/>
      <c r="S288" s="44"/>
    </row>
    <row r="289">
      <c r="A289" s="55" t="s">
        <v>4394</v>
      </c>
      <c r="B289" s="44"/>
      <c r="C289" s="55" t="s">
        <v>4395</v>
      </c>
      <c r="D289" s="55" t="s">
        <v>3997</v>
      </c>
      <c r="E289" s="55" t="s">
        <v>124</v>
      </c>
      <c r="F289" s="55" t="s">
        <v>622</v>
      </c>
      <c r="G289" s="55" t="s">
        <v>623</v>
      </c>
      <c r="H289" s="55">
        <v>0.06</v>
      </c>
      <c r="I289" s="55">
        <v>2321935.0</v>
      </c>
      <c r="J289" s="55">
        <v>2.1336260715E8</v>
      </c>
      <c r="K289" s="55">
        <v>2.1336260715E8</v>
      </c>
      <c r="L289" s="44"/>
      <c r="M289" s="44"/>
      <c r="N289" s="44"/>
      <c r="O289" s="44"/>
      <c r="P289" s="44"/>
      <c r="Q289" s="44"/>
      <c r="R289" s="44"/>
      <c r="S289" s="44"/>
    </row>
    <row r="290">
      <c r="A290" s="55" t="s">
        <v>4396</v>
      </c>
      <c r="B290" s="44"/>
      <c r="C290" s="55" t="s">
        <v>2026</v>
      </c>
      <c r="D290" s="55" t="s">
        <v>3997</v>
      </c>
      <c r="E290" s="55" t="s">
        <v>127</v>
      </c>
      <c r="F290" s="55" t="s">
        <v>622</v>
      </c>
      <c r="G290" s="55" t="s">
        <v>623</v>
      </c>
      <c r="H290" s="55">
        <v>0.06</v>
      </c>
      <c r="I290" s="55">
        <v>1158026.0</v>
      </c>
      <c r="J290" s="55">
        <v>2.11918758E8</v>
      </c>
      <c r="K290" s="55">
        <v>2.11918758E8</v>
      </c>
      <c r="L290" s="44"/>
      <c r="M290" s="44"/>
      <c r="N290" s="44"/>
      <c r="O290" s="44"/>
      <c r="P290" s="44"/>
      <c r="Q290" s="44"/>
      <c r="R290" s="44"/>
      <c r="S290" s="44"/>
    </row>
    <row r="291">
      <c r="A291" s="55" t="s">
        <v>4397</v>
      </c>
      <c r="B291" s="44"/>
      <c r="C291" s="55" t="s">
        <v>2079</v>
      </c>
      <c r="D291" s="55" t="s">
        <v>3997</v>
      </c>
      <c r="E291" s="55" t="s">
        <v>124</v>
      </c>
      <c r="F291" s="55" t="s">
        <v>622</v>
      </c>
      <c r="G291" s="55" t="s">
        <v>623</v>
      </c>
      <c r="H291" s="55">
        <v>0.06</v>
      </c>
      <c r="I291" s="55">
        <v>1975755.0</v>
      </c>
      <c r="J291" s="55">
        <v>2.110896642E8</v>
      </c>
      <c r="K291" s="55">
        <v>2.110896642E8</v>
      </c>
      <c r="L291" s="44"/>
      <c r="M291" s="44"/>
      <c r="N291" s="44"/>
      <c r="O291" s="44"/>
      <c r="P291" s="44"/>
      <c r="Q291" s="44"/>
      <c r="R291" s="44"/>
      <c r="S291" s="44"/>
    </row>
    <row r="292">
      <c r="A292" s="55" t="s">
        <v>4398</v>
      </c>
      <c r="B292" s="44"/>
      <c r="C292" s="55" t="s">
        <v>2090</v>
      </c>
      <c r="D292" s="55" t="s">
        <v>3997</v>
      </c>
      <c r="E292" s="55" t="s">
        <v>4014</v>
      </c>
      <c r="F292" s="55" t="s">
        <v>622</v>
      </c>
      <c r="G292" s="55" t="s">
        <v>623</v>
      </c>
      <c r="H292" s="55">
        <v>0.06</v>
      </c>
      <c r="I292" s="55">
        <v>2402623.0</v>
      </c>
      <c r="J292" s="55">
        <v>2.109502994E8</v>
      </c>
      <c r="K292" s="55">
        <v>2.109502994E8</v>
      </c>
      <c r="L292" s="44"/>
      <c r="M292" s="44"/>
      <c r="N292" s="44"/>
      <c r="O292" s="44"/>
      <c r="P292" s="44"/>
      <c r="Q292" s="44"/>
      <c r="R292" s="44"/>
      <c r="S292" s="44"/>
    </row>
    <row r="293">
      <c r="A293" s="55" t="s">
        <v>4399</v>
      </c>
      <c r="B293" s="44"/>
      <c r="C293" s="55" t="s">
        <v>4400</v>
      </c>
      <c r="D293" s="55" t="s">
        <v>3997</v>
      </c>
      <c r="E293" s="55" t="s">
        <v>133</v>
      </c>
      <c r="F293" s="55" t="s">
        <v>622</v>
      </c>
      <c r="G293" s="55" t="s">
        <v>623</v>
      </c>
      <c r="H293" s="55">
        <v>0.06</v>
      </c>
      <c r="I293" s="55">
        <v>6895523.0</v>
      </c>
      <c r="J293" s="55">
        <v>2.1038240673E8</v>
      </c>
      <c r="K293" s="55">
        <v>2.1038240673E8</v>
      </c>
      <c r="L293" s="44"/>
      <c r="M293" s="44"/>
      <c r="N293" s="44"/>
      <c r="O293" s="44"/>
      <c r="P293" s="44"/>
      <c r="Q293" s="44"/>
      <c r="R293" s="44"/>
      <c r="S293" s="44"/>
    </row>
    <row r="294">
      <c r="A294" s="55" t="s">
        <v>4401</v>
      </c>
      <c r="B294" s="44"/>
      <c r="C294" s="55" t="s">
        <v>4402</v>
      </c>
      <c r="D294" s="55" t="s">
        <v>3997</v>
      </c>
      <c r="E294" s="55" t="s">
        <v>118</v>
      </c>
      <c r="F294" s="55" t="s">
        <v>622</v>
      </c>
      <c r="G294" s="55" t="s">
        <v>623</v>
      </c>
      <c r="H294" s="55">
        <v>0.06</v>
      </c>
      <c r="I294" s="55">
        <v>2223833.0</v>
      </c>
      <c r="J294" s="55">
        <v>2.0932940029E8</v>
      </c>
      <c r="K294" s="55">
        <v>2.0932940029E8</v>
      </c>
      <c r="L294" s="44"/>
      <c r="M294" s="44"/>
      <c r="N294" s="44"/>
      <c r="O294" s="44"/>
      <c r="P294" s="44"/>
      <c r="Q294" s="44"/>
      <c r="R294" s="44"/>
      <c r="S294" s="44"/>
    </row>
    <row r="295">
      <c r="A295" s="55" t="s">
        <v>4403</v>
      </c>
      <c r="B295" s="44"/>
      <c r="C295" s="55" t="s">
        <v>1939</v>
      </c>
      <c r="D295" s="55" t="s">
        <v>3997</v>
      </c>
      <c r="E295" s="55" t="s">
        <v>167</v>
      </c>
      <c r="F295" s="55" t="s">
        <v>622</v>
      </c>
      <c r="G295" s="55" t="s">
        <v>623</v>
      </c>
      <c r="H295" s="55">
        <v>0.06</v>
      </c>
      <c r="I295" s="55">
        <v>8187431.0</v>
      </c>
      <c r="J295" s="55">
        <v>2.0935261067E8</v>
      </c>
      <c r="K295" s="55">
        <v>2.0935261067E8</v>
      </c>
      <c r="L295" s="44"/>
      <c r="M295" s="44"/>
      <c r="N295" s="44"/>
      <c r="O295" s="44"/>
      <c r="P295" s="44"/>
      <c r="Q295" s="44"/>
      <c r="R295" s="44"/>
      <c r="S295" s="44"/>
    </row>
    <row r="296">
      <c r="A296" s="55" t="s">
        <v>4404</v>
      </c>
      <c r="B296" s="44"/>
      <c r="C296" s="55" t="s">
        <v>4405</v>
      </c>
      <c r="D296" s="55" t="s">
        <v>3997</v>
      </c>
      <c r="E296" s="55" t="s">
        <v>4004</v>
      </c>
      <c r="F296" s="55" t="s">
        <v>622</v>
      </c>
      <c r="G296" s="55" t="s">
        <v>623</v>
      </c>
      <c r="H296" s="55">
        <v>0.06</v>
      </c>
      <c r="I296" s="55">
        <v>1490347.0</v>
      </c>
      <c r="J296" s="55">
        <v>2.089466494E8</v>
      </c>
      <c r="K296" s="55">
        <v>2.089466494E8</v>
      </c>
      <c r="L296" s="44"/>
      <c r="M296" s="44"/>
      <c r="N296" s="44"/>
      <c r="O296" s="44"/>
      <c r="P296" s="44"/>
      <c r="Q296" s="44"/>
      <c r="R296" s="44"/>
      <c r="S296" s="44"/>
    </row>
    <row r="297">
      <c r="A297" s="55" t="s">
        <v>4406</v>
      </c>
      <c r="B297" s="44"/>
      <c r="C297" s="55" t="s">
        <v>4407</v>
      </c>
      <c r="D297" s="55" t="s">
        <v>3997</v>
      </c>
      <c r="E297" s="55" t="s">
        <v>118</v>
      </c>
      <c r="F297" s="55" t="s">
        <v>622</v>
      </c>
      <c r="G297" s="55" t="s">
        <v>623</v>
      </c>
      <c r="H297" s="55">
        <v>0.06</v>
      </c>
      <c r="I297" s="55">
        <v>1026815.0</v>
      </c>
      <c r="J297" s="55">
        <v>2.088747073E8</v>
      </c>
      <c r="K297" s="55">
        <v>2.088747073E8</v>
      </c>
      <c r="L297" s="44"/>
      <c r="M297" s="44"/>
      <c r="N297" s="44"/>
      <c r="O297" s="44"/>
      <c r="P297" s="44"/>
      <c r="Q297" s="44"/>
      <c r="R297" s="44"/>
      <c r="S297" s="44"/>
    </row>
    <row r="298">
      <c r="A298" s="55" t="s">
        <v>4408</v>
      </c>
      <c r="B298" s="44"/>
      <c r="C298" s="55" t="s">
        <v>4409</v>
      </c>
      <c r="D298" s="55" t="s">
        <v>3997</v>
      </c>
      <c r="E298" s="55" t="s">
        <v>99</v>
      </c>
      <c r="F298" s="55" t="s">
        <v>622</v>
      </c>
      <c r="G298" s="55" t="s">
        <v>623</v>
      </c>
      <c r="H298" s="55">
        <v>0.06</v>
      </c>
      <c r="I298" s="55">
        <v>2885744.0</v>
      </c>
      <c r="J298" s="55">
        <v>2.0811985728E8</v>
      </c>
      <c r="K298" s="55">
        <v>2.0811985728E8</v>
      </c>
      <c r="L298" s="44"/>
      <c r="M298" s="44"/>
      <c r="N298" s="44"/>
      <c r="O298" s="44"/>
      <c r="P298" s="44"/>
      <c r="Q298" s="44"/>
      <c r="R298" s="44"/>
      <c r="S298" s="44"/>
    </row>
    <row r="299">
      <c r="A299" s="55" t="s">
        <v>4410</v>
      </c>
      <c r="B299" s="44"/>
      <c r="C299" s="55" t="s">
        <v>2072</v>
      </c>
      <c r="D299" s="55" t="s">
        <v>3997</v>
      </c>
      <c r="E299" s="55" t="s">
        <v>167</v>
      </c>
      <c r="F299" s="55" t="s">
        <v>622</v>
      </c>
      <c r="G299" s="55" t="s">
        <v>623</v>
      </c>
      <c r="H299" s="55">
        <v>0.06</v>
      </c>
      <c r="I299" s="55">
        <v>234611.0</v>
      </c>
      <c r="J299" s="55">
        <v>2.0806241924E8</v>
      </c>
      <c r="K299" s="55">
        <v>2.0806241924E8</v>
      </c>
      <c r="L299" s="44"/>
      <c r="M299" s="44"/>
      <c r="N299" s="44"/>
      <c r="O299" s="44"/>
      <c r="P299" s="44"/>
      <c r="Q299" s="44"/>
      <c r="R299" s="44"/>
      <c r="S299" s="44"/>
    </row>
    <row r="300">
      <c r="A300" s="55" t="s">
        <v>4411</v>
      </c>
      <c r="B300" s="44"/>
      <c r="C300" s="55" t="s">
        <v>180</v>
      </c>
      <c r="D300" s="55" t="s">
        <v>3997</v>
      </c>
      <c r="E300" s="55" t="s">
        <v>4014</v>
      </c>
      <c r="F300" s="55" t="s">
        <v>622</v>
      </c>
      <c r="G300" s="55" t="s">
        <v>623</v>
      </c>
      <c r="H300" s="55">
        <v>0.06</v>
      </c>
      <c r="I300" s="55">
        <v>1386635.0</v>
      </c>
      <c r="J300" s="55">
        <v>2.0806458175E8</v>
      </c>
      <c r="K300" s="55">
        <v>2.0806458175E8</v>
      </c>
      <c r="L300" s="44"/>
      <c r="M300" s="44"/>
      <c r="N300" s="44"/>
      <c r="O300" s="44"/>
      <c r="P300" s="44"/>
      <c r="Q300" s="44"/>
      <c r="R300" s="44"/>
      <c r="S300" s="44"/>
    </row>
    <row r="301">
      <c r="A301" s="55" t="s">
        <v>4412</v>
      </c>
      <c r="B301" s="44"/>
      <c r="C301" s="55" t="s">
        <v>4413</v>
      </c>
      <c r="D301" s="55" t="s">
        <v>3997</v>
      </c>
      <c r="E301" s="55" t="s">
        <v>127</v>
      </c>
      <c r="F301" s="55" t="s">
        <v>622</v>
      </c>
      <c r="G301" s="55" t="s">
        <v>623</v>
      </c>
      <c r="H301" s="55">
        <v>0.06</v>
      </c>
      <c r="I301" s="55">
        <v>2272413.0</v>
      </c>
      <c r="J301" s="55">
        <v>2.0690320365E8</v>
      </c>
      <c r="K301" s="55">
        <v>2.0690320365E8</v>
      </c>
      <c r="L301" s="44"/>
      <c r="M301" s="44"/>
      <c r="N301" s="44"/>
      <c r="O301" s="44"/>
      <c r="P301" s="44"/>
      <c r="Q301" s="44"/>
      <c r="R301" s="44"/>
      <c r="S301" s="44"/>
    </row>
    <row r="302">
      <c r="A302" s="55" t="s">
        <v>4414</v>
      </c>
      <c r="B302" s="44"/>
      <c r="C302" s="55" t="s">
        <v>4415</v>
      </c>
      <c r="D302" s="55" t="s">
        <v>3997</v>
      </c>
      <c r="E302" s="55" t="s">
        <v>4014</v>
      </c>
      <c r="F302" s="55" t="s">
        <v>622</v>
      </c>
      <c r="G302" s="55" t="s">
        <v>623</v>
      </c>
      <c r="H302" s="55">
        <v>0.06</v>
      </c>
      <c r="I302" s="55">
        <v>930980.0</v>
      </c>
      <c r="J302" s="55">
        <v>2.068544462E8</v>
      </c>
      <c r="K302" s="55">
        <v>2.068544462E8</v>
      </c>
      <c r="L302" s="44"/>
      <c r="M302" s="44"/>
      <c r="N302" s="44"/>
      <c r="O302" s="44"/>
      <c r="P302" s="44"/>
      <c r="Q302" s="44"/>
      <c r="R302" s="44"/>
      <c r="S302" s="44"/>
    </row>
    <row r="303">
      <c r="A303" s="55" t="s">
        <v>4416</v>
      </c>
      <c r="B303" s="44"/>
      <c r="C303" s="55" t="s">
        <v>2084</v>
      </c>
      <c r="D303" s="55" t="s">
        <v>3997</v>
      </c>
      <c r="E303" s="55" t="s">
        <v>4014</v>
      </c>
      <c r="F303" s="55" t="s">
        <v>622</v>
      </c>
      <c r="G303" s="55" t="s">
        <v>623</v>
      </c>
      <c r="H303" s="55">
        <v>0.06</v>
      </c>
      <c r="I303" s="55">
        <v>671498.0</v>
      </c>
      <c r="J303" s="55">
        <v>2.0649234998E8</v>
      </c>
      <c r="K303" s="55">
        <v>2.0649234998E8</v>
      </c>
      <c r="L303" s="44"/>
      <c r="M303" s="44"/>
      <c r="N303" s="44"/>
      <c r="O303" s="44"/>
      <c r="P303" s="44"/>
      <c r="Q303" s="44"/>
      <c r="R303" s="44"/>
      <c r="S303" s="44"/>
    </row>
    <row r="304">
      <c r="A304" s="55" t="s">
        <v>4417</v>
      </c>
      <c r="B304" s="44"/>
      <c r="C304" s="55" t="s">
        <v>2075</v>
      </c>
      <c r="D304" s="55" t="s">
        <v>3997</v>
      </c>
      <c r="E304" s="55" t="s">
        <v>99</v>
      </c>
      <c r="F304" s="55" t="s">
        <v>622</v>
      </c>
      <c r="G304" s="55" t="s">
        <v>623</v>
      </c>
      <c r="H304" s="55">
        <v>0.06</v>
      </c>
      <c r="I304" s="55">
        <v>973930.0</v>
      </c>
      <c r="J304" s="55">
        <v>2.063562884E8</v>
      </c>
      <c r="K304" s="55">
        <v>2.063562884E8</v>
      </c>
      <c r="L304" s="44"/>
      <c r="M304" s="44"/>
      <c r="N304" s="44"/>
      <c r="O304" s="44"/>
      <c r="P304" s="44"/>
      <c r="Q304" s="44"/>
      <c r="R304" s="44"/>
      <c r="S304" s="44"/>
    </row>
    <row r="305">
      <c r="A305" s="55" t="s">
        <v>4418</v>
      </c>
      <c r="B305" s="44"/>
      <c r="C305" s="55" t="s">
        <v>4419</v>
      </c>
      <c r="D305" s="55" t="s">
        <v>3997</v>
      </c>
      <c r="E305" s="55" t="s">
        <v>167</v>
      </c>
      <c r="F305" s="55" t="s">
        <v>622</v>
      </c>
      <c r="G305" s="55" t="s">
        <v>623</v>
      </c>
      <c r="H305" s="55">
        <v>0.06</v>
      </c>
      <c r="I305" s="55">
        <v>450681.0</v>
      </c>
      <c r="J305" s="55">
        <v>2.0367175752E8</v>
      </c>
      <c r="K305" s="55">
        <v>2.0367175752E8</v>
      </c>
      <c r="L305" s="44"/>
      <c r="M305" s="44"/>
      <c r="N305" s="44"/>
      <c r="O305" s="44"/>
      <c r="P305" s="44"/>
      <c r="Q305" s="44"/>
      <c r="R305" s="44"/>
      <c r="S305" s="44"/>
    </row>
    <row r="306">
      <c r="A306" s="55" t="s">
        <v>4420</v>
      </c>
      <c r="B306" s="44"/>
      <c r="C306" s="55" t="s">
        <v>1777</v>
      </c>
      <c r="D306" s="55" t="s">
        <v>3997</v>
      </c>
      <c r="E306" s="55" t="s">
        <v>99</v>
      </c>
      <c r="F306" s="55" t="s">
        <v>622</v>
      </c>
      <c r="G306" s="55" t="s">
        <v>623</v>
      </c>
      <c r="H306" s="55">
        <v>0.06</v>
      </c>
      <c r="I306" s="55">
        <v>2358603.0</v>
      </c>
      <c r="J306" s="55">
        <v>2.0361819699E8</v>
      </c>
      <c r="K306" s="55">
        <v>2.0361819699E8</v>
      </c>
      <c r="L306" s="44"/>
      <c r="M306" s="44"/>
      <c r="N306" s="44"/>
      <c r="O306" s="44"/>
      <c r="P306" s="44"/>
      <c r="Q306" s="44"/>
      <c r="R306" s="44"/>
      <c r="S306" s="44"/>
    </row>
    <row r="307">
      <c r="A307" s="55" t="s">
        <v>4421</v>
      </c>
      <c r="B307" s="44"/>
      <c r="C307" s="55" t="s">
        <v>2036</v>
      </c>
      <c r="D307" s="55" t="s">
        <v>3997</v>
      </c>
      <c r="E307" s="55" t="s">
        <v>99</v>
      </c>
      <c r="F307" s="55" t="s">
        <v>622</v>
      </c>
      <c r="G307" s="55" t="s">
        <v>623</v>
      </c>
      <c r="H307" s="55">
        <v>0.06</v>
      </c>
      <c r="I307" s="55">
        <v>3006837.0</v>
      </c>
      <c r="J307" s="55">
        <v>2.0314190772E8</v>
      </c>
      <c r="K307" s="55">
        <v>2.0314190772E8</v>
      </c>
      <c r="L307" s="44"/>
      <c r="M307" s="44"/>
      <c r="N307" s="44"/>
      <c r="O307" s="44"/>
      <c r="P307" s="44"/>
      <c r="Q307" s="44"/>
      <c r="R307" s="44"/>
      <c r="S307" s="44"/>
    </row>
    <row r="308">
      <c r="A308" s="55" t="s">
        <v>4422</v>
      </c>
      <c r="B308" s="44"/>
      <c r="C308" s="55" t="s">
        <v>4423</v>
      </c>
      <c r="D308" s="55" t="s">
        <v>3997</v>
      </c>
      <c r="E308" s="55" t="s">
        <v>133</v>
      </c>
      <c r="F308" s="55" t="s">
        <v>622</v>
      </c>
      <c r="G308" s="55" t="s">
        <v>623</v>
      </c>
      <c r="H308" s="55">
        <v>0.06</v>
      </c>
      <c r="I308" s="55">
        <v>1022866.0</v>
      </c>
      <c r="J308" s="55">
        <v>2.0299798636E8</v>
      </c>
      <c r="K308" s="55">
        <v>2.0299798636E8</v>
      </c>
      <c r="L308" s="44"/>
      <c r="M308" s="44"/>
      <c r="N308" s="44"/>
      <c r="O308" s="44"/>
      <c r="P308" s="44"/>
      <c r="Q308" s="44"/>
      <c r="R308" s="44"/>
      <c r="S308" s="44"/>
    </row>
    <row r="309">
      <c r="A309" s="55" t="s">
        <v>4424</v>
      </c>
      <c r="B309" s="44"/>
      <c r="C309" s="55" t="s">
        <v>4425</v>
      </c>
      <c r="D309" s="55" t="s">
        <v>3997</v>
      </c>
      <c r="E309" s="55" t="s">
        <v>127</v>
      </c>
      <c r="F309" s="55" t="s">
        <v>622</v>
      </c>
      <c r="G309" s="55" t="s">
        <v>623</v>
      </c>
      <c r="H309" s="55">
        <v>0.06</v>
      </c>
      <c r="I309" s="55">
        <v>1114462.0</v>
      </c>
      <c r="J309" s="55">
        <v>2.01717622E8</v>
      </c>
      <c r="K309" s="55">
        <v>2.01717622E8</v>
      </c>
      <c r="L309" s="44"/>
      <c r="M309" s="44"/>
      <c r="N309" s="44"/>
      <c r="O309" s="44"/>
      <c r="P309" s="44"/>
      <c r="Q309" s="44"/>
      <c r="R309" s="44"/>
      <c r="S309" s="44"/>
    </row>
    <row r="310">
      <c r="A310" s="55" t="s">
        <v>4426</v>
      </c>
      <c r="B310" s="44"/>
      <c r="C310" s="55" t="s">
        <v>2152</v>
      </c>
      <c r="D310" s="55" t="s">
        <v>3997</v>
      </c>
      <c r="E310" s="55" t="s">
        <v>99</v>
      </c>
      <c r="F310" s="55" t="s">
        <v>622</v>
      </c>
      <c r="G310" s="55" t="s">
        <v>623</v>
      </c>
      <c r="H310" s="55">
        <v>0.06</v>
      </c>
      <c r="I310" s="55">
        <v>1565507.0</v>
      </c>
      <c r="J310" s="55">
        <v>1.9797401522E8</v>
      </c>
      <c r="K310" s="55">
        <v>1.9797401522E8</v>
      </c>
      <c r="L310" s="44"/>
      <c r="M310" s="44"/>
      <c r="N310" s="44"/>
      <c r="O310" s="44"/>
      <c r="P310" s="44"/>
      <c r="Q310" s="44"/>
      <c r="R310" s="44"/>
      <c r="S310" s="44"/>
    </row>
    <row r="311">
      <c r="A311" s="55" t="s">
        <v>4427</v>
      </c>
      <c r="B311" s="44"/>
      <c r="C311" s="55" t="s">
        <v>2137</v>
      </c>
      <c r="D311" s="55" t="s">
        <v>3997</v>
      </c>
      <c r="E311" s="55" t="s">
        <v>4014</v>
      </c>
      <c r="F311" s="55" t="s">
        <v>622</v>
      </c>
      <c r="G311" s="55" t="s">
        <v>623</v>
      </c>
      <c r="H311" s="55">
        <v>0.06</v>
      </c>
      <c r="I311" s="55">
        <v>1493665.0</v>
      </c>
      <c r="J311" s="55">
        <v>1.9768656275E8</v>
      </c>
      <c r="K311" s="55">
        <v>1.9768656275E8</v>
      </c>
      <c r="L311" s="44"/>
      <c r="M311" s="44"/>
      <c r="N311" s="44"/>
      <c r="O311" s="44"/>
      <c r="P311" s="44"/>
      <c r="Q311" s="44"/>
      <c r="R311" s="44"/>
      <c r="S311" s="44"/>
    </row>
    <row r="312">
      <c r="A312" s="55" t="s">
        <v>4428</v>
      </c>
      <c r="B312" s="44"/>
      <c r="C312" s="55" t="s">
        <v>2228</v>
      </c>
      <c r="D312" s="55" t="s">
        <v>3997</v>
      </c>
      <c r="E312" s="55" t="s">
        <v>115</v>
      </c>
      <c r="F312" s="55" t="s">
        <v>622</v>
      </c>
      <c r="G312" s="55" t="s">
        <v>623</v>
      </c>
      <c r="H312" s="55">
        <v>0.06</v>
      </c>
      <c r="I312" s="55">
        <v>7147548.0</v>
      </c>
      <c r="J312" s="55">
        <v>1.9677199644E8</v>
      </c>
      <c r="K312" s="55">
        <v>1.9677199644E8</v>
      </c>
      <c r="L312" s="44"/>
      <c r="M312" s="44"/>
      <c r="N312" s="44"/>
      <c r="O312" s="44"/>
      <c r="P312" s="44"/>
      <c r="Q312" s="44"/>
      <c r="R312" s="44"/>
      <c r="S312" s="44"/>
    </row>
    <row r="313">
      <c r="A313" s="55" t="s">
        <v>4429</v>
      </c>
      <c r="B313" s="44"/>
      <c r="C313" s="55" t="s">
        <v>4430</v>
      </c>
      <c r="D313" s="55" t="s">
        <v>3997</v>
      </c>
      <c r="E313" s="55" t="s">
        <v>170</v>
      </c>
      <c r="F313" s="55" t="s">
        <v>622</v>
      </c>
      <c r="G313" s="55" t="s">
        <v>623</v>
      </c>
      <c r="H313" s="55">
        <v>0.06</v>
      </c>
      <c r="I313" s="55">
        <v>1945631.0</v>
      </c>
      <c r="J313" s="55">
        <v>1.9189758553E8</v>
      </c>
      <c r="K313" s="55">
        <v>1.9189758553E8</v>
      </c>
      <c r="L313" s="44"/>
      <c r="M313" s="44"/>
      <c r="N313" s="44"/>
      <c r="O313" s="44"/>
      <c r="P313" s="44"/>
      <c r="Q313" s="44"/>
      <c r="R313" s="44"/>
      <c r="S313" s="44"/>
    </row>
    <row r="314">
      <c r="A314" s="55" t="s">
        <v>4431</v>
      </c>
      <c r="B314" s="44"/>
      <c r="C314" s="55" t="s">
        <v>4432</v>
      </c>
      <c r="D314" s="55" t="s">
        <v>3997</v>
      </c>
      <c r="E314" s="55" t="s">
        <v>133</v>
      </c>
      <c r="F314" s="55" t="s">
        <v>622</v>
      </c>
      <c r="G314" s="55" t="s">
        <v>623</v>
      </c>
      <c r="H314" s="55">
        <v>0.06</v>
      </c>
      <c r="I314" s="55">
        <v>3254661.0</v>
      </c>
      <c r="J314" s="55">
        <v>1.9127642697E8</v>
      </c>
      <c r="K314" s="55">
        <v>1.9127642697E8</v>
      </c>
      <c r="L314" s="44"/>
      <c r="M314" s="44"/>
      <c r="N314" s="44"/>
      <c r="O314" s="44"/>
      <c r="P314" s="44"/>
      <c r="Q314" s="44"/>
      <c r="R314" s="44"/>
      <c r="S314" s="44"/>
    </row>
    <row r="315">
      <c r="A315" s="55" t="s">
        <v>4433</v>
      </c>
      <c r="B315" s="44"/>
      <c r="C315" s="55" t="s">
        <v>2186</v>
      </c>
      <c r="D315" s="55" t="s">
        <v>3997</v>
      </c>
      <c r="E315" s="55" t="s">
        <v>94</v>
      </c>
      <c r="F315" s="55" t="s">
        <v>622</v>
      </c>
      <c r="G315" s="55" t="s">
        <v>623</v>
      </c>
      <c r="H315" s="55">
        <v>0.06</v>
      </c>
      <c r="I315" s="55">
        <v>1107372.0</v>
      </c>
      <c r="J315" s="55">
        <v>1.909109328E8</v>
      </c>
      <c r="K315" s="55">
        <v>1.909109328E8</v>
      </c>
      <c r="L315" s="44"/>
      <c r="M315" s="44"/>
      <c r="N315" s="44"/>
      <c r="O315" s="44"/>
      <c r="P315" s="44"/>
      <c r="Q315" s="44"/>
      <c r="R315" s="44"/>
      <c r="S315" s="44"/>
    </row>
    <row r="316">
      <c r="A316" s="55" t="s">
        <v>4434</v>
      </c>
      <c r="B316" s="44"/>
      <c r="C316" s="55" t="s">
        <v>4435</v>
      </c>
      <c r="D316" s="55" t="s">
        <v>3997</v>
      </c>
      <c r="E316" s="55" t="s">
        <v>118</v>
      </c>
      <c r="F316" s="55" t="s">
        <v>622</v>
      </c>
      <c r="G316" s="55" t="s">
        <v>623</v>
      </c>
      <c r="H316" s="55">
        <v>0.06</v>
      </c>
      <c r="I316" s="55">
        <v>1325331.0</v>
      </c>
      <c r="J316" s="55">
        <v>1.8986691906E8</v>
      </c>
      <c r="K316" s="55">
        <v>1.8986691906E8</v>
      </c>
      <c r="L316" s="44"/>
      <c r="M316" s="44"/>
      <c r="N316" s="44"/>
      <c r="O316" s="44"/>
      <c r="P316" s="44"/>
      <c r="Q316" s="44"/>
      <c r="R316" s="44"/>
      <c r="S316" s="44"/>
    </row>
    <row r="317">
      <c r="A317" s="55" t="s">
        <v>4436</v>
      </c>
      <c r="B317" s="44"/>
      <c r="C317" s="55" t="s">
        <v>1649</v>
      </c>
      <c r="D317" s="55" t="s">
        <v>3997</v>
      </c>
      <c r="E317" s="55" t="s">
        <v>170</v>
      </c>
      <c r="F317" s="55" t="s">
        <v>622</v>
      </c>
      <c r="G317" s="55" t="s">
        <v>623</v>
      </c>
      <c r="H317" s="55">
        <v>0.06</v>
      </c>
      <c r="I317" s="55">
        <v>3294109.0</v>
      </c>
      <c r="J317" s="55">
        <v>1.8895009224E8</v>
      </c>
      <c r="K317" s="55">
        <v>1.8895009224E8</v>
      </c>
      <c r="L317" s="44"/>
      <c r="M317" s="44"/>
      <c r="N317" s="44"/>
      <c r="O317" s="44"/>
      <c r="P317" s="44"/>
      <c r="Q317" s="44"/>
      <c r="R317" s="44"/>
      <c r="S317" s="44"/>
    </row>
    <row r="318">
      <c r="A318" s="55" t="s">
        <v>4437</v>
      </c>
      <c r="B318" s="44"/>
      <c r="C318" s="55" t="s">
        <v>2169</v>
      </c>
      <c r="D318" s="55" t="s">
        <v>3997</v>
      </c>
      <c r="E318" s="55" t="s">
        <v>118</v>
      </c>
      <c r="F318" s="55" t="s">
        <v>622</v>
      </c>
      <c r="G318" s="55" t="s">
        <v>623</v>
      </c>
      <c r="H318" s="55">
        <v>0.06</v>
      </c>
      <c r="I318" s="55">
        <v>470039.0</v>
      </c>
      <c r="J318" s="55">
        <v>1.8750325749E8</v>
      </c>
      <c r="K318" s="55">
        <v>1.8750325749E8</v>
      </c>
      <c r="L318" s="44"/>
      <c r="M318" s="44"/>
      <c r="N318" s="44"/>
      <c r="O318" s="44"/>
      <c r="P318" s="44"/>
      <c r="Q318" s="44"/>
      <c r="R318" s="44"/>
      <c r="S318" s="44"/>
    </row>
    <row r="319">
      <c r="A319" s="55" t="s">
        <v>4438</v>
      </c>
      <c r="B319" s="44"/>
      <c r="C319" s="55" t="s">
        <v>2270</v>
      </c>
      <c r="D319" s="55" t="s">
        <v>3997</v>
      </c>
      <c r="E319" s="55" t="s">
        <v>118</v>
      </c>
      <c r="F319" s="55" t="s">
        <v>622</v>
      </c>
      <c r="G319" s="55" t="s">
        <v>623</v>
      </c>
      <c r="H319" s="55">
        <v>0.05</v>
      </c>
      <c r="I319" s="55">
        <v>30814.0</v>
      </c>
      <c r="J319" s="55">
        <v>1.8679200288E8</v>
      </c>
      <c r="K319" s="55">
        <v>1.8679200288E8</v>
      </c>
      <c r="L319" s="44"/>
      <c r="M319" s="44"/>
      <c r="N319" s="44"/>
      <c r="O319" s="44"/>
      <c r="P319" s="44"/>
      <c r="Q319" s="44"/>
      <c r="R319" s="44"/>
      <c r="S319" s="44"/>
    </row>
    <row r="320">
      <c r="A320" s="55" t="s">
        <v>4439</v>
      </c>
      <c r="B320" s="44"/>
      <c r="C320" s="55" t="s">
        <v>1965</v>
      </c>
      <c r="D320" s="55" t="s">
        <v>3997</v>
      </c>
      <c r="E320" s="55" t="s">
        <v>127</v>
      </c>
      <c r="F320" s="55" t="s">
        <v>622</v>
      </c>
      <c r="G320" s="55" t="s">
        <v>623</v>
      </c>
      <c r="H320" s="55">
        <v>0.05</v>
      </c>
      <c r="I320" s="55">
        <v>1319782.0</v>
      </c>
      <c r="J320" s="55">
        <v>1.8568012958E8</v>
      </c>
      <c r="K320" s="55">
        <v>1.8568012958E8</v>
      </c>
      <c r="L320" s="44"/>
      <c r="M320" s="44"/>
      <c r="N320" s="44"/>
      <c r="O320" s="44"/>
      <c r="P320" s="44"/>
      <c r="Q320" s="44"/>
      <c r="R320" s="44"/>
      <c r="S320" s="44"/>
    </row>
    <row r="321">
      <c r="A321" s="55" t="s">
        <v>4440</v>
      </c>
      <c r="B321" s="44"/>
      <c r="C321" s="55" t="s">
        <v>2038</v>
      </c>
      <c r="D321" s="55" t="s">
        <v>3997</v>
      </c>
      <c r="E321" s="55" t="s">
        <v>170</v>
      </c>
      <c r="F321" s="55" t="s">
        <v>622</v>
      </c>
      <c r="G321" s="55" t="s">
        <v>623</v>
      </c>
      <c r="H321" s="55">
        <v>0.05</v>
      </c>
      <c r="I321" s="55">
        <v>2479566.0</v>
      </c>
      <c r="J321" s="55">
        <v>1.8457889304E8</v>
      </c>
      <c r="K321" s="55">
        <v>1.8457889304E8</v>
      </c>
      <c r="L321" s="44"/>
      <c r="M321" s="44"/>
      <c r="N321" s="44"/>
      <c r="O321" s="44"/>
      <c r="P321" s="44"/>
      <c r="Q321" s="44"/>
      <c r="R321" s="44"/>
      <c r="S321" s="44"/>
    </row>
    <row r="322">
      <c r="A322" s="55" t="s">
        <v>4441</v>
      </c>
      <c r="B322" s="44"/>
      <c r="C322" s="55" t="s">
        <v>4442</v>
      </c>
      <c r="D322" s="55" t="s">
        <v>3997</v>
      </c>
      <c r="E322" s="55" t="s">
        <v>115</v>
      </c>
      <c r="F322" s="55" t="s">
        <v>622</v>
      </c>
      <c r="G322" s="55" t="s">
        <v>623</v>
      </c>
      <c r="H322" s="55">
        <v>0.05</v>
      </c>
      <c r="I322" s="55">
        <v>2110936.0</v>
      </c>
      <c r="J322" s="55">
        <v>1.8458024384E8</v>
      </c>
      <c r="K322" s="55">
        <v>1.8458024384E8</v>
      </c>
      <c r="L322" s="44"/>
      <c r="M322" s="44"/>
      <c r="N322" s="44"/>
      <c r="O322" s="44"/>
      <c r="P322" s="44"/>
      <c r="Q322" s="44"/>
      <c r="R322" s="44"/>
      <c r="S322" s="44"/>
    </row>
    <row r="323">
      <c r="A323" s="55" t="s">
        <v>4443</v>
      </c>
      <c r="B323" s="44"/>
      <c r="C323" s="55" t="s">
        <v>2176</v>
      </c>
      <c r="D323" s="55" t="s">
        <v>3997</v>
      </c>
      <c r="E323" s="55" t="s">
        <v>170</v>
      </c>
      <c r="F323" s="55" t="s">
        <v>622</v>
      </c>
      <c r="G323" s="55" t="s">
        <v>623</v>
      </c>
      <c r="H323" s="55">
        <v>0.05</v>
      </c>
      <c r="I323" s="55">
        <v>1995355.0</v>
      </c>
      <c r="J323" s="55">
        <v>1.8415131295E8</v>
      </c>
      <c r="K323" s="55">
        <v>1.8415131295E8</v>
      </c>
      <c r="L323" s="44"/>
      <c r="M323" s="44"/>
      <c r="N323" s="44"/>
      <c r="O323" s="44"/>
      <c r="P323" s="44"/>
      <c r="Q323" s="44"/>
      <c r="R323" s="44"/>
      <c r="S323" s="44"/>
    </row>
    <row r="324">
      <c r="A324" s="55" t="s">
        <v>4444</v>
      </c>
      <c r="B324" s="44"/>
      <c r="C324" s="55" t="s">
        <v>3939</v>
      </c>
      <c r="D324" s="55" t="s">
        <v>3997</v>
      </c>
      <c r="E324" s="55" t="s">
        <v>4014</v>
      </c>
      <c r="F324" s="55" t="s">
        <v>622</v>
      </c>
      <c r="G324" s="55" t="s">
        <v>623</v>
      </c>
      <c r="H324" s="55">
        <v>0.05</v>
      </c>
      <c r="I324" s="55">
        <v>550216.0</v>
      </c>
      <c r="J324" s="55">
        <v>1.8339799712E8</v>
      </c>
      <c r="K324" s="55">
        <v>1.8339799712E8</v>
      </c>
      <c r="L324" s="44"/>
      <c r="M324" s="44"/>
      <c r="N324" s="44"/>
      <c r="O324" s="44"/>
      <c r="P324" s="44"/>
      <c r="Q324" s="44"/>
      <c r="R324" s="44"/>
      <c r="S324" s="44"/>
    </row>
    <row r="325">
      <c r="A325" s="55" t="s">
        <v>4445</v>
      </c>
      <c r="B325" s="44"/>
      <c r="C325" s="55" t="s">
        <v>4446</v>
      </c>
      <c r="D325" s="55" t="s">
        <v>3997</v>
      </c>
      <c r="E325" s="55" t="s">
        <v>167</v>
      </c>
      <c r="F325" s="55" t="s">
        <v>622</v>
      </c>
      <c r="G325" s="55" t="s">
        <v>623</v>
      </c>
      <c r="H325" s="55">
        <v>0.05</v>
      </c>
      <c r="I325" s="55">
        <v>444214.0</v>
      </c>
      <c r="J325" s="55">
        <v>1.8226988848E8</v>
      </c>
      <c r="K325" s="55">
        <v>1.8226988848E8</v>
      </c>
      <c r="L325" s="44"/>
      <c r="M325" s="44"/>
      <c r="N325" s="44"/>
      <c r="O325" s="44"/>
      <c r="P325" s="44"/>
      <c r="Q325" s="44"/>
      <c r="R325" s="44"/>
      <c r="S325" s="44"/>
    </row>
    <row r="326">
      <c r="A326" s="55" t="s">
        <v>4447</v>
      </c>
      <c r="B326" s="44"/>
      <c r="C326" s="55" t="s">
        <v>4448</v>
      </c>
      <c r="D326" s="55" t="s">
        <v>3997</v>
      </c>
      <c r="E326" s="55" t="s">
        <v>127</v>
      </c>
      <c r="F326" s="55" t="s">
        <v>622</v>
      </c>
      <c r="G326" s="55" t="s">
        <v>623</v>
      </c>
      <c r="H326" s="55">
        <v>0.05</v>
      </c>
      <c r="I326" s="55">
        <v>1690437.0</v>
      </c>
      <c r="J326" s="55">
        <v>1.8150222069E8</v>
      </c>
      <c r="K326" s="55">
        <v>1.8150222069E8</v>
      </c>
      <c r="L326" s="44"/>
      <c r="M326" s="44"/>
      <c r="N326" s="44"/>
      <c r="O326" s="44"/>
      <c r="P326" s="44"/>
      <c r="Q326" s="44"/>
      <c r="R326" s="44"/>
      <c r="S326" s="44"/>
    </row>
    <row r="327">
      <c r="A327" s="55" t="s">
        <v>4449</v>
      </c>
      <c r="B327" s="44"/>
      <c r="C327" s="55" t="s">
        <v>2211</v>
      </c>
      <c r="D327" s="55" t="s">
        <v>3997</v>
      </c>
      <c r="E327" s="55" t="s">
        <v>99</v>
      </c>
      <c r="F327" s="55" t="s">
        <v>622</v>
      </c>
      <c r="G327" s="55" t="s">
        <v>623</v>
      </c>
      <c r="H327" s="55">
        <v>0.05</v>
      </c>
      <c r="I327" s="55">
        <v>697884.0</v>
      </c>
      <c r="J327" s="55">
        <v>1.8042395052E8</v>
      </c>
      <c r="K327" s="55">
        <v>1.8042395052E8</v>
      </c>
      <c r="L327" s="44"/>
      <c r="M327" s="44"/>
      <c r="N327" s="44"/>
      <c r="O327" s="44"/>
      <c r="P327" s="44"/>
      <c r="Q327" s="44"/>
      <c r="R327" s="44"/>
      <c r="S327" s="44"/>
    </row>
    <row r="328">
      <c r="A328" s="55" t="s">
        <v>4450</v>
      </c>
      <c r="B328" s="44"/>
      <c r="C328" s="55" t="s">
        <v>2232</v>
      </c>
      <c r="D328" s="55" t="s">
        <v>3997</v>
      </c>
      <c r="E328" s="55" t="s">
        <v>4014</v>
      </c>
      <c r="F328" s="55" t="s">
        <v>622</v>
      </c>
      <c r="G328" s="55" t="s">
        <v>623</v>
      </c>
      <c r="H328" s="55">
        <v>0.05</v>
      </c>
      <c r="I328" s="55">
        <v>4778724.0</v>
      </c>
      <c r="J328" s="55">
        <v>1.7939329896E8</v>
      </c>
      <c r="K328" s="55">
        <v>1.7939329896E8</v>
      </c>
      <c r="L328" s="44"/>
      <c r="M328" s="44"/>
      <c r="N328" s="44"/>
      <c r="O328" s="44"/>
      <c r="P328" s="44"/>
      <c r="Q328" s="44"/>
      <c r="R328" s="44"/>
      <c r="S328" s="44"/>
    </row>
    <row r="329">
      <c r="A329" s="55" t="s">
        <v>4451</v>
      </c>
      <c r="B329" s="44"/>
      <c r="C329" s="55" t="s">
        <v>4452</v>
      </c>
      <c r="D329" s="55" t="s">
        <v>3997</v>
      </c>
      <c r="E329" s="55" t="s">
        <v>99</v>
      </c>
      <c r="F329" s="55" t="s">
        <v>622</v>
      </c>
      <c r="G329" s="55" t="s">
        <v>623</v>
      </c>
      <c r="H329" s="55">
        <v>0.05</v>
      </c>
      <c r="I329" s="55">
        <v>1773678.0</v>
      </c>
      <c r="J329" s="55">
        <v>1.7885768952E8</v>
      </c>
      <c r="K329" s="55">
        <v>1.7885768952E8</v>
      </c>
      <c r="L329" s="44"/>
      <c r="M329" s="44"/>
      <c r="N329" s="44"/>
      <c r="O329" s="44"/>
      <c r="P329" s="44"/>
      <c r="Q329" s="44"/>
      <c r="R329" s="44"/>
      <c r="S329" s="44"/>
    </row>
    <row r="330">
      <c r="A330" s="55" t="s">
        <v>4453</v>
      </c>
      <c r="B330" s="44"/>
      <c r="C330" s="55" t="s">
        <v>4454</v>
      </c>
      <c r="D330" s="55" t="s">
        <v>3997</v>
      </c>
      <c r="E330" s="55" t="s">
        <v>124</v>
      </c>
      <c r="F330" s="55" t="s">
        <v>622</v>
      </c>
      <c r="G330" s="55" t="s">
        <v>623</v>
      </c>
      <c r="H330" s="55">
        <v>0.05</v>
      </c>
      <c r="I330" s="55">
        <v>2369616.0</v>
      </c>
      <c r="J330" s="55">
        <v>1.768918344E8</v>
      </c>
      <c r="K330" s="55">
        <v>1.768918344E8</v>
      </c>
      <c r="L330" s="44"/>
      <c r="M330" s="44"/>
      <c r="N330" s="44"/>
      <c r="O330" s="44"/>
      <c r="P330" s="44"/>
      <c r="Q330" s="44"/>
      <c r="R330" s="44"/>
      <c r="S330" s="44"/>
    </row>
    <row r="331">
      <c r="A331" s="55" t="s">
        <v>4455</v>
      </c>
      <c r="B331" s="44"/>
      <c r="C331" s="55" t="s">
        <v>2244</v>
      </c>
      <c r="D331" s="55" t="s">
        <v>3997</v>
      </c>
      <c r="E331" s="55" t="s">
        <v>133</v>
      </c>
      <c r="F331" s="55" t="s">
        <v>622</v>
      </c>
      <c r="G331" s="55" t="s">
        <v>623</v>
      </c>
      <c r="H331" s="55">
        <v>0.05</v>
      </c>
      <c r="I331" s="55">
        <v>5428274.0</v>
      </c>
      <c r="J331" s="55">
        <v>1.7240198224E8</v>
      </c>
      <c r="K331" s="55">
        <v>1.7240198224E8</v>
      </c>
      <c r="L331" s="44"/>
      <c r="M331" s="44"/>
      <c r="N331" s="44"/>
      <c r="O331" s="44"/>
      <c r="P331" s="44"/>
      <c r="Q331" s="44"/>
      <c r="R331" s="44"/>
      <c r="S331" s="44"/>
    </row>
    <row r="332">
      <c r="A332" s="55" t="s">
        <v>4456</v>
      </c>
      <c r="B332" s="44"/>
      <c r="C332" s="55" t="s">
        <v>4457</v>
      </c>
      <c r="D332" s="55" t="s">
        <v>3997</v>
      </c>
      <c r="E332" s="55" t="s">
        <v>127</v>
      </c>
      <c r="F332" s="55" t="s">
        <v>622</v>
      </c>
      <c r="G332" s="55" t="s">
        <v>623</v>
      </c>
      <c r="H332" s="55">
        <v>0.05</v>
      </c>
      <c r="I332" s="55">
        <v>3695192.0</v>
      </c>
      <c r="J332" s="55">
        <v>1.7175252416E8</v>
      </c>
      <c r="K332" s="55">
        <v>1.7175252416E8</v>
      </c>
      <c r="L332" s="44"/>
      <c r="M332" s="44"/>
      <c r="N332" s="44"/>
      <c r="O332" s="44"/>
      <c r="P332" s="44"/>
      <c r="Q332" s="44"/>
      <c r="R332" s="44"/>
      <c r="S332" s="44"/>
    </row>
    <row r="333">
      <c r="A333" s="55" t="s">
        <v>4458</v>
      </c>
      <c r="B333" s="44"/>
      <c r="C333" s="55" t="s">
        <v>2315</v>
      </c>
      <c r="D333" s="55" t="s">
        <v>3997</v>
      </c>
      <c r="E333" s="55" t="s">
        <v>167</v>
      </c>
      <c r="F333" s="55" t="s">
        <v>622</v>
      </c>
      <c r="G333" s="55" t="s">
        <v>623</v>
      </c>
      <c r="H333" s="55">
        <v>0.05</v>
      </c>
      <c r="I333" s="55">
        <v>846533.0</v>
      </c>
      <c r="J333" s="55">
        <v>1.7149912047E8</v>
      </c>
      <c r="K333" s="55">
        <v>1.7149912047E8</v>
      </c>
      <c r="L333" s="44"/>
      <c r="M333" s="44"/>
      <c r="N333" s="44"/>
      <c r="O333" s="44"/>
      <c r="P333" s="44"/>
      <c r="Q333" s="44"/>
      <c r="R333" s="44"/>
      <c r="S333" s="44"/>
    </row>
    <row r="334">
      <c r="A334" s="55" t="s">
        <v>4459</v>
      </c>
      <c r="B334" s="44"/>
      <c r="C334" s="55" t="s">
        <v>4460</v>
      </c>
      <c r="D334" s="55" t="s">
        <v>3997</v>
      </c>
      <c r="E334" s="55" t="s">
        <v>4014</v>
      </c>
      <c r="F334" s="55" t="s">
        <v>622</v>
      </c>
      <c r="G334" s="55" t="s">
        <v>623</v>
      </c>
      <c r="H334" s="55">
        <v>0.05</v>
      </c>
      <c r="I334" s="55">
        <v>836131.0</v>
      </c>
      <c r="J334" s="55">
        <v>1.6995198706E8</v>
      </c>
      <c r="K334" s="55">
        <v>1.6995198706E8</v>
      </c>
      <c r="L334" s="44"/>
      <c r="M334" s="44"/>
      <c r="N334" s="44"/>
      <c r="O334" s="44"/>
      <c r="P334" s="44"/>
      <c r="Q334" s="44"/>
      <c r="R334" s="44"/>
      <c r="S334" s="44"/>
    </row>
    <row r="335">
      <c r="A335" s="55" t="s">
        <v>4461</v>
      </c>
      <c r="B335" s="44"/>
      <c r="C335" s="55" t="s">
        <v>2216</v>
      </c>
      <c r="D335" s="55" t="s">
        <v>3997</v>
      </c>
      <c r="E335" s="55" t="s">
        <v>170</v>
      </c>
      <c r="F335" s="55" t="s">
        <v>622</v>
      </c>
      <c r="G335" s="55" t="s">
        <v>623</v>
      </c>
      <c r="H335" s="55">
        <v>0.05</v>
      </c>
      <c r="I335" s="55">
        <v>4869268.0</v>
      </c>
      <c r="J335" s="55">
        <v>1.6833059476E8</v>
      </c>
      <c r="K335" s="55">
        <v>1.6833059476E8</v>
      </c>
      <c r="L335" s="44"/>
      <c r="M335" s="44"/>
      <c r="N335" s="44"/>
      <c r="O335" s="44"/>
      <c r="P335" s="44"/>
      <c r="Q335" s="44"/>
      <c r="R335" s="44"/>
      <c r="S335" s="44"/>
    </row>
    <row r="336">
      <c r="A336" s="55" t="s">
        <v>4462</v>
      </c>
      <c r="B336" s="44"/>
      <c r="C336" s="55" t="s">
        <v>2311</v>
      </c>
      <c r="D336" s="55" t="s">
        <v>3997</v>
      </c>
      <c r="E336" s="55" t="s">
        <v>133</v>
      </c>
      <c r="F336" s="55" t="s">
        <v>622</v>
      </c>
      <c r="G336" s="55" t="s">
        <v>623</v>
      </c>
      <c r="H336" s="55">
        <v>0.05</v>
      </c>
      <c r="I336" s="55">
        <v>2754041.0</v>
      </c>
      <c r="J336" s="55">
        <v>1.6488443467E8</v>
      </c>
      <c r="K336" s="55">
        <v>1.6488443467E8</v>
      </c>
      <c r="L336" s="44"/>
      <c r="M336" s="44"/>
      <c r="N336" s="44"/>
      <c r="O336" s="44"/>
      <c r="P336" s="44"/>
      <c r="Q336" s="44"/>
      <c r="R336" s="44"/>
      <c r="S336" s="44"/>
    </row>
    <row r="337">
      <c r="A337" s="55" t="s">
        <v>4463</v>
      </c>
      <c r="B337" s="44"/>
      <c r="C337" s="55" t="s">
        <v>4464</v>
      </c>
      <c r="D337" s="55" t="s">
        <v>3997</v>
      </c>
      <c r="E337" s="55" t="s">
        <v>94</v>
      </c>
      <c r="F337" s="55" t="s">
        <v>622</v>
      </c>
      <c r="G337" s="55" t="s">
        <v>623</v>
      </c>
      <c r="H337" s="55">
        <v>0.05</v>
      </c>
      <c r="I337" s="55">
        <v>2408625.0</v>
      </c>
      <c r="J337" s="55">
        <v>1.642200525E8</v>
      </c>
      <c r="K337" s="55">
        <v>1.642200525E8</v>
      </c>
      <c r="L337" s="44"/>
      <c r="M337" s="44"/>
      <c r="N337" s="44"/>
      <c r="O337" s="44"/>
      <c r="P337" s="44"/>
      <c r="Q337" s="44"/>
      <c r="R337" s="44"/>
      <c r="S337" s="44"/>
    </row>
    <row r="338">
      <c r="A338" s="55" t="s">
        <v>4465</v>
      </c>
      <c r="B338" s="44"/>
      <c r="C338" s="55" t="s">
        <v>2268</v>
      </c>
      <c r="D338" s="55" t="s">
        <v>3997</v>
      </c>
      <c r="E338" s="55" t="s">
        <v>118</v>
      </c>
      <c r="F338" s="55" t="s">
        <v>622</v>
      </c>
      <c r="G338" s="55" t="s">
        <v>623</v>
      </c>
      <c r="H338" s="55">
        <v>0.05</v>
      </c>
      <c r="I338" s="55">
        <v>1140621.0</v>
      </c>
      <c r="J338" s="55">
        <v>1.632228651E8</v>
      </c>
      <c r="K338" s="55">
        <v>1.632228651E8</v>
      </c>
      <c r="L338" s="44"/>
      <c r="M338" s="44"/>
      <c r="N338" s="44"/>
      <c r="O338" s="44"/>
      <c r="P338" s="44"/>
      <c r="Q338" s="44"/>
      <c r="R338" s="44"/>
      <c r="S338" s="44"/>
    </row>
    <row r="339">
      <c r="A339" s="55" t="s">
        <v>4466</v>
      </c>
      <c r="B339" s="44"/>
      <c r="C339" s="55" t="s">
        <v>3917</v>
      </c>
      <c r="D339" s="55" t="s">
        <v>3997</v>
      </c>
      <c r="E339" s="55" t="s">
        <v>167</v>
      </c>
      <c r="F339" s="55" t="s">
        <v>622</v>
      </c>
      <c r="G339" s="55" t="s">
        <v>623</v>
      </c>
      <c r="H339" s="55">
        <v>0.05</v>
      </c>
      <c r="I339" s="55">
        <v>1008202.0</v>
      </c>
      <c r="J339" s="55">
        <v>1.62824623E8</v>
      </c>
      <c r="K339" s="55">
        <v>1.62824623E8</v>
      </c>
      <c r="L339" s="44"/>
      <c r="M339" s="44"/>
      <c r="N339" s="44"/>
      <c r="O339" s="44"/>
      <c r="P339" s="44"/>
      <c r="Q339" s="44"/>
      <c r="R339" s="44"/>
      <c r="S339" s="44"/>
    </row>
    <row r="340">
      <c r="A340" s="55" t="s">
        <v>4467</v>
      </c>
      <c r="B340" s="44"/>
      <c r="C340" s="55" t="s">
        <v>2297</v>
      </c>
      <c r="D340" s="55" t="s">
        <v>3997</v>
      </c>
      <c r="E340" s="55" t="s">
        <v>170</v>
      </c>
      <c r="F340" s="55" t="s">
        <v>622</v>
      </c>
      <c r="G340" s="55" t="s">
        <v>623</v>
      </c>
      <c r="H340" s="55">
        <v>0.05</v>
      </c>
      <c r="I340" s="55">
        <v>6955414.0</v>
      </c>
      <c r="J340" s="55">
        <v>1.6261757932E8</v>
      </c>
      <c r="K340" s="55">
        <v>1.6261757932E8</v>
      </c>
      <c r="L340" s="44"/>
      <c r="M340" s="44"/>
      <c r="N340" s="44"/>
      <c r="O340" s="44"/>
      <c r="P340" s="44"/>
      <c r="Q340" s="44"/>
      <c r="R340" s="44"/>
      <c r="S340" s="44"/>
    </row>
    <row r="341">
      <c r="A341" s="55" t="s">
        <v>4468</v>
      </c>
      <c r="B341" s="44"/>
      <c r="C341" s="55" t="s">
        <v>2358</v>
      </c>
      <c r="D341" s="55" t="s">
        <v>3997</v>
      </c>
      <c r="E341" s="55" t="s">
        <v>4014</v>
      </c>
      <c r="F341" s="55" t="s">
        <v>622</v>
      </c>
      <c r="G341" s="55" t="s">
        <v>623</v>
      </c>
      <c r="H341" s="55">
        <v>0.05</v>
      </c>
      <c r="I341" s="55">
        <v>2311360.0</v>
      </c>
      <c r="J341" s="55">
        <v>1.61910768E8</v>
      </c>
      <c r="K341" s="55">
        <v>1.61910768E8</v>
      </c>
      <c r="L341" s="44"/>
      <c r="M341" s="44"/>
      <c r="N341" s="44"/>
      <c r="O341" s="44"/>
      <c r="P341" s="44"/>
      <c r="Q341" s="44"/>
      <c r="R341" s="44"/>
      <c r="S341" s="44"/>
    </row>
    <row r="342">
      <c r="A342" s="55" t="s">
        <v>4469</v>
      </c>
      <c r="B342" s="44"/>
      <c r="C342" s="55" t="s">
        <v>4470</v>
      </c>
      <c r="D342" s="55" t="s">
        <v>3997</v>
      </c>
      <c r="E342" s="55" t="s">
        <v>127</v>
      </c>
      <c r="F342" s="55" t="s">
        <v>622</v>
      </c>
      <c r="G342" s="55" t="s">
        <v>623</v>
      </c>
      <c r="H342" s="55">
        <v>0.05</v>
      </c>
      <c r="I342" s="55">
        <v>1188227.0</v>
      </c>
      <c r="J342" s="55">
        <v>1.6149193157E8</v>
      </c>
      <c r="K342" s="55">
        <v>1.6149193157E8</v>
      </c>
      <c r="L342" s="44"/>
      <c r="M342" s="44"/>
      <c r="N342" s="44"/>
      <c r="O342" s="44"/>
      <c r="P342" s="44"/>
      <c r="Q342" s="44"/>
      <c r="R342" s="44"/>
      <c r="S342" s="44"/>
    </row>
    <row r="343">
      <c r="A343" s="55" t="s">
        <v>4471</v>
      </c>
      <c r="B343" s="44"/>
      <c r="C343" s="55" t="s">
        <v>2086</v>
      </c>
      <c r="D343" s="55" t="s">
        <v>3997</v>
      </c>
      <c r="E343" s="55" t="s">
        <v>99</v>
      </c>
      <c r="F343" s="55" t="s">
        <v>622</v>
      </c>
      <c r="G343" s="55" t="s">
        <v>623</v>
      </c>
      <c r="H343" s="55">
        <v>0.05</v>
      </c>
      <c r="I343" s="55">
        <v>6425263.0</v>
      </c>
      <c r="J343" s="55">
        <v>1.6082433289E8</v>
      </c>
      <c r="K343" s="55">
        <v>1.6082433289E8</v>
      </c>
      <c r="L343" s="44"/>
      <c r="M343" s="44"/>
      <c r="N343" s="44"/>
      <c r="O343" s="44"/>
      <c r="P343" s="44"/>
      <c r="Q343" s="44"/>
      <c r="R343" s="44"/>
      <c r="S343" s="44"/>
    </row>
    <row r="344">
      <c r="A344" s="55" t="s">
        <v>4472</v>
      </c>
      <c r="B344" s="44"/>
      <c r="C344" s="55" t="s">
        <v>4473</v>
      </c>
      <c r="D344" s="55" t="s">
        <v>3997</v>
      </c>
      <c r="E344" s="55" t="s">
        <v>133</v>
      </c>
      <c r="F344" s="55" t="s">
        <v>622</v>
      </c>
      <c r="G344" s="55" t="s">
        <v>623</v>
      </c>
      <c r="H344" s="55">
        <v>0.05</v>
      </c>
      <c r="I344" s="55">
        <v>3797062.0</v>
      </c>
      <c r="J344" s="55">
        <v>1.602360164E8</v>
      </c>
      <c r="K344" s="55">
        <v>1.602360164E8</v>
      </c>
      <c r="L344" s="44"/>
      <c r="M344" s="44"/>
      <c r="N344" s="44"/>
      <c r="O344" s="44"/>
      <c r="P344" s="44"/>
      <c r="Q344" s="44"/>
      <c r="R344" s="44"/>
      <c r="S344" s="44"/>
    </row>
    <row r="345">
      <c r="A345" s="55" t="s">
        <v>4474</v>
      </c>
      <c r="B345" s="44"/>
      <c r="C345" s="55" t="s">
        <v>4475</v>
      </c>
      <c r="D345" s="55" t="s">
        <v>3997</v>
      </c>
      <c r="E345" s="55" t="s">
        <v>127</v>
      </c>
      <c r="F345" s="55" t="s">
        <v>622</v>
      </c>
      <c r="G345" s="55" t="s">
        <v>623</v>
      </c>
      <c r="H345" s="55">
        <v>0.05</v>
      </c>
      <c r="I345" s="55">
        <v>1395610.0</v>
      </c>
      <c r="J345" s="55">
        <v>1.59657784E8</v>
      </c>
      <c r="K345" s="55">
        <v>1.59657784E8</v>
      </c>
      <c r="L345" s="44"/>
      <c r="M345" s="44"/>
      <c r="N345" s="44"/>
      <c r="O345" s="44"/>
      <c r="P345" s="44"/>
      <c r="Q345" s="44"/>
      <c r="R345" s="44"/>
      <c r="S345" s="44"/>
    </row>
    <row r="346">
      <c r="A346" s="55" t="s">
        <v>4476</v>
      </c>
      <c r="B346" s="44"/>
      <c r="C346" s="55" t="s">
        <v>4477</v>
      </c>
      <c r="D346" s="55" t="s">
        <v>3997</v>
      </c>
      <c r="E346" s="55" t="s">
        <v>99</v>
      </c>
      <c r="F346" s="55" t="s">
        <v>622</v>
      </c>
      <c r="G346" s="55" t="s">
        <v>623</v>
      </c>
      <c r="H346" s="55">
        <v>0.05</v>
      </c>
      <c r="I346" s="55">
        <v>360033.0</v>
      </c>
      <c r="J346" s="55">
        <v>1.5908418138E8</v>
      </c>
      <c r="K346" s="55">
        <v>1.5908418138E8</v>
      </c>
      <c r="L346" s="44"/>
      <c r="M346" s="44"/>
      <c r="N346" s="44"/>
      <c r="O346" s="44"/>
      <c r="P346" s="44"/>
      <c r="Q346" s="44"/>
      <c r="R346" s="44"/>
      <c r="S346" s="44"/>
    </row>
    <row r="347">
      <c r="A347" s="55" t="s">
        <v>4478</v>
      </c>
      <c r="B347" s="44"/>
      <c r="C347" s="55" t="s">
        <v>2171</v>
      </c>
      <c r="D347" s="55" t="s">
        <v>3997</v>
      </c>
      <c r="E347" s="55" t="s">
        <v>170</v>
      </c>
      <c r="F347" s="55" t="s">
        <v>622</v>
      </c>
      <c r="G347" s="55" t="s">
        <v>623</v>
      </c>
      <c r="H347" s="55">
        <v>0.05</v>
      </c>
      <c r="I347" s="55">
        <v>5956060.0</v>
      </c>
      <c r="J347" s="55">
        <v>1.59026802E8</v>
      </c>
      <c r="K347" s="55">
        <v>1.59026802E8</v>
      </c>
      <c r="L347" s="44"/>
      <c r="M347" s="44"/>
      <c r="N347" s="44"/>
      <c r="O347" s="44"/>
      <c r="P347" s="44"/>
      <c r="Q347" s="44"/>
      <c r="R347" s="44"/>
      <c r="S347" s="44"/>
    </row>
    <row r="348">
      <c r="A348" s="55" t="s">
        <v>4479</v>
      </c>
      <c r="B348" s="44"/>
      <c r="C348" s="55" t="s">
        <v>4480</v>
      </c>
      <c r="D348" s="55" t="s">
        <v>3997</v>
      </c>
      <c r="E348" s="55" t="s">
        <v>167</v>
      </c>
      <c r="F348" s="55" t="s">
        <v>622</v>
      </c>
      <c r="G348" s="55" t="s">
        <v>623</v>
      </c>
      <c r="H348" s="55">
        <v>0.05</v>
      </c>
      <c r="I348" s="55">
        <v>1121423.0</v>
      </c>
      <c r="J348" s="55">
        <v>1.583449276E8</v>
      </c>
      <c r="K348" s="55">
        <v>1.583449276E8</v>
      </c>
      <c r="L348" s="44"/>
      <c r="M348" s="44"/>
      <c r="N348" s="44"/>
      <c r="O348" s="44"/>
      <c r="P348" s="44"/>
      <c r="Q348" s="44"/>
      <c r="R348" s="44"/>
      <c r="S348" s="44"/>
    </row>
    <row r="349">
      <c r="A349" s="55" t="s">
        <v>4481</v>
      </c>
      <c r="B349" s="44"/>
      <c r="C349" s="55" t="s">
        <v>4482</v>
      </c>
      <c r="D349" s="55" t="s">
        <v>3997</v>
      </c>
      <c r="E349" s="55" t="s">
        <v>99</v>
      </c>
      <c r="F349" s="55" t="s">
        <v>622</v>
      </c>
      <c r="G349" s="55" t="s">
        <v>623</v>
      </c>
      <c r="H349" s="55">
        <v>0.05</v>
      </c>
      <c r="I349" s="55">
        <v>2221228.0</v>
      </c>
      <c r="J349" s="55">
        <v>1.5741842836E8</v>
      </c>
      <c r="K349" s="55">
        <v>1.5741842836E8</v>
      </c>
      <c r="L349" s="44"/>
      <c r="M349" s="44"/>
      <c r="N349" s="44"/>
      <c r="O349" s="44"/>
      <c r="P349" s="44"/>
      <c r="Q349" s="44"/>
      <c r="R349" s="44"/>
      <c r="S349" s="44"/>
    </row>
    <row r="350">
      <c r="A350" s="55" t="s">
        <v>4483</v>
      </c>
      <c r="B350" s="44"/>
      <c r="C350" s="55" t="s">
        <v>4484</v>
      </c>
      <c r="D350" s="55" t="s">
        <v>3997</v>
      </c>
      <c r="E350" s="55" t="s">
        <v>124</v>
      </c>
      <c r="F350" s="55" t="s">
        <v>622</v>
      </c>
      <c r="G350" s="55" t="s">
        <v>623</v>
      </c>
      <c r="H350" s="55">
        <v>0.05</v>
      </c>
      <c r="I350" s="55">
        <v>1421602.0</v>
      </c>
      <c r="J350" s="55">
        <v>1.5724339722E8</v>
      </c>
      <c r="K350" s="55">
        <v>1.5724339722E8</v>
      </c>
      <c r="L350" s="44"/>
      <c r="M350" s="44"/>
      <c r="N350" s="44"/>
      <c r="O350" s="44"/>
      <c r="P350" s="44"/>
      <c r="Q350" s="44"/>
      <c r="R350" s="44"/>
      <c r="S350" s="44"/>
    </row>
    <row r="351">
      <c r="A351" s="55" t="s">
        <v>4485</v>
      </c>
      <c r="B351" s="44"/>
      <c r="C351" s="55" t="s">
        <v>4486</v>
      </c>
      <c r="D351" s="55" t="s">
        <v>3997</v>
      </c>
      <c r="E351" s="55" t="s">
        <v>115</v>
      </c>
      <c r="F351" s="55" t="s">
        <v>622</v>
      </c>
      <c r="G351" s="55" t="s">
        <v>623</v>
      </c>
      <c r="H351" s="55">
        <v>0.05</v>
      </c>
      <c r="I351" s="55">
        <v>5715567.0</v>
      </c>
      <c r="J351" s="55">
        <v>1.5666369147E8</v>
      </c>
      <c r="K351" s="55">
        <v>1.5666369147E8</v>
      </c>
      <c r="L351" s="44"/>
      <c r="M351" s="44"/>
      <c r="N351" s="44"/>
      <c r="O351" s="44"/>
      <c r="P351" s="44"/>
      <c r="Q351" s="44"/>
      <c r="R351" s="44"/>
      <c r="S351" s="44"/>
    </row>
    <row r="352">
      <c r="A352" s="55" t="s">
        <v>4487</v>
      </c>
      <c r="B352" s="44"/>
      <c r="C352" s="55" t="s">
        <v>4488</v>
      </c>
      <c r="D352" s="55" t="s">
        <v>3997</v>
      </c>
      <c r="E352" s="55" t="s">
        <v>94</v>
      </c>
      <c r="F352" s="55" t="s">
        <v>622</v>
      </c>
      <c r="G352" s="55" t="s">
        <v>623</v>
      </c>
      <c r="H352" s="55">
        <v>0.05</v>
      </c>
      <c r="I352" s="55">
        <v>1820775.0</v>
      </c>
      <c r="J352" s="55">
        <v>1.5653202675E8</v>
      </c>
      <c r="K352" s="55">
        <v>1.5653202675E8</v>
      </c>
      <c r="L352" s="44"/>
      <c r="M352" s="44"/>
      <c r="N352" s="44"/>
      <c r="O352" s="44"/>
      <c r="P352" s="44"/>
      <c r="Q352" s="44"/>
      <c r="R352" s="44"/>
      <c r="S352" s="44"/>
    </row>
    <row r="353">
      <c r="A353" s="55" t="s">
        <v>4489</v>
      </c>
      <c r="B353" s="44"/>
      <c r="C353" s="55" t="s">
        <v>2363</v>
      </c>
      <c r="D353" s="55" t="s">
        <v>3997</v>
      </c>
      <c r="E353" s="55" t="s">
        <v>99</v>
      </c>
      <c r="F353" s="55" t="s">
        <v>622</v>
      </c>
      <c r="G353" s="55" t="s">
        <v>623</v>
      </c>
      <c r="H353" s="55">
        <v>0.05</v>
      </c>
      <c r="I353" s="55">
        <v>3199008.0</v>
      </c>
      <c r="J353" s="55">
        <v>1.5649547136E8</v>
      </c>
      <c r="K353" s="55">
        <v>1.5649547136E8</v>
      </c>
      <c r="L353" s="44"/>
      <c r="M353" s="44"/>
      <c r="N353" s="44"/>
      <c r="O353" s="44"/>
      <c r="P353" s="44"/>
      <c r="Q353" s="44"/>
      <c r="R353" s="44"/>
      <c r="S353" s="44"/>
    </row>
    <row r="354">
      <c r="A354" s="55" t="s">
        <v>4490</v>
      </c>
      <c r="B354" s="44"/>
      <c r="C354" s="55" t="s">
        <v>4491</v>
      </c>
      <c r="D354" s="55" t="s">
        <v>3997</v>
      </c>
      <c r="E354" s="55" t="s">
        <v>99</v>
      </c>
      <c r="F354" s="55" t="s">
        <v>622</v>
      </c>
      <c r="G354" s="55" t="s">
        <v>623</v>
      </c>
      <c r="H354" s="55">
        <v>0.05</v>
      </c>
      <c r="I354" s="55">
        <v>409618.0</v>
      </c>
      <c r="J354" s="55">
        <v>1.5626517082E8</v>
      </c>
      <c r="K354" s="55">
        <v>1.5626517082E8</v>
      </c>
      <c r="L354" s="44"/>
      <c r="M354" s="44"/>
      <c r="N354" s="44"/>
      <c r="O354" s="44"/>
      <c r="P354" s="44"/>
      <c r="Q354" s="44"/>
      <c r="R354" s="44"/>
      <c r="S354" s="44"/>
    </row>
    <row r="355">
      <c r="A355" s="55" t="s">
        <v>4492</v>
      </c>
      <c r="B355" s="44"/>
      <c r="C355" s="55" t="s">
        <v>2423</v>
      </c>
      <c r="D355" s="55" t="s">
        <v>3997</v>
      </c>
      <c r="E355" s="55" t="s">
        <v>99</v>
      </c>
      <c r="F355" s="55" t="s">
        <v>622</v>
      </c>
      <c r="G355" s="55" t="s">
        <v>623</v>
      </c>
      <c r="H355" s="55">
        <v>0.05</v>
      </c>
      <c r="I355" s="55">
        <v>995750.0</v>
      </c>
      <c r="J355" s="55">
        <v>1.557353E8</v>
      </c>
      <c r="K355" s="55">
        <v>1.557353E8</v>
      </c>
      <c r="L355" s="44"/>
      <c r="M355" s="44"/>
      <c r="N355" s="44"/>
      <c r="O355" s="44"/>
      <c r="P355" s="44"/>
      <c r="Q355" s="44"/>
      <c r="R355" s="44"/>
      <c r="S355" s="44"/>
    </row>
    <row r="356">
      <c r="A356" s="55" t="s">
        <v>4493</v>
      </c>
      <c r="B356" s="44"/>
      <c r="C356" s="55" t="s">
        <v>4494</v>
      </c>
      <c r="D356" s="55" t="s">
        <v>3997</v>
      </c>
      <c r="E356" s="55" t="s">
        <v>94</v>
      </c>
      <c r="F356" s="55" t="s">
        <v>622</v>
      </c>
      <c r="G356" s="55" t="s">
        <v>623</v>
      </c>
      <c r="H356" s="55">
        <v>0.05</v>
      </c>
      <c r="I356" s="55">
        <v>1469379.0</v>
      </c>
      <c r="J356" s="55">
        <v>1.5568070505E8</v>
      </c>
      <c r="K356" s="55">
        <v>1.5568070505E8</v>
      </c>
      <c r="L356" s="44"/>
      <c r="M356" s="44"/>
      <c r="N356" s="44"/>
      <c r="O356" s="44"/>
      <c r="P356" s="44"/>
      <c r="Q356" s="44"/>
      <c r="R356" s="44"/>
      <c r="S356" s="44"/>
    </row>
    <row r="357">
      <c r="A357" s="55" t="s">
        <v>4495</v>
      </c>
      <c r="B357" s="44"/>
      <c r="C357" s="55" t="s">
        <v>2470</v>
      </c>
      <c r="D357" s="55" t="s">
        <v>3997</v>
      </c>
      <c r="E357" s="55" t="s">
        <v>118</v>
      </c>
      <c r="F357" s="55" t="s">
        <v>622</v>
      </c>
      <c r="G357" s="55" t="s">
        <v>623</v>
      </c>
      <c r="H357" s="55">
        <v>0.05</v>
      </c>
      <c r="I357" s="55">
        <v>2070867.0</v>
      </c>
      <c r="J357" s="55">
        <v>1.5483872559E8</v>
      </c>
      <c r="K357" s="55">
        <v>1.5483872559E8</v>
      </c>
      <c r="L357" s="44"/>
      <c r="M357" s="44"/>
      <c r="N357" s="44"/>
      <c r="O357" s="44"/>
      <c r="P357" s="44"/>
      <c r="Q357" s="44"/>
      <c r="R357" s="44"/>
      <c r="S357" s="44"/>
    </row>
    <row r="358">
      <c r="A358" s="55" t="s">
        <v>4496</v>
      </c>
      <c r="B358" s="44"/>
      <c r="C358" s="55" t="s">
        <v>4497</v>
      </c>
      <c r="D358" s="55" t="s">
        <v>3997</v>
      </c>
      <c r="E358" s="55" t="s">
        <v>167</v>
      </c>
      <c r="F358" s="55" t="s">
        <v>622</v>
      </c>
      <c r="G358" s="55" t="s">
        <v>623</v>
      </c>
      <c r="H358" s="55">
        <v>0.05</v>
      </c>
      <c r="I358" s="55">
        <v>397054.0</v>
      </c>
      <c r="J358" s="55">
        <v>1.5468429732E8</v>
      </c>
      <c r="K358" s="55">
        <v>1.5468429732E8</v>
      </c>
      <c r="L358" s="44"/>
      <c r="M358" s="44"/>
      <c r="N358" s="44"/>
      <c r="O358" s="44"/>
      <c r="P358" s="44"/>
      <c r="Q358" s="44"/>
      <c r="R358" s="44"/>
      <c r="S358" s="44"/>
    </row>
    <row r="359">
      <c r="A359" s="55" t="s">
        <v>4498</v>
      </c>
      <c r="B359" s="44"/>
      <c r="C359" s="55" t="s">
        <v>2353</v>
      </c>
      <c r="D359" s="55" t="s">
        <v>3997</v>
      </c>
      <c r="E359" s="55" t="s">
        <v>167</v>
      </c>
      <c r="F359" s="55" t="s">
        <v>622</v>
      </c>
      <c r="G359" s="55" t="s">
        <v>623</v>
      </c>
      <c r="H359" s="55">
        <v>0.05</v>
      </c>
      <c r="I359" s="55">
        <v>1286598.0</v>
      </c>
      <c r="J359" s="55">
        <v>1.5441749196E8</v>
      </c>
      <c r="K359" s="55">
        <v>1.5441749196E8</v>
      </c>
      <c r="L359" s="44"/>
      <c r="M359" s="44"/>
      <c r="N359" s="44"/>
      <c r="O359" s="44"/>
      <c r="P359" s="44"/>
      <c r="Q359" s="44"/>
      <c r="R359" s="44"/>
      <c r="S359" s="44"/>
    </row>
    <row r="360">
      <c r="A360" s="55" t="s">
        <v>4499</v>
      </c>
      <c r="B360" s="44"/>
      <c r="C360" s="55" t="s">
        <v>2408</v>
      </c>
      <c r="D360" s="55" t="s">
        <v>3997</v>
      </c>
      <c r="E360" s="55" t="s">
        <v>167</v>
      </c>
      <c r="F360" s="55" t="s">
        <v>622</v>
      </c>
      <c r="G360" s="55" t="s">
        <v>623</v>
      </c>
      <c r="H360" s="55">
        <v>0.05</v>
      </c>
      <c r="I360" s="55">
        <v>1434464.0</v>
      </c>
      <c r="J360" s="55">
        <v>1.5354502656E8</v>
      </c>
      <c r="K360" s="55">
        <v>1.5354502656E8</v>
      </c>
      <c r="L360" s="44"/>
      <c r="M360" s="44"/>
      <c r="N360" s="44"/>
      <c r="O360" s="44"/>
      <c r="P360" s="44"/>
      <c r="Q360" s="44"/>
      <c r="R360" s="44"/>
      <c r="S360" s="44"/>
    </row>
    <row r="361">
      <c r="A361" s="55" t="s">
        <v>4500</v>
      </c>
      <c r="B361" s="44"/>
      <c r="C361" s="55" t="s">
        <v>2406</v>
      </c>
      <c r="D361" s="55" t="s">
        <v>3997</v>
      </c>
      <c r="E361" s="55" t="s">
        <v>4014</v>
      </c>
      <c r="F361" s="55" t="s">
        <v>622</v>
      </c>
      <c r="G361" s="55" t="s">
        <v>623</v>
      </c>
      <c r="H361" s="55">
        <v>0.05</v>
      </c>
      <c r="I361" s="55">
        <v>557677.0</v>
      </c>
      <c r="J361" s="55">
        <v>1.5355636195E8</v>
      </c>
      <c r="K361" s="55">
        <v>1.5355636195E8</v>
      </c>
      <c r="L361" s="44"/>
      <c r="M361" s="44"/>
      <c r="N361" s="44"/>
      <c r="O361" s="44"/>
      <c r="P361" s="44"/>
      <c r="Q361" s="44"/>
      <c r="R361" s="44"/>
      <c r="S361" s="44"/>
    </row>
    <row r="362">
      <c r="A362" s="55" t="s">
        <v>4501</v>
      </c>
      <c r="B362" s="44"/>
      <c r="C362" s="55" t="s">
        <v>2377</v>
      </c>
      <c r="D362" s="55" t="s">
        <v>3997</v>
      </c>
      <c r="E362" s="55" t="s">
        <v>99</v>
      </c>
      <c r="F362" s="55" t="s">
        <v>622</v>
      </c>
      <c r="G362" s="55" t="s">
        <v>623</v>
      </c>
      <c r="H362" s="55">
        <v>0.05</v>
      </c>
      <c r="I362" s="55">
        <v>1480005.0</v>
      </c>
      <c r="J362" s="55">
        <v>1.534765185E8</v>
      </c>
      <c r="K362" s="55">
        <v>1.534765185E8</v>
      </c>
      <c r="L362" s="44"/>
      <c r="M362" s="44"/>
      <c r="N362" s="44"/>
      <c r="O362" s="44"/>
      <c r="P362" s="44"/>
      <c r="Q362" s="44"/>
      <c r="R362" s="44"/>
      <c r="S362" s="44"/>
    </row>
    <row r="363">
      <c r="A363" s="55" t="s">
        <v>4502</v>
      </c>
      <c r="B363" s="44"/>
      <c r="C363" s="55" t="s">
        <v>4503</v>
      </c>
      <c r="D363" s="55" t="s">
        <v>3997</v>
      </c>
      <c r="E363" s="55" t="s">
        <v>127</v>
      </c>
      <c r="F363" s="55" t="s">
        <v>622</v>
      </c>
      <c r="G363" s="55" t="s">
        <v>623</v>
      </c>
      <c r="H363" s="55">
        <v>0.04</v>
      </c>
      <c r="I363" s="55">
        <v>5620699.0</v>
      </c>
      <c r="J363" s="55">
        <v>1.5299542678E8</v>
      </c>
      <c r="K363" s="55">
        <v>1.5299542678E8</v>
      </c>
      <c r="L363" s="44"/>
      <c r="M363" s="44"/>
      <c r="N363" s="44"/>
      <c r="O363" s="44"/>
      <c r="P363" s="44"/>
      <c r="Q363" s="44"/>
      <c r="R363" s="44"/>
      <c r="S363" s="44"/>
    </row>
    <row r="364">
      <c r="A364" s="55" t="s">
        <v>4504</v>
      </c>
      <c r="B364" s="44"/>
      <c r="C364" s="55" t="s">
        <v>1686</v>
      </c>
      <c r="D364" s="55" t="s">
        <v>3997</v>
      </c>
      <c r="E364" s="55" t="s">
        <v>99</v>
      </c>
      <c r="F364" s="55" t="s">
        <v>622</v>
      </c>
      <c r="G364" s="55" t="s">
        <v>623</v>
      </c>
      <c r="H364" s="55">
        <v>0.04</v>
      </c>
      <c r="I364" s="55">
        <v>2098296.0</v>
      </c>
      <c r="J364" s="55">
        <v>1.5246218736E8</v>
      </c>
      <c r="K364" s="55">
        <v>1.5246218736E8</v>
      </c>
      <c r="L364" s="44"/>
      <c r="M364" s="44"/>
      <c r="N364" s="44"/>
      <c r="O364" s="44"/>
      <c r="P364" s="44"/>
      <c r="Q364" s="44"/>
      <c r="R364" s="44"/>
      <c r="S364" s="44"/>
    </row>
    <row r="365">
      <c r="A365" s="55" t="s">
        <v>4505</v>
      </c>
      <c r="B365" s="44"/>
      <c r="C365" s="55" t="s">
        <v>2411</v>
      </c>
      <c r="D365" s="55" t="s">
        <v>3997</v>
      </c>
      <c r="E365" s="55" t="s">
        <v>118</v>
      </c>
      <c r="F365" s="55" t="s">
        <v>622</v>
      </c>
      <c r="G365" s="55" t="s">
        <v>623</v>
      </c>
      <c r="H365" s="55">
        <v>0.04</v>
      </c>
      <c r="I365" s="55">
        <v>1445191.0</v>
      </c>
      <c r="J365" s="55">
        <v>1.5196183365E8</v>
      </c>
      <c r="K365" s="55">
        <v>1.5196183365E8</v>
      </c>
      <c r="L365" s="44"/>
      <c r="M365" s="44"/>
      <c r="N365" s="44"/>
      <c r="O365" s="44"/>
      <c r="P365" s="44"/>
      <c r="Q365" s="44"/>
      <c r="R365" s="44"/>
      <c r="S365" s="44"/>
    </row>
    <row r="366">
      <c r="A366" s="55" t="s">
        <v>4506</v>
      </c>
      <c r="B366" s="44"/>
      <c r="C366" s="55" t="s">
        <v>2433</v>
      </c>
      <c r="D366" s="55" t="s">
        <v>3997</v>
      </c>
      <c r="E366" s="55" t="s">
        <v>167</v>
      </c>
      <c r="F366" s="55" t="s">
        <v>622</v>
      </c>
      <c r="G366" s="55" t="s">
        <v>623</v>
      </c>
      <c r="H366" s="55">
        <v>0.04</v>
      </c>
      <c r="I366" s="55">
        <v>1989465.0</v>
      </c>
      <c r="J366" s="55">
        <v>1.5169670625E8</v>
      </c>
      <c r="K366" s="55">
        <v>1.5169670625E8</v>
      </c>
      <c r="L366" s="44"/>
      <c r="M366" s="44"/>
      <c r="N366" s="44"/>
      <c r="O366" s="44"/>
      <c r="P366" s="44"/>
      <c r="Q366" s="44"/>
      <c r="R366" s="44"/>
      <c r="S366" s="44"/>
    </row>
    <row r="367">
      <c r="A367" s="55" t="s">
        <v>4507</v>
      </c>
      <c r="B367" s="44"/>
      <c r="C367" s="55" t="s">
        <v>2402</v>
      </c>
      <c r="D367" s="55" t="s">
        <v>3997</v>
      </c>
      <c r="E367" s="55" t="s">
        <v>99</v>
      </c>
      <c r="F367" s="55" t="s">
        <v>622</v>
      </c>
      <c r="G367" s="55" t="s">
        <v>623</v>
      </c>
      <c r="H367" s="55">
        <v>0.04</v>
      </c>
      <c r="I367" s="55">
        <v>8854898.0</v>
      </c>
      <c r="J367" s="55">
        <v>1.5088746192E8</v>
      </c>
      <c r="K367" s="55">
        <v>1.5088746192E8</v>
      </c>
      <c r="L367" s="44"/>
      <c r="M367" s="44"/>
      <c r="N367" s="44"/>
      <c r="O367" s="44"/>
      <c r="P367" s="44"/>
      <c r="Q367" s="44"/>
      <c r="R367" s="44"/>
      <c r="S367" s="44"/>
    </row>
    <row r="368">
      <c r="A368" s="55" t="s">
        <v>4508</v>
      </c>
      <c r="B368" s="44"/>
      <c r="C368" s="55" t="s">
        <v>4509</v>
      </c>
      <c r="D368" s="55" t="s">
        <v>3997</v>
      </c>
      <c r="E368" s="55" t="s">
        <v>124</v>
      </c>
      <c r="F368" s="55" t="s">
        <v>622</v>
      </c>
      <c r="G368" s="55" t="s">
        <v>623</v>
      </c>
      <c r="H368" s="55">
        <v>0.04</v>
      </c>
      <c r="I368" s="55">
        <v>1168546.0</v>
      </c>
      <c r="J368" s="55">
        <v>1.5029838652E8</v>
      </c>
      <c r="K368" s="55">
        <v>1.5029838652E8</v>
      </c>
      <c r="L368" s="44"/>
      <c r="M368" s="44"/>
      <c r="N368" s="44"/>
      <c r="O368" s="44"/>
      <c r="P368" s="44"/>
      <c r="Q368" s="44"/>
      <c r="R368" s="44"/>
      <c r="S368" s="44"/>
    </row>
    <row r="369">
      <c r="A369" s="55" t="s">
        <v>4510</v>
      </c>
      <c r="B369" s="44"/>
      <c r="C369" s="55" t="s">
        <v>4511</v>
      </c>
      <c r="D369" s="55" t="s">
        <v>3997</v>
      </c>
      <c r="E369" s="55" t="s">
        <v>4014</v>
      </c>
      <c r="F369" s="55" t="s">
        <v>622</v>
      </c>
      <c r="G369" s="55" t="s">
        <v>623</v>
      </c>
      <c r="H369" s="55">
        <v>0.04</v>
      </c>
      <c r="I369" s="55">
        <v>466999.0</v>
      </c>
      <c r="J369" s="55">
        <v>1.4914547063E8</v>
      </c>
      <c r="K369" s="55">
        <v>1.4914547063E8</v>
      </c>
      <c r="L369" s="44"/>
      <c r="M369" s="44"/>
      <c r="N369" s="44"/>
      <c r="O369" s="44"/>
      <c r="P369" s="44"/>
      <c r="Q369" s="44"/>
      <c r="R369" s="44"/>
      <c r="S369" s="44"/>
    </row>
    <row r="370">
      <c r="A370" s="55" t="s">
        <v>4512</v>
      </c>
      <c r="B370" s="44"/>
      <c r="C370" s="55" t="s">
        <v>4513</v>
      </c>
      <c r="D370" s="55" t="s">
        <v>3997</v>
      </c>
      <c r="E370" s="55" t="s">
        <v>127</v>
      </c>
      <c r="F370" s="55" t="s">
        <v>622</v>
      </c>
      <c r="G370" s="55" t="s">
        <v>623</v>
      </c>
      <c r="H370" s="55">
        <v>0.04</v>
      </c>
      <c r="I370" s="55">
        <v>713412.0</v>
      </c>
      <c r="J370" s="55">
        <v>1.4914591272E8</v>
      </c>
      <c r="K370" s="55">
        <v>1.4914591272E8</v>
      </c>
      <c r="L370" s="44"/>
      <c r="M370" s="44"/>
      <c r="N370" s="44"/>
      <c r="O370" s="44"/>
      <c r="P370" s="44"/>
      <c r="Q370" s="44"/>
      <c r="R370" s="44"/>
      <c r="S370" s="44"/>
    </row>
    <row r="371">
      <c r="A371" s="55" t="s">
        <v>4514</v>
      </c>
      <c r="B371" s="44"/>
      <c r="C371" s="55" t="s">
        <v>2444</v>
      </c>
      <c r="D371" s="55" t="s">
        <v>3997</v>
      </c>
      <c r="E371" s="55" t="s">
        <v>170</v>
      </c>
      <c r="F371" s="55" t="s">
        <v>622</v>
      </c>
      <c r="G371" s="55" t="s">
        <v>623</v>
      </c>
      <c r="H371" s="55">
        <v>0.04</v>
      </c>
      <c r="I371" s="55">
        <v>1400794.0</v>
      </c>
      <c r="J371" s="55">
        <v>1.4835809254E8</v>
      </c>
      <c r="K371" s="55">
        <v>1.4835809254E8</v>
      </c>
      <c r="L371" s="44"/>
      <c r="M371" s="44"/>
      <c r="N371" s="44"/>
      <c r="O371" s="44"/>
      <c r="P371" s="44"/>
      <c r="Q371" s="44"/>
      <c r="R371" s="44"/>
      <c r="S371" s="44"/>
    </row>
    <row r="372">
      <c r="A372" s="55" t="s">
        <v>4515</v>
      </c>
      <c r="B372" s="44"/>
      <c r="C372" s="55" t="s">
        <v>2413</v>
      </c>
      <c r="D372" s="55" t="s">
        <v>3997</v>
      </c>
      <c r="E372" s="55" t="s">
        <v>167</v>
      </c>
      <c r="F372" s="55" t="s">
        <v>622</v>
      </c>
      <c r="G372" s="55" t="s">
        <v>623</v>
      </c>
      <c r="H372" s="55">
        <v>0.04</v>
      </c>
      <c r="I372" s="55">
        <v>1504129.0</v>
      </c>
      <c r="J372" s="55">
        <v>1.4723918781E8</v>
      </c>
      <c r="K372" s="55">
        <v>1.4723918781E8</v>
      </c>
      <c r="L372" s="44"/>
      <c r="M372" s="44"/>
      <c r="N372" s="44"/>
      <c r="O372" s="44"/>
      <c r="P372" s="44"/>
      <c r="Q372" s="44"/>
      <c r="R372" s="44"/>
      <c r="S372" s="44"/>
    </row>
    <row r="373">
      <c r="A373" s="55" t="s">
        <v>4516</v>
      </c>
      <c r="B373" s="44"/>
      <c r="C373" s="55" t="s">
        <v>4517</v>
      </c>
      <c r="D373" s="55" t="s">
        <v>3997</v>
      </c>
      <c r="E373" s="55" t="s">
        <v>124</v>
      </c>
      <c r="F373" s="55" t="s">
        <v>622</v>
      </c>
      <c r="G373" s="55" t="s">
        <v>623</v>
      </c>
      <c r="H373" s="55">
        <v>0.04</v>
      </c>
      <c r="I373" s="55">
        <v>2487465.0</v>
      </c>
      <c r="J373" s="55">
        <v>1.47257928E8</v>
      </c>
      <c r="K373" s="55">
        <v>1.47257928E8</v>
      </c>
      <c r="L373" s="44"/>
      <c r="M373" s="44"/>
      <c r="N373" s="44"/>
      <c r="O373" s="44"/>
      <c r="P373" s="44"/>
      <c r="Q373" s="44"/>
      <c r="R373" s="44"/>
      <c r="S373" s="44"/>
    </row>
    <row r="374">
      <c r="A374" s="55" t="s">
        <v>4518</v>
      </c>
      <c r="B374" s="44"/>
      <c r="C374" s="55" t="s">
        <v>2440</v>
      </c>
      <c r="D374" s="55" t="s">
        <v>3997</v>
      </c>
      <c r="E374" s="55" t="s">
        <v>127</v>
      </c>
      <c r="F374" s="55" t="s">
        <v>622</v>
      </c>
      <c r="G374" s="55" t="s">
        <v>623</v>
      </c>
      <c r="H374" s="55">
        <v>0.04</v>
      </c>
      <c r="I374" s="55">
        <v>1869106.0</v>
      </c>
      <c r="J374" s="55">
        <v>1.4707995114E8</v>
      </c>
      <c r="K374" s="55">
        <v>1.4707995114E8</v>
      </c>
      <c r="L374" s="44"/>
      <c r="M374" s="44"/>
      <c r="N374" s="44"/>
      <c r="O374" s="44"/>
      <c r="P374" s="44"/>
      <c r="Q374" s="44"/>
      <c r="R374" s="44"/>
      <c r="S374" s="44"/>
    </row>
    <row r="375">
      <c r="A375" s="55" t="s">
        <v>4519</v>
      </c>
      <c r="B375" s="44"/>
      <c r="C375" s="55" t="s">
        <v>4520</v>
      </c>
      <c r="D375" s="55" t="s">
        <v>3997</v>
      </c>
      <c r="E375" s="55" t="s">
        <v>133</v>
      </c>
      <c r="F375" s="55" t="s">
        <v>622</v>
      </c>
      <c r="G375" s="55" t="s">
        <v>623</v>
      </c>
      <c r="H375" s="55">
        <v>0.04</v>
      </c>
      <c r="I375" s="55">
        <v>1469563.0</v>
      </c>
      <c r="J375" s="55">
        <v>1.4594230153E8</v>
      </c>
      <c r="K375" s="55">
        <v>1.4594230153E8</v>
      </c>
      <c r="L375" s="44"/>
      <c r="M375" s="44"/>
      <c r="N375" s="44"/>
      <c r="O375" s="44"/>
      <c r="P375" s="44"/>
      <c r="Q375" s="44"/>
      <c r="R375" s="44"/>
      <c r="S375" s="44"/>
    </row>
    <row r="376">
      <c r="A376" s="55" t="s">
        <v>4521</v>
      </c>
      <c r="B376" s="44"/>
      <c r="C376" s="55" t="s">
        <v>2385</v>
      </c>
      <c r="D376" s="55" t="s">
        <v>3997</v>
      </c>
      <c r="E376" s="55" t="s">
        <v>170</v>
      </c>
      <c r="F376" s="55" t="s">
        <v>622</v>
      </c>
      <c r="G376" s="55" t="s">
        <v>623</v>
      </c>
      <c r="H376" s="55">
        <v>0.04</v>
      </c>
      <c r="I376" s="55">
        <v>2752880.0</v>
      </c>
      <c r="J376" s="55">
        <v>1.45076776E8</v>
      </c>
      <c r="K376" s="55">
        <v>1.45076776E8</v>
      </c>
      <c r="L376" s="44"/>
      <c r="M376" s="44"/>
      <c r="N376" s="44"/>
      <c r="O376" s="44"/>
      <c r="P376" s="44"/>
      <c r="Q376" s="44"/>
      <c r="R376" s="44"/>
      <c r="S376" s="44"/>
    </row>
    <row r="377">
      <c r="A377" s="55" t="s">
        <v>4522</v>
      </c>
      <c r="B377" s="44"/>
      <c r="C377" s="55" t="s">
        <v>2487</v>
      </c>
      <c r="D377" s="55" t="s">
        <v>3997</v>
      </c>
      <c r="E377" s="55" t="s">
        <v>167</v>
      </c>
      <c r="F377" s="55" t="s">
        <v>622</v>
      </c>
      <c r="G377" s="55" t="s">
        <v>623</v>
      </c>
      <c r="H377" s="55">
        <v>0.04</v>
      </c>
      <c r="I377" s="55">
        <v>1453420.0</v>
      </c>
      <c r="J377" s="55">
        <v>1.448769056E8</v>
      </c>
      <c r="K377" s="55">
        <v>1.448769056E8</v>
      </c>
      <c r="L377" s="44"/>
      <c r="M377" s="44"/>
      <c r="N377" s="44"/>
      <c r="O377" s="44"/>
      <c r="P377" s="44"/>
      <c r="Q377" s="44"/>
      <c r="R377" s="44"/>
      <c r="S377" s="44"/>
    </row>
    <row r="378">
      <c r="A378" s="55" t="s">
        <v>4523</v>
      </c>
      <c r="B378" s="44"/>
      <c r="C378" s="55" t="s">
        <v>2459</v>
      </c>
      <c r="D378" s="55" t="s">
        <v>3997</v>
      </c>
      <c r="E378" s="55" t="s">
        <v>127</v>
      </c>
      <c r="F378" s="55" t="s">
        <v>622</v>
      </c>
      <c r="G378" s="55" t="s">
        <v>623</v>
      </c>
      <c r="H378" s="55">
        <v>0.04</v>
      </c>
      <c r="I378" s="55">
        <v>770512.0</v>
      </c>
      <c r="J378" s="55">
        <v>1.4360802656E8</v>
      </c>
      <c r="K378" s="55">
        <v>1.4360802656E8</v>
      </c>
      <c r="L378" s="44"/>
      <c r="M378" s="44"/>
      <c r="N378" s="44"/>
      <c r="O378" s="44"/>
      <c r="P378" s="44"/>
      <c r="Q378" s="44"/>
      <c r="R378" s="44"/>
      <c r="S378" s="44"/>
    </row>
    <row r="379">
      <c r="A379" s="55" t="s">
        <v>4524</v>
      </c>
      <c r="B379" s="44"/>
      <c r="C379" s="55" t="s">
        <v>2452</v>
      </c>
      <c r="D379" s="55" t="s">
        <v>3997</v>
      </c>
      <c r="E379" s="55" t="s">
        <v>94</v>
      </c>
      <c r="F379" s="55" t="s">
        <v>622</v>
      </c>
      <c r="G379" s="55" t="s">
        <v>623</v>
      </c>
      <c r="H379" s="55">
        <v>0.04</v>
      </c>
      <c r="I379" s="55">
        <v>2973078.0</v>
      </c>
      <c r="J379" s="55">
        <v>1.4321316726E8</v>
      </c>
      <c r="K379" s="55">
        <v>1.4321316726E8</v>
      </c>
      <c r="L379" s="44"/>
      <c r="M379" s="44"/>
      <c r="N379" s="44"/>
      <c r="O379" s="44"/>
      <c r="P379" s="44"/>
      <c r="Q379" s="44"/>
      <c r="R379" s="44"/>
      <c r="S379" s="44"/>
    </row>
    <row r="380">
      <c r="A380" s="55" t="s">
        <v>4525</v>
      </c>
      <c r="B380" s="44"/>
      <c r="C380" s="55" t="s">
        <v>2475</v>
      </c>
      <c r="D380" s="55" t="s">
        <v>3997</v>
      </c>
      <c r="E380" s="55" t="s">
        <v>167</v>
      </c>
      <c r="F380" s="55" t="s">
        <v>622</v>
      </c>
      <c r="G380" s="55" t="s">
        <v>623</v>
      </c>
      <c r="H380" s="55">
        <v>0.04</v>
      </c>
      <c r="I380" s="55">
        <v>547066.0</v>
      </c>
      <c r="J380" s="55">
        <v>1.421551001E8</v>
      </c>
      <c r="K380" s="55">
        <v>1.421551001E8</v>
      </c>
      <c r="L380" s="44"/>
      <c r="M380" s="44"/>
      <c r="N380" s="44"/>
      <c r="O380" s="44"/>
      <c r="P380" s="44"/>
      <c r="Q380" s="44"/>
      <c r="R380" s="44"/>
      <c r="S380" s="44"/>
    </row>
    <row r="381">
      <c r="A381" s="55" t="s">
        <v>4526</v>
      </c>
      <c r="B381" s="44"/>
      <c r="C381" s="55" t="s">
        <v>4527</v>
      </c>
      <c r="D381" s="55" t="s">
        <v>3997</v>
      </c>
      <c r="E381" s="55" t="s">
        <v>133</v>
      </c>
      <c r="F381" s="55" t="s">
        <v>622</v>
      </c>
      <c r="G381" s="55" t="s">
        <v>623</v>
      </c>
      <c r="H381" s="55">
        <v>0.04</v>
      </c>
      <c r="I381" s="55">
        <v>1101147.0</v>
      </c>
      <c r="J381" s="55">
        <v>1.4198189418E8</v>
      </c>
      <c r="K381" s="55">
        <v>1.4198189418E8</v>
      </c>
      <c r="L381" s="44"/>
      <c r="M381" s="44"/>
      <c r="N381" s="44"/>
      <c r="O381" s="44"/>
      <c r="P381" s="44"/>
      <c r="Q381" s="44"/>
      <c r="R381" s="44"/>
      <c r="S381" s="44"/>
    </row>
    <row r="382">
      <c r="A382" s="55" t="s">
        <v>4528</v>
      </c>
      <c r="B382" s="44"/>
      <c r="C382" s="55" t="s">
        <v>4529</v>
      </c>
      <c r="D382" s="55" t="s">
        <v>3997</v>
      </c>
      <c r="E382" s="55" t="s">
        <v>124</v>
      </c>
      <c r="F382" s="55" t="s">
        <v>622</v>
      </c>
      <c r="G382" s="55" t="s">
        <v>623</v>
      </c>
      <c r="H382" s="55">
        <v>0.04</v>
      </c>
      <c r="I382" s="55">
        <v>6761252.0</v>
      </c>
      <c r="J382" s="55">
        <v>1.413101668E8</v>
      </c>
      <c r="K382" s="55">
        <v>1.413101668E8</v>
      </c>
      <c r="L382" s="44"/>
      <c r="M382" s="44"/>
      <c r="N382" s="44"/>
      <c r="O382" s="44"/>
      <c r="P382" s="44"/>
      <c r="Q382" s="44"/>
      <c r="R382" s="44"/>
      <c r="S382" s="44"/>
    </row>
    <row r="383">
      <c r="A383" s="55" t="s">
        <v>4530</v>
      </c>
      <c r="B383" s="44"/>
      <c r="C383" s="55" t="s">
        <v>2483</v>
      </c>
      <c r="D383" s="55" t="s">
        <v>3997</v>
      </c>
      <c r="E383" s="55" t="s">
        <v>118</v>
      </c>
      <c r="F383" s="55" t="s">
        <v>622</v>
      </c>
      <c r="G383" s="55" t="s">
        <v>623</v>
      </c>
      <c r="H383" s="55">
        <v>0.04</v>
      </c>
      <c r="I383" s="55">
        <v>3101884.0</v>
      </c>
      <c r="J383" s="55">
        <v>1.412908162E8</v>
      </c>
      <c r="K383" s="55">
        <v>1.412908162E8</v>
      </c>
      <c r="L383" s="44"/>
      <c r="M383" s="44"/>
      <c r="N383" s="44"/>
      <c r="O383" s="44"/>
      <c r="P383" s="44"/>
      <c r="Q383" s="44"/>
      <c r="R383" s="44"/>
      <c r="S383" s="44"/>
    </row>
    <row r="384">
      <c r="A384" s="55" t="s">
        <v>4531</v>
      </c>
      <c r="B384" s="44"/>
      <c r="C384" s="55" t="s">
        <v>4532</v>
      </c>
      <c r="D384" s="55" t="s">
        <v>3997</v>
      </c>
      <c r="E384" s="55" t="s">
        <v>94</v>
      </c>
      <c r="F384" s="55" t="s">
        <v>622</v>
      </c>
      <c r="G384" s="55" t="s">
        <v>623</v>
      </c>
      <c r="H384" s="55">
        <v>0.04</v>
      </c>
      <c r="I384" s="55">
        <v>760423.0</v>
      </c>
      <c r="J384" s="55">
        <v>1.3956803742E8</v>
      </c>
      <c r="K384" s="55">
        <v>1.3956803742E8</v>
      </c>
      <c r="L384" s="44"/>
      <c r="M384" s="44"/>
      <c r="N384" s="44"/>
      <c r="O384" s="44"/>
      <c r="P384" s="44"/>
      <c r="Q384" s="44"/>
      <c r="R384" s="44"/>
      <c r="S384" s="44"/>
    </row>
    <row r="385">
      <c r="A385" s="55" t="s">
        <v>4533</v>
      </c>
      <c r="B385" s="44"/>
      <c r="C385" s="55" t="s">
        <v>4534</v>
      </c>
      <c r="D385" s="55" t="s">
        <v>3997</v>
      </c>
      <c r="E385" s="55" t="s">
        <v>99</v>
      </c>
      <c r="F385" s="55" t="s">
        <v>622</v>
      </c>
      <c r="G385" s="55" t="s">
        <v>623</v>
      </c>
      <c r="H385" s="55">
        <v>0.04</v>
      </c>
      <c r="I385" s="55">
        <v>1.3662603E7</v>
      </c>
      <c r="J385" s="55">
        <v>1.3949517663E8</v>
      </c>
      <c r="K385" s="55">
        <v>1.3949517663E8</v>
      </c>
      <c r="L385" s="44"/>
      <c r="M385" s="44"/>
      <c r="N385" s="44"/>
      <c r="O385" s="44"/>
      <c r="P385" s="44"/>
      <c r="Q385" s="44"/>
      <c r="R385" s="44"/>
      <c r="S385" s="44"/>
    </row>
    <row r="386">
      <c r="A386" s="55" t="s">
        <v>4535</v>
      </c>
      <c r="B386" s="44"/>
      <c r="C386" s="55" t="s">
        <v>2518</v>
      </c>
      <c r="D386" s="55" t="s">
        <v>3997</v>
      </c>
      <c r="E386" s="55" t="s">
        <v>167</v>
      </c>
      <c r="F386" s="55" t="s">
        <v>622</v>
      </c>
      <c r="G386" s="55" t="s">
        <v>623</v>
      </c>
      <c r="H386" s="55">
        <v>0.04</v>
      </c>
      <c r="I386" s="55">
        <v>3019197.0</v>
      </c>
      <c r="J386" s="55">
        <v>1.382792226E8</v>
      </c>
      <c r="K386" s="55">
        <v>1.382792226E8</v>
      </c>
      <c r="L386" s="44"/>
      <c r="M386" s="44"/>
      <c r="N386" s="44"/>
      <c r="O386" s="44"/>
      <c r="P386" s="44"/>
      <c r="Q386" s="44"/>
      <c r="R386" s="44"/>
      <c r="S386" s="44"/>
    </row>
    <row r="387">
      <c r="A387" s="55" t="s">
        <v>4536</v>
      </c>
      <c r="B387" s="44"/>
      <c r="C387" s="55" t="s">
        <v>2472</v>
      </c>
      <c r="D387" s="55" t="s">
        <v>3997</v>
      </c>
      <c r="E387" s="55" t="s">
        <v>4004</v>
      </c>
      <c r="F387" s="55" t="s">
        <v>622</v>
      </c>
      <c r="G387" s="55" t="s">
        <v>623</v>
      </c>
      <c r="H387" s="55">
        <v>0.04</v>
      </c>
      <c r="I387" s="55">
        <v>1864460.0</v>
      </c>
      <c r="J387" s="55">
        <v>1.38063263E8</v>
      </c>
      <c r="K387" s="55">
        <v>1.38063263E8</v>
      </c>
      <c r="L387" s="44"/>
      <c r="M387" s="44"/>
      <c r="N387" s="44"/>
      <c r="O387" s="44"/>
      <c r="P387" s="44"/>
      <c r="Q387" s="44"/>
      <c r="R387" s="44"/>
      <c r="S387" s="44"/>
    </row>
    <row r="388">
      <c r="A388" s="55" t="s">
        <v>4537</v>
      </c>
      <c r="B388" s="44"/>
      <c r="C388" s="55" t="s">
        <v>4538</v>
      </c>
      <c r="D388" s="55" t="s">
        <v>3997</v>
      </c>
      <c r="E388" s="55" t="s">
        <v>115</v>
      </c>
      <c r="F388" s="55" t="s">
        <v>622</v>
      </c>
      <c r="G388" s="55" t="s">
        <v>623</v>
      </c>
      <c r="H388" s="55">
        <v>0.04</v>
      </c>
      <c r="I388" s="55">
        <v>3412625.0</v>
      </c>
      <c r="J388" s="55">
        <v>1.38006555E8</v>
      </c>
      <c r="K388" s="55">
        <v>1.38006555E8</v>
      </c>
      <c r="L388" s="44"/>
      <c r="M388" s="44"/>
      <c r="N388" s="44"/>
      <c r="O388" s="44"/>
      <c r="P388" s="44"/>
      <c r="Q388" s="44"/>
      <c r="R388" s="44"/>
      <c r="S388" s="44"/>
    </row>
    <row r="389">
      <c r="A389" s="55" t="s">
        <v>4539</v>
      </c>
      <c r="B389" s="44"/>
      <c r="C389" s="55" t="s">
        <v>2491</v>
      </c>
      <c r="D389" s="55" t="s">
        <v>3997</v>
      </c>
      <c r="E389" s="55" t="s">
        <v>118</v>
      </c>
      <c r="F389" s="55" t="s">
        <v>622</v>
      </c>
      <c r="G389" s="55" t="s">
        <v>623</v>
      </c>
      <c r="H389" s="55">
        <v>0.04</v>
      </c>
      <c r="I389" s="55">
        <v>9505644.0</v>
      </c>
      <c r="J389" s="55">
        <v>1.3726149936E8</v>
      </c>
      <c r="K389" s="55">
        <v>1.3726149936E8</v>
      </c>
      <c r="L389" s="44"/>
      <c r="M389" s="44"/>
      <c r="N389" s="44"/>
      <c r="O389" s="44"/>
      <c r="P389" s="44"/>
      <c r="Q389" s="44"/>
      <c r="R389" s="44"/>
      <c r="S389" s="44"/>
    </row>
    <row r="390">
      <c r="A390" s="55" t="s">
        <v>4540</v>
      </c>
      <c r="B390" s="44"/>
      <c r="C390" s="55" t="s">
        <v>1854</v>
      </c>
      <c r="D390" s="55" t="s">
        <v>3997</v>
      </c>
      <c r="E390" s="55" t="s">
        <v>99</v>
      </c>
      <c r="F390" s="55" t="s">
        <v>622</v>
      </c>
      <c r="G390" s="55" t="s">
        <v>623</v>
      </c>
      <c r="H390" s="55">
        <v>0.04</v>
      </c>
      <c r="I390" s="55">
        <v>1953259.0</v>
      </c>
      <c r="J390" s="55">
        <v>1.3518505539E8</v>
      </c>
      <c r="K390" s="55">
        <v>1.3518505539E8</v>
      </c>
      <c r="L390" s="44"/>
      <c r="M390" s="44"/>
      <c r="N390" s="44"/>
      <c r="O390" s="44"/>
      <c r="P390" s="44"/>
      <c r="Q390" s="44"/>
      <c r="R390" s="44"/>
      <c r="S390" s="44"/>
    </row>
    <row r="391">
      <c r="A391" s="55" t="s">
        <v>4541</v>
      </c>
      <c r="B391" s="44"/>
      <c r="C391" s="55" t="s">
        <v>4542</v>
      </c>
      <c r="D391" s="55" t="s">
        <v>3997</v>
      </c>
      <c r="E391" s="55" t="s">
        <v>124</v>
      </c>
      <c r="F391" s="55" t="s">
        <v>622</v>
      </c>
      <c r="G391" s="55" t="s">
        <v>623</v>
      </c>
      <c r="H391" s="55">
        <v>0.04</v>
      </c>
      <c r="I391" s="55">
        <v>2694512.0</v>
      </c>
      <c r="J391" s="55">
        <v>1.3453698416E8</v>
      </c>
      <c r="K391" s="55">
        <v>1.3453698416E8</v>
      </c>
      <c r="L391" s="44"/>
      <c r="M391" s="44"/>
      <c r="N391" s="44"/>
      <c r="O391" s="44"/>
      <c r="P391" s="44"/>
      <c r="Q391" s="44"/>
      <c r="R391" s="44"/>
      <c r="S391" s="44"/>
    </row>
    <row r="392">
      <c r="A392" s="55" t="s">
        <v>4543</v>
      </c>
      <c r="B392" s="44"/>
      <c r="C392" s="55" t="s">
        <v>2511</v>
      </c>
      <c r="D392" s="55" t="s">
        <v>3997</v>
      </c>
      <c r="E392" s="55" t="s">
        <v>118</v>
      </c>
      <c r="F392" s="55" t="s">
        <v>622</v>
      </c>
      <c r="G392" s="55" t="s">
        <v>623</v>
      </c>
      <c r="H392" s="55">
        <v>0.04</v>
      </c>
      <c r="I392" s="55">
        <v>1300714.0</v>
      </c>
      <c r="J392" s="55">
        <v>1.3342724212E8</v>
      </c>
      <c r="K392" s="55">
        <v>1.3342724212E8</v>
      </c>
      <c r="L392" s="44"/>
      <c r="M392" s="44"/>
      <c r="N392" s="44"/>
      <c r="O392" s="44"/>
      <c r="P392" s="44"/>
      <c r="Q392" s="44"/>
      <c r="R392" s="44"/>
      <c r="S392" s="44"/>
    </row>
    <row r="393">
      <c r="A393" s="55" t="s">
        <v>4544</v>
      </c>
      <c r="B393" s="44"/>
      <c r="C393" s="55" t="s">
        <v>2345</v>
      </c>
      <c r="D393" s="55" t="s">
        <v>3997</v>
      </c>
      <c r="E393" s="55" t="s">
        <v>127</v>
      </c>
      <c r="F393" s="55" t="s">
        <v>622</v>
      </c>
      <c r="G393" s="55" t="s">
        <v>623</v>
      </c>
      <c r="H393" s="55">
        <v>0.04</v>
      </c>
      <c r="I393" s="55">
        <v>3094837.0</v>
      </c>
      <c r="J393" s="55">
        <v>1.3094255347E8</v>
      </c>
      <c r="K393" s="55">
        <v>1.3094255347E8</v>
      </c>
      <c r="L393" s="44"/>
      <c r="M393" s="44"/>
      <c r="N393" s="44"/>
      <c r="O393" s="44"/>
      <c r="P393" s="44"/>
      <c r="Q393" s="44"/>
      <c r="R393" s="44"/>
      <c r="S393" s="44"/>
    </row>
    <row r="394">
      <c r="A394" s="55" t="s">
        <v>4545</v>
      </c>
      <c r="B394" s="44"/>
      <c r="C394" s="55" t="s">
        <v>2590</v>
      </c>
      <c r="D394" s="55" t="s">
        <v>3997</v>
      </c>
      <c r="E394" s="55" t="s">
        <v>4014</v>
      </c>
      <c r="F394" s="55" t="s">
        <v>622</v>
      </c>
      <c r="G394" s="55" t="s">
        <v>623</v>
      </c>
      <c r="H394" s="55">
        <v>0.04</v>
      </c>
      <c r="I394" s="55">
        <v>1059144.0</v>
      </c>
      <c r="J394" s="55">
        <v>1.306454124E8</v>
      </c>
      <c r="K394" s="55">
        <v>1.306454124E8</v>
      </c>
      <c r="L394" s="44"/>
      <c r="M394" s="44"/>
      <c r="N394" s="44"/>
      <c r="O394" s="44"/>
      <c r="P394" s="44"/>
      <c r="Q394" s="44"/>
      <c r="R394" s="44"/>
      <c r="S394" s="44"/>
    </row>
    <row r="395">
      <c r="A395" s="55" t="s">
        <v>4546</v>
      </c>
      <c r="B395" s="44"/>
      <c r="C395" s="55" t="s">
        <v>2698</v>
      </c>
      <c r="D395" s="55" t="s">
        <v>3997</v>
      </c>
      <c r="E395" s="55" t="s">
        <v>94</v>
      </c>
      <c r="F395" s="55" t="s">
        <v>622</v>
      </c>
      <c r="G395" s="55" t="s">
        <v>623</v>
      </c>
      <c r="H395" s="55">
        <v>0.04</v>
      </c>
      <c r="I395" s="55">
        <v>848593.0</v>
      </c>
      <c r="J395" s="55">
        <v>1.3049663154E8</v>
      </c>
      <c r="K395" s="55">
        <v>1.3049663154E8</v>
      </c>
      <c r="L395" s="44"/>
      <c r="M395" s="44"/>
      <c r="N395" s="44"/>
      <c r="O395" s="44"/>
      <c r="P395" s="44"/>
      <c r="Q395" s="44"/>
      <c r="R395" s="44"/>
      <c r="S395" s="44"/>
    </row>
    <row r="396">
      <c r="A396" s="55" t="s">
        <v>4547</v>
      </c>
      <c r="B396" s="44"/>
      <c r="C396" s="55" t="s">
        <v>3923</v>
      </c>
      <c r="D396" s="55" t="s">
        <v>3997</v>
      </c>
      <c r="E396" s="55" t="s">
        <v>118</v>
      </c>
      <c r="F396" s="55" t="s">
        <v>622</v>
      </c>
      <c r="G396" s="55" t="s">
        <v>623</v>
      </c>
      <c r="H396" s="55">
        <v>0.04</v>
      </c>
      <c r="I396" s="55">
        <v>368451.0</v>
      </c>
      <c r="J396" s="55">
        <v>1.30063203E8</v>
      </c>
      <c r="K396" s="55">
        <v>1.30063203E8</v>
      </c>
      <c r="L396" s="44"/>
      <c r="M396" s="44"/>
      <c r="N396" s="44"/>
      <c r="O396" s="44"/>
      <c r="P396" s="44"/>
      <c r="Q396" s="44"/>
      <c r="R396" s="44"/>
      <c r="S396" s="44"/>
    </row>
    <row r="397">
      <c r="A397" s="55" t="s">
        <v>4548</v>
      </c>
      <c r="B397" s="44"/>
      <c r="C397" s="55" t="s">
        <v>4549</v>
      </c>
      <c r="D397" s="55" t="s">
        <v>3997</v>
      </c>
      <c r="E397" s="55" t="s">
        <v>127</v>
      </c>
      <c r="F397" s="55" t="s">
        <v>622</v>
      </c>
      <c r="G397" s="55" t="s">
        <v>623</v>
      </c>
      <c r="H397" s="55">
        <v>0.04</v>
      </c>
      <c r="I397" s="55">
        <v>663180.0</v>
      </c>
      <c r="J397" s="55">
        <v>1.300363344E8</v>
      </c>
      <c r="K397" s="55">
        <v>1.300363344E8</v>
      </c>
      <c r="L397" s="44"/>
      <c r="M397" s="44"/>
      <c r="N397" s="44"/>
      <c r="O397" s="44"/>
      <c r="P397" s="44"/>
      <c r="Q397" s="44"/>
      <c r="R397" s="44"/>
      <c r="S397" s="44"/>
    </row>
    <row r="398">
      <c r="A398" s="55" t="s">
        <v>4550</v>
      </c>
      <c r="B398" s="44"/>
      <c r="C398" s="55" t="s">
        <v>3941</v>
      </c>
      <c r="D398" s="55" t="s">
        <v>3997</v>
      </c>
      <c r="E398" s="55" t="s">
        <v>4014</v>
      </c>
      <c r="F398" s="55" t="s">
        <v>622</v>
      </c>
      <c r="G398" s="55" t="s">
        <v>623</v>
      </c>
      <c r="H398" s="55">
        <v>0.04</v>
      </c>
      <c r="I398" s="55">
        <v>1171417.0</v>
      </c>
      <c r="J398" s="55">
        <v>1.2914872425E8</v>
      </c>
      <c r="K398" s="55">
        <v>1.2914872425E8</v>
      </c>
      <c r="L398" s="44"/>
      <c r="M398" s="44"/>
      <c r="N398" s="44"/>
      <c r="O398" s="44"/>
      <c r="P398" s="44"/>
      <c r="Q398" s="44"/>
      <c r="R398" s="44"/>
      <c r="S398" s="44"/>
    </row>
    <row r="399">
      <c r="A399" s="55" t="s">
        <v>4551</v>
      </c>
      <c r="B399" s="44"/>
      <c r="C399" s="55" t="s">
        <v>4552</v>
      </c>
      <c r="D399" s="55" t="s">
        <v>3997</v>
      </c>
      <c r="E399" s="55" t="s">
        <v>127</v>
      </c>
      <c r="F399" s="55" t="s">
        <v>622</v>
      </c>
      <c r="G399" s="55" t="s">
        <v>623</v>
      </c>
      <c r="H399" s="55">
        <v>0.04</v>
      </c>
      <c r="I399" s="55">
        <v>499469.0</v>
      </c>
      <c r="J399" s="55">
        <v>1.2868319316E8</v>
      </c>
      <c r="K399" s="55">
        <v>1.2868319316E8</v>
      </c>
      <c r="L399" s="44"/>
      <c r="M399" s="44"/>
      <c r="N399" s="44"/>
      <c r="O399" s="44"/>
      <c r="P399" s="44"/>
      <c r="Q399" s="44"/>
      <c r="R399" s="44"/>
      <c r="S399" s="44"/>
    </row>
    <row r="400">
      <c r="A400" s="55" t="s">
        <v>4553</v>
      </c>
      <c r="B400" s="44"/>
      <c r="C400" s="55" t="s">
        <v>4554</v>
      </c>
      <c r="D400" s="55" t="s">
        <v>3997</v>
      </c>
      <c r="E400" s="55" t="s">
        <v>133</v>
      </c>
      <c r="F400" s="55" t="s">
        <v>622</v>
      </c>
      <c r="G400" s="55" t="s">
        <v>623</v>
      </c>
      <c r="H400" s="55">
        <v>0.04</v>
      </c>
      <c r="I400" s="55">
        <v>605608.0</v>
      </c>
      <c r="J400" s="55">
        <v>1.27631886E8</v>
      </c>
      <c r="K400" s="55">
        <v>1.27631886E8</v>
      </c>
      <c r="L400" s="44"/>
      <c r="M400" s="44"/>
      <c r="N400" s="44"/>
      <c r="O400" s="44"/>
      <c r="P400" s="44"/>
      <c r="Q400" s="44"/>
      <c r="R400" s="44"/>
      <c r="S400" s="44"/>
    </row>
    <row r="401">
      <c r="A401" s="55" t="s">
        <v>4555</v>
      </c>
      <c r="B401" s="44"/>
      <c r="C401" s="55" t="s">
        <v>213</v>
      </c>
      <c r="D401" s="55" t="s">
        <v>3997</v>
      </c>
      <c r="E401" s="55" t="s">
        <v>94</v>
      </c>
      <c r="F401" s="55" t="s">
        <v>622</v>
      </c>
      <c r="G401" s="55" t="s">
        <v>623</v>
      </c>
      <c r="H401" s="55">
        <v>0.04</v>
      </c>
      <c r="I401" s="55">
        <v>1.3885247E7</v>
      </c>
      <c r="J401" s="55">
        <v>1.2732771499E8</v>
      </c>
      <c r="K401" s="55">
        <v>1.2732771499E8</v>
      </c>
      <c r="L401" s="44"/>
      <c r="M401" s="44"/>
      <c r="N401" s="44"/>
      <c r="O401" s="44"/>
      <c r="P401" s="44"/>
      <c r="Q401" s="44"/>
      <c r="R401" s="44"/>
      <c r="S401" s="44"/>
    </row>
    <row r="402">
      <c r="A402" s="55" t="s">
        <v>4556</v>
      </c>
      <c r="B402" s="44"/>
      <c r="C402" s="55" t="s">
        <v>4557</v>
      </c>
      <c r="D402" s="55" t="s">
        <v>3997</v>
      </c>
      <c r="E402" s="55" t="s">
        <v>124</v>
      </c>
      <c r="F402" s="55" t="s">
        <v>622</v>
      </c>
      <c r="G402" s="55" t="s">
        <v>623</v>
      </c>
      <c r="H402" s="55">
        <v>0.04</v>
      </c>
      <c r="I402" s="55">
        <v>1375864.0</v>
      </c>
      <c r="J402" s="55">
        <v>1.2684090216E8</v>
      </c>
      <c r="K402" s="55">
        <v>1.2684090216E8</v>
      </c>
      <c r="L402" s="44"/>
      <c r="M402" s="44"/>
      <c r="N402" s="44"/>
      <c r="O402" s="44"/>
      <c r="P402" s="44"/>
      <c r="Q402" s="44"/>
      <c r="R402" s="44"/>
      <c r="S402" s="44"/>
    </row>
    <row r="403">
      <c r="A403" s="55" t="s">
        <v>4558</v>
      </c>
      <c r="B403" s="44"/>
      <c r="C403" s="55" t="s">
        <v>4559</v>
      </c>
      <c r="D403" s="55" t="s">
        <v>3997</v>
      </c>
      <c r="E403" s="55" t="s">
        <v>118</v>
      </c>
      <c r="F403" s="55" t="s">
        <v>622</v>
      </c>
      <c r="G403" s="55" t="s">
        <v>623</v>
      </c>
      <c r="H403" s="55">
        <v>0.04</v>
      </c>
      <c r="I403" s="55">
        <v>331189.0</v>
      </c>
      <c r="J403" s="55">
        <v>1.2661686659E8</v>
      </c>
      <c r="K403" s="55">
        <v>1.2661686659E8</v>
      </c>
      <c r="L403" s="44"/>
      <c r="M403" s="44"/>
      <c r="N403" s="44"/>
      <c r="O403" s="44"/>
      <c r="P403" s="44"/>
      <c r="Q403" s="44"/>
      <c r="R403" s="44"/>
      <c r="S403" s="44"/>
    </row>
    <row r="404">
      <c r="A404" s="55" t="s">
        <v>4560</v>
      </c>
      <c r="B404" s="44"/>
      <c r="C404" s="55" t="s">
        <v>2537</v>
      </c>
      <c r="D404" s="55" t="s">
        <v>3997</v>
      </c>
      <c r="E404" s="55" t="s">
        <v>118</v>
      </c>
      <c r="F404" s="55" t="s">
        <v>622</v>
      </c>
      <c r="G404" s="55" t="s">
        <v>623</v>
      </c>
      <c r="H404" s="55">
        <v>0.04</v>
      </c>
      <c r="I404" s="55">
        <v>1832724.0</v>
      </c>
      <c r="J404" s="55">
        <v>1.262746836E8</v>
      </c>
      <c r="K404" s="55">
        <v>1.262746836E8</v>
      </c>
      <c r="L404" s="44"/>
      <c r="M404" s="44"/>
      <c r="N404" s="44"/>
      <c r="O404" s="44"/>
      <c r="P404" s="44"/>
      <c r="Q404" s="44"/>
      <c r="R404" s="44"/>
      <c r="S404" s="44"/>
    </row>
    <row r="405">
      <c r="A405" s="55" t="s">
        <v>4561</v>
      </c>
      <c r="B405" s="44"/>
      <c r="C405" s="55" t="s">
        <v>2679</v>
      </c>
      <c r="D405" s="55" t="s">
        <v>3997</v>
      </c>
      <c r="E405" s="55" t="s">
        <v>118</v>
      </c>
      <c r="F405" s="55" t="s">
        <v>622</v>
      </c>
      <c r="G405" s="55" t="s">
        <v>623</v>
      </c>
      <c r="H405" s="55">
        <v>0.04</v>
      </c>
      <c r="I405" s="55">
        <v>2524643.0</v>
      </c>
      <c r="J405" s="55">
        <v>1.2507081422E8</v>
      </c>
      <c r="K405" s="55">
        <v>1.2507081422E8</v>
      </c>
      <c r="L405" s="44"/>
      <c r="M405" s="44"/>
      <c r="N405" s="44"/>
      <c r="O405" s="44"/>
      <c r="P405" s="44"/>
      <c r="Q405" s="44"/>
      <c r="R405" s="44"/>
      <c r="S405" s="44"/>
    </row>
    <row r="406">
      <c r="A406" s="55" t="s">
        <v>4562</v>
      </c>
      <c r="B406" s="44"/>
      <c r="C406" s="55" t="s">
        <v>4563</v>
      </c>
      <c r="D406" s="55" t="s">
        <v>3997</v>
      </c>
      <c r="E406" s="55" t="s">
        <v>99</v>
      </c>
      <c r="F406" s="55" t="s">
        <v>622</v>
      </c>
      <c r="G406" s="55" t="s">
        <v>623</v>
      </c>
      <c r="H406" s="55">
        <v>0.04</v>
      </c>
      <c r="I406" s="55">
        <v>1919687.0</v>
      </c>
      <c r="J406" s="55">
        <v>1.2489483622E8</v>
      </c>
      <c r="K406" s="55">
        <v>1.2489483622E8</v>
      </c>
      <c r="L406" s="44"/>
      <c r="M406" s="44"/>
      <c r="N406" s="44"/>
      <c r="O406" s="44"/>
      <c r="P406" s="44"/>
      <c r="Q406" s="44"/>
      <c r="R406" s="44"/>
      <c r="S406" s="44"/>
    </row>
    <row r="407">
      <c r="A407" s="55" t="s">
        <v>4564</v>
      </c>
      <c r="B407" s="44"/>
      <c r="C407" s="55" t="s">
        <v>2561</v>
      </c>
      <c r="D407" s="55" t="s">
        <v>3997</v>
      </c>
      <c r="E407" s="55" t="s">
        <v>124</v>
      </c>
      <c r="F407" s="55" t="s">
        <v>622</v>
      </c>
      <c r="G407" s="55" t="s">
        <v>623</v>
      </c>
      <c r="H407" s="55">
        <v>0.04</v>
      </c>
      <c r="I407" s="55">
        <v>4509424.0</v>
      </c>
      <c r="J407" s="55">
        <v>1.2373859456E8</v>
      </c>
      <c r="K407" s="55">
        <v>1.2373859456E8</v>
      </c>
      <c r="L407" s="44"/>
      <c r="M407" s="44"/>
      <c r="N407" s="44"/>
      <c r="O407" s="44"/>
      <c r="P407" s="44"/>
      <c r="Q407" s="44"/>
      <c r="R407" s="44"/>
      <c r="S407" s="44"/>
    </row>
    <row r="408">
      <c r="A408" s="55" t="s">
        <v>4565</v>
      </c>
      <c r="B408" s="44"/>
      <c r="C408" s="55" t="s">
        <v>2100</v>
      </c>
      <c r="D408" s="55" t="s">
        <v>3997</v>
      </c>
      <c r="E408" s="55" t="s">
        <v>167</v>
      </c>
      <c r="F408" s="55" t="s">
        <v>622</v>
      </c>
      <c r="G408" s="55" t="s">
        <v>623</v>
      </c>
      <c r="H408" s="55">
        <v>0.04</v>
      </c>
      <c r="I408" s="55">
        <v>2343317.0</v>
      </c>
      <c r="J408" s="55">
        <v>1.2281324397E8</v>
      </c>
      <c r="K408" s="55">
        <v>1.2281324397E8</v>
      </c>
      <c r="L408" s="44"/>
      <c r="M408" s="44"/>
      <c r="N408" s="44"/>
      <c r="O408" s="44"/>
      <c r="P408" s="44"/>
      <c r="Q408" s="44"/>
      <c r="R408" s="44"/>
      <c r="S408" s="44"/>
    </row>
    <row r="409">
      <c r="A409" s="55" t="s">
        <v>4566</v>
      </c>
      <c r="B409" s="44"/>
      <c r="C409" s="55" t="s">
        <v>4567</v>
      </c>
      <c r="D409" s="55" t="s">
        <v>3997</v>
      </c>
      <c r="E409" s="55" t="s">
        <v>115</v>
      </c>
      <c r="F409" s="55" t="s">
        <v>622</v>
      </c>
      <c r="G409" s="55" t="s">
        <v>623</v>
      </c>
      <c r="H409" s="55">
        <v>0.04</v>
      </c>
      <c r="I409" s="55">
        <v>2899442.0</v>
      </c>
      <c r="J409" s="55">
        <v>1.2244343566E8</v>
      </c>
      <c r="K409" s="55">
        <v>1.2244343566E8</v>
      </c>
      <c r="L409" s="44"/>
      <c r="M409" s="44"/>
      <c r="N409" s="44"/>
      <c r="O409" s="44"/>
      <c r="P409" s="44"/>
      <c r="Q409" s="44"/>
      <c r="R409" s="44"/>
      <c r="S409" s="44"/>
    </row>
    <row r="410">
      <c r="A410" s="55" t="s">
        <v>4568</v>
      </c>
      <c r="B410" s="44"/>
      <c r="C410" s="55" t="s">
        <v>2626</v>
      </c>
      <c r="D410" s="55" t="s">
        <v>3997</v>
      </c>
      <c r="E410" s="55" t="s">
        <v>99</v>
      </c>
      <c r="F410" s="55" t="s">
        <v>622</v>
      </c>
      <c r="G410" s="55" t="s">
        <v>623</v>
      </c>
      <c r="H410" s="55">
        <v>0.04</v>
      </c>
      <c r="I410" s="55">
        <v>3946105.0</v>
      </c>
      <c r="J410" s="55">
        <v>1.2181626135E8</v>
      </c>
      <c r="K410" s="55">
        <v>1.2181626135E8</v>
      </c>
      <c r="L410" s="44"/>
      <c r="M410" s="44"/>
      <c r="N410" s="44"/>
      <c r="O410" s="44"/>
      <c r="P410" s="44"/>
      <c r="Q410" s="44"/>
      <c r="R410" s="44"/>
      <c r="S410" s="44"/>
    </row>
    <row r="411">
      <c r="A411" s="55" t="s">
        <v>4569</v>
      </c>
      <c r="B411" s="44"/>
      <c r="C411" s="55" t="s">
        <v>2629</v>
      </c>
      <c r="D411" s="55" t="s">
        <v>3997</v>
      </c>
      <c r="E411" s="55" t="s">
        <v>127</v>
      </c>
      <c r="F411" s="55" t="s">
        <v>622</v>
      </c>
      <c r="G411" s="55" t="s">
        <v>623</v>
      </c>
      <c r="H411" s="55">
        <v>0.04</v>
      </c>
      <c r="I411" s="55">
        <v>1445827.0</v>
      </c>
      <c r="J411" s="55">
        <v>1.2110246952E8</v>
      </c>
      <c r="K411" s="55">
        <v>1.2110246952E8</v>
      </c>
      <c r="L411" s="44"/>
      <c r="M411" s="44"/>
      <c r="N411" s="44"/>
      <c r="O411" s="44"/>
      <c r="P411" s="44"/>
      <c r="Q411" s="44"/>
      <c r="R411" s="44"/>
      <c r="S411" s="44"/>
    </row>
    <row r="412">
      <c r="A412" s="55" t="s">
        <v>4570</v>
      </c>
      <c r="B412" s="44"/>
      <c r="C412" s="55" t="s">
        <v>4571</v>
      </c>
      <c r="D412" s="55" t="s">
        <v>3997</v>
      </c>
      <c r="E412" s="55" t="s">
        <v>124</v>
      </c>
      <c r="F412" s="55" t="s">
        <v>622</v>
      </c>
      <c r="G412" s="55" t="s">
        <v>623</v>
      </c>
      <c r="H412" s="55">
        <v>0.04</v>
      </c>
      <c r="I412" s="55">
        <v>963588.0</v>
      </c>
      <c r="J412" s="55">
        <v>1.2007270068E8</v>
      </c>
      <c r="K412" s="55">
        <v>1.2007270068E8</v>
      </c>
      <c r="L412" s="44"/>
      <c r="M412" s="44"/>
      <c r="N412" s="44"/>
      <c r="O412" s="44"/>
      <c r="P412" s="44"/>
      <c r="Q412" s="44"/>
      <c r="R412" s="44"/>
      <c r="S412" s="44"/>
    </row>
    <row r="413">
      <c r="A413" s="55" t="s">
        <v>4572</v>
      </c>
      <c r="B413" s="44"/>
      <c r="C413" s="55" t="s">
        <v>2533</v>
      </c>
      <c r="D413" s="55" t="s">
        <v>3997</v>
      </c>
      <c r="E413" s="55" t="s">
        <v>127</v>
      </c>
      <c r="F413" s="55" t="s">
        <v>622</v>
      </c>
      <c r="G413" s="55" t="s">
        <v>623</v>
      </c>
      <c r="H413" s="55">
        <v>0.04</v>
      </c>
      <c r="I413" s="55">
        <v>464729.0</v>
      </c>
      <c r="J413" s="55">
        <v>1.1964912834E8</v>
      </c>
      <c r="K413" s="55">
        <v>1.1964912834E8</v>
      </c>
      <c r="L413" s="44"/>
      <c r="M413" s="44"/>
      <c r="N413" s="44"/>
      <c r="O413" s="44"/>
      <c r="P413" s="44"/>
      <c r="Q413" s="44"/>
      <c r="R413" s="44"/>
      <c r="S413" s="44"/>
    </row>
    <row r="414">
      <c r="A414" s="55" t="s">
        <v>4573</v>
      </c>
      <c r="B414" s="44"/>
      <c r="C414" s="55" t="s">
        <v>4574</v>
      </c>
      <c r="D414" s="55" t="s">
        <v>3997</v>
      </c>
      <c r="E414" s="55" t="s">
        <v>167</v>
      </c>
      <c r="F414" s="55" t="s">
        <v>622</v>
      </c>
      <c r="G414" s="55" t="s">
        <v>623</v>
      </c>
      <c r="H414" s="55">
        <v>0.04</v>
      </c>
      <c r="I414" s="55">
        <v>1820101.0</v>
      </c>
      <c r="J414" s="55">
        <v>1.1956243469E8</v>
      </c>
      <c r="K414" s="55">
        <v>1.1956243469E8</v>
      </c>
      <c r="L414" s="44"/>
      <c r="M414" s="44"/>
      <c r="N414" s="44"/>
      <c r="O414" s="44"/>
      <c r="P414" s="44"/>
      <c r="Q414" s="44"/>
      <c r="R414" s="44"/>
      <c r="S414" s="44"/>
    </row>
    <row r="415">
      <c r="A415" s="55" t="s">
        <v>4575</v>
      </c>
      <c r="B415" s="44"/>
      <c r="C415" s="55" t="s">
        <v>2610</v>
      </c>
      <c r="D415" s="55" t="s">
        <v>3997</v>
      </c>
      <c r="E415" s="55" t="s">
        <v>127</v>
      </c>
      <c r="F415" s="55" t="s">
        <v>622</v>
      </c>
      <c r="G415" s="55" t="s">
        <v>623</v>
      </c>
      <c r="H415" s="55">
        <v>0.04</v>
      </c>
      <c r="I415" s="55">
        <v>1296161.0</v>
      </c>
      <c r="J415" s="55">
        <v>1.1942827454E8</v>
      </c>
      <c r="K415" s="55">
        <v>1.1942827454E8</v>
      </c>
      <c r="L415" s="44"/>
      <c r="M415" s="44"/>
      <c r="N415" s="44"/>
      <c r="O415" s="44"/>
      <c r="P415" s="44"/>
      <c r="Q415" s="44"/>
      <c r="R415" s="44"/>
      <c r="S415" s="44"/>
    </row>
    <row r="416">
      <c r="A416" s="55" t="s">
        <v>4576</v>
      </c>
      <c r="B416" s="44"/>
      <c r="C416" s="55" t="s">
        <v>2600</v>
      </c>
      <c r="D416" s="55" t="s">
        <v>3997</v>
      </c>
      <c r="E416" s="55" t="s">
        <v>94</v>
      </c>
      <c r="F416" s="55" t="s">
        <v>622</v>
      </c>
      <c r="G416" s="55" t="s">
        <v>623</v>
      </c>
      <c r="H416" s="55">
        <v>0.04</v>
      </c>
      <c r="I416" s="55">
        <v>944548.0</v>
      </c>
      <c r="J416" s="55">
        <v>1.1938142172E8</v>
      </c>
      <c r="K416" s="55">
        <v>1.1938142172E8</v>
      </c>
      <c r="L416" s="44"/>
      <c r="M416" s="44"/>
      <c r="N416" s="44"/>
      <c r="O416" s="44"/>
      <c r="P416" s="44"/>
      <c r="Q416" s="44"/>
      <c r="R416" s="44"/>
      <c r="S416" s="44"/>
    </row>
    <row r="417">
      <c r="A417" s="55" t="s">
        <v>4577</v>
      </c>
      <c r="B417" s="44"/>
      <c r="C417" s="55" t="s">
        <v>2642</v>
      </c>
      <c r="D417" s="55" t="s">
        <v>3997</v>
      </c>
      <c r="E417" s="55" t="s">
        <v>99</v>
      </c>
      <c r="F417" s="55" t="s">
        <v>622</v>
      </c>
      <c r="G417" s="55" t="s">
        <v>623</v>
      </c>
      <c r="H417" s="55">
        <v>0.03</v>
      </c>
      <c r="I417" s="55">
        <v>4456604.0</v>
      </c>
      <c r="J417" s="55">
        <v>1.174315154E8</v>
      </c>
      <c r="K417" s="55">
        <v>1.174315154E8</v>
      </c>
      <c r="L417" s="44"/>
      <c r="M417" s="44"/>
      <c r="N417" s="44"/>
      <c r="O417" s="44"/>
      <c r="P417" s="44"/>
      <c r="Q417" s="44"/>
      <c r="R417" s="44"/>
      <c r="S417" s="44"/>
    </row>
    <row r="418">
      <c r="A418" s="55" t="s">
        <v>4578</v>
      </c>
      <c r="B418" s="44"/>
      <c r="C418" s="55" t="s">
        <v>4579</v>
      </c>
      <c r="D418" s="55" t="s">
        <v>3997</v>
      </c>
      <c r="E418" s="55" t="s">
        <v>94</v>
      </c>
      <c r="F418" s="55" t="s">
        <v>622</v>
      </c>
      <c r="G418" s="55" t="s">
        <v>623</v>
      </c>
      <c r="H418" s="55">
        <v>0.03</v>
      </c>
      <c r="I418" s="55">
        <v>3264939.0</v>
      </c>
      <c r="J418" s="55">
        <v>1.1541559365E8</v>
      </c>
      <c r="K418" s="55">
        <v>1.1541559365E8</v>
      </c>
      <c r="L418" s="44"/>
      <c r="M418" s="44"/>
      <c r="N418" s="44"/>
      <c r="O418" s="44"/>
      <c r="P418" s="44"/>
      <c r="Q418" s="44"/>
      <c r="R418" s="44"/>
      <c r="S418" s="44"/>
    </row>
    <row r="419">
      <c r="A419" s="55" t="s">
        <v>4580</v>
      </c>
      <c r="B419" s="44"/>
      <c r="C419" s="55" t="s">
        <v>2722</v>
      </c>
      <c r="D419" s="55" t="s">
        <v>3997</v>
      </c>
      <c r="E419" s="55" t="s">
        <v>127</v>
      </c>
      <c r="F419" s="55" t="s">
        <v>622</v>
      </c>
      <c r="G419" s="55" t="s">
        <v>623</v>
      </c>
      <c r="H419" s="55">
        <v>0.03</v>
      </c>
      <c r="I419" s="55">
        <v>2122459.0</v>
      </c>
      <c r="J419" s="55">
        <v>1.1529197288E8</v>
      </c>
      <c r="K419" s="55">
        <v>1.1529197288E8</v>
      </c>
      <c r="L419" s="44"/>
      <c r="M419" s="44"/>
      <c r="N419" s="44"/>
      <c r="O419" s="44"/>
      <c r="P419" s="44"/>
      <c r="Q419" s="44"/>
      <c r="R419" s="44"/>
      <c r="S419" s="44"/>
    </row>
    <row r="420">
      <c r="A420" s="55" t="s">
        <v>4581</v>
      </c>
      <c r="B420" s="44"/>
      <c r="C420" s="55" t="s">
        <v>4582</v>
      </c>
      <c r="D420" s="55" t="s">
        <v>3997</v>
      </c>
      <c r="E420" s="55" t="s">
        <v>167</v>
      </c>
      <c r="F420" s="55" t="s">
        <v>622</v>
      </c>
      <c r="G420" s="55" t="s">
        <v>623</v>
      </c>
      <c r="H420" s="55">
        <v>0.03</v>
      </c>
      <c r="I420" s="55">
        <v>484555.0</v>
      </c>
      <c r="J420" s="55">
        <v>1.1477654285E8</v>
      </c>
      <c r="K420" s="55">
        <v>1.1477654285E8</v>
      </c>
      <c r="L420" s="44"/>
      <c r="M420" s="44"/>
      <c r="N420" s="44"/>
      <c r="O420" s="44"/>
      <c r="P420" s="44"/>
      <c r="Q420" s="44"/>
      <c r="R420" s="44"/>
      <c r="S420" s="44"/>
    </row>
    <row r="421">
      <c r="A421" s="55" t="s">
        <v>4583</v>
      </c>
      <c r="B421" s="44"/>
      <c r="C421" s="55" t="s">
        <v>1988</v>
      </c>
      <c r="D421" s="55" t="s">
        <v>3997</v>
      </c>
      <c r="E421" s="55" t="s">
        <v>170</v>
      </c>
      <c r="F421" s="55" t="s">
        <v>622</v>
      </c>
      <c r="G421" s="55" t="s">
        <v>623</v>
      </c>
      <c r="H421" s="55">
        <v>0.03</v>
      </c>
      <c r="I421" s="55">
        <v>2384902.0</v>
      </c>
      <c r="J421" s="55">
        <v>1.1461839012E8</v>
      </c>
      <c r="K421" s="55">
        <v>1.1461839012E8</v>
      </c>
      <c r="L421" s="44"/>
      <c r="M421" s="44"/>
      <c r="N421" s="44"/>
      <c r="O421" s="44"/>
      <c r="P421" s="44"/>
      <c r="Q421" s="44"/>
      <c r="R421" s="44"/>
      <c r="S421" s="44"/>
    </row>
    <row r="422">
      <c r="A422" s="55" t="s">
        <v>4584</v>
      </c>
      <c r="B422" s="44"/>
      <c r="C422" s="55" t="s">
        <v>4585</v>
      </c>
      <c r="D422" s="55" t="s">
        <v>3997</v>
      </c>
      <c r="E422" s="55" t="s">
        <v>127</v>
      </c>
      <c r="F422" s="55" t="s">
        <v>622</v>
      </c>
      <c r="G422" s="55" t="s">
        <v>623</v>
      </c>
      <c r="H422" s="55">
        <v>0.03</v>
      </c>
      <c r="I422" s="55">
        <v>510846.0</v>
      </c>
      <c r="J422" s="55">
        <v>1.1395441722E8</v>
      </c>
      <c r="K422" s="55">
        <v>1.1395441722E8</v>
      </c>
      <c r="L422" s="44"/>
      <c r="M422" s="44"/>
      <c r="N422" s="44"/>
      <c r="O422" s="44"/>
      <c r="P422" s="44"/>
      <c r="Q422" s="44"/>
      <c r="R422" s="44"/>
      <c r="S422" s="44"/>
    </row>
    <row r="423">
      <c r="A423" s="55" t="s">
        <v>4586</v>
      </c>
      <c r="B423" s="44"/>
      <c r="C423" s="55" t="s">
        <v>4587</v>
      </c>
      <c r="D423" s="55" t="s">
        <v>3997</v>
      </c>
      <c r="E423" s="55" t="s">
        <v>94</v>
      </c>
      <c r="F423" s="55" t="s">
        <v>622</v>
      </c>
      <c r="G423" s="55" t="s">
        <v>623</v>
      </c>
      <c r="H423" s="55">
        <v>0.03</v>
      </c>
      <c r="I423" s="55">
        <v>3135521.0</v>
      </c>
      <c r="J423" s="55">
        <v>1.1237707264E8</v>
      </c>
      <c r="K423" s="55">
        <v>1.1237707264E8</v>
      </c>
      <c r="L423" s="44"/>
      <c r="M423" s="44"/>
      <c r="N423" s="44"/>
      <c r="O423" s="44"/>
      <c r="P423" s="44"/>
      <c r="Q423" s="44"/>
      <c r="R423" s="44"/>
      <c r="S423" s="44"/>
    </row>
    <row r="424">
      <c r="A424" s="55" t="s">
        <v>4588</v>
      </c>
      <c r="B424" s="44"/>
      <c r="C424" s="55" t="s">
        <v>2787</v>
      </c>
      <c r="D424" s="55" t="s">
        <v>3997</v>
      </c>
      <c r="E424" s="55" t="s">
        <v>4004</v>
      </c>
      <c r="F424" s="55" t="s">
        <v>622</v>
      </c>
      <c r="G424" s="55" t="s">
        <v>623</v>
      </c>
      <c r="H424" s="55">
        <v>0.03</v>
      </c>
      <c r="I424" s="55">
        <v>1337732.0</v>
      </c>
      <c r="J424" s="55">
        <v>1.1195479108E8</v>
      </c>
      <c r="K424" s="55">
        <v>1.1195479108E8</v>
      </c>
      <c r="L424" s="44"/>
      <c r="M424" s="44"/>
      <c r="N424" s="44"/>
      <c r="O424" s="44"/>
      <c r="P424" s="44"/>
      <c r="Q424" s="44"/>
      <c r="R424" s="44"/>
      <c r="S424" s="44"/>
    </row>
    <row r="425">
      <c r="A425" s="55" t="s">
        <v>4589</v>
      </c>
      <c r="B425" s="44"/>
      <c r="C425" s="55" t="s">
        <v>2815</v>
      </c>
      <c r="D425" s="55" t="s">
        <v>3997</v>
      </c>
      <c r="E425" s="55" t="s">
        <v>99</v>
      </c>
      <c r="F425" s="55" t="s">
        <v>622</v>
      </c>
      <c r="G425" s="55" t="s">
        <v>623</v>
      </c>
      <c r="H425" s="55">
        <v>0.03</v>
      </c>
      <c r="I425" s="55">
        <v>1744876.0</v>
      </c>
      <c r="J425" s="55">
        <v>1.1148012764E8</v>
      </c>
      <c r="K425" s="55">
        <v>1.1148012764E8</v>
      </c>
      <c r="L425" s="44"/>
      <c r="M425" s="44"/>
      <c r="N425" s="44"/>
      <c r="O425" s="44"/>
      <c r="P425" s="44"/>
      <c r="Q425" s="44"/>
      <c r="R425" s="44"/>
      <c r="S425" s="44"/>
    </row>
    <row r="426">
      <c r="A426" s="55" t="s">
        <v>4590</v>
      </c>
      <c r="B426" s="44"/>
      <c r="C426" s="55" t="s">
        <v>2795</v>
      </c>
      <c r="D426" s="55" t="s">
        <v>3997</v>
      </c>
      <c r="E426" s="55" t="s">
        <v>4014</v>
      </c>
      <c r="F426" s="55" t="s">
        <v>622</v>
      </c>
      <c r="G426" s="55" t="s">
        <v>623</v>
      </c>
      <c r="H426" s="55">
        <v>0.03</v>
      </c>
      <c r="I426" s="55">
        <v>1.1319335E7</v>
      </c>
      <c r="J426" s="55">
        <v>1.1104267635E8</v>
      </c>
      <c r="K426" s="55">
        <v>1.1104267635E8</v>
      </c>
      <c r="L426" s="44"/>
      <c r="M426" s="44"/>
      <c r="N426" s="44"/>
      <c r="O426" s="44"/>
      <c r="P426" s="44"/>
      <c r="Q426" s="44"/>
      <c r="R426" s="44"/>
      <c r="S426" s="44"/>
    </row>
    <row r="427">
      <c r="A427" s="55" t="s">
        <v>4591</v>
      </c>
      <c r="B427" s="44"/>
      <c r="C427" s="55" t="s">
        <v>4592</v>
      </c>
      <c r="D427" s="55" t="s">
        <v>3997</v>
      </c>
      <c r="E427" s="55" t="s">
        <v>133</v>
      </c>
      <c r="F427" s="55" t="s">
        <v>622</v>
      </c>
      <c r="G427" s="55" t="s">
        <v>623</v>
      </c>
      <c r="H427" s="55">
        <v>0.03</v>
      </c>
      <c r="I427" s="55">
        <v>6714978.0</v>
      </c>
      <c r="J427" s="55">
        <v>1.1025993876E8</v>
      </c>
      <c r="K427" s="55">
        <v>1.1025993876E8</v>
      </c>
      <c r="L427" s="44"/>
      <c r="M427" s="44"/>
      <c r="N427" s="44"/>
      <c r="O427" s="44"/>
      <c r="P427" s="44"/>
      <c r="Q427" s="44"/>
      <c r="R427" s="44"/>
      <c r="S427" s="44"/>
    </row>
    <row r="428">
      <c r="A428" s="55" t="s">
        <v>4593</v>
      </c>
      <c r="B428" s="44"/>
      <c r="C428" s="55" t="s">
        <v>4594</v>
      </c>
      <c r="D428" s="55" t="s">
        <v>3997</v>
      </c>
      <c r="E428" s="55" t="s">
        <v>124</v>
      </c>
      <c r="F428" s="55" t="s">
        <v>622</v>
      </c>
      <c r="G428" s="55" t="s">
        <v>623</v>
      </c>
      <c r="H428" s="55">
        <v>0.03</v>
      </c>
      <c r="I428" s="55">
        <v>1751633.0</v>
      </c>
      <c r="J428" s="55">
        <v>1.0966974213E8</v>
      </c>
      <c r="K428" s="55">
        <v>1.0966974213E8</v>
      </c>
      <c r="L428" s="44"/>
      <c r="M428" s="44"/>
      <c r="N428" s="44"/>
      <c r="O428" s="44"/>
      <c r="P428" s="44"/>
      <c r="Q428" s="44"/>
      <c r="R428" s="44"/>
      <c r="S428" s="44"/>
    </row>
    <row r="429">
      <c r="A429" s="55" t="s">
        <v>4595</v>
      </c>
      <c r="B429" s="44"/>
      <c r="C429" s="55" t="s">
        <v>2703</v>
      </c>
      <c r="D429" s="55" t="s">
        <v>3997</v>
      </c>
      <c r="E429" s="55" t="s">
        <v>170</v>
      </c>
      <c r="F429" s="55" t="s">
        <v>622</v>
      </c>
      <c r="G429" s="55" t="s">
        <v>623</v>
      </c>
      <c r="H429" s="55">
        <v>0.03</v>
      </c>
      <c r="I429" s="55">
        <v>2167631.0</v>
      </c>
      <c r="J429" s="55">
        <v>1.0929195502E8</v>
      </c>
      <c r="K429" s="55">
        <v>1.0929195502E8</v>
      </c>
      <c r="L429" s="44"/>
      <c r="M429" s="44"/>
      <c r="N429" s="44"/>
      <c r="O429" s="44"/>
      <c r="P429" s="44"/>
      <c r="Q429" s="44"/>
      <c r="R429" s="44"/>
      <c r="S429" s="44"/>
    </row>
    <row r="430">
      <c r="A430" s="55" t="s">
        <v>4596</v>
      </c>
      <c r="B430" s="44"/>
      <c r="C430" s="55" t="s">
        <v>3946</v>
      </c>
      <c r="D430" s="55" t="s">
        <v>3997</v>
      </c>
      <c r="E430" s="55" t="s">
        <v>4014</v>
      </c>
      <c r="F430" s="55" t="s">
        <v>622</v>
      </c>
      <c r="G430" s="55" t="s">
        <v>623</v>
      </c>
      <c r="H430" s="55">
        <v>0.03</v>
      </c>
      <c r="I430" s="55">
        <v>658968.0</v>
      </c>
      <c r="J430" s="55">
        <v>1.0797849648E8</v>
      </c>
      <c r="K430" s="55">
        <v>1.0797849648E8</v>
      </c>
      <c r="L430" s="44"/>
      <c r="M430" s="44"/>
      <c r="N430" s="44"/>
      <c r="O430" s="44"/>
      <c r="P430" s="44"/>
      <c r="Q430" s="44"/>
      <c r="R430" s="44"/>
      <c r="S430" s="44"/>
    </row>
    <row r="431">
      <c r="A431" s="55" t="s">
        <v>4597</v>
      </c>
      <c r="B431" s="44"/>
      <c r="C431" s="55" t="s">
        <v>4598</v>
      </c>
      <c r="D431" s="55" t="s">
        <v>3997</v>
      </c>
      <c r="E431" s="55" t="s">
        <v>4004</v>
      </c>
      <c r="F431" s="55" t="s">
        <v>622</v>
      </c>
      <c r="G431" s="55" t="s">
        <v>623</v>
      </c>
      <c r="H431" s="55">
        <v>0.03</v>
      </c>
      <c r="I431" s="55">
        <v>3632312.0</v>
      </c>
      <c r="J431" s="55">
        <v>1.051554324E8</v>
      </c>
      <c r="K431" s="55">
        <v>1.051554324E8</v>
      </c>
      <c r="L431" s="44"/>
      <c r="M431" s="44"/>
      <c r="N431" s="44"/>
      <c r="O431" s="44"/>
      <c r="P431" s="44"/>
      <c r="Q431" s="44"/>
      <c r="R431" s="44"/>
      <c r="S431" s="44"/>
    </row>
    <row r="432">
      <c r="A432" s="55" t="s">
        <v>4599</v>
      </c>
      <c r="B432" s="44"/>
      <c r="C432" s="55" t="s">
        <v>4600</v>
      </c>
      <c r="D432" s="55" t="s">
        <v>3997</v>
      </c>
      <c r="E432" s="55" t="s">
        <v>99</v>
      </c>
      <c r="F432" s="55" t="s">
        <v>622</v>
      </c>
      <c r="G432" s="55" t="s">
        <v>623</v>
      </c>
      <c r="H432" s="55">
        <v>0.03</v>
      </c>
      <c r="I432" s="55">
        <v>687522.0</v>
      </c>
      <c r="J432" s="55">
        <v>1.0427646174E8</v>
      </c>
      <c r="K432" s="55">
        <v>1.0427646174E8</v>
      </c>
      <c r="L432" s="44"/>
      <c r="M432" s="44"/>
      <c r="N432" s="44"/>
      <c r="O432" s="44"/>
      <c r="P432" s="44"/>
      <c r="Q432" s="44"/>
      <c r="R432" s="44"/>
      <c r="S432" s="44"/>
    </row>
    <row r="433">
      <c r="A433" s="55" t="s">
        <v>4601</v>
      </c>
      <c r="B433" s="44"/>
      <c r="C433" s="55" t="s">
        <v>2803</v>
      </c>
      <c r="D433" s="55" t="s">
        <v>3997</v>
      </c>
      <c r="E433" s="55" t="s">
        <v>124</v>
      </c>
      <c r="F433" s="55" t="s">
        <v>622</v>
      </c>
      <c r="G433" s="55" t="s">
        <v>623</v>
      </c>
      <c r="H433" s="55">
        <v>0.03</v>
      </c>
      <c r="I433" s="55">
        <v>2731905.0</v>
      </c>
      <c r="J433" s="55">
        <v>1.0389434715E8</v>
      </c>
      <c r="K433" s="55">
        <v>1.0389434715E8</v>
      </c>
      <c r="L433" s="44"/>
      <c r="M433" s="44"/>
      <c r="N433" s="44"/>
      <c r="O433" s="44"/>
      <c r="P433" s="44"/>
      <c r="Q433" s="44"/>
      <c r="R433" s="44"/>
      <c r="S433" s="44"/>
    </row>
    <row r="434">
      <c r="A434" s="55" t="s">
        <v>4602</v>
      </c>
      <c r="B434" s="44"/>
      <c r="C434" s="55" t="s">
        <v>2756</v>
      </c>
      <c r="D434" s="55" t="s">
        <v>3997</v>
      </c>
      <c r="E434" s="55" t="s">
        <v>4004</v>
      </c>
      <c r="F434" s="55" t="s">
        <v>622</v>
      </c>
      <c r="G434" s="55" t="s">
        <v>623</v>
      </c>
      <c r="H434" s="55">
        <v>0.03</v>
      </c>
      <c r="I434" s="55">
        <v>2624261.0</v>
      </c>
      <c r="J434" s="55">
        <v>1.0360582428E8</v>
      </c>
      <c r="K434" s="55">
        <v>1.0360582428E8</v>
      </c>
      <c r="L434" s="44"/>
      <c r="M434" s="44"/>
      <c r="N434" s="44"/>
      <c r="O434" s="44"/>
      <c r="P434" s="44"/>
      <c r="Q434" s="44"/>
      <c r="R434" s="44"/>
      <c r="S434" s="44"/>
    </row>
    <row r="435">
      <c r="A435" s="55" t="s">
        <v>4603</v>
      </c>
      <c r="B435" s="44"/>
      <c r="C435" s="55" t="s">
        <v>4604</v>
      </c>
      <c r="D435" s="55" t="s">
        <v>3997</v>
      </c>
      <c r="E435" s="55" t="s">
        <v>133</v>
      </c>
      <c r="F435" s="55" t="s">
        <v>622</v>
      </c>
      <c r="G435" s="55" t="s">
        <v>623</v>
      </c>
      <c r="H435" s="55">
        <v>0.03</v>
      </c>
      <c r="I435" s="55">
        <v>5849352.0</v>
      </c>
      <c r="J435" s="55">
        <v>1.0312407576E8</v>
      </c>
      <c r="K435" s="55">
        <v>1.0312407576E8</v>
      </c>
      <c r="L435" s="44"/>
      <c r="M435" s="44"/>
      <c r="N435" s="44"/>
      <c r="O435" s="44"/>
      <c r="P435" s="44"/>
      <c r="Q435" s="44"/>
      <c r="R435" s="44"/>
      <c r="S435" s="44"/>
    </row>
    <row r="436">
      <c r="A436" s="55" t="s">
        <v>4605</v>
      </c>
      <c r="B436" s="44"/>
      <c r="C436" s="55" t="s">
        <v>2687</v>
      </c>
      <c r="D436" s="55" t="s">
        <v>3997</v>
      </c>
      <c r="E436" s="55" t="s">
        <v>118</v>
      </c>
      <c r="F436" s="55" t="s">
        <v>622</v>
      </c>
      <c r="G436" s="55" t="s">
        <v>623</v>
      </c>
      <c r="H436" s="55">
        <v>0.03</v>
      </c>
      <c r="I436" s="55">
        <v>1492829.0</v>
      </c>
      <c r="J436" s="55">
        <v>1.0302012929E8</v>
      </c>
      <c r="K436" s="55">
        <v>1.0302012929E8</v>
      </c>
      <c r="L436" s="44"/>
      <c r="M436" s="44"/>
      <c r="N436" s="44"/>
      <c r="O436" s="44"/>
      <c r="P436" s="44"/>
      <c r="Q436" s="44"/>
      <c r="R436" s="44"/>
      <c r="S436" s="44"/>
    </row>
    <row r="437">
      <c r="A437" s="55" t="s">
        <v>4606</v>
      </c>
      <c r="B437" s="44"/>
      <c r="C437" s="55" t="s">
        <v>2827</v>
      </c>
      <c r="D437" s="55" t="s">
        <v>3997</v>
      </c>
      <c r="E437" s="55" t="s">
        <v>4014</v>
      </c>
      <c r="F437" s="55" t="s">
        <v>622</v>
      </c>
      <c r="G437" s="55" t="s">
        <v>623</v>
      </c>
      <c r="H437" s="55">
        <v>0.03</v>
      </c>
      <c r="I437" s="55">
        <v>1757736.0</v>
      </c>
      <c r="J437" s="55">
        <v>1.0302090696E8</v>
      </c>
      <c r="K437" s="55">
        <v>1.0302090696E8</v>
      </c>
      <c r="L437" s="44"/>
      <c r="M437" s="44"/>
      <c r="N437" s="44"/>
      <c r="O437" s="44"/>
      <c r="P437" s="44"/>
      <c r="Q437" s="44"/>
      <c r="R437" s="44"/>
      <c r="S437" s="44"/>
    </row>
    <row r="438">
      <c r="A438" s="55" t="s">
        <v>4607</v>
      </c>
      <c r="B438" s="44"/>
      <c r="C438" s="55" t="s">
        <v>4608</v>
      </c>
      <c r="D438" s="55" t="s">
        <v>3997</v>
      </c>
      <c r="E438" s="55" t="s">
        <v>133</v>
      </c>
      <c r="F438" s="55" t="s">
        <v>622</v>
      </c>
      <c r="G438" s="55" t="s">
        <v>623</v>
      </c>
      <c r="H438" s="55">
        <v>0.03</v>
      </c>
      <c r="I438" s="55">
        <v>2860522.0</v>
      </c>
      <c r="J438" s="55">
        <v>1.0203481974E8</v>
      </c>
      <c r="K438" s="55">
        <v>1.0203481974E8</v>
      </c>
      <c r="L438" s="44"/>
      <c r="M438" s="44"/>
      <c r="N438" s="44"/>
      <c r="O438" s="44"/>
      <c r="P438" s="44"/>
      <c r="Q438" s="44"/>
      <c r="R438" s="44"/>
      <c r="S438" s="44"/>
    </row>
    <row r="439">
      <c r="A439" s="55" t="s">
        <v>4609</v>
      </c>
      <c r="B439" s="44"/>
      <c r="C439" s="55" t="s">
        <v>4610</v>
      </c>
      <c r="D439" s="55" t="s">
        <v>3997</v>
      </c>
      <c r="E439" s="55" t="s">
        <v>127</v>
      </c>
      <c r="F439" s="55" t="s">
        <v>622</v>
      </c>
      <c r="G439" s="55" t="s">
        <v>623</v>
      </c>
      <c r="H439" s="55">
        <v>0.03</v>
      </c>
      <c r="I439" s="55">
        <v>1557942.0</v>
      </c>
      <c r="J439" s="55">
        <v>1.0160897724E8</v>
      </c>
      <c r="K439" s="55">
        <v>1.0160897724E8</v>
      </c>
      <c r="L439" s="44"/>
      <c r="M439" s="44"/>
      <c r="N439" s="44"/>
      <c r="O439" s="44"/>
      <c r="P439" s="44"/>
      <c r="Q439" s="44"/>
      <c r="R439" s="44"/>
      <c r="S439" s="44"/>
    </row>
    <row r="440">
      <c r="A440" s="55" t="s">
        <v>4611</v>
      </c>
      <c r="B440" s="44"/>
      <c r="C440" s="55" t="s">
        <v>4612</v>
      </c>
      <c r="D440" s="55" t="s">
        <v>3997</v>
      </c>
      <c r="E440" s="55" t="s">
        <v>4014</v>
      </c>
      <c r="F440" s="55" t="s">
        <v>622</v>
      </c>
      <c r="G440" s="55" t="s">
        <v>623</v>
      </c>
      <c r="H440" s="55">
        <v>0.03</v>
      </c>
      <c r="I440" s="55">
        <v>1485712.0</v>
      </c>
      <c r="J440" s="55">
        <v>1.0105813024E8</v>
      </c>
      <c r="K440" s="55">
        <v>1.0105813024E8</v>
      </c>
      <c r="L440" s="44"/>
      <c r="M440" s="44"/>
      <c r="N440" s="44"/>
      <c r="O440" s="44"/>
      <c r="P440" s="44"/>
      <c r="Q440" s="44"/>
      <c r="R440" s="44"/>
      <c r="S440" s="44"/>
    </row>
    <row r="441">
      <c r="A441" s="55" t="s">
        <v>4613</v>
      </c>
      <c r="B441" s="44"/>
      <c r="C441" s="55" t="s">
        <v>2946</v>
      </c>
      <c r="D441" s="55" t="s">
        <v>3997</v>
      </c>
      <c r="E441" s="55" t="s">
        <v>127</v>
      </c>
      <c r="F441" s="55" t="s">
        <v>622</v>
      </c>
      <c r="G441" s="55" t="s">
        <v>623</v>
      </c>
      <c r="H441" s="55">
        <v>0.03</v>
      </c>
      <c r="I441" s="55">
        <v>2649426.0</v>
      </c>
      <c r="J441" s="55">
        <v>9.97508889E7</v>
      </c>
      <c r="K441" s="55">
        <v>9.97508889E7</v>
      </c>
      <c r="L441" s="44"/>
      <c r="M441" s="44"/>
      <c r="N441" s="44"/>
      <c r="O441" s="44"/>
      <c r="P441" s="44"/>
      <c r="Q441" s="44"/>
      <c r="R441" s="44"/>
      <c r="S441" s="44"/>
    </row>
    <row r="442">
      <c r="A442" s="55" t="s">
        <v>4614</v>
      </c>
      <c r="B442" s="44"/>
      <c r="C442" s="55" t="s">
        <v>4615</v>
      </c>
      <c r="D442" s="55" t="s">
        <v>3997</v>
      </c>
      <c r="E442" s="55" t="s">
        <v>127</v>
      </c>
      <c r="F442" s="55" t="s">
        <v>622</v>
      </c>
      <c r="G442" s="55" t="s">
        <v>623</v>
      </c>
      <c r="H442" s="55">
        <v>0.03</v>
      </c>
      <c r="I442" s="55">
        <v>1468521.0</v>
      </c>
      <c r="J442" s="55">
        <v>9.938950128E7</v>
      </c>
      <c r="K442" s="55">
        <v>9.938950128E7</v>
      </c>
      <c r="L442" s="44"/>
      <c r="M442" s="44"/>
      <c r="N442" s="44"/>
      <c r="O442" s="44"/>
      <c r="P442" s="44"/>
      <c r="Q442" s="44"/>
      <c r="R442" s="44"/>
      <c r="S442" s="44"/>
    </row>
    <row r="443">
      <c r="A443" s="55" t="s">
        <v>4616</v>
      </c>
      <c r="B443" s="44"/>
      <c r="C443" s="55" t="s">
        <v>4617</v>
      </c>
      <c r="D443" s="55" t="s">
        <v>3997</v>
      </c>
      <c r="E443" s="55" t="s">
        <v>124</v>
      </c>
      <c r="F443" s="55" t="s">
        <v>622</v>
      </c>
      <c r="G443" s="55" t="s">
        <v>623</v>
      </c>
      <c r="H443" s="55">
        <v>0.03</v>
      </c>
      <c r="I443" s="55">
        <v>1726556.0</v>
      </c>
      <c r="J443" s="55">
        <v>9.856908204E7</v>
      </c>
      <c r="K443" s="55">
        <v>9.856908204E7</v>
      </c>
      <c r="L443" s="44"/>
      <c r="M443" s="44"/>
      <c r="N443" s="44"/>
      <c r="O443" s="44"/>
      <c r="P443" s="44"/>
      <c r="Q443" s="44"/>
      <c r="R443" s="44"/>
      <c r="S443" s="44"/>
    </row>
    <row r="444">
      <c r="A444" s="55" t="s">
        <v>4618</v>
      </c>
      <c r="B444" s="44"/>
      <c r="C444" s="55" t="s">
        <v>2853</v>
      </c>
      <c r="D444" s="55" t="s">
        <v>3997</v>
      </c>
      <c r="E444" s="55" t="s">
        <v>118</v>
      </c>
      <c r="F444" s="55" t="s">
        <v>622</v>
      </c>
      <c r="G444" s="55" t="s">
        <v>623</v>
      </c>
      <c r="H444" s="55">
        <v>0.03</v>
      </c>
      <c r="I444" s="55">
        <v>2648822.0</v>
      </c>
      <c r="J444" s="55">
        <v>9.705283808E7</v>
      </c>
      <c r="K444" s="55">
        <v>9.705283808E7</v>
      </c>
      <c r="L444" s="44"/>
      <c r="M444" s="44"/>
      <c r="N444" s="44"/>
      <c r="O444" s="44"/>
      <c r="P444" s="44"/>
      <c r="Q444" s="44"/>
      <c r="R444" s="44"/>
      <c r="S444" s="44"/>
    </row>
    <row r="445">
      <c r="A445" s="55" t="s">
        <v>4619</v>
      </c>
      <c r="B445" s="44"/>
      <c r="C445" s="55" t="s">
        <v>2807</v>
      </c>
      <c r="D445" s="55" t="s">
        <v>3997</v>
      </c>
      <c r="E445" s="55" t="s">
        <v>170</v>
      </c>
      <c r="F445" s="55" t="s">
        <v>622</v>
      </c>
      <c r="G445" s="55" t="s">
        <v>623</v>
      </c>
      <c r="H445" s="55">
        <v>0.03</v>
      </c>
      <c r="I445" s="55">
        <v>3899521.0</v>
      </c>
      <c r="J445" s="55">
        <v>9.59282166E7</v>
      </c>
      <c r="K445" s="55">
        <v>9.59282166E7</v>
      </c>
      <c r="L445" s="44"/>
      <c r="M445" s="44"/>
      <c r="N445" s="44"/>
      <c r="O445" s="44"/>
      <c r="P445" s="44"/>
      <c r="Q445" s="44"/>
      <c r="R445" s="44"/>
      <c r="S445" s="44"/>
    </row>
    <row r="446">
      <c r="A446" s="55" t="s">
        <v>4620</v>
      </c>
      <c r="B446" s="44"/>
      <c r="C446" s="55" t="s">
        <v>2909</v>
      </c>
      <c r="D446" s="55" t="s">
        <v>3997</v>
      </c>
      <c r="E446" s="55" t="s">
        <v>127</v>
      </c>
      <c r="F446" s="55" t="s">
        <v>622</v>
      </c>
      <c r="G446" s="55" t="s">
        <v>623</v>
      </c>
      <c r="H446" s="55">
        <v>0.03</v>
      </c>
      <c r="I446" s="55">
        <v>1098553.0</v>
      </c>
      <c r="J446" s="55">
        <v>9.572790842E7</v>
      </c>
      <c r="K446" s="55">
        <v>9.572790842E7</v>
      </c>
      <c r="L446" s="44"/>
      <c r="M446" s="44"/>
      <c r="N446" s="44"/>
      <c r="O446" s="44"/>
      <c r="P446" s="44"/>
      <c r="Q446" s="44"/>
      <c r="R446" s="44"/>
      <c r="S446" s="44"/>
    </row>
    <row r="447">
      <c r="A447" s="55" t="s">
        <v>4621</v>
      </c>
      <c r="B447" s="44"/>
      <c r="C447" s="55" t="s">
        <v>4622</v>
      </c>
      <c r="D447" s="55" t="s">
        <v>3997</v>
      </c>
      <c r="E447" s="55" t="s">
        <v>133</v>
      </c>
      <c r="F447" s="55" t="s">
        <v>622</v>
      </c>
      <c r="G447" s="55" t="s">
        <v>623</v>
      </c>
      <c r="H447" s="55">
        <v>0.03</v>
      </c>
      <c r="I447" s="55">
        <v>1007645.0</v>
      </c>
      <c r="J447" s="55">
        <v>9.53433699E7</v>
      </c>
      <c r="K447" s="55">
        <v>9.53433699E7</v>
      </c>
      <c r="L447" s="44"/>
      <c r="M447" s="44"/>
      <c r="N447" s="44"/>
      <c r="O447" s="44"/>
      <c r="P447" s="44"/>
      <c r="Q447" s="44"/>
      <c r="R447" s="44"/>
      <c r="S447" s="44"/>
    </row>
    <row r="448">
      <c r="A448" s="55" t="s">
        <v>4623</v>
      </c>
      <c r="B448" s="44"/>
      <c r="C448" s="55" t="s">
        <v>2903</v>
      </c>
      <c r="D448" s="55" t="s">
        <v>3997</v>
      </c>
      <c r="E448" s="55" t="s">
        <v>118</v>
      </c>
      <c r="F448" s="55" t="s">
        <v>622</v>
      </c>
      <c r="G448" s="55" t="s">
        <v>623</v>
      </c>
      <c r="H448" s="55">
        <v>0.03</v>
      </c>
      <c r="I448" s="55">
        <v>2031466.0</v>
      </c>
      <c r="J448" s="55">
        <v>9.503197948E7</v>
      </c>
      <c r="K448" s="55">
        <v>9.503197948E7</v>
      </c>
      <c r="L448" s="44"/>
      <c r="M448" s="44"/>
      <c r="N448" s="44"/>
      <c r="O448" s="44"/>
      <c r="P448" s="44"/>
      <c r="Q448" s="44"/>
      <c r="R448" s="44"/>
      <c r="S448" s="44"/>
    </row>
    <row r="449">
      <c r="A449" s="55" t="s">
        <v>4624</v>
      </c>
      <c r="B449" s="44"/>
      <c r="C449" s="55" t="s">
        <v>2739</v>
      </c>
      <c r="D449" s="55" t="s">
        <v>3997</v>
      </c>
      <c r="E449" s="55" t="s">
        <v>167</v>
      </c>
      <c r="F449" s="55" t="s">
        <v>622</v>
      </c>
      <c r="G449" s="55" t="s">
        <v>623</v>
      </c>
      <c r="H449" s="55">
        <v>0.03</v>
      </c>
      <c r="I449" s="55">
        <v>5309817.0</v>
      </c>
      <c r="J449" s="55">
        <v>9.45147426E7</v>
      </c>
      <c r="K449" s="55">
        <v>9.45147426E7</v>
      </c>
      <c r="L449" s="44"/>
      <c r="M449" s="44"/>
      <c r="N449" s="44"/>
      <c r="O449" s="44"/>
      <c r="P449" s="44"/>
      <c r="Q449" s="44"/>
      <c r="R449" s="44"/>
      <c r="S449" s="44"/>
    </row>
    <row r="450">
      <c r="A450" s="55" t="s">
        <v>4625</v>
      </c>
      <c r="B450" s="44"/>
      <c r="C450" s="55" t="s">
        <v>4626</v>
      </c>
      <c r="D450" s="55" t="s">
        <v>3997</v>
      </c>
      <c r="E450" s="55" t="s">
        <v>4014</v>
      </c>
      <c r="F450" s="55" t="s">
        <v>622</v>
      </c>
      <c r="G450" s="55" t="s">
        <v>623</v>
      </c>
      <c r="H450" s="55">
        <v>0.03</v>
      </c>
      <c r="I450" s="55">
        <v>483932.0</v>
      </c>
      <c r="J450" s="55">
        <v>9.451675892E7</v>
      </c>
      <c r="K450" s="55">
        <v>9.451675892E7</v>
      </c>
      <c r="L450" s="44"/>
      <c r="M450" s="44"/>
      <c r="N450" s="44"/>
      <c r="O450" s="44"/>
      <c r="P450" s="44"/>
      <c r="Q450" s="44"/>
      <c r="R450" s="44"/>
      <c r="S450" s="44"/>
    </row>
    <row r="451">
      <c r="A451" s="55" t="s">
        <v>4627</v>
      </c>
      <c r="B451" s="44"/>
      <c r="C451" s="55" t="s">
        <v>4628</v>
      </c>
      <c r="D451" s="55" t="s">
        <v>3997</v>
      </c>
      <c r="E451" s="55" t="s">
        <v>170</v>
      </c>
      <c r="F451" s="55" t="s">
        <v>622</v>
      </c>
      <c r="G451" s="55" t="s">
        <v>623</v>
      </c>
      <c r="H451" s="55">
        <v>0.03</v>
      </c>
      <c r="I451" s="55">
        <v>6318871.0</v>
      </c>
      <c r="J451" s="55">
        <v>9.402480048E7</v>
      </c>
      <c r="K451" s="55">
        <v>9.402480048E7</v>
      </c>
      <c r="L451" s="44"/>
      <c r="M451" s="44"/>
      <c r="N451" s="44"/>
      <c r="O451" s="44"/>
      <c r="P451" s="44"/>
      <c r="Q451" s="44"/>
      <c r="R451" s="44"/>
      <c r="S451" s="44"/>
    </row>
    <row r="452">
      <c r="A452" s="55" t="s">
        <v>4629</v>
      </c>
      <c r="B452" s="44"/>
      <c r="C452" s="55" t="s">
        <v>4630</v>
      </c>
      <c r="D452" s="55" t="s">
        <v>3997</v>
      </c>
      <c r="E452" s="55" t="s">
        <v>133</v>
      </c>
      <c r="F452" s="55" t="s">
        <v>622</v>
      </c>
      <c r="G452" s="55" t="s">
        <v>623</v>
      </c>
      <c r="H452" s="55">
        <v>0.03</v>
      </c>
      <c r="I452" s="55">
        <v>1550612.0</v>
      </c>
      <c r="J452" s="55">
        <v>9.320728732E7</v>
      </c>
      <c r="K452" s="55">
        <v>9.320728732E7</v>
      </c>
      <c r="L452" s="44"/>
      <c r="M452" s="44"/>
      <c r="N452" s="44"/>
      <c r="O452" s="44"/>
      <c r="P452" s="44"/>
      <c r="Q452" s="44"/>
      <c r="R452" s="44"/>
      <c r="S452" s="44"/>
    </row>
    <row r="453">
      <c r="A453" s="55" t="s">
        <v>4631</v>
      </c>
      <c r="B453" s="44"/>
      <c r="C453" s="55" t="s">
        <v>2840</v>
      </c>
      <c r="D453" s="55" t="s">
        <v>3997</v>
      </c>
      <c r="E453" s="55" t="s">
        <v>133</v>
      </c>
      <c r="F453" s="55" t="s">
        <v>622</v>
      </c>
      <c r="G453" s="55" t="s">
        <v>623</v>
      </c>
      <c r="H453" s="55">
        <v>0.03</v>
      </c>
      <c r="I453" s="55">
        <v>5162257.0</v>
      </c>
      <c r="J453" s="55">
        <v>9.323036142E7</v>
      </c>
      <c r="K453" s="55">
        <v>9.323036142E7</v>
      </c>
      <c r="L453" s="44"/>
      <c r="M453" s="44"/>
      <c r="N453" s="44"/>
      <c r="O453" s="44"/>
      <c r="P453" s="44"/>
      <c r="Q453" s="44"/>
      <c r="R453" s="44"/>
      <c r="S453" s="44"/>
    </row>
    <row r="454">
      <c r="A454" s="55" t="s">
        <v>4632</v>
      </c>
      <c r="B454" s="44"/>
      <c r="C454" s="55" t="s">
        <v>2855</v>
      </c>
      <c r="D454" s="55" t="s">
        <v>3997</v>
      </c>
      <c r="E454" s="55" t="s">
        <v>99</v>
      </c>
      <c r="F454" s="55" t="s">
        <v>622</v>
      </c>
      <c r="G454" s="55" t="s">
        <v>623</v>
      </c>
      <c r="H454" s="55">
        <v>0.03</v>
      </c>
      <c r="I454" s="55">
        <v>8831816.0</v>
      </c>
      <c r="J454" s="55">
        <v>9.291070432E7</v>
      </c>
      <c r="K454" s="55">
        <v>9.291070432E7</v>
      </c>
      <c r="L454" s="44"/>
      <c r="M454" s="44"/>
      <c r="N454" s="44"/>
      <c r="O454" s="44"/>
      <c r="P454" s="44"/>
      <c r="Q454" s="44"/>
      <c r="R454" s="44"/>
      <c r="S454" s="44"/>
    </row>
    <row r="455">
      <c r="A455" s="55" t="s">
        <v>4633</v>
      </c>
      <c r="B455" s="44"/>
      <c r="C455" s="55" t="s">
        <v>2956</v>
      </c>
      <c r="D455" s="55" t="s">
        <v>3997</v>
      </c>
      <c r="E455" s="55" t="s">
        <v>4014</v>
      </c>
      <c r="F455" s="55" t="s">
        <v>622</v>
      </c>
      <c r="G455" s="55" t="s">
        <v>623</v>
      </c>
      <c r="H455" s="55">
        <v>0.03</v>
      </c>
      <c r="I455" s="55">
        <v>1232321.0</v>
      </c>
      <c r="J455" s="55">
        <v>9.149983425E7</v>
      </c>
      <c r="K455" s="55">
        <v>9.149983425E7</v>
      </c>
      <c r="L455" s="44"/>
      <c r="M455" s="44"/>
      <c r="N455" s="44"/>
      <c r="O455" s="44"/>
      <c r="P455" s="44"/>
      <c r="Q455" s="44"/>
      <c r="R455" s="44"/>
      <c r="S455" s="44"/>
    </row>
    <row r="456">
      <c r="A456" s="55" t="s">
        <v>4634</v>
      </c>
      <c r="B456" s="44"/>
      <c r="C456" s="55" t="s">
        <v>2197</v>
      </c>
      <c r="D456" s="55" t="s">
        <v>3997</v>
      </c>
      <c r="E456" s="55" t="s">
        <v>99</v>
      </c>
      <c r="F456" s="55" t="s">
        <v>622</v>
      </c>
      <c r="G456" s="55" t="s">
        <v>623</v>
      </c>
      <c r="H456" s="55">
        <v>0.03</v>
      </c>
      <c r="I456" s="55">
        <v>820603.0</v>
      </c>
      <c r="J456" s="55">
        <v>9.054533502E7</v>
      </c>
      <c r="K456" s="55">
        <v>9.054533502E7</v>
      </c>
      <c r="L456" s="44"/>
      <c r="M456" s="44"/>
      <c r="N456" s="44"/>
      <c r="O456" s="44"/>
      <c r="P456" s="44"/>
      <c r="Q456" s="44"/>
      <c r="R456" s="44"/>
      <c r="S456" s="44"/>
    </row>
    <row r="457">
      <c r="A457" s="55" t="s">
        <v>4635</v>
      </c>
      <c r="B457" s="44"/>
      <c r="C457" s="55" t="s">
        <v>3963</v>
      </c>
      <c r="D457" s="55" t="s">
        <v>3997</v>
      </c>
      <c r="E457" s="55" t="s">
        <v>167</v>
      </c>
      <c r="F457" s="55" t="s">
        <v>622</v>
      </c>
      <c r="G457" s="55" t="s">
        <v>623</v>
      </c>
      <c r="H457" s="55">
        <v>0.03</v>
      </c>
      <c r="I457" s="55">
        <v>559563.0</v>
      </c>
      <c r="J457" s="55">
        <v>9.024072501E7</v>
      </c>
      <c r="K457" s="55">
        <v>9.024072501E7</v>
      </c>
      <c r="L457" s="44"/>
      <c r="M457" s="44"/>
      <c r="N457" s="44"/>
      <c r="O457" s="44"/>
      <c r="P457" s="44"/>
      <c r="Q457" s="44"/>
      <c r="R457" s="44"/>
      <c r="S457" s="44"/>
    </row>
    <row r="458">
      <c r="A458" s="55" t="s">
        <v>4636</v>
      </c>
      <c r="B458" s="44"/>
      <c r="C458" s="55" t="s">
        <v>4637</v>
      </c>
      <c r="D458" s="55" t="s">
        <v>3997</v>
      </c>
      <c r="E458" s="55" t="s">
        <v>118</v>
      </c>
      <c r="F458" s="55" t="s">
        <v>622</v>
      </c>
      <c r="G458" s="55" t="s">
        <v>623</v>
      </c>
      <c r="H458" s="55">
        <v>0.03</v>
      </c>
      <c r="I458" s="55">
        <v>2218108.0</v>
      </c>
      <c r="J458" s="55">
        <v>9.025481452E7</v>
      </c>
      <c r="K458" s="55">
        <v>9.025481452E7</v>
      </c>
      <c r="L458" s="44"/>
      <c r="M458" s="44"/>
      <c r="N458" s="44"/>
      <c r="O458" s="44"/>
      <c r="P458" s="44"/>
      <c r="Q458" s="44"/>
      <c r="R458" s="44"/>
      <c r="S458" s="44"/>
    </row>
    <row r="459">
      <c r="A459" s="55" t="s">
        <v>4638</v>
      </c>
      <c r="B459" s="44"/>
      <c r="C459" s="55" t="s">
        <v>4639</v>
      </c>
      <c r="D459" s="55" t="s">
        <v>3997</v>
      </c>
      <c r="E459" s="55" t="s">
        <v>167</v>
      </c>
      <c r="F459" s="55" t="s">
        <v>622</v>
      </c>
      <c r="G459" s="55" t="s">
        <v>623</v>
      </c>
      <c r="H459" s="55">
        <v>0.03</v>
      </c>
      <c r="I459" s="55">
        <v>923787.0</v>
      </c>
      <c r="J459" s="55">
        <v>8.819394489E7</v>
      </c>
      <c r="K459" s="55">
        <v>8.819394489E7</v>
      </c>
      <c r="L459" s="44"/>
      <c r="M459" s="44"/>
      <c r="N459" s="44"/>
      <c r="O459" s="44"/>
      <c r="P459" s="44"/>
      <c r="Q459" s="44"/>
      <c r="R459" s="44"/>
      <c r="S459" s="44"/>
    </row>
    <row r="460">
      <c r="A460" s="55" t="s">
        <v>4640</v>
      </c>
      <c r="B460" s="44"/>
      <c r="C460" s="55" t="s">
        <v>2919</v>
      </c>
      <c r="D460" s="55" t="s">
        <v>3997</v>
      </c>
      <c r="E460" s="55" t="s">
        <v>4014</v>
      </c>
      <c r="F460" s="55" t="s">
        <v>622</v>
      </c>
      <c r="G460" s="55" t="s">
        <v>623</v>
      </c>
      <c r="H460" s="55">
        <v>0.03</v>
      </c>
      <c r="I460" s="55">
        <v>443443.0</v>
      </c>
      <c r="J460" s="55">
        <v>8.794361576E7</v>
      </c>
      <c r="K460" s="55">
        <v>8.794361576E7</v>
      </c>
      <c r="L460" s="44"/>
      <c r="M460" s="44"/>
      <c r="N460" s="44"/>
      <c r="O460" s="44"/>
      <c r="P460" s="44"/>
      <c r="Q460" s="44"/>
      <c r="R460" s="44"/>
      <c r="S460" s="44"/>
    </row>
    <row r="461">
      <c r="A461" s="55" t="s">
        <v>4641</v>
      </c>
      <c r="B461" s="44"/>
      <c r="C461" s="55" t="s">
        <v>4642</v>
      </c>
      <c r="D461" s="55" t="s">
        <v>3997</v>
      </c>
      <c r="E461" s="55" t="s">
        <v>94</v>
      </c>
      <c r="F461" s="55" t="s">
        <v>622</v>
      </c>
      <c r="G461" s="55" t="s">
        <v>623</v>
      </c>
      <c r="H461" s="55">
        <v>0.03</v>
      </c>
      <c r="I461" s="55">
        <v>2418467.0</v>
      </c>
      <c r="J461" s="55">
        <v>8.752432073E7</v>
      </c>
      <c r="K461" s="55">
        <v>8.752432073E7</v>
      </c>
      <c r="L461" s="44"/>
      <c r="M461" s="44"/>
      <c r="N461" s="44"/>
      <c r="O461" s="44"/>
      <c r="P461" s="44"/>
      <c r="Q461" s="44"/>
      <c r="R461" s="44"/>
      <c r="S461" s="44"/>
    </row>
    <row r="462">
      <c r="A462" s="55" t="s">
        <v>4643</v>
      </c>
      <c r="B462" s="44"/>
      <c r="C462" s="55" t="s">
        <v>3937</v>
      </c>
      <c r="D462" s="55" t="s">
        <v>3997</v>
      </c>
      <c r="E462" s="55" t="s">
        <v>127</v>
      </c>
      <c r="F462" s="55" t="s">
        <v>622</v>
      </c>
      <c r="G462" s="55" t="s">
        <v>623</v>
      </c>
      <c r="H462" s="55">
        <v>0.03</v>
      </c>
      <c r="I462" s="55">
        <v>828203.0</v>
      </c>
      <c r="J462" s="55">
        <v>8.634844478E7</v>
      </c>
      <c r="K462" s="55">
        <v>8.634844478E7</v>
      </c>
      <c r="L462" s="44"/>
      <c r="M462" s="44"/>
      <c r="N462" s="44"/>
      <c r="O462" s="44"/>
      <c r="P462" s="44"/>
      <c r="Q462" s="44"/>
      <c r="R462" s="44"/>
      <c r="S462" s="44"/>
    </row>
    <row r="463">
      <c r="A463" s="55" t="s">
        <v>4644</v>
      </c>
      <c r="B463" s="44"/>
      <c r="C463" s="55" t="s">
        <v>4645</v>
      </c>
      <c r="D463" s="55" t="s">
        <v>3997</v>
      </c>
      <c r="E463" s="55" t="s">
        <v>94</v>
      </c>
      <c r="F463" s="55" t="s">
        <v>622</v>
      </c>
      <c r="G463" s="55" t="s">
        <v>623</v>
      </c>
      <c r="H463" s="55">
        <v>0.03</v>
      </c>
      <c r="I463" s="55">
        <v>1118849.0</v>
      </c>
      <c r="J463" s="55">
        <v>8.602829961E7</v>
      </c>
      <c r="K463" s="55">
        <v>8.602829961E7</v>
      </c>
      <c r="L463" s="44"/>
      <c r="M463" s="44"/>
      <c r="N463" s="44"/>
      <c r="O463" s="44"/>
      <c r="P463" s="44"/>
      <c r="Q463" s="44"/>
      <c r="R463" s="44"/>
      <c r="S463" s="44"/>
    </row>
    <row r="464">
      <c r="A464" s="55" t="s">
        <v>4646</v>
      </c>
      <c r="B464" s="44"/>
      <c r="C464" s="55" t="s">
        <v>3968</v>
      </c>
      <c r="D464" s="55" t="s">
        <v>3997</v>
      </c>
      <c r="E464" s="55" t="s">
        <v>167</v>
      </c>
      <c r="F464" s="55" t="s">
        <v>622</v>
      </c>
      <c r="G464" s="55" t="s">
        <v>623</v>
      </c>
      <c r="H464" s="55">
        <v>0.02</v>
      </c>
      <c r="I464" s="55">
        <v>3032353.0</v>
      </c>
      <c r="J464" s="55">
        <v>8.442070752E7</v>
      </c>
      <c r="K464" s="55">
        <v>8.442070752E7</v>
      </c>
      <c r="L464" s="44"/>
      <c r="M464" s="44"/>
      <c r="N464" s="44"/>
      <c r="O464" s="44"/>
      <c r="P464" s="44"/>
      <c r="Q464" s="44"/>
      <c r="R464" s="44"/>
      <c r="S464" s="44"/>
    </row>
    <row r="465">
      <c r="A465" s="55" t="s">
        <v>4647</v>
      </c>
      <c r="B465" s="44"/>
      <c r="C465" s="55" t="s">
        <v>4648</v>
      </c>
      <c r="D465" s="55" t="s">
        <v>3997</v>
      </c>
      <c r="E465" s="55" t="s">
        <v>118</v>
      </c>
      <c r="F465" s="55" t="s">
        <v>622</v>
      </c>
      <c r="G465" s="55" t="s">
        <v>623</v>
      </c>
      <c r="H465" s="55">
        <v>0.02</v>
      </c>
      <c r="I465" s="55">
        <v>913962.0</v>
      </c>
      <c r="J465" s="55">
        <v>8.350870794E7</v>
      </c>
      <c r="K465" s="55">
        <v>8.350870794E7</v>
      </c>
      <c r="L465" s="44"/>
      <c r="M465" s="44"/>
      <c r="N465" s="44"/>
      <c r="O465" s="44"/>
      <c r="P465" s="44"/>
      <c r="Q465" s="44"/>
      <c r="R465" s="44"/>
      <c r="S465" s="44"/>
    </row>
    <row r="466">
      <c r="A466" s="55" t="s">
        <v>4649</v>
      </c>
      <c r="B466" s="44"/>
      <c r="C466" s="55" t="s">
        <v>4650</v>
      </c>
      <c r="D466" s="55" t="s">
        <v>3997</v>
      </c>
      <c r="E466" s="55" t="s">
        <v>170</v>
      </c>
      <c r="F466" s="55" t="s">
        <v>622</v>
      </c>
      <c r="G466" s="55" t="s">
        <v>623</v>
      </c>
      <c r="H466" s="55">
        <v>0.02</v>
      </c>
      <c r="I466" s="55">
        <v>2161887.0</v>
      </c>
      <c r="J466" s="55">
        <v>8.275703436E7</v>
      </c>
      <c r="K466" s="55">
        <v>8.275703436E7</v>
      </c>
      <c r="L466" s="44"/>
      <c r="M466" s="44"/>
      <c r="N466" s="44"/>
      <c r="O466" s="44"/>
      <c r="P466" s="44"/>
      <c r="Q466" s="44"/>
      <c r="R466" s="44"/>
      <c r="S466" s="44"/>
    </row>
    <row r="467">
      <c r="A467" s="55" t="s">
        <v>4651</v>
      </c>
      <c r="B467" s="44"/>
      <c r="C467" s="55" t="s">
        <v>3072</v>
      </c>
      <c r="D467" s="55" t="s">
        <v>3997</v>
      </c>
      <c r="E467" s="55" t="s">
        <v>118</v>
      </c>
      <c r="F467" s="55" t="s">
        <v>622</v>
      </c>
      <c r="G467" s="55" t="s">
        <v>623</v>
      </c>
      <c r="H467" s="55">
        <v>0.02</v>
      </c>
      <c r="I467" s="55">
        <v>1230756.0</v>
      </c>
      <c r="J467" s="55">
        <v>8.071297848E7</v>
      </c>
      <c r="K467" s="55">
        <v>8.071297848E7</v>
      </c>
      <c r="L467" s="44"/>
      <c r="M467" s="44"/>
      <c r="N467" s="44"/>
      <c r="O467" s="44"/>
      <c r="P467" s="44"/>
      <c r="Q467" s="44"/>
      <c r="R467" s="44"/>
      <c r="S467" s="44"/>
    </row>
    <row r="468">
      <c r="A468" s="55" t="s">
        <v>4652</v>
      </c>
      <c r="B468" s="44"/>
      <c r="C468" s="55" t="s">
        <v>4653</v>
      </c>
      <c r="D468" s="55" t="s">
        <v>3997</v>
      </c>
      <c r="E468" s="55" t="s">
        <v>133</v>
      </c>
      <c r="F468" s="55" t="s">
        <v>622</v>
      </c>
      <c r="G468" s="55" t="s">
        <v>623</v>
      </c>
      <c r="H468" s="55">
        <v>0.02</v>
      </c>
      <c r="I468" s="55">
        <v>1361848.0</v>
      </c>
      <c r="J468" s="55">
        <v>8.06214016E7</v>
      </c>
      <c r="K468" s="55">
        <v>8.06214016E7</v>
      </c>
      <c r="L468" s="44"/>
      <c r="M468" s="44"/>
      <c r="N468" s="44"/>
      <c r="O468" s="44"/>
      <c r="P468" s="44"/>
      <c r="Q468" s="44"/>
      <c r="R468" s="44"/>
      <c r="S468" s="44"/>
    </row>
    <row r="469">
      <c r="A469" s="55" t="s">
        <v>4654</v>
      </c>
      <c r="B469" s="44"/>
      <c r="C469" s="55" t="s">
        <v>4655</v>
      </c>
      <c r="D469" s="55" t="s">
        <v>3997</v>
      </c>
      <c r="E469" s="55" t="s">
        <v>127</v>
      </c>
      <c r="F469" s="55" t="s">
        <v>622</v>
      </c>
      <c r="G469" s="55" t="s">
        <v>623</v>
      </c>
      <c r="H469" s="55">
        <v>0.02</v>
      </c>
      <c r="I469" s="55">
        <v>6165291.0</v>
      </c>
      <c r="J469" s="55">
        <v>7.965555972E7</v>
      </c>
      <c r="K469" s="55">
        <v>7.965555972E7</v>
      </c>
      <c r="L469" s="44"/>
      <c r="M469" s="44"/>
      <c r="N469" s="44"/>
      <c r="O469" s="44"/>
      <c r="P469" s="44"/>
      <c r="Q469" s="44"/>
      <c r="R469" s="44"/>
      <c r="S469" s="44"/>
    </row>
    <row r="470">
      <c r="A470" s="55" t="s">
        <v>4656</v>
      </c>
      <c r="B470" s="44"/>
      <c r="C470" s="55" t="s">
        <v>4657</v>
      </c>
      <c r="D470" s="55" t="s">
        <v>3997</v>
      </c>
      <c r="E470" s="55" t="s">
        <v>170</v>
      </c>
      <c r="F470" s="55" t="s">
        <v>622</v>
      </c>
      <c r="G470" s="55" t="s">
        <v>623</v>
      </c>
      <c r="H470" s="55">
        <v>0.02</v>
      </c>
      <c r="I470" s="55">
        <v>1069085.0</v>
      </c>
      <c r="J470" s="55">
        <v>7.854567495E7</v>
      </c>
      <c r="K470" s="55">
        <v>7.854567495E7</v>
      </c>
      <c r="L470" s="44"/>
      <c r="M470" s="44"/>
      <c r="N470" s="44"/>
      <c r="O470" s="44"/>
      <c r="P470" s="44"/>
      <c r="Q470" s="44"/>
      <c r="R470" s="44"/>
      <c r="S470" s="44"/>
    </row>
    <row r="471">
      <c r="A471" s="55" t="s">
        <v>4658</v>
      </c>
      <c r="B471" s="44"/>
      <c r="C471" s="55" t="s">
        <v>3125</v>
      </c>
      <c r="D471" s="55" t="s">
        <v>3997</v>
      </c>
      <c r="E471" s="55" t="s">
        <v>127</v>
      </c>
      <c r="F471" s="55" t="s">
        <v>622</v>
      </c>
      <c r="G471" s="55" t="s">
        <v>623</v>
      </c>
      <c r="H471" s="55">
        <v>0.02</v>
      </c>
      <c r="I471" s="55">
        <v>1175644.0</v>
      </c>
      <c r="J471" s="55">
        <v>7.815681312E7</v>
      </c>
      <c r="K471" s="55">
        <v>7.815681312E7</v>
      </c>
      <c r="L471" s="44"/>
      <c r="M471" s="44"/>
      <c r="N471" s="44"/>
      <c r="O471" s="44"/>
      <c r="P471" s="44"/>
      <c r="Q471" s="44"/>
      <c r="R471" s="44"/>
      <c r="S471" s="44"/>
    </row>
    <row r="472">
      <c r="A472" s="55" t="s">
        <v>4659</v>
      </c>
      <c r="B472" s="44"/>
      <c r="C472" s="55" t="s">
        <v>3028</v>
      </c>
      <c r="D472" s="55" t="s">
        <v>3997</v>
      </c>
      <c r="E472" s="55" t="s">
        <v>4014</v>
      </c>
      <c r="F472" s="55" t="s">
        <v>622</v>
      </c>
      <c r="G472" s="55" t="s">
        <v>623</v>
      </c>
      <c r="H472" s="55">
        <v>0.02</v>
      </c>
      <c r="I472" s="55">
        <v>1700983.0</v>
      </c>
      <c r="J472" s="55">
        <v>7.775193293E7</v>
      </c>
      <c r="K472" s="55">
        <v>7.775193293E7</v>
      </c>
      <c r="L472" s="44"/>
      <c r="M472" s="44"/>
      <c r="N472" s="44"/>
      <c r="O472" s="44"/>
      <c r="P472" s="44"/>
      <c r="Q472" s="44"/>
      <c r="R472" s="44"/>
      <c r="S472" s="44"/>
    </row>
    <row r="473">
      <c r="A473" s="55" t="s">
        <v>4660</v>
      </c>
      <c r="B473" s="44"/>
      <c r="C473" s="55" t="s">
        <v>2435</v>
      </c>
      <c r="D473" s="55" t="s">
        <v>3997</v>
      </c>
      <c r="E473" s="55" t="s">
        <v>94</v>
      </c>
      <c r="F473" s="55" t="s">
        <v>622</v>
      </c>
      <c r="G473" s="55" t="s">
        <v>623</v>
      </c>
      <c r="H473" s="55">
        <v>0.02</v>
      </c>
      <c r="I473" s="55">
        <v>1176917.0</v>
      </c>
      <c r="J473" s="55">
        <v>7.757059947E7</v>
      </c>
      <c r="K473" s="55">
        <v>7.757059947E7</v>
      </c>
      <c r="L473" s="44"/>
      <c r="M473" s="44"/>
      <c r="N473" s="44"/>
      <c r="O473" s="44"/>
      <c r="P473" s="44"/>
      <c r="Q473" s="44"/>
      <c r="R473" s="44"/>
      <c r="S473" s="44"/>
    </row>
    <row r="474">
      <c r="A474" s="55" t="s">
        <v>4661</v>
      </c>
      <c r="B474" s="44"/>
      <c r="C474" s="55" t="s">
        <v>4662</v>
      </c>
      <c r="D474" s="55" t="s">
        <v>3997</v>
      </c>
      <c r="E474" s="55" t="s">
        <v>127</v>
      </c>
      <c r="F474" s="55" t="s">
        <v>622</v>
      </c>
      <c r="G474" s="55" t="s">
        <v>623</v>
      </c>
      <c r="H474" s="55">
        <v>0.02</v>
      </c>
      <c r="I474" s="55">
        <v>376277.0</v>
      </c>
      <c r="J474" s="55">
        <v>7.715936162E7</v>
      </c>
      <c r="K474" s="55">
        <v>7.715936162E7</v>
      </c>
      <c r="L474" s="44"/>
      <c r="M474" s="44"/>
      <c r="N474" s="44"/>
      <c r="O474" s="44"/>
      <c r="P474" s="44"/>
      <c r="Q474" s="44"/>
      <c r="R474" s="44"/>
      <c r="S474" s="44"/>
    </row>
    <row r="475">
      <c r="A475" s="55" t="s">
        <v>4663</v>
      </c>
      <c r="B475" s="44"/>
      <c r="C475" s="55" t="s">
        <v>4664</v>
      </c>
      <c r="D475" s="55" t="s">
        <v>3997</v>
      </c>
      <c r="E475" s="55" t="s">
        <v>124</v>
      </c>
      <c r="F475" s="55" t="s">
        <v>622</v>
      </c>
      <c r="G475" s="55" t="s">
        <v>623</v>
      </c>
      <c r="H475" s="55">
        <v>0.02</v>
      </c>
      <c r="I475" s="55">
        <v>1856437.0</v>
      </c>
      <c r="J475" s="55">
        <v>7.659659062E7</v>
      </c>
      <c r="K475" s="55">
        <v>7.659659062E7</v>
      </c>
      <c r="L475" s="44"/>
      <c r="M475" s="44"/>
      <c r="N475" s="44"/>
      <c r="O475" s="44"/>
      <c r="P475" s="44"/>
      <c r="Q475" s="44"/>
      <c r="R475" s="44"/>
      <c r="S475" s="44"/>
    </row>
    <row r="476">
      <c r="A476" s="55" t="s">
        <v>4665</v>
      </c>
      <c r="B476" s="44"/>
      <c r="C476" s="55" t="s">
        <v>4666</v>
      </c>
      <c r="D476" s="55" t="s">
        <v>3997</v>
      </c>
      <c r="E476" s="55" t="s">
        <v>4004</v>
      </c>
      <c r="F476" s="55" t="s">
        <v>622</v>
      </c>
      <c r="G476" s="55" t="s">
        <v>623</v>
      </c>
      <c r="H476" s="55">
        <v>0.02</v>
      </c>
      <c r="I476" s="55">
        <v>2393803.0</v>
      </c>
      <c r="J476" s="55">
        <v>7.454302542E7</v>
      </c>
      <c r="K476" s="55">
        <v>7.454302542E7</v>
      </c>
      <c r="L476" s="44"/>
      <c r="M476" s="44"/>
      <c r="N476" s="44"/>
      <c r="O476" s="44"/>
      <c r="P476" s="44"/>
      <c r="Q476" s="44"/>
      <c r="R476" s="44"/>
      <c r="S476" s="44"/>
    </row>
    <row r="477">
      <c r="A477" s="55" t="s">
        <v>4667</v>
      </c>
      <c r="B477" s="44"/>
      <c r="C477" s="55" t="s">
        <v>4668</v>
      </c>
      <c r="D477" s="55" t="s">
        <v>3997</v>
      </c>
      <c r="E477" s="55" t="s">
        <v>99</v>
      </c>
      <c r="F477" s="55" t="s">
        <v>622</v>
      </c>
      <c r="G477" s="55" t="s">
        <v>623</v>
      </c>
      <c r="H477" s="55">
        <v>0.02</v>
      </c>
      <c r="I477" s="55">
        <v>355367.0</v>
      </c>
      <c r="J477" s="55">
        <v>7.442451081E7</v>
      </c>
      <c r="K477" s="55">
        <v>7.442451081E7</v>
      </c>
      <c r="L477" s="44"/>
      <c r="M477" s="44"/>
      <c r="N477" s="44"/>
      <c r="O477" s="44"/>
      <c r="P477" s="44"/>
      <c r="Q477" s="44"/>
      <c r="R477" s="44"/>
      <c r="S477" s="44"/>
    </row>
    <row r="478">
      <c r="A478" s="55" t="s">
        <v>4669</v>
      </c>
      <c r="B478" s="44"/>
      <c r="C478" s="55" t="s">
        <v>4670</v>
      </c>
      <c r="D478" s="55" t="s">
        <v>3997</v>
      </c>
      <c r="E478" s="55" t="s">
        <v>4014</v>
      </c>
      <c r="F478" s="55" t="s">
        <v>622</v>
      </c>
      <c r="G478" s="55" t="s">
        <v>623</v>
      </c>
      <c r="H478" s="55">
        <v>0.02</v>
      </c>
      <c r="I478" s="55">
        <v>586382.0</v>
      </c>
      <c r="J478" s="55">
        <v>7.43532376E7</v>
      </c>
      <c r="K478" s="55">
        <v>7.43532376E7</v>
      </c>
      <c r="L478" s="44"/>
      <c r="M478" s="44"/>
      <c r="N478" s="44"/>
      <c r="O478" s="44"/>
      <c r="P478" s="44"/>
      <c r="Q478" s="44"/>
      <c r="R478" s="44"/>
      <c r="S478" s="44"/>
    </row>
    <row r="479">
      <c r="A479" s="55" t="s">
        <v>4671</v>
      </c>
      <c r="B479" s="44"/>
      <c r="C479" s="55" t="s">
        <v>3115</v>
      </c>
      <c r="D479" s="55" t="s">
        <v>3997</v>
      </c>
      <c r="E479" s="55" t="s">
        <v>118</v>
      </c>
      <c r="F479" s="55" t="s">
        <v>622</v>
      </c>
      <c r="G479" s="55" t="s">
        <v>623</v>
      </c>
      <c r="H479" s="55">
        <v>0.02</v>
      </c>
      <c r="I479" s="55">
        <v>1160692.0</v>
      </c>
      <c r="J479" s="55">
        <v>7.3994115E7</v>
      </c>
      <c r="K479" s="55">
        <v>7.3994115E7</v>
      </c>
      <c r="L479" s="44"/>
      <c r="M479" s="44"/>
      <c r="N479" s="44"/>
      <c r="O479" s="44"/>
      <c r="P479" s="44"/>
      <c r="Q479" s="44"/>
      <c r="R479" s="44"/>
      <c r="S479" s="44"/>
    </row>
    <row r="480">
      <c r="A480" s="55" t="s">
        <v>4672</v>
      </c>
      <c r="B480" s="44"/>
      <c r="C480" s="55" t="s">
        <v>4673</v>
      </c>
      <c r="D480" s="55" t="s">
        <v>3997</v>
      </c>
      <c r="E480" s="55" t="s">
        <v>127</v>
      </c>
      <c r="F480" s="55" t="s">
        <v>622</v>
      </c>
      <c r="G480" s="55" t="s">
        <v>623</v>
      </c>
      <c r="H480" s="55">
        <v>0.02</v>
      </c>
      <c r="I480" s="55">
        <v>1010534.0</v>
      </c>
      <c r="J480" s="55">
        <v>7.39710888E7</v>
      </c>
      <c r="K480" s="55">
        <v>7.39710888E7</v>
      </c>
      <c r="L480" s="44"/>
      <c r="M480" s="44"/>
      <c r="N480" s="44"/>
      <c r="O480" s="44"/>
      <c r="P480" s="44"/>
      <c r="Q480" s="44"/>
      <c r="R480" s="44"/>
      <c r="S480" s="44"/>
    </row>
    <row r="481">
      <c r="A481" s="55" t="s">
        <v>4674</v>
      </c>
      <c r="B481" s="44"/>
      <c r="C481" s="55" t="s">
        <v>4675</v>
      </c>
      <c r="D481" s="55" t="s">
        <v>3997</v>
      </c>
      <c r="E481" s="55" t="s">
        <v>99</v>
      </c>
      <c r="F481" s="55" t="s">
        <v>622</v>
      </c>
      <c r="G481" s="55" t="s">
        <v>623</v>
      </c>
      <c r="H481" s="55">
        <v>0.02</v>
      </c>
      <c r="I481" s="55">
        <v>500807.0</v>
      </c>
      <c r="J481" s="55">
        <v>7.226144203E7</v>
      </c>
      <c r="K481" s="55">
        <v>7.226144203E7</v>
      </c>
      <c r="L481" s="44"/>
      <c r="M481" s="44"/>
      <c r="N481" s="44"/>
      <c r="O481" s="44"/>
      <c r="P481" s="44"/>
      <c r="Q481" s="44"/>
      <c r="R481" s="44"/>
      <c r="S481" s="44"/>
    </row>
    <row r="482">
      <c r="A482" s="55" t="s">
        <v>4676</v>
      </c>
      <c r="B482" s="44"/>
      <c r="C482" s="55" t="s">
        <v>4677</v>
      </c>
      <c r="D482" s="55" t="s">
        <v>3997</v>
      </c>
      <c r="E482" s="55" t="s">
        <v>4004</v>
      </c>
      <c r="F482" s="55" t="s">
        <v>622</v>
      </c>
      <c r="G482" s="55" t="s">
        <v>623</v>
      </c>
      <c r="H482" s="55">
        <v>0.02</v>
      </c>
      <c r="I482" s="55">
        <v>3594780.0</v>
      </c>
      <c r="J482" s="55">
        <v>7.18237044E7</v>
      </c>
      <c r="K482" s="55">
        <v>7.18237044E7</v>
      </c>
      <c r="L482" s="44"/>
      <c r="M482" s="44"/>
      <c r="N482" s="44"/>
      <c r="O482" s="44"/>
      <c r="P482" s="44"/>
      <c r="Q482" s="44"/>
      <c r="R482" s="44"/>
      <c r="S482" s="44"/>
    </row>
    <row r="483">
      <c r="A483" s="55" t="s">
        <v>4678</v>
      </c>
      <c r="B483" s="44"/>
      <c r="C483" s="55" t="s">
        <v>4679</v>
      </c>
      <c r="D483" s="55" t="s">
        <v>3997</v>
      </c>
      <c r="E483" s="55" t="s">
        <v>118</v>
      </c>
      <c r="F483" s="55" t="s">
        <v>622</v>
      </c>
      <c r="G483" s="55" t="s">
        <v>623</v>
      </c>
      <c r="H483" s="55">
        <v>0.02</v>
      </c>
      <c r="I483" s="55">
        <v>2159982.0</v>
      </c>
      <c r="J483" s="55">
        <v>7.173300222E7</v>
      </c>
      <c r="K483" s="55">
        <v>7.173300222E7</v>
      </c>
      <c r="L483" s="44"/>
      <c r="M483" s="44"/>
      <c r="N483" s="44"/>
      <c r="O483" s="44"/>
      <c r="P483" s="44"/>
      <c r="Q483" s="44"/>
      <c r="R483" s="44"/>
      <c r="S483" s="44"/>
    </row>
    <row r="484">
      <c r="A484" s="55" t="s">
        <v>4680</v>
      </c>
      <c r="B484" s="44"/>
      <c r="C484" s="55" t="s">
        <v>4681</v>
      </c>
      <c r="D484" s="55" t="s">
        <v>3997</v>
      </c>
      <c r="E484" s="55" t="s">
        <v>4014</v>
      </c>
      <c r="F484" s="55" t="s">
        <v>622</v>
      </c>
      <c r="G484" s="55" t="s">
        <v>623</v>
      </c>
      <c r="H484" s="55">
        <v>0.02</v>
      </c>
      <c r="I484" s="55">
        <v>196895.0</v>
      </c>
      <c r="J484" s="55">
        <v>7.01182474E7</v>
      </c>
      <c r="K484" s="55">
        <v>7.01182474E7</v>
      </c>
      <c r="L484" s="44"/>
      <c r="M484" s="44"/>
      <c r="N484" s="44"/>
      <c r="O484" s="44"/>
      <c r="P484" s="44"/>
      <c r="Q484" s="44"/>
      <c r="R484" s="44"/>
      <c r="S484" s="44"/>
    </row>
    <row r="485">
      <c r="A485" s="55" t="s">
        <v>4682</v>
      </c>
      <c r="B485" s="44"/>
      <c r="C485" s="55" t="s">
        <v>4683</v>
      </c>
      <c r="D485" s="55" t="s">
        <v>3997</v>
      </c>
      <c r="E485" s="55" t="s">
        <v>167</v>
      </c>
      <c r="F485" s="55" t="s">
        <v>622</v>
      </c>
      <c r="G485" s="55" t="s">
        <v>623</v>
      </c>
      <c r="H485" s="55">
        <v>0.02</v>
      </c>
      <c r="I485" s="55">
        <v>533402.0</v>
      </c>
      <c r="J485" s="55">
        <v>6.973697748E7</v>
      </c>
      <c r="K485" s="55">
        <v>6.973697748E7</v>
      </c>
      <c r="L485" s="44"/>
      <c r="M485" s="44"/>
      <c r="N485" s="44"/>
      <c r="O485" s="44"/>
      <c r="P485" s="44"/>
      <c r="Q485" s="44"/>
      <c r="R485" s="44"/>
      <c r="S485" s="44"/>
    </row>
    <row r="486">
      <c r="A486" s="55" t="s">
        <v>4684</v>
      </c>
      <c r="B486" s="44"/>
      <c r="C486" s="55" t="s">
        <v>3288</v>
      </c>
      <c r="D486" s="55" t="s">
        <v>3997</v>
      </c>
      <c r="E486" s="55" t="s">
        <v>118</v>
      </c>
      <c r="F486" s="55" t="s">
        <v>622</v>
      </c>
      <c r="G486" s="55" t="s">
        <v>623</v>
      </c>
      <c r="H486" s="55">
        <v>0.02</v>
      </c>
      <c r="I486" s="55">
        <v>517376.0</v>
      </c>
      <c r="J486" s="55">
        <v>6.88886144E7</v>
      </c>
      <c r="K486" s="55">
        <v>6.88886144E7</v>
      </c>
      <c r="L486" s="44"/>
      <c r="M486" s="44"/>
      <c r="N486" s="44"/>
      <c r="O486" s="44"/>
      <c r="P486" s="44"/>
      <c r="Q486" s="44"/>
      <c r="R486" s="44"/>
      <c r="S486" s="44"/>
    </row>
    <row r="487">
      <c r="A487" s="55" t="s">
        <v>4685</v>
      </c>
      <c r="B487" s="44"/>
      <c r="C487" s="55" t="s">
        <v>4686</v>
      </c>
      <c r="D487" s="55" t="s">
        <v>3997</v>
      </c>
      <c r="E487" s="55" t="s">
        <v>4014</v>
      </c>
      <c r="F487" s="55" t="s">
        <v>622</v>
      </c>
      <c r="G487" s="55" t="s">
        <v>623</v>
      </c>
      <c r="H487" s="55">
        <v>0.02</v>
      </c>
      <c r="I487" s="55">
        <v>1997771.0</v>
      </c>
      <c r="J487" s="55">
        <v>6.818392423E7</v>
      </c>
      <c r="K487" s="55">
        <v>6.818392423E7</v>
      </c>
      <c r="L487" s="44"/>
      <c r="M487" s="44"/>
      <c r="N487" s="44"/>
      <c r="O487" s="44"/>
      <c r="P487" s="44"/>
      <c r="Q487" s="44"/>
      <c r="R487" s="44"/>
      <c r="S487" s="44"/>
    </row>
    <row r="488">
      <c r="A488" s="55" t="s">
        <v>4687</v>
      </c>
      <c r="B488" s="44"/>
      <c r="C488" s="55" t="s">
        <v>4688</v>
      </c>
      <c r="D488" s="55" t="s">
        <v>3997</v>
      </c>
      <c r="E488" s="55" t="s">
        <v>118</v>
      </c>
      <c r="F488" s="55" t="s">
        <v>622</v>
      </c>
      <c r="G488" s="55" t="s">
        <v>623</v>
      </c>
      <c r="H488" s="55">
        <v>0.02</v>
      </c>
      <c r="I488" s="55">
        <v>4014359.0</v>
      </c>
      <c r="J488" s="55">
        <v>6.800324146E7</v>
      </c>
      <c r="K488" s="55">
        <v>6.800324146E7</v>
      </c>
      <c r="L488" s="44"/>
      <c r="M488" s="44"/>
      <c r="N488" s="44"/>
      <c r="O488" s="44"/>
      <c r="P488" s="44"/>
      <c r="Q488" s="44"/>
      <c r="R488" s="44"/>
      <c r="S488" s="44"/>
    </row>
    <row r="489">
      <c r="A489" s="55" t="s">
        <v>4689</v>
      </c>
      <c r="B489" s="44"/>
      <c r="C489" s="55" t="s">
        <v>3240</v>
      </c>
      <c r="D489" s="55" t="s">
        <v>3997</v>
      </c>
      <c r="E489" s="55" t="s">
        <v>99</v>
      </c>
      <c r="F489" s="55" t="s">
        <v>622</v>
      </c>
      <c r="G489" s="55" t="s">
        <v>623</v>
      </c>
      <c r="H489" s="55">
        <v>0.02</v>
      </c>
      <c r="I489" s="55">
        <v>2683745.0</v>
      </c>
      <c r="J489" s="55">
        <v>6.56444027E7</v>
      </c>
      <c r="K489" s="55">
        <v>6.56444027E7</v>
      </c>
      <c r="L489" s="44"/>
      <c r="M489" s="44"/>
      <c r="N489" s="44"/>
      <c r="O489" s="44"/>
      <c r="P489" s="44"/>
      <c r="Q489" s="44"/>
      <c r="R489" s="44"/>
      <c r="S489" s="44"/>
    </row>
    <row r="490">
      <c r="A490" s="55" t="s">
        <v>4690</v>
      </c>
      <c r="B490" s="44"/>
      <c r="C490" s="55" t="s">
        <v>4691</v>
      </c>
      <c r="D490" s="55" t="s">
        <v>3997</v>
      </c>
      <c r="E490" s="55" t="s">
        <v>127</v>
      </c>
      <c r="F490" s="55" t="s">
        <v>622</v>
      </c>
      <c r="G490" s="55" t="s">
        <v>623</v>
      </c>
      <c r="H490" s="55">
        <v>0.02</v>
      </c>
      <c r="I490" s="55">
        <v>587339.0</v>
      </c>
      <c r="J490" s="55">
        <v>6.400820422E7</v>
      </c>
      <c r="K490" s="55">
        <v>6.400820422E7</v>
      </c>
      <c r="L490" s="44"/>
      <c r="M490" s="44"/>
      <c r="N490" s="44"/>
      <c r="O490" s="44"/>
      <c r="P490" s="44"/>
      <c r="Q490" s="44"/>
      <c r="R490" s="44"/>
      <c r="S490" s="44"/>
    </row>
    <row r="491">
      <c r="A491" s="55" t="s">
        <v>4692</v>
      </c>
      <c r="B491" s="44"/>
      <c r="C491" s="55" t="s">
        <v>4693</v>
      </c>
      <c r="D491" s="55" t="s">
        <v>3997</v>
      </c>
      <c r="E491" s="55" t="s">
        <v>133</v>
      </c>
      <c r="F491" s="55" t="s">
        <v>622</v>
      </c>
      <c r="G491" s="55" t="s">
        <v>623</v>
      </c>
      <c r="H491" s="55">
        <v>0.02</v>
      </c>
      <c r="I491" s="55">
        <v>692437.0</v>
      </c>
      <c r="J491" s="55">
        <v>6.313640566E7</v>
      </c>
      <c r="K491" s="55">
        <v>6.313640566E7</v>
      </c>
      <c r="L491" s="44"/>
      <c r="M491" s="44"/>
      <c r="N491" s="44"/>
      <c r="O491" s="44"/>
      <c r="P491" s="44"/>
      <c r="Q491" s="44"/>
      <c r="R491" s="44"/>
      <c r="S491" s="44"/>
    </row>
    <row r="492">
      <c r="A492" s="55" t="s">
        <v>4694</v>
      </c>
      <c r="B492" s="44"/>
      <c r="C492" s="55" t="s">
        <v>4695</v>
      </c>
      <c r="D492" s="55" t="s">
        <v>3997</v>
      </c>
      <c r="E492" s="55" t="s">
        <v>118</v>
      </c>
      <c r="F492" s="55" t="s">
        <v>622</v>
      </c>
      <c r="G492" s="55" t="s">
        <v>623</v>
      </c>
      <c r="H492" s="55">
        <v>0.02</v>
      </c>
      <c r="I492" s="55">
        <v>2187284.0</v>
      </c>
      <c r="J492" s="55">
        <v>6.159391744E7</v>
      </c>
      <c r="K492" s="55">
        <v>6.159391744E7</v>
      </c>
      <c r="L492" s="44"/>
      <c r="M492" s="44"/>
      <c r="N492" s="44"/>
      <c r="O492" s="44"/>
      <c r="P492" s="44"/>
      <c r="Q492" s="44"/>
      <c r="R492" s="44"/>
      <c r="S492" s="44"/>
    </row>
    <row r="493">
      <c r="A493" s="55" t="s">
        <v>4696</v>
      </c>
      <c r="B493" s="44"/>
      <c r="C493" s="55" t="s">
        <v>4697</v>
      </c>
      <c r="D493" s="55" t="s">
        <v>3997</v>
      </c>
      <c r="E493" s="55" t="s">
        <v>99</v>
      </c>
      <c r="F493" s="55" t="s">
        <v>622</v>
      </c>
      <c r="G493" s="55" t="s">
        <v>623</v>
      </c>
      <c r="H493" s="55">
        <v>0.02</v>
      </c>
      <c r="I493" s="55">
        <v>4233302.0</v>
      </c>
      <c r="J493" s="55">
        <v>6.125587994E7</v>
      </c>
      <c r="K493" s="55">
        <v>6.125587994E7</v>
      </c>
      <c r="L493" s="44"/>
      <c r="M493" s="44"/>
      <c r="N493" s="44"/>
      <c r="O493" s="44"/>
      <c r="P493" s="44"/>
      <c r="Q493" s="44"/>
      <c r="R493" s="44"/>
      <c r="S493" s="44"/>
    </row>
    <row r="494">
      <c r="A494" s="55" t="s">
        <v>4698</v>
      </c>
      <c r="B494" s="44"/>
      <c r="C494" s="55" t="s">
        <v>4699</v>
      </c>
      <c r="D494" s="55" t="s">
        <v>3997</v>
      </c>
      <c r="E494" s="55" t="s">
        <v>4004</v>
      </c>
      <c r="F494" s="55" t="s">
        <v>622</v>
      </c>
      <c r="G494" s="55" t="s">
        <v>623</v>
      </c>
      <c r="H494" s="55">
        <v>0.02</v>
      </c>
      <c r="I494" s="55">
        <v>4550312.0</v>
      </c>
      <c r="J494" s="55">
        <v>5.833499984E7</v>
      </c>
      <c r="K494" s="55">
        <v>5.833499984E7</v>
      </c>
      <c r="L494" s="44"/>
      <c r="M494" s="44"/>
      <c r="N494" s="44"/>
      <c r="O494" s="44"/>
      <c r="P494" s="44"/>
      <c r="Q494" s="44"/>
      <c r="R494" s="44"/>
      <c r="S494" s="44"/>
    </row>
    <row r="495">
      <c r="A495" s="55" t="s">
        <v>4700</v>
      </c>
      <c r="B495" s="44"/>
      <c r="C495" s="55" t="s">
        <v>4701</v>
      </c>
      <c r="D495" s="55" t="s">
        <v>3997</v>
      </c>
      <c r="E495" s="55" t="s">
        <v>118</v>
      </c>
      <c r="F495" s="55" t="s">
        <v>622</v>
      </c>
      <c r="G495" s="55" t="s">
        <v>623</v>
      </c>
      <c r="H495" s="55">
        <v>0.02</v>
      </c>
      <c r="I495" s="55">
        <v>3117625.0</v>
      </c>
      <c r="J495" s="55">
        <v>5.172139875E7</v>
      </c>
      <c r="K495" s="55">
        <v>5.172139875E7</v>
      </c>
      <c r="L495" s="44"/>
      <c r="M495" s="44"/>
      <c r="N495" s="44"/>
      <c r="O495" s="44"/>
      <c r="P495" s="44"/>
      <c r="Q495" s="44"/>
      <c r="R495" s="44"/>
      <c r="S495" s="44"/>
    </row>
    <row r="496">
      <c r="A496" s="55" t="s">
        <v>4702</v>
      </c>
      <c r="B496" s="44"/>
      <c r="C496" s="55" t="s">
        <v>4703</v>
      </c>
      <c r="D496" s="55" t="s">
        <v>3997</v>
      </c>
      <c r="E496" s="55" t="s">
        <v>99</v>
      </c>
      <c r="F496" s="55" t="s">
        <v>622</v>
      </c>
      <c r="G496" s="55" t="s">
        <v>623</v>
      </c>
      <c r="H496" s="55">
        <v>0.01</v>
      </c>
      <c r="I496" s="55">
        <v>1243331.0</v>
      </c>
      <c r="J496" s="55">
        <v>5.074033811E7</v>
      </c>
      <c r="K496" s="55">
        <v>5.074033811E7</v>
      </c>
      <c r="L496" s="44"/>
      <c r="M496" s="44"/>
      <c r="N496" s="44"/>
      <c r="O496" s="44"/>
      <c r="P496" s="44"/>
      <c r="Q496" s="44"/>
      <c r="R496" s="44"/>
      <c r="S496" s="44"/>
    </row>
    <row r="497">
      <c r="A497" s="55" t="s">
        <v>4704</v>
      </c>
      <c r="B497" s="44"/>
      <c r="C497" s="55" t="s">
        <v>4705</v>
      </c>
      <c r="D497" s="55" t="s">
        <v>3997</v>
      </c>
      <c r="E497" s="55" t="s">
        <v>4014</v>
      </c>
      <c r="F497" s="55" t="s">
        <v>622</v>
      </c>
      <c r="G497" s="55" t="s">
        <v>623</v>
      </c>
      <c r="H497" s="55">
        <v>0.01</v>
      </c>
      <c r="I497" s="55">
        <v>508137.0</v>
      </c>
      <c r="J497" s="55">
        <v>4.89335931E7</v>
      </c>
      <c r="K497" s="55">
        <v>4.89335931E7</v>
      </c>
      <c r="L497" s="44"/>
      <c r="M497" s="44"/>
      <c r="N497" s="44"/>
      <c r="O497" s="44"/>
      <c r="P497" s="44"/>
      <c r="Q497" s="44"/>
      <c r="R497" s="44"/>
      <c r="S497" s="44"/>
    </row>
    <row r="498">
      <c r="A498" s="55" t="s">
        <v>4706</v>
      </c>
      <c r="B498" s="44"/>
      <c r="C498" s="55" t="s">
        <v>4707</v>
      </c>
      <c r="D498" s="55" t="s">
        <v>3997</v>
      </c>
      <c r="E498" s="55" t="s">
        <v>99</v>
      </c>
      <c r="F498" s="55" t="s">
        <v>622</v>
      </c>
      <c r="G498" s="55" t="s">
        <v>623</v>
      </c>
      <c r="H498" s="55">
        <v>0.01</v>
      </c>
      <c r="I498" s="55">
        <v>1397849.0</v>
      </c>
      <c r="J498" s="55">
        <v>4.745697355E7</v>
      </c>
      <c r="K498" s="55">
        <v>4.745697355E7</v>
      </c>
      <c r="L498" s="44"/>
      <c r="M498" s="44"/>
      <c r="N498" s="44"/>
      <c r="O498" s="44"/>
      <c r="P498" s="44"/>
      <c r="Q498" s="44"/>
      <c r="R498" s="44"/>
      <c r="S498" s="44"/>
    </row>
    <row r="499">
      <c r="A499" s="55" t="s">
        <v>4708</v>
      </c>
      <c r="B499" s="44"/>
      <c r="C499" s="55" t="s">
        <v>4709</v>
      </c>
      <c r="D499" s="55" t="s">
        <v>3997</v>
      </c>
      <c r="E499" s="55" t="s">
        <v>94</v>
      </c>
      <c r="F499" s="55" t="s">
        <v>622</v>
      </c>
      <c r="G499" s="55" t="s">
        <v>623</v>
      </c>
      <c r="H499" s="55">
        <v>0.01</v>
      </c>
      <c r="I499" s="55">
        <v>1361562.0</v>
      </c>
      <c r="J499" s="55">
        <v>4.427799624E7</v>
      </c>
      <c r="K499" s="55">
        <v>4.427799624E7</v>
      </c>
      <c r="L499" s="44"/>
      <c r="M499" s="44"/>
      <c r="N499" s="44"/>
      <c r="O499" s="44"/>
      <c r="P499" s="44"/>
      <c r="Q499" s="44"/>
      <c r="R499" s="44"/>
      <c r="S499" s="44"/>
    </row>
    <row r="500">
      <c r="A500" s="55" t="s">
        <v>4710</v>
      </c>
      <c r="B500" s="44"/>
      <c r="C500" s="55" t="s">
        <v>4711</v>
      </c>
      <c r="D500" s="55" t="s">
        <v>3997</v>
      </c>
      <c r="E500" s="55" t="s">
        <v>127</v>
      </c>
      <c r="F500" s="55" t="s">
        <v>622</v>
      </c>
      <c r="G500" s="55" t="s">
        <v>623</v>
      </c>
      <c r="H500" s="55">
        <v>0.01</v>
      </c>
      <c r="I500" s="55">
        <v>1200416.0</v>
      </c>
      <c r="J500" s="55">
        <v>4.421132128E7</v>
      </c>
      <c r="K500" s="55">
        <v>4.421132128E7</v>
      </c>
      <c r="L500" s="44"/>
      <c r="M500" s="44"/>
      <c r="N500" s="44"/>
      <c r="O500" s="44"/>
      <c r="P500" s="44"/>
      <c r="Q500" s="44"/>
      <c r="R500" s="44"/>
      <c r="S500" s="44"/>
    </row>
    <row r="501">
      <c r="A501" s="55" t="s">
        <v>4712</v>
      </c>
      <c r="B501" s="44"/>
      <c r="C501" s="55" t="s">
        <v>4713</v>
      </c>
      <c r="D501" s="55" t="s">
        <v>3997</v>
      </c>
      <c r="E501" s="55" t="s">
        <v>118</v>
      </c>
      <c r="F501" s="55" t="s">
        <v>622</v>
      </c>
      <c r="G501" s="55" t="s">
        <v>623</v>
      </c>
      <c r="H501" s="55">
        <v>0.01</v>
      </c>
      <c r="I501" s="55">
        <v>380986.0</v>
      </c>
      <c r="J501" s="55">
        <v>4.396197454E7</v>
      </c>
      <c r="K501" s="55">
        <v>4.396197454E7</v>
      </c>
      <c r="L501" s="44"/>
      <c r="M501" s="44"/>
      <c r="N501" s="44"/>
      <c r="O501" s="44"/>
      <c r="P501" s="44"/>
      <c r="Q501" s="44"/>
      <c r="R501" s="44"/>
      <c r="S501" s="44"/>
    </row>
    <row r="502">
      <c r="A502" s="55" t="s">
        <v>4714</v>
      </c>
      <c r="B502" s="44"/>
      <c r="C502" s="55" t="s">
        <v>4715</v>
      </c>
      <c r="D502" s="55" t="s">
        <v>3997</v>
      </c>
      <c r="E502" s="55" t="s">
        <v>118</v>
      </c>
      <c r="F502" s="55" t="s">
        <v>622</v>
      </c>
      <c r="G502" s="55" t="s">
        <v>623</v>
      </c>
      <c r="H502" s="55">
        <v>0.01</v>
      </c>
      <c r="I502" s="55">
        <v>498594.0</v>
      </c>
      <c r="J502" s="55">
        <v>4.258989948E7</v>
      </c>
      <c r="K502" s="55">
        <v>4.258989948E7</v>
      </c>
      <c r="L502" s="44"/>
      <c r="M502" s="44"/>
      <c r="N502" s="44"/>
      <c r="O502" s="44"/>
      <c r="P502" s="44"/>
      <c r="Q502" s="44"/>
      <c r="R502" s="44"/>
      <c r="S502" s="44"/>
    </row>
    <row r="503">
      <c r="A503" s="55" t="s">
        <v>4716</v>
      </c>
      <c r="B503" s="44"/>
      <c r="C503" s="55" t="s">
        <v>4717</v>
      </c>
      <c r="D503" s="55" t="s">
        <v>3997</v>
      </c>
      <c r="E503" s="55" t="s">
        <v>4014</v>
      </c>
      <c r="F503" s="55" t="s">
        <v>622</v>
      </c>
      <c r="G503" s="55" t="s">
        <v>623</v>
      </c>
      <c r="H503" s="55">
        <v>0.01</v>
      </c>
      <c r="I503" s="55">
        <v>2411552.0</v>
      </c>
      <c r="J503" s="55">
        <v>4.118930816E7</v>
      </c>
      <c r="K503" s="55">
        <v>4.118930816E7</v>
      </c>
      <c r="L503" s="44"/>
      <c r="M503" s="44"/>
      <c r="N503" s="44"/>
      <c r="O503" s="44"/>
      <c r="P503" s="44"/>
      <c r="Q503" s="44"/>
      <c r="R503" s="44"/>
      <c r="S503" s="44"/>
    </row>
    <row r="504">
      <c r="A504" s="55" t="s">
        <v>4718</v>
      </c>
      <c r="B504" s="44"/>
      <c r="C504" s="55" t="s">
        <v>4719</v>
      </c>
      <c r="D504" s="55" t="s">
        <v>3997</v>
      </c>
      <c r="E504" s="55" t="s">
        <v>167</v>
      </c>
      <c r="F504" s="55" t="s">
        <v>622</v>
      </c>
      <c r="G504" s="55" t="s">
        <v>623</v>
      </c>
      <c r="H504" s="55">
        <v>0.01</v>
      </c>
      <c r="I504" s="55">
        <v>1934359.0</v>
      </c>
      <c r="J504" s="55">
        <v>3.959632873E7</v>
      </c>
      <c r="K504" s="55">
        <v>3.959632873E7</v>
      </c>
      <c r="L504" s="44"/>
      <c r="M504" s="44"/>
      <c r="N504" s="44"/>
      <c r="O504" s="44"/>
      <c r="P504" s="44"/>
      <c r="Q504" s="44"/>
      <c r="R504" s="44"/>
      <c r="S504" s="44"/>
    </row>
    <row r="505">
      <c r="A505" s="55" t="s">
        <v>4720</v>
      </c>
      <c r="B505" s="44"/>
      <c r="C505" s="55" t="s">
        <v>4721</v>
      </c>
      <c r="D505" s="55" t="s">
        <v>4722</v>
      </c>
      <c r="E505" s="55" t="s">
        <v>4198</v>
      </c>
      <c r="F505" s="55" t="s">
        <v>622</v>
      </c>
      <c r="G505" s="55" t="s">
        <v>623</v>
      </c>
      <c r="H505" s="55">
        <v>0.01</v>
      </c>
      <c r="I505" s="55">
        <v>3.8507E7</v>
      </c>
      <c r="J505" s="55">
        <v>3.8507E7</v>
      </c>
      <c r="K505" s="55">
        <v>3.8507E7</v>
      </c>
      <c r="L505" s="44"/>
      <c r="M505" s="44"/>
      <c r="N505" s="44"/>
      <c r="O505" s="44"/>
      <c r="P505" s="44"/>
      <c r="Q505" s="44"/>
      <c r="R505" s="44"/>
      <c r="S505" s="44"/>
    </row>
    <row r="506">
      <c r="A506" s="55" t="s">
        <v>4723</v>
      </c>
      <c r="B506" s="44"/>
      <c r="C506" s="55" t="s">
        <v>4724</v>
      </c>
      <c r="D506" s="55" t="s">
        <v>3997</v>
      </c>
      <c r="E506" s="55" t="s">
        <v>4004</v>
      </c>
      <c r="F506" s="55" t="s">
        <v>622</v>
      </c>
      <c r="G506" s="55" t="s">
        <v>623</v>
      </c>
      <c r="H506" s="55">
        <v>0.01</v>
      </c>
      <c r="I506" s="55">
        <v>1243069.0</v>
      </c>
      <c r="J506" s="55">
        <v>3.587497134E7</v>
      </c>
      <c r="K506" s="55">
        <v>3.587497134E7</v>
      </c>
      <c r="L506" s="44"/>
      <c r="M506" s="44"/>
      <c r="N506" s="44"/>
      <c r="O506" s="44"/>
      <c r="P506" s="44"/>
      <c r="Q506" s="44"/>
      <c r="R506" s="44"/>
      <c r="S506" s="44"/>
    </row>
    <row r="507">
      <c r="A507" s="55" t="s">
        <v>4725</v>
      </c>
      <c r="B507" s="44"/>
      <c r="C507" s="55" t="s">
        <v>4726</v>
      </c>
      <c r="D507" s="55" t="s">
        <v>3997</v>
      </c>
      <c r="E507" s="55" t="s">
        <v>4004</v>
      </c>
      <c r="F507" s="55" t="s">
        <v>622</v>
      </c>
      <c r="G507" s="55" t="s">
        <v>623</v>
      </c>
      <c r="H507" s="55">
        <v>0.01</v>
      </c>
      <c r="I507" s="55">
        <v>1094723.0</v>
      </c>
      <c r="J507" s="55">
        <v>2.274834394E7</v>
      </c>
      <c r="K507" s="55">
        <v>2.274834394E7</v>
      </c>
      <c r="L507" s="44"/>
      <c r="M507" s="44"/>
      <c r="N507" s="44"/>
      <c r="O507" s="44"/>
      <c r="P507" s="44"/>
      <c r="Q507" s="44"/>
      <c r="R507" s="44"/>
      <c r="S507" s="44"/>
    </row>
    <row r="508">
      <c r="A508" s="55" t="s">
        <v>4727</v>
      </c>
      <c r="B508" s="44"/>
      <c r="C508" s="55" t="s">
        <v>4728</v>
      </c>
      <c r="D508" s="55" t="s">
        <v>4729</v>
      </c>
      <c r="E508" s="55" t="s">
        <v>4198</v>
      </c>
      <c r="F508" s="55" t="s">
        <v>4730</v>
      </c>
      <c r="G508" s="55" t="s">
        <v>623</v>
      </c>
      <c r="H508" s="55">
        <v>0.0</v>
      </c>
      <c r="I508" s="55">
        <v>3679.0</v>
      </c>
      <c r="J508" s="55">
        <v>0.0</v>
      </c>
      <c r="K508" s="55">
        <v>7.97883125E8</v>
      </c>
      <c r="L508" s="44"/>
      <c r="M508" s="44"/>
      <c r="N508" s="44"/>
      <c r="O508" s="44"/>
      <c r="P508" s="44"/>
      <c r="Q508" s="44"/>
      <c r="R508" s="44"/>
      <c r="S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</row>
    <row r="999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</row>
    <row r="1000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8.5"/>
    <col customWidth="1" min="2" max="2" width="7.5"/>
    <col customWidth="1" min="3" max="3" width="26.63"/>
    <col customWidth="1" min="4" max="4" width="9.13"/>
    <col customWidth="1" min="5" max="5" width="15.75"/>
    <col customWidth="1" min="6" max="6" width="9.0"/>
    <col customWidth="1" min="7" max="7" width="6.38"/>
    <col customWidth="1" min="8" max="8" width="8.75"/>
    <col customWidth="1" min="9" max="9" width="10.63"/>
    <col customWidth="1" min="10" max="10" width="12.88"/>
    <col customWidth="1" min="11" max="11" width="13.63"/>
  </cols>
  <sheetData>
    <row r="1">
      <c r="A1" s="35" t="s">
        <v>80</v>
      </c>
      <c r="B1" s="35" t="s">
        <v>81</v>
      </c>
      <c r="C1" s="35" t="s">
        <v>82</v>
      </c>
      <c r="D1" s="35" t="s">
        <v>83</v>
      </c>
      <c r="E1" s="35" t="s">
        <v>84</v>
      </c>
      <c r="F1" s="35" t="s">
        <v>85</v>
      </c>
      <c r="G1" s="35" t="s">
        <v>86</v>
      </c>
      <c r="H1" s="37" t="s">
        <v>87</v>
      </c>
      <c r="I1" s="37" t="s">
        <v>88</v>
      </c>
      <c r="J1" s="37" t="s">
        <v>89</v>
      </c>
      <c r="K1" s="35" t="s">
        <v>90</v>
      </c>
    </row>
    <row r="2">
      <c r="A2" s="50" t="s">
        <v>835</v>
      </c>
      <c r="B2" s="51">
        <v>2588173.0</v>
      </c>
      <c r="C2" s="50" t="s">
        <v>836</v>
      </c>
      <c r="D2" s="50" t="s">
        <v>93</v>
      </c>
      <c r="E2" s="50" t="s">
        <v>167</v>
      </c>
      <c r="F2" s="50" t="s">
        <v>622</v>
      </c>
      <c r="G2" s="50" t="s">
        <v>623</v>
      </c>
      <c r="H2" s="51">
        <v>12.63910067</v>
      </c>
      <c r="I2" s="51">
        <v>816490.0</v>
      </c>
      <c r="J2" s="51">
        <v>4.0612347714E8</v>
      </c>
      <c r="K2" s="51">
        <v>4.0612347714E8</v>
      </c>
    </row>
    <row r="3">
      <c r="A3" s="50" t="s">
        <v>833</v>
      </c>
      <c r="B3" s="51">
        <v>2046251.0</v>
      </c>
      <c r="C3" s="50" t="s">
        <v>834</v>
      </c>
      <c r="D3" s="50" t="s">
        <v>93</v>
      </c>
      <c r="E3" s="50" t="s">
        <v>167</v>
      </c>
      <c r="F3" s="50" t="s">
        <v>622</v>
      </c>
      <c r="G3" s="50" t="s">
        <v>623</v>
      </c>
      <c r="H3" s="51">
        <v>12.00740571</v>
      </c>
      <c r="I3" s="51">
        <v>1394958.0</v>
      </c>
      <c r="J3" s="51">
        <v>3.8582566021E8</v>
      </c>
      <c r="K3" s="51">
        <v>3.8582566021E8</v>
      </c>
    </row>
    <row r="4">
      <c r="A4" s="50" t="s">
        <v>839</v>
      </c>
      <c r="B4" s="51">
        <v>2379504.0</v>
      </c>
      <c r="C4" s="50" t="s">
        <v>840</v>
      </c>
      <c r="D4" s="50" t="s">
        <v>93</v>
      </c>
      <c r="E4" s="50" t="s">
        <v>167</v>
      </c>
      <c r="F4" s="50" t="s">
        <v>622</v>
      </c>
      <c r="G4" s="50" t="s">
        <v>623</v>
      </c>
      <c r="H4" s="51">
        <v>7.33886978</v>
      </c>
      <c r="I4" s="51">
        <v>353335.0</v>
      </c>
      <c r="J4" s="51">
        <v>2.3581482501E8</v>
      </c>
      <c r="K4" s="51">
        <v>2.3581482501E8</v>
      </c>
    </row>
    <row r="5">
      <c r="A5" s="50" t="s">
        <v>837</v>
      </c>
      <c r="B5" s="51">
        <v>2000019.0</v>
      </c>
      <c r="C5" s="50" t="s">
        <v>838</v>
      </c>
      <c r="D5" s="50" t="s">
        <v>93</v>
      </c>
      <c r="E5" s="50" t="s">
        <v>118</v>
      </c>
      <c r="F5" s="50" t="s">
        <v>622</v>
      </c>
      <c r="G5" s="50" t="s">
        <v>623</v>
      </c>
      <c r="H5" s="51">
        <v>6.86419886</v>
      </c>
      <c r="I5" s="51">
        <v>1131389.0</v>
      </c>
      <c r="J5" s="51">
        <v>2.2056255291E8</v>
      </c>
      <c r="K5" s="51">
        <v>2.2056255291E8</v>
      </c>
    </row>
    <row r="6">
      <c r="A6" s="50" t="s">
        <v>848</v>
      </c>
      <c r="B6" s="50" t="s">
        <v>849</v>
      </c>
      <c r="C6" s="50" t="s">
        <v>850</v>
      </c>
      <c r="D6" s="50" t="s">
        <v>93</v>
      </c>
      <c r="E6" s="50" t="s">
        <v>121</v>
      </c>
      <c r="F6" s="50" t="s">
        <v>622</v>
      </c>
      <c r="G6" s="50" t="s">
        <v>623</v>
      </c>
      <c r="H6" s="51">
        <v>4.4804315</v>
      </c>
      <c r="I6" s="51">
        <v>316450.0</v>
      </c>
      <c r="J6" s="51">
        <v>1.4396660546E8</v>
      </c>
      <c r="K6" s="51">
        <v>1.4396660546E8</v>
      </c>
    </row>
    <row r="7">
      <c r="A7" s="50" t="s">
        <v>844</v>
      </c>
      <c r="B7" s="50" t="s">
        <v>845</v>
      </c>
      <c r="C7" s="50" t="s">
        <v>621</v>
      </c>
      <c r="D7" s="50" t="s">
        <v>93</v>
      </c>
      <c r="E7" s="50" t="s">
        <v>118</v>
      </c>
      <c r="F7" s="50" t="s">
        <v>622</v>
      </c>
      <c r="G7" s="50" t="s">
        <v>623</v>
      </c>
      <c r="H7" s="51">
        <v>4.38764423</v>
      </c>
      <c r="I7" s="51">
        <v>349495.0</v>
      </c>
      <c r="J7" s="51">
        <v>1.4098513645E8</v>
      </c>
      <c r="K7" s="51">
        <v>1.4098513645E8</v>
      </c>
    </row>
    <row r="8">
      <c r="A8" s="50" t="s">
        <v>841</v>
      </c>
      <c r="B8" s="50" t="s">
        <v>842</v>
      </c>
      <c r="C8" s="50" t="s">
        <v>843</v>
      </c>
      <c r="D8" s="50" t="s">
        <v>93</v>
      </c>
      <c r="E8" s="50" t="s">
        <v>121</v>
      </c>
      <c r="F8" s="50" t="s">
        <v>622</v>
      </c>
      <c r="G8" s="50" t="s">
        <v>623</v>
      </c>
      <c r="H8" s="51">
        <v>3.7565812</v>
      </c>
      <c r="I8" s="51">
        <v>667701.0</v>
      </c>
      <c r="J8" s="51">
        <v>1.2070762453E8</v>
      </c>
      <c r="K8" s="51">
        <v>1.2070762453E8</v>
      </c>
    </row>
    <row r="9">
      <c r="A9" s="50" t="s">
        <v>846</v>
      </c>
      <c r="B9" s="50" t="s">
        <v>847</v>
      </c>
      <c r="C9" s="50" t="s">
        <v>843</v>
      </c>
      <c r="D9" s="50" t="s">
        <v>93</v>
      </c>
      <c r="E9" s="50" t="s">
        <v>121</v>
      </c>
      <c r="F9" s="50" t="s">
        <v>622</v>
      </c>
      <c r="G9" s="50" t="s">
        <v>623</v>
      </c>
      <c r="H9" s="51">
        <v>3.65261709</v>
      </c>
      <c r="I9" s="51">
        <v>647714.0</v>
      </c>
      <c r="J9" s="51">
        <v>1.1736701788E8</v>
      </c>
      <c r="K9" s="51">
        <v>1.1736701788E8</v>
      </c>
    </row>
    <row r="10">
      <c r="A10" s="50" t="s">
        <v>871</v>
      </c>
      <c r="B10" s="50" t="s">
        <v>872</v>
      </c>
      <c r="C10" s="50" t="s">
        <v>873</v>
      </c>
      <c r="D10" s="50" t="s">
        <v>93</v>
      </c>
      <c r="E10" s="50" t="s">
        <v>167</v>
      </c>
      <c r="F10" s="50" t="s">
        <v>622</v>
      </c>
      <c r="G10" s="50" t="s">
        <v>623</v>
      </c>
      <c r="H10" s="51">
        <v>2.39890169</v>
      </c>
      <c r="I10" s="51">
        <v>59641.0</v>
      </c>
      <c r="J10" s="51">
        <v>7.708224816E7</v>
      </c>
      <c r="K10" s="51">
        <v>7.708224816E7</v>
      </c>
    </row>
    <row r="11">
      <c r="A11" s="50" t="s">
        <v>892</v>
      </c>
      <c r="B11" s="51">
        <v>2681511.0</v>
      </c>
      <c r="C11" s="50" t="s">
        <v>893</v>
      </c>
      <c r="D11" s="50" t="s">
        <v>93</v>
      </c>
      <c r="E11" s="50" t="s">
        <v>124</v>
      </c>
      <c r="F11" s="50" t="s">
        <v>622</v>
      </c>
      <c r="G11" s="50" t="s">
        <v>623</v>
      </c>
      <c r="H11" s="51">
        <v>1.66961062</v>
      </c>
      <c r="I11" s="51">
        <v>197080.0</v>
      </c>
      <c r="J11" s="51">
        <v>5.364844303E7</v>
      </c>
      <c r="K11" s="51">
        <v>5.364844303E7</v>
      </c>
    </row>
    <row r="12">
      <c r="A12" s="50" t="s">
        <v>890</v>
      </c>
      <c r="B12" s="51">
        <v>2701271.0</v>
      </c>
      <c r="C12" s="50" t="s">
        <v>891</v>
      </c>
      <c r="D12" s="50" t="s">
        <v>93</v>
      </c>
      <c r="E12" s="50" t="s">
        <v>124</v>
      </c>
      <c r="F12" s="50" t="s">
        <v>622</v>
      </c>
      <c r="G12" s="50" t="s">
        <v>623</v>
      </c>
      <c r="H12" s="51">
        <v>1.54318251</v>
      </c>
      <c r="I12" s="51">
        <v>63441.0</v>
      </c>
      <c r="J12" s="51">
        <v>4.958601604E7</v>
      </c>
      <c r="K12" s="51">
        <v>4.958601604E7</v>
      </c>
    </row>
    <row r="13">
      <c r="A13" s="50" t="s">
        <v>897</v>
      </c>
      <c r="B13" s="51">
        <v>2008154.0</v>
      </c>
      <c r="C13" s="50" t="s">
        <v>898</v>
      </c>
      <c r="D13" s="50" t="s">
        <v>93</v>
      </c>
      <c r="E13" s="50" t="s">
        <v>167</v>
      </c>
      <c r="F13" s="50" t="s">
        <v>622</v>
      </c>
      <c r="G13" s="50" t="s">
        <v>623</v>
      </c>
      <c r="H13" s="51">
        <v>1.53338273</v>
      </c>
      <c r="I13" s="51">
        <v>65618.0</v>
      </c>
      <c r="J13" s="51">
        <v>4.927112649E7</v>
      </c>
      <c r="K13" s="51">
        <v>4.927112649E7</v>
      </c>
    </row>
    <row r="14">
      <c r="A14" s="50" t="s">
        <v>901</v>
      </c>
      <c r="B14" s="51">
        <v>2198163.0</v>
      </c>
      <c r="C14" s="50" t="s">
        <v>902</v>
      </c>
      <c r="D14" s="50" t="s">
        <v>93</v>
      </c>
      <c r="E14" s="50" t="s">
        <v>167</v>
      </c>
      <c r="F14" s="50" t="s">
        <v>622</v>
      </c>
      <c r="G14" s="50" t="s">
        <v>623</v>
      </c>
      <c r="H14" s="51">
        <v>1.35702121</v>
      </c>
      <c r="I14" s="51">
        <v>582941.0</v>
      </c>
      <c r="J14" s="51">
        <v>4.360422373E7</v>
      </c>
      <c r="K14" s="51">
        <v>4.360422373E7</v>
      </c>
    </row>
    <row r="15">
      <c r="A15" s="50" t="s">
        <v>944</v>
      </c>
      <c r="B15" s="51">
        <v>2857817.0</v>
      </c>
      <c r="C15" s="50" t="s">
        <v>945</v>
      </c>
      <c r="D15" s="50" t="s">
        <v>93</v>
      </c>
      <c r="E15" s="50" t="s">
        <v>121</v>
      </c>
      <c r="F15" s="50" t="s">
        <v>622</v>
      </c>
      <c r="G15" s="50" t="s">
        <v>623</v>
      </c>
      <c r="H15" s="51">
        <v>1.29384864</v>
      </c>
      <c r="I15" s="51">
        <v>63592.0</v>
      </c>
      <c r="J15" s="51">
        <v>4.15743431E7</v>
      </c>
      <c r="K15" s="51">
        <v>4.15743431E7</v>
      </c>
    </row>
    <row r="16">
      <c r="A16" s="50" t="s">
        <v>955</v>
      </c>
      <c r="B16" s="51">
        <v>2007849.0</v>
      </c>
      <c r="C16" s="50" t="s">
        <v>956</v>
      </c>
      <c r="D16" s="50" t="s">
        <v>93</v>
      </c>
      <c r="E16" s="50" t="s">
        <v>167</v>
      </c>
      <c r="F16" s="50" t="s">
        <v>622</v>
      </c>
      <c r="G16" s="50" t="s">
        <v>623</v>
      </c>
      <c r="H16" s="51">
        <v>1.20634906</v>
      </c>
      <c r="I16" s="51">
        <v>230363.0</v>
      </c>
      <c r="J16" s="51">
        <v>3.876277974E7</v>
      </c>
      <c r="K16" s="51">
        <v>3.876277974E7</v>
      </c>
    </row>
    <row r="17">
      <c r="A17" s="50" t="s">
        <v>927</v>
      </c>
      <c r="B17" s="51">
        <v>2044545.0</v>
      </c>
      <c r="C17" s="50" t="s">
        <v>928</v>
      </c>
      <c r="D17" s="50" t="s">
        <v>93</v>
      </c>
      <c r="E17" s="50" t="s">
        <v>121</v>
      </c>
      <c r="F17" s="50" t="s">
        <v>622</v>
      </c>
      <c r="G17" s="50" t="s">
        <v>623</v>
      </c>
      <c r="H17" s="51">
        <v>1.14399116</v>
      </c>
      <c r="I17" s="51">
        <v>595003.0</v>
      </c>
      <c r="J17" s="51">
        <v>3.675907632E7</v>
      </c>
      <c r="K17" s="51">
        <v>3.675907632E7</v>
      </c>
    </row>
    <row r="18">
      <c r="A18" s="50" t="s">
        <v>1141</v>
      </c>
      <c r="B18" s="50" t="s">
        <v>1142</v>
      </c>
      <c r="C18" s="50" t="s">
        <v>1143</v>
      </c>
      <c r="D18" s="50" t="s">
        <v>93</v>
      </c>
      <c r="E18" s="50" t="s">
        <v>121</v>
      </c>
      <c r="F18" s="50" t="s">
        <v>622</v>
      </c>
      <c r="G18" s="50" t="s">
        <v>623</v>
      </c>
      <c r="H18" s="51">
        <v>1.09093483</v>
      </c>
      <c r="I18" s="51">
        <v>171646.0</v>
      </c>
      <c r="J18" s="51">
        <v>3.505425423E7</v>
      </c>
      <c r="K18" s="51">
        <v>3.505425423E7</v>
      </c>
    </row>
    <row r="19">
      <c r="A19" s="50" t="s">
        <v>970</v>
      </c>
      <c r="B19" s="51">
        <v>2885409.0</v>
      </c>
      <c r="C19" s="50" t="s">
        <v>971</v>
      </c>
      <c r="D19" s="50" t="s">
        <v>93</v>
      </c>
      <c r="E19" s="50" t="s">
        <v>167</v>
      </c>
      <c r="F19" s="50" t="s">
        <v>622</v>
      </c>
      <c r="G19" s="50" t="s">
        <v>623</v>
      </c>
      <c r="H19" s="51">
        <v>1.07411189</v>
      </c>
      <c r="I19" s="51">
        <v>129841.0</v>
      </c>
      <c r="J19" s="51">
        <v>3.451369418E7</v>
      </c>
      <c r="K19" s="51">
        <v>3.451369418E7</v>
      </c>
    </row>
    <row r="20">
      <c r="A20" s="50" t="s">
        <v>966</v>
      </c>
      <c r="B20" s="51">
        <v>2463247.0</v>
      </c>
      <c r="C20" s="50" t="s">
        <v>967</v>
      </c>
      <c r="D20" s="50" t="s">
        <v>93</v>
      </c>
      <c r="E20" s="50" t="s">
        <v>167</v>
      </c>
      <c r="F20" s="50" t="s">
        <v>622</v>
      </c>
      <c r="G20" s="50" t="s">
        <v>623</v>
      </c>
      <c r="H20" s="51">
        <v>0.91295292</v>
      </c>
      <c r="I20" s="51">
        <v>596666.0</v>
      </c>
      <c r="J20" s="51">
        <v>2.93352844E7</v>
      </c>
      <c r="K20" s="51">
        <v>2.93352844E7</v>
      </c>
    </row>
    <row r="21">
      <c r="A21" s="50" t="s">
        <v>985</v>
      </c>
      <c r="B21" s="51">
        <v>2020459.0</v>
      </c>
      <c r="C21" s="50" t="s">
        <v>986</v>
      </c>
      <c r="D21" s="50" t="s">
        <v>93</v>
      </c>
      <c r="E21" s="50" t="s">
        <v>127</v>
      </c>
      <c r="F21" s="50" t="s">
        <v>622</v>
      </c>
      <c r="G21" s="50" t="s">
        <v>623</v>
      </c>
      <c r="H21" s="51">
        <v>0.8978436</v>
      </c>
      <c r="I21" s="51">
        <v>95226.0</v>
      </c>
      <c r="J21" s="51">
        <v>2.884978728E7</v>
      </c>
      <c r="K21" s="51">
        <v>2.884978728E7</v>
      </c>
    </row>
    <row r="22">
      <c r="A22" s="50" t="s">
        <v>999</v>
      </c>
      <c r="B22" s="51">
        <v>2714923.0</v>
      </c>
      <c r="C22" s="50" t="s">
        <v>1000</v>
      </c>
      <c r="D22" s="50" t="s">
        <v>93</v>
      </c>
      <c r="E22" s="50" t="s">
        <v>167</v>
      </c>
      <c r="F22" s="50" t="s">
        <v>622</v>
      </c>
      <c r="G22" s="50" t="s">
        <v>623</v>
      </c>
      <c r="H22" s="51">
        <v>0.88634821</v>
      </c>
      <c r="I22" s="51">
        <v>159358.0</v>
      </c>
      <c r="J22" s="51">
        <v>2.848041364E7</v>
      </c>
      <c r="K22" s="51">
        <v>2.848041364E7</v>
      </c>
    </row>
    <row r="23">
      <c r="A23" s="50" t="s">
        <v>968</v>
      </c>
      <c r="B23" s="51">
        <v>2459020.0</v>
      </c>
      <c r="C23" s="50" t="s">
        <v>969</v>
      </c>
      <c r="D23" s="50" t="s">
        <v>93</v>
      </c>
      <c r="E23" s="50" t="s">
        <v>167</v>
      </c>
      <c r="F23" s="50" t="s">
        <v>622</v>
      </c>
      <c r="G23" s="50" t="s">
        <v>623</v>
      </c>
      <c r="H23" s="51">
        <v>0.87117687</v>
      </c>
      <c r="I23" s="51">
        <v>40063.0</v>
      </c>
      <c r="J23" s="51">
        <v>2.799292357E7</v>
      </c>
      <c r="K23" s="51">
        <v>2.799292357E7</v>
      </c>
    </row>
    <row r="24">
      <c r="A24" s="50" t="s">
        <v>960</v>
      </c>
      <c r="B24" s="51">
        <v>2023607.0</v>
      </c>
      <c r="C24" s="50" t="s">
        <v>961</v>
      </c>
      <c r="D24" s="50" t="s">
        <v>93</v>
      </c>
      <c r="E24" s="50" t="s">
        <v>102</v>
      </c>
      <c r="F24" s="50" t="s">
        <v>622</v>
      </c>
      <c r="G24" s="50" t="s">
        <v>623</v>
      </c>
      <c r="H24" s="51">
        <v>0.78611589</v>
      </c>
      <c r="I24" s="51">
        <v>76436.0</v>
      </c>
      <c r="J24" s="51">
        <v>2.525971804E7</v>
      </c>
      <c r="K24" s="51">
        <v>2.525971804E7</v>
      </c>
    </row>
    <row r="25">
      <c r="A25" s="50" t="s">
        <v>1065</v>
      </c>
      <c r="B25" s="51">
        <v>2871301.0</v>
      </c>
      <c r="C25" s="50" t="s">
        <v>1066</v>
      </c>
      <c r="D25" s="50" t="s">
        <v>93</v>
      </c>
      <c r="E25" s="50" t="s">
        <v>102</v>
      </c>
      <c r="F25" s="50" t="s">
        <v>622</v>
      </c>
      <c r="G25" s="50" t="s">
        <v>623</v>
      </c>
      <c r="H25" s="51">
        <v>0.78566886</v>
      </c>
      <c r="I25" s="51">
        <v>50124.0</v>
      </c>
      <c r="J25" s="51">
        <v>2.524535387E7</v>
      </c>
      <c r="K25" s="51">
        <v>2.524535387E7</v>
      </c>
    </row>
    <row r="26">
      <c r="A26" s="50" t="s">
        <v>1007</v>
      </c>
      <c r="B26" s="51">
        <v>2046552.0</v>
      </c>
      <c r="C26" s="50" t="s">
        <v>1008</v>
      </c>
      <c r="D26" s="50" t="s">
        <v>93</v>
      </c>
      <c r="E26" s="50" t="s">
        <v>167</v>
      </c>
      <c r="F26" s="50" t="s">
        <v>622</v>
      </c>
      <c r="G26" s="50" t="s">
        <v>623</v>
      </c>
      <c r="H26" s="51">
        <v>0.77413072</v>
      </c>
      <c r="I26" s="51">
        <v>120127.0</v>
      </c>
      <c r="J26" s="51">
        <v>2.487460669E7</v>
      </c>
      <c r="K26" s="51">
        <v>2.487460669E7</v>
      </c>
    </row>
    <row r="27">
      <c r="A27" s="50" t="s">
        <v>1030</v>
      </c>
      <c r="B27" s="51">
        <v>2842255.0</v>
      </c>
      <c r="C27" s="50" t="s">
        <v>1031</v>
      </c>
      <c r="D27" s="50" t="s">
        <v>93</v>
      </c>
      <c r="E27" s="50" t="s">
        <v>118</v>
      </c>
      <c r="F27" s="50" t="s">
        <v>622</v>
      </c>
      <c r="G27" s="50" t="s">
        <v>623</v>
      </c>
      <c r="H27" s="51">
        <v>0.75269826</v>
      </c>
      <c r="I27" s="51">
        <v>163993.0</v>
      </c>
      <c r="J27" s="51">
        <v>2.418593236E7</v>
      </c>
      <c r="K27" s="51">
        <v>2.418593236E7</v>
      </c>
    </row>
    <row r="28">
      <c r="A28" s="50" t="s">
        <v>1027</v>
      </c>
      <c r="B28" s="50" t="s">
        <v>1028</v>
      </c>
      <c r="C28" s="50" t="s">
        <v>1029</v>
      </c>
      <c r="D28" s="50" t="s">
        <v>93</v>
      </c>
      <c r="E28" s="50" t="s">
        <v>118</v>
      </c>
      <c r="F28" s="50" t="s">
        <v>622</v>
      </c>
      <c r="G28" s="50" t="s">
        <v>623</v>
      </c>
      <c r="H28" s="51">
        <v>0.6764934</v>
      </c>
      <c r="I28" s="51">
        <v>5283.0</v>
      </c>
      <c r="J28" s="51">
        <v>2.173729422E7</v>
      </c>
      <c r="K28" s="51">
        <v>2.173729422E7</v>
      </c>
    </row>
    <row r="29">
      <c r="A29" s="50" t="s">
        <v>1061</v>
      </c>
      <c r="B29" s="51">
        <v>2032067.0</v>
      </c>
      <c r="C29" s="50" t="s">
        <v>1062</v>
      </c>
      <c r="D29" s="50" t="s">
        <v>93</v>
      </c>
      <c r="E29" s="50" t="s">
        <v>167</v>
      </c>
      <c r="F29" s="50" t="s">
        <v>622</v>
      </c>
      <c r="G29" s="50" t="s">
        <v>623</v>
      </c>
      <c r="H29" s="51">
        <v>0.64246226</v>
      </c>
      <c r="I29" s="51">
        <v>71728.0</v>
      </c>
      <c r="J29" s="51">
        <v>2.064379527E7</v>
      </c>
      <c r="K29" s="51">
        <v>2.064379527E7</v>
      </c>
    </row>
    <row r="30">
      <c r="A30" s="50" t="s">
        <v>1073</v>
      </c>
      <c r="B30" s="50" t="s">
        <v>1074</v>
      </c>
      <c r="C30" s="50" t="s">
        <v>1075</v>
      </c>
      <c r="D30" s="50" t="s">
        <v>93</v>
      </c>
      <c r="E30" s="50" t="s">
        <v>124</v>
      </c>
      <c r="F30" s="50" t="s">
        <v>622</v>
      </c>
      <c r="G30" s="50" t="s">
        <v>623</v>
      </c>
      <c r="H30" s="51">
        <v>0.63216132</v>
      </c>
      <c r="I30" s="51">
        <v>194814.0</v>
      </c>
      <c r="J30" s="51">
        <v>2.031280247E7</v>
      </c>
      <c r="K30" s="51">
        <v>2.031280247E7</v>
      </c>
    </row>
    <row r="31">
      <c r="A31" s="50" t="s">
        <v>1082</v>
      </c>
      <c r="B31" s="51">
        <v>2369174.0</v>
      </c>
      <c r="C31" s="50" t="s">
        <v>1083</v>
      </c>
      <c r="D31" s="50" t="s">
        <v>93</v>
      </c>
      <c r="E31" s="50" t="s">
        <v>102</v>
      </c>
      <c r="F31" s="50" t="s">
        <v>622</v>
      </c>
      <c r="G31" s="50" t="s">
        <v>623</v>
      </c>
      <c r="H31" s="51">
        <v>0.61834937</v>
      </c>
      <c r="I31" s="51">
        <v>178435.0</v>
      </c>
      <c r="J31" s="51">
        <v>1.986899238E7</v>
      </c>
      <c r="K31" s="51">
        <v>1.986899238E7</v>
      </c>
    </row>
    <row r="32">
      <c r="A32" s="50" t="s">
        <v>1067</v>
      </c>
      <c r="B32" s="51">
        <v>2065308.0</v>
      </c>
      <c r="C32" s="50" t="s">
        <v>1068</v>
      </c>
      <c r="D32" s="50" t="s">
        <v>93</v>
      </c>
      <c r="E32" s="50" t="s">
        <v>127</v>
      </c>
      <c r="F32" s="50" t="s">
        <v>622</v>
      </c>
      <c r="G32" s="50" t="s">
        <v>623</v>
      </c>
      <c r="H32" s="51">
        <v>0.60646611</v>
      </c>
      <c r="I32" s="51">
        <v>59098.0</v>
      </c>
      <c r="J32" s="51">
        <v>1.948715587E7</v>
      </c>
      <c r="K32" s="51">
        <v>1.948715587E7</v>
      </c>
    </row>
    <row r="33">
      <c r="A33" s="50" t="s">
        <v>1059</v>
      </c>
      <c r="B33" s="51">
        <v>2931034.0</v>
      </c>
      <c r="C33" s="50" t="s">
        <v>1060</v>
      </c>
      <c r="D33" s="50" t="s">
        <v>93</v>
      </c>
      <c r="E33" s="50" t="s">
        <v>102</v>
      </c>
      <c r="F33" s="50" t="s">
        <v>622</v>
      </c>
      <c r="G33" s="50" t="s">
        <v>623</v>
      </c>
      <c r="H33" s="51">
        <v>0.58090778</v>
      </c>
      <c r="I33" s="51">
        <v>36843.0</v>
      </c>
      <c r="J33" s="51">
        <v>1.866590777E7</v>
      </c>
      <c r="K33" s="51">
        <v>1.866590777E7</v>
      </c>
    </row>
    <row r="34">
      <c r="A34" s="50" t="s">
        <v>1120</v>
      </c>
      <c r="B34" s="51">
        <v>2502247.0</v>
      </c>
      <c r="C34" s="50" t="s">
        <v>1121</v>
      </c>
      <c r="D34" s="50" t="s">
        <v>93</v>
      </c>
      <c r="E34" s="50" t="s">
        <v>167</v>
      </c>
      <c r="F34" s="50" t="s">
        <v>622</v>
      </c>
      <c r="G34" s="50" t="s">
        <v>623</v>
      </c>
      <c r="H34" s="51">
        <v>0.55415968</v>
      </c>
      <c r="I34" s="51">
        <v>19218.0</v>
      </c>
      <c r="J34" s="51">
        <v>1.780642967E7</v>
      </c>
      <c r="K34" s="51">
        <v>1.780642967E7</v>
      </c>
    </row>
    <row r="35">
      <c r="A35" s="50" t="s">
        <v>1205</v>
      </c>
      <c r="B35" s="50" t="s">
        <v>1206</v>
      </c>
      <c r="C35" s="50" t="s">
        <v>1207</v>
      </c>
      <c r="D35" s="50" t="s">
        <v>93</v>
      </c>
      <c r="E35" s="50" t="s">
        <v>99</v>
      </c>
      <c r="F35" s="50" t="s">
        <v>622</v>
      </c>
      <c r="G35" s="50" t="s">
        <v>623</v>
      </c>
      <c r="H35" s="51">
        <v>0.52194113</v>
      </c>
      <c r="I35" s="51">
        <v>159603.0</v>
      </c>
      <c r="J35" s="51">
        <v>1.677117313E7</v>
      </c>
      <c r="K35" s="51">
        <v>1.677117313E7</v>
      </c>
    </row>
    <row r="36">
      <c r="A36" s="50" t="s">
        <v>1086</v>
      </c>
      <c r="B36" s="51">
        <v>2730190.0</v>
      </c>
      <c r="C36" s="50" t="s">
        <v>1087</v>
      </c>
      <c r="D36" s="50" t="s">
        <v>93</v>
      </c>
      <c r="E36" s="50" t="s">
        <v>102</v>
      </c>
      <c r="F36" s="50" t="s">
        <v>622</v>
      </c>
      <c r="G36" s="50" t="s">
        <v>623</v>
      </c>
      <c r="H36" s="51">
        <v>0.50269389</v>
      </c>
      <c r="I36" s="51">
        <v>15434.0</v>
      </c>
      <c r="J36" s="51">
        <v>1.615271494E7</v>
      </c>
      <c r="K36" s="51">
        <v>1.615271494E7</v>
      </c>
    </row>
    <row r="37">
      <c r="A37" s="50" t="s">
        <v>1181</v>
      </c>
      <c r="B37" s="50" t="s">
        <v>1182</v>
      </c>
      <c r="C37" s="50" t="s">
        <v>1183</v>
      </c>
      <c r="D37" s="50" t="s">
        <v>93</v>
      </c>
      <c r="E37" s="50" t="s">
        <v>167</v>
      </c>
      <c r="F37" s="50" t="s">
        <v>622</v>
      </c>
      <c r="G37" s="50" t="s">
        <v>623</v>
      </c>
      <c r="H37" s="51">
        <v>0.47241731</v>
      </c>
      <c r="I37" s="51">
        <v>43753.0</v>
      </c>
      <c r="J37" s="51">
        <v>1.517985851E7</v>
      </c>
      <c r="K37" s="51">
        <v>1.517985851E7</v>
      </c>
    </row>
    <row r="38">
      <c r="A38" s="50" t="s">
        <v>1152</v>
      </c>
      <c r="B38" s="51">
        <v>2588184.0</v>
      </c>
      <c r="C38" s="50" t="s">
        <v>1153</v>
      </c>
      <c r="D38" s="50" t="s">
        <v>93</v>
      </c>
      <c r="E38" s="50" t="s">
        <v>167</v>
      </c>
      <c r="F38" s="50" t="s">
        <v>622</v>
      </c>
      <c r="G38" s="50" t="s">
        <v>623</v>
      </c>
      <c r="H38" s="51">
        <v>0.45638118</v>
      </c>
      <c r="I38" s="51">
        <v>156554.0</v>
      </c>
      <c r="J38" s="51">
        <v>1.466458066E7</v>
      </c>
      <c r="K38" s="51">
        <v>1.466458066E7</v>
      </c>
    </row>
    <row r="39">
      <c r="A39" s="50" t="s">
        <v>1154</v>
      </c>
      <c r="B39" s="51">
        <v>2575818.0</v>
      </c>
      <c r="C39" s="50" t="s">
        <v>1155</v>
      </c>
      <c r="D39" s="50" t="s">
        <v>93</v>
      </c>
      <c r="E39" s="50" t="s">
        <v>121</v>
      </c>
      <c r="F39" s="50" t="s">
        <v>622</v>
      </c>
      <c r="G39" s="50" t="s">
        <v>623</v>
      </c>
      <c r="H39" s="51">
        <v>0.45490522</v>
      </c>
      <c r="I39" s="51">
        <v>112461.0</v>
      </c>
      <c r="J39" s="51">
        <v>1.46171548E7</v>
      </c>
      <c r="K39" s="51">
        <v>1.46171548E7</v>
      </c>
    </row>
    <row r="40">
      <c r="A40" s="50" t="s">
        <v>1231</v>
      </c>
      <c r="B40" s="51">
        <v>2160753.0</v>
      </c>
      <c r="C40" s="50" t="s">
        <v>1232</v>
      </c>
      <c r="D40" s="50" t="s">
        <v>93</v>
      </c>
      <c r="E40" s="50" t="s">
        <v>127</v>
      </c>
      <c r="F40" s="50" t="s">
        <v>622</v>
      </c>
      <c r="G40" s="50" t="s">
        <v>623</v>
      </c>
      <c r="H40" s="51">
        <v>0.44302544</v>
      </c>
      <c r="I40" s="51">
        <v>290830.0</v>
      </c>
      <c r="J40" s="51">
        <v>1.423542982E7</v>
      </c>
      <c r="K40" s="51">
        <v>1.423542982E7</v>
      </c>
    </row>
    <row r="41">
      <c r="A41" s="50" t="s">
        <v>1177</v>
      </c>
      <c r="B41" s="51">
        <v>2867719.0</v>
      </c>
      <c r="C41" s="50" t="s">
        <v>1178</v>
      </c>
      <c r="D41" s="50" t="s">
        <v>93</v>
      </c>
      <c r="E41" s="50" t="s">
        <v>167</v>
      </c>
      <c r="F41" s="50" t="s">
        <v>622</v>
      </c>
      <c r="G41" s="50" t="s">
        <v>623</v>
      </c>
      <c r="H41" s="51">
        <v>0.44133876</v>
      </c>
      <c r="I41" s="51">
        <v>21766.0</v>
      </c>
      <c r="J41" s="51">
        <v>1.418123304E7</v>
      </c>
      <c r="K41" s="51">
        <v>1.418123304E7</v>
      </c>
    </row>
    <row r="42">
      <c r="A42" s="50" t="s">
        <v>4731</v>
      </c>
      <c r="B42" s="50" t="s">
        <v>4732</v>
      </c>
      <c r="C42" s="50" t="s">
        <v>896</v>
      </c>
      <c r="D42" s="50" t="s">
        <v>93</v>
      </c>
      <c r="E42" s="50" t="s">
        <v>167</v>
      </c>
      <c r="F42" s="50" t="s">
        <v>622</v>
      </c>
      <c r="G42" s="50" t="s">
        <v>623</v>
      </c>
      <c r="H42" s="51">
        <v>0.42580246</v>
      </c>
      <c r="I42" s="51">
        <v>12555.0</v>
      </c>
      <c r="J42" s="51">
        <v>1.368201582E7</v>
      </c>
      <c r="K42" s="51">
        <v>1.368201582E7</v>
      </c>
    </row>
    <row r="43">
      <c r="A43" s="50" t="s">
        <v>1227</v>
      </c>
      <c r="B43" s="51">
        <v>2302232.0</v>
      </c>
      <c r="C43" s="50" t="s">
        <v>1228</v>
      </c>
      <c r="D43" s="50" t="s">
        <v>93</v>
      </c>
      <c r="E43" s="50" t="s">
        <v>167</v>
      </c>
      <c r="F43" s="50" t="s">
        <v>622</v>
      </c>
      <c r="G43" s="50" t="s">
        <v>623</v>
      </c>
      <c r="H43" s="51">
        <v>0.42205407</v>
      </c>
      <c r="I43" s="51">
        <v>39007.0</v>
      </c>
      <c r="J43" s="51">
        <v>1.356157145E7</v>
      </c>
      <c r="K43" s="51">
        <v>1.356157145E7</v>
      </c>
    </row>
    <row r="44">
      <c r="A44" s="50" t="s">
        <v>1244</v>
      </c>
      <c r="B44" s="51">
        <v>2480138.0</v>
      </c>
      <c r="C44" s="50" t="s">
        <v>1245</v>
      </c>
      <c r="D44" s="50" t="s">
        <v>93</v>
      </c>
      <c r="E44" s="50" t="s">
        <v>167</v>
      </c>
      <c r="F44" s="50" t="s">
        <v>622</v>
      </c>
      <c r="G44" s="50" t="s">
        <v>623</v>
      </c>
      <c r="H44" s="51">
        <v>0.4218893</v>
      </c>
      <c r="I44" s="51">
        <v>19627.0</v>
      </c>
      <c r="J44" s="51">
        <v>1.355627688E7</v>
      </c>
      <c r="K44" s="51">
        <v>1.355627688E7</v>
      </c>
    </row>
    <row r="45">
      <c r="A45" s="50" t="s">
        <v>1511</v>
      </c>
      <c r="B45" s="50" t="s">
        <v>1512</v>
      </c>
      <c r="C45" s="50" t="s">
        <v>1513</v>
      </c>
      <c r="D45" s="50" t="s">
        <v>93</v>
      </c>
      <c r="E45" s="50" t="s">
        <v>167</v>
      </c>
      <c r="F45" s="50" t="s">
        <v>622</v>
      </c>
      <c r="G45" s="50" t="s">
        <v>623</v>
      </c>
      <c r="H45" s="51">
        <v>0.39703353</v>
      </c>
      <c r="I45" s="51">
        <v>112323.0</v>
      </c>
      <c r="J45" s="51">
        <v>1.275760362E7</v>
      </c>
      <c r="K45" s="51">
        <v>1.275760362E7</v>
      </c>
    </row>
    <row r="46">
      <c r="A46" s="50" t="s">
        <v>1872</v>
      </c>
      <c r="B46" s="50" t="s">
        <v>1873</v>
      </c>
      <c r="C46" s="50" t="s">
        <v>1874</v>
      </c>
      <c r="D46" s="50" t="s">
        <v>93</v>
      </c>
      <c r="E46" s="50" t="s">
        <v>124</v>
      </c>
      <c r="F46" s="50" t="s">
        <v>622</v>
      </c>
      <c r="G46" s="50" t="s">
        <v>623</v>
      </c>
      <c r="H46" s="51">
        <v>0.38380334</v>
      </c>
      <c r="I46" s="51">
        <v>149733.0</v>
      </c>
      <c r="J46" s="51">
        <v>1.233248718E7</v>
      </c>
      <c r="K46" s="51">
        <v>1.233248718E7</v>
      </c>
    </row>
    <row r="47">
      <c r="A47" s="50" t="s">
        <v>1334</v>
      </c>
      <c r="B47" s="51">
        <v>2210614.0</v>
      </c>
      <c r="C47" s="50" t="s">
        <v>1335</v>
      </c>
      <c r="D47" s="50" t="s">
        <v>93</v>
      </c>
      <c r="E47" s="50" t="s">
        <v>118</v>
      </c>
      <c r="F47" s="50" t="s">
        <v>622</v>
      </c>
      <c r="G47" s="50" t="s">
        <v>623</v>
      </c>
      <c r="H47" s="51">
        <v>0.37710474</v>
      </c>
      <c r="I47" s="51">
        <v>43595.0</v>
      </c>
      <c r="J47" s="51">
        <v>1.211724575E7</v>
      </c>
      <c r="K47" s="51">
        <v>1.211724575E7</v>
      </c>
    </row>
    <row r="48">
      <c r="A48" s="50" t="s">
        <v>1280</v>
      </c>
      <c r="B48" s="50" t="s">
        <v>1281</v>
      </c>
      <c r="C48" s="50" t="s">
        <v>1282</v>
      </c>
      <c r="D48" s="50" t="s">
        <v>93</v>
      </c>
      <c r="E48" s="50" t="s">
        <v>118</v>
      </c>
      <c r="F48" s="50" t="s">
        <v>622</v>
      </c>
      <c r="G48" s="50" t="s">
        <v>623</v>
      </c>
      <c r="H48" s="51">
        <v>0.37614503</v>
      </c>
      <c r="I48" s="51">
        <v>8709.0</v>
      </c>
      <c r="J48" s="51">
        <v>1.20864081E7</v>
      </c>
      <c r="K48" s="51">
        <v>1.20864081E7</v>
      </c>
    </row>
    <row r="49">
      <c r="A49" s="50" t="s">
        <v>1304</v>
      </c>
      <c r="B49" s="50" t="s">
        <v>1305</v>
      </c>
      <c r="C49" s="50" t="s">
        <v>1306</v>
      </c>
      <c r="D49" s="50" t="s">
        <v>93</v>
      </c>
      <c r="E49" s="50" t="s">
        <v>118</v>
      </c>
      <c r="F49" s="50" t="s">
        <v>622</v>
      </c>
      <c r="G49" s="50" t="s">
        <v>623</v>
      </c>
      <c r="H49" s="51">
        <v>0.37335694</v>
      </c>
      <c r="I49" s="51">
        <v>58995.0</v>
      </c>
      <c r="J49" s="51">
        <v>1.199682037E7</v>
      </c>
      <c r="K49" s="51">
        <v>1.199682037E7</v>
      </c>
    </row>
    <row r="50">
      <c r="A50" s="50" t="s">
        <v>1418</v>
      </c>
      <c r="B50" s="50" t="s">
        <v>1419</v>
      </c>
      <c r="C50" s="50" t="s">
        <v>1420</v>
      </c>
      <c r="D50" s="50" t="s">
        <v>93</v>
      </c>
      <c r="E50" s="50" t="s">
        <v>121</v>
      </c>
      <c r="F50" s="50" t="s">
        <v>622</v>
      </c>
      <c r="G50" s="50" t="s">
        <v>623</v>
      </c>
      <c r="H50" s="51">
        <v>0.37329213</v>
      </c>
      <c r="I50" s="51">
        <v>21540.0</v>
      </c>
      <c r="J50" s="51">
        <v>1.19947377E7</v>
      </c>
      <c r="K50" s="51">
        <v>1.19947377E7</v>
      </c>
    </row>
    <row r="51">
      <c r="A51" s="50" t="s">
        <v>1270</v>
      </c>
      <c r="B51" s="50" t="s">
        <v>1271</v>
      </c>
      <c r="C51" s="50" t="s">
        <v>1272</v>
      </c>
      <c r="D51" s="50" t="s">
        <v>93</v>
      </c>
      <c r="E51" s="50" t="s">
        <v>118</v>
      </c>
      <c r="F51" s="50" t="s">
        <v>622</v>
      </c>
      <c r="G51" s="50" t="s">
        <v>623</v>
      </c>
      <c r="H51" s="51">
        <v>0.37205289</v>
      </c>
      <c r="I51" s="51">
        <v>7182.0</v>
      </c>
      <c r="J51" s="51">
        <v>1.195491804E7</v>
      </c>
      <c r="K51" s="51">
        <v>1.195491804E7</v>
      </c>
    </row>
    <row r="52">
      <c r="A52" s="50" t="s">
        <v>1339</v>
      </c>
      <c r="B52" s="50" t="s">
        <v>1340</v>
      </c>
      <c r="C52" s="50" t="s">
        <v>1341</v>
      </c>
      <c r="D52" s="50" t="s">
        <v>93</v>
      </c>
      <c r="E52" s="50" t="s">
        <v>167</v>
      </c>
      <c r="F52" s="50" t="s">
        <v>622</v>
      </c>
      <c r="G52" s="50" t="s">
        <v>623</v>
      </c>
      <c r="H52" s="51">
        <v>0.36343677</v>
      </c>
      <c r="I52" s="51">
        <v>37156.0</v>
      </c>
      <c r="J52" s="51">
        <v>1.16780623E7</v>
      </c>
      <c r="K52" s="51">
        <v>1.16780623E7</v>
      </c>
    </row>
    <row r="53">
      <c r="A53" s="50" t="s">
        <v>1399</v>
      </c>
      <c r="B53" s="50" t="s">
        <v>1400</v>
      </c>
      <c r="C53" s="50" t="s">
        <v>1401</v>
      </c>
      <c r="D53" s="50" t="s">
        <v>93</v>
      </c>
      <c r="E53" s="50" t="s">
        <v>167</v>
      </c>
      <c r="F53" s="50" t="s">
        <v>622</v>
      </c>
      <c r="G53" s="50" t="s">
        <v>623</v>
      </c>
      <c r="H53" s="51">
        <v>0.36330403</v>
      </c>
      <c r="I53" s="51">
        <v>123024.0</v>
      </c>
      <c r="J53" s="51">
        <v>1.167379718E7</v>
      </c>
      <c r="K53" s="51">
        <v>1.167379718E7</v>
      </c>
    </row>
    <row r="54">
      <c r="A54" s="50" t="s">
        <v>1682</v>
      </c>
      <c r="B54" s="50" t="s">
        <v>1683</v>
      </c>
      <c r="C54" s="50" t="s">
        <v>1684</v>
      </c>
      <c r="D54" s="50" t="s">
        <v>93</v>
      </c>
      <c r="E54" s="50" t="s">
        <v>102</v>
      </c>
      <c r="F54" s="50" t="s">
        <v>622</v>
      </c>
      <c r="G54" s="50" t="s">
        <v>623</v>
      </c>
      <c r="H54" s="51">
        <v>0.33562869</v>
      </c>
      <c r="I54" s="51">
        <v>55452.0</v>
      </c>
      <c r="J54" s="51">
        <v>1.078452455E7</v>
      </c>
      <c r="K54" s="51">
        <v>1.078452455E7</v>
      </c>
    </row>
    <row r="55">
      <c r="A55" s="50" t="s">
        <v>1498</v>
      </c>
      <c r="B55" s="51">
        <v>2592174.0</v>
      </c>
      <c r="C55" s="50" t="s">
        <v>1499</v>
      </c>
      <c r="D55" s="50" t="s">
        <v>93</v>
      </c>
      <c r="E55" s="50" t="s">
        <v>167</v>
      </c>
      <c r="F55" s="50" t="s">
        <v>622</v>
      </c>
      <c r="G55" s="50" t="s">
        <v>623</v>
      </c>
      <c r="H55" s="51">
        <v>0.32552221</v>
      </c>
      <c r="I55" s="51">
        <v>78018.0</v>
      </c>
      <c r="J55" s="51">
        <v>1.045978006E7</v>
      </c>
      <c r="K55" s="51">
        <v>1.045978006E7</v>
      </c>
    </row>
    <row r="56">
      <c r="A56" s="50" t="s">
        <v>1448</v>
      </c>
      <c r="B56" s="51">
        <v>2197137.0</v>
      </c>
      <c r="C56" s="50" t="s">
        <v>1449</v>
      </c>
      <c r="D56" s="50" t="s">
        <v>93</v>
      </c>
      <c r="E56" s="50" t="s">
        <v>127</v>
      </c>
      <c r="F56" s="50" t="s">
        <v>622</v>
      </c>
      <c r="G56" s="50" t="s">
        <v>623</v>
      </c>
      <c r="H56" s="51">
        <v>0.3250003</v>
      </c>
      <c r="I56" s="51">
        <v>14549.0</v>
      </c>
      <c r="J56" s="51">
        <v>1.04430099E7</v>
      </c>
      <c r="K56" s="51">
        <v>1.04430099E7</v>
      </c>
    </row>
    <row r="57">
      <c r="A57" s="50" t="s">
        <v>711</v>
      </c>
      <c r="B57" s="50" t="s">
        <v>712</v>
      </c>
      <c r="C57" s="50" t="s">
        <v>713</v>
      </c>
      <c r="D57" s="50" t="s">
        <v>93</v>
      </c>
      <c r="E57" s="50" t="s">
        <v>118</v>
      </c>
      <c r="F57" s="50" t="s">
        <v>622</v>
      </c>
      <c r="G57" s="50" t="s">
        <v>623</v>
      </c>
      <c r="H57" s="51">
        <v>0.3193518</v>
      </c>
      <c r="I57" s="51">
        <v>87349.0</v>
      </c>
      <c r="J57" s="51">
        <v>1.026151048E7</v>
      </c>
      <c r="K57" s="51">
        <v>1.026151048E7</v>
      </c>
    </row>
    <row r="58">
      <c r="A58" s="50" t="s">
        <v>1702</v>
      </c>
      <c r="B58" s="50" t="s">
        <v>1703</v>
      </c>
      <c r="C58" s="50" t="s">
        <v>1704</v>
      </c>
      <c r="D58" s="50" t="s">
        <v>93</v>
      </c>
      <c r="E58" s="50" t="s">
        <v>102</v>
      </c>
      <c r="F58" s="50" t="s">
        <v>622</v>
      </c>
      <c r="G58" s="50" t="s">
        <v>623</v>
      </c>
      <c r="H58" s="51">
        <v>0.31190427</v>
      </c>
      <c r="I58" s="51">
        <v>54532.0</v>
      </c>
      <c r="J58" s="51">
        <v>1.002220427E7</v>
      </c>
      <c r="K58" s="51">
        <v>1.002220427E7</v>
      </c>
    </row>
    <row r="59">
      <c r="A59" s="50" t="s">
        <v>1442</v>
      </c>
      <c r="B59" s="51">
        <v>2065159.0</v>
      </c>
      <c r="C59" s="50" t="s">
        <v>1443</v>
      </c>
      <c r="D59" s="50" t="s">
        <v>93</v>
      </c>
      <c r="E59" s="50" t="s">
        <v>167</v>
      </c>
      <c r="F59" s="50" t="s">
        <v>622</v>
      </c>
      <c r="G59" s="50" t="s">
        <v>623</v>
      </c>
      <c r="H59" s="51">
        <v>0.2997493</v>
      </c>
      <c r="I59" s="51">
        <v>30635.0</v>
      </c>
      <c r="J59" s="51">
        <v>9631636.88</v>
      </c>
      <c r="K59" s="51">
        <v>9631636.88</v>
      </c>
    </row>
    <row r="60">
      <c r="A60" s="50" t="s">
        <v>1478</v>
      </c>
      <c r="B60" s="50" t="s">
        <v>1479</v>
      </c>
      <c r="C60" s="50" t="s">
        <v>1480</v>
      </c>
      <c r="D60" s="50" t="s">
        <v>93</v>
      </c>
      <c r="E60" s="50" t="s">
        <v>118</v>
      </c>
      <c r="F60" s="50" t="s">
        <v>622</v>
      </c>
      <c r="G60" s="50" t="s">
        <v>623</v>
      </c>
      <c r="H60" s="51">
        <v>0.2997269</v>
      </c>
      <c r="I60" s="51">
        <v>17481.0</v>
      </c>
      <c r="J60" s="51">
        <v>9630917.03</v>
      </c>
      <c r="K60" s="51">
        <v>9630917.03</v>
      </c>
    </row>
    <row r="61">
      <c r="A61" s="50" t="s">
        <v>1375</v>
      </c>
      <c r="B61" s="50" t="s">
        <v>1376</v>
      </c>
      <c r="C61" s="50" t="s">
        <v>1377</v>
      </c>
      <c r="D61" s="50" t="s">
        <v>93</v>
      </c>
      <c r="E61" s="50" t="s">
        <v>167</v>
      </c>
      <c r="F61" s="50" t="s">
        <v>622</v>
      </c>
      <c r="G61" s="50" t="s">
        <v>623</v>
      </c>
      <c r="H61" s="51">
        <v>0.29257736</v>
      </c>
      <c r="I61" s="51">
        <v>29468.0</v>
      </c>
      <c r="J61" s="51">
        <v>9401186.01</v>
      </c>
      <c r="K61" s="51">
        <v>9401186.01</v>
      </c>
    </row>
    <row r="62">
      <c r="A62" s="50" t="s">
        <v>1504</v>
      </c>
      <c r="B62" s="51">
        <v>2026242.0</v>
      </c>
      <c r="C62" s="50" t="s">
        <v>1505</v>
      </c>
      <c r="D62" s="50" t="s">
        <v>93</v>
      </c>
      <c r="E62" s="50" t="s">
        <v>170</v>
      </c>
      <c r="F62" s="50" t="s">
        <v>622</v>
      </c>
      <c r="G62" s="50" t="s">
        <v>623</v>
      </c>
      <c r="H62" s="51">
        <v>0.29035968</v>
      </c>
      <c r="I62" s="51">
        <v>73641.0</v>
      </c>
      <c r="J62" s="51">
        <v>9329926.67</v>
      </c>
      <c r="K62" s="51">
        <v>9329926.67</v>
      </c>
    </row>
    <row r="63">
      <c r="A63" s="50" t="s">
        <v>1456</v>
      </c>
      <c r="B63" s="51">
        <v>2665861.0</v>
      </c>
      <c r="C63" s="50" t="s">
        <v>1457</v>
      </c>
      <c r="D63" s="50" t="s">
        <v>93</v>
      </c>
      <c r="E63" s="50" t="s">
        <v>127</v>
      </c>
      <c r="F63" s="50" t="s">
        <v>622</v>
      </c>
      <c r="G63" s="50" t="s">
        <v>623</v>
      </c>
      <c r="H63" s="51">
        <v>0.28965655</v>
      </c>
      <c r="I63" s="51">
        <v>74756.0</v>
      </c>
      <c r="J63" s="51">
        <v>9307333.6</v>
      </c>
      <c r="K63" s="51">
        <v>9307333.6</v>
      </c>
    </row>
    <row r="64">
      <c r="A64" s="50" t="s">
        <v>1809</v>
      </c>
      <c r="B64" s="50" t="s">
        <v>1810</v>
      </c>
      <c r="C64" s="50" t="s">
        <v>1811</v>
      </c>
      <c r="D64" s="50" t="s">
        <v>93</v>
      </c>
      <c r="E64" s="50" t="s">
        <v>124</v>
      </c>
      <c r="F64" s="50" t="s">
        <v>622</v>
      </c>
      <c r="G64" s="50" t="s">
        <v>623</v>
      </c>
      <c r="H64" s="51">
        <v>0.28585116</v>
      </c>
      <c r="I64" s="51">
        <v>200812.0</v>
      </c>
      <c r="J64" s="51">
        <v>9185057.51</v>
      </c>
      <c r="K64" s="51">
        <v>9185057.51</v>
      </c>
    </row>
    <row r="65">
      <c r="A65" s="50" t="s">
        <v>1572</v>
      </c>
      <c r="B65" s="51">
        <v>2459202.0</v>
      </c>
      <c r="C65" s="50" t="s">
        <v>1573</v>
      </c>
      <c r="D65" s="50" t="s">
        <v>93</v>
      </c>
      <c r="E65" s="50" t="s">
        <v>102</v>
      </c>
      <c r="F65" s="50" t="s">
        <v>622</v>
      </c>
      <c r="G65" s="50" t="s">
        <v>623</v>
      </c>
      <c r="H65" s="51">
        <v>0.28580061</v>
      </c>
      <c r="I65" s="51">
        <v>11874.0</v>
      </c>
      <c r="J65" s="51">
        <v>9183433.3</v>
      </c>
      <c r="K65" s="51">
        <v>9183433.3</v>
      </c>
    </row>
    <row r="66">
      <c r="A66" s="50" t="s">
        <v>1535</v>
      </c>
      <c r="B66" s="51">
        <v>2583576.0</v>
      </c>
      <c r="C66" s="50" t="s">
        <v>1536</v>
      </c>
      <c r="D66" s="50" t="s">
        <v>93</v>
      </c>
      <c r="E66" s="50" t="s">
        <v>167</v>
      </c>
      <c r="F66" s="50" t="s">
        <v>622</v>
      </c>
      <c r="G66" s="50" t="s">
        <v>623</v>
      </c>
      <c r="H66" s="51">
        <v>0.28478706</v>
      </c>
      <c r="I66" s="51">
        <v>61780.0</v>
      </c>
      <c r="J66" s="51">
        <v>9150865.44</v>
      </c>
      <c r="K66" s="51">
        <v>9150865.44</v>
      </c>
    </row>
    <row r="67">
      <c r="A67" s="50" t="s">
        <v>1898</v>
      </c>
      <c r="B67" s="50" t="s">
        <v>1899</v>
      </c>
      <c r="C67" s="50" t="s">
        <v>1900</v>
      </c>
      <c r="D67" s="50" t="s">
        <v>93</v>
      </c>
      <c r="E67" s="50" t="s">
        <v>124</v>
      </c>
      <c r="F67" s="50" t="s">
        <v>622</v>
      </c>
      <c r="G67" s="50" t="s">
        <v>623</v>
      </c>
      <c r="H67" s="51">
        <v>0.28265569</v>
      </c>
      <c r="I67" s="51">
        <v>175557.0</v>
      </c>
      <c r="J67" s="51">
        <v>9082379.85</v>
      </c>
      <c r="K67" s="51">
        <v>9082379.85</v>
      </c>
    </row>
    <row r="68">
      <c r="A68" s="50" t="s">
        <v>1585</v>
      </c>
      <c r="B68" s="51">
        <v>2674458.0</v>
      </c>
      <c r="C68" s="50" t="s">
        <v>1586</v>
      </c>
      <c r="D68" s="50" t="s">
        <v>93</v>
      </c>
      <c r="E68" s="50" t="s">
        <v>127</v>
      </c>
      <c r="F68" s="50" t="s">
        <v>622</v>
      </c>
      <c r="G68" s="50" t="s">
        <v>623</v>
      </c>
      <c r="H68" s="51">
        <v>0.28080356</v>
      </c>
      <c r="I68" s="51">
        <v>51571.0</v>
      </c>
      <c r="J68" s="51">
        <v>9022866.35</v>
      </c>
      <c r="K68" s="51">
        <v>9022866.35</v>
      </c>
    </row>
    <row r="69">
      <c r="A69" s="50" t="s">
        <v>1570</v>
      </c>
      <c r="B69" s="51">
        <v>2208073.0</v>
      </c>
      <c r="C69" s="50" t="s">
        <v>1571</v>
      </c>
      <c r="D69" s="50" t="s">
        <v>93</v>
      </c>
      <c r="E69" s="50" t="s">
        <v>127</v>
      </c>
      <c r="F69" s="50" t="s">
        <v>622</v>
      </c>
      <c r="G69" s="50" t="s">
        <v>623</v>
      </c>
      <c r="H69" s="51">
        <v>0.28015329</v>
      </c>
      <c r="I69" s="51">
        <v>68298.0</v>
      </c>
      <c r="J69" s="51">
        <v>9001971.84</v>
      </c>
      <c r="K69" s="51">
        <v>9001971.84</v>
      </c>
    </row>
    <row r="70">
      <c r="A70" s="50" t="s">
        <v>1533</v>
      </c>
      <c r="B70" s="51">
        <v>2670519.0</v>
      </c>
      <c r="C70" s="50" t="s">
        <v>1534</v>
      </c>
      <c r="D70" s="50" t="s">
        <v>93</v>
      </c>
      <c r="E70" s="50" t="s">
        <v>170</v>
      </c>
      <c r="F70" s="50" t="s">
        <v>622</v>
      </c>
      <c r="G70" s="50" t="s">
        <v>623</v>
      </c>
      <c r="H70" s="51">
        <v>0.2711028</v>
      </c>
      <c r="I70" s="51">
        <v>142274.0</v>
      </c>
      <c r="J70" s="51">
        <v>8711158.83</v>
      </c>
      <c r="K70" s="51">
        <v>8711158.83</v>
      </c>
    </row>
    <row r="71">
      <c r="A71" s="50" t="s">
        <v>1541</v>
      </c>
      <c r="B71" s="51">
        <v>2656423.0</v>
      </c>
      <c r="C71" s="50" t="s">
        <v>1542</v>
      </c>
      <c r="D71" s="50" t="s">
        <v>93</v>
      </c>
      <c r="E71" s="50" t="s">
        <v>127</v>
      </c>
      <c r="F71" s="50" t="s">
        <v>622</v>
      </c>
      <c r="G71" s="50" t="s">
        <v>623</v>
      </c>
      <c r="H71" s="51">
        <v>0.26737405</v>
      </c>
      <c r="I71" s="51">
        <v>15685.0</v>
      </c>
      <c r="J71" s="51">
        <v>8591345.48</v>
      </c>
      <c r="K71" s="51">
        <v>8591345.48</v>
      </c>
    </row>
    <row r="72">
      <c r="A72" s="50" t="s">
        <v>1583</v>
      </c>
      <c r="B72" s="51">
        <v>2455965.0</v>
      </c>
      <c r="C72" s="50" t="s">
        <v>1584</v>
      </c>
      <c r="D72" s="50" t="s">
        <v>93</v>
      </c>
      <c r="E72" s="50" t="s">
        <v>102</v>
      </c>
      <c r="F72" s="50" t="s">
        <v>622</v>
      </c>
      <c r="G72" s="50" t="s">
        <v>623</v>
      </c>
      <c r="H72" s="51">
        <v>0.26000102</v>
      </c>
      <c r="I72" s="51">
        <v>20705.0</v>
      </c>
      <c r="J72" s="51">
        <v>8354432.94</v>
      </c>
      <c r="K72" s="51">
        <v>8354432.94</v>
      </c>
    </row>
    <row r="73">
      <c r="A73" s="50" t="s">
        <v>4733</v>
      </c>
      <c r="B73" s="51">
        <v>2989044.0</v>
      </c>
      <c r="C73" s="50" t="s">
        <v>917</v>
      </c>
      <c r="D73" s="50" t="s">
        <v>93</v>
      </c>
      <c r="E73" s="50" t="s">
        <v>102</v>
      </c>
      <c r="F73" s="50" t="s">
        <v>622</v>
      </c>
      <c r="G73" s="50" t="s">
        <v>623</v>
      </c>
      <c r="H73" s="51">
        <v>0.25899688</v>
      </c>
      <c r="I73" s="51">
        <v>84672.0</v>
      </c>
      <c r="J73" s="51">
        <v>8322167.4</v>
      </c>
      <c r="K73" s="51">
        <v>8322167.4</v>
      </c>
    </row>
    <row r="74">
      <c r="A74" s="50" t="s">
        <v>1537</v>
      </c>
      <c r="B74" s="51">
        <v>2746711.0</v>
      </c>
      <c r="C74" s="50" t="s">
        <v>1538</v>
      </c>
      <c r="D74" s="50" t="s">
        <v>93</v>
      </c>
      <c r="E74" s="50" t="s">
        <v>118</v>
      </c>
      <c r="F74" s="50" t="s">
        <v>622</v>
      </c>
      <c r="G74" s="50" t="s">
        <v>623</v>
      </c>
      <c r="H74" s="51">
        <v>0.24641893</v>
      </c>
      <c r="I74" s="51">
        <v>48930.0</v>
      </c>
      <c r="J74" s="51">
        <v>7918009.0</v>
      </c>
      <c r="K74" s="51">
        <v>7918009.0</v>
      </c>
    </row>
    <row r="75">
      <c r="A75" s="50" t="s">
        <v>1712</v>
      </c>
      <c r="B75" s="51">
        <v>2310194.0</v>
      </c>
      <c r="C75" s="50" t="s">
        <v>1713</v>
      </c>
      <c r="D75" s="50" t="s">
        <v>93</v>
      </c>
      <c r="E75" s="50" t="s">
        <v>121</v>
      </c>
      <c r="F75" s="50" t="s">
        <v>622</v>
      </c>
      <c r="G75" s="50" t="s">
        <v>623</v>
      </c>
      <c r="H75" s="51">
        <v>0.2409291</v>
      </c>
      <c r="I75" s="51">
        <v>39011.0</v>
      </c>
      <c r="J75" s="51">
        <v>7741608.09</v>
      </c>
      <c r="K75" s="51">
        <v>7741608.09</v>
      </c>
    </row>
    <row r="76">
      <c r="A76" s="50" t="s">
        <v>2042</v>
      </c>
      <c r="B76" s="50" t="s">
        <v>2043</v>
      </c>
      <c r="C76" s="50" t="s">
        <v>2044</v>
      </c>
      <c r="D76" s="50" t="s">
        <v>93</v>
      </c>
      <c r="E76" s="50" t="s">
        <v>102</v>
      </c>
      <c r="F76" s="50" t="s">
        <v>622</v>
      </c>
      <c r="G76" s="50" t="s">
        <v>623</v>
      </c>
      <c r="H76" s="51">
        <v>0.23917742</v>
      </c>
      <c r="I76" s="51">
        <v>65042.0</v>
      </c>
      <c r="J76" s="51">
        <v>7685322.69</v>
      </c>
      <c r="K76" s="51">
        <v>7685322.69</v>
      </c>
    </row>
    <row r="77">
      <c r="A77" s="50" t="s">
        <v>1850</v>
      </c>
      <c r="B77" s="50" t="s">
        <v>1851</v>
      </c>
      <c r="C77" s="50" t="s">
        <v>1852</v>
      </c>
      <c r="D77" s="50" t="s">
        <v>93</v>
      </c>
      <c r="E77" s="50" t="s">
        <v>102</v>
      </c>
      <c r="F77" s="50" t="s">
        <v>622</v>
      </c>
      <c r="G77" s="50" t="s">
        <v>623</v>
      </c>
      <c r="H77" s="51">
        <v>0.23888552</v>
      </c>
      <c r="I77" s="51">
        <v>26822.0</v>
      </c>
      <c r="J77" s="51">
        <v>7675943.24</v>
      </c>
      <c r="K77" s="51">
        <v>7675943.24</v>
      </c>
    </row>
    <row r="78">
      <c r="A78" s="50" t="s">
        <v>3590</v>
      </c>
      <c r="B78" s="50" t="s">
        <v>3591</v>
      </c>
      <c r="C78" s="50" t="s">
        <v>3592</v>
      </c>
      <c r="D78" s="50" t="s">
        <v>93</v>
      </c>
      <c r="E78" s="50" t="s">
        <v>167</v>
      </c>
      <c r="F78" s="50" t="s">
        <v>622</v>
      </c>
      <c r="G78" s="50" t="s">
        <v>623</v>
      </c>
      <c r="H78" s="51">
        <v>0.23624678</v>
      </c>
      <c r="I78" s="51">
        <v>78357.0</v>
      </c>
      <c r="J78" s="51">
        <v>7591154.27</v>
      </c>
      <c r="K78" s="51">
        <v>7591154.27</v>
      </c>
    </row>
    <row r="79">
      <c r="A79" s="50" t="s">
        <v>1710</v>
      </c>
      <c r="B79" s="51">
        <v>2262864.0</v>
      </c>
      <c r="C79" s="50" t="s">
        <v>1711</v>
      </c>
      <c r="D79" s="50" t="s">
        <v>93</v>
      </c>
      <c r="E79" s="50" t="s">
        <v>127</v>
      </c>
      <c r="F79" s="50" t="s">
        <v>622</v>
      </c>
      <c r="G79" s="50" t="s">
        <v>623</v>
      </c>
      <c r="H79" s="51">
        <v>0.23415402</v>
      </c>
      <c r="I79" s="51">
        <v>58442.0</v>
      </c>
      <c r="J79" s="51">
        <v>7523909.1</v>
      </c>
      <c r="K79" s="51">
        <v>7523909.1</v>
      </c>
    </row>
    <row r="80">
      <c r="A80" s="50" t="s">
        <v>1528</v>
      </c>
      <c r="B80" s="51">
        <v>2614807.0</v>
      </c>
      <c r="C80" s="50" t="s">
        <v>1529</v>
      </c>
      <c r="D80" s="50" t="s">
        <v>93</v>
      </c>
      <c r="E80" s="50" t="s">
        <v>170</v>
      </c>
      <c r="F80" s="50" t="s">
        <v>622</v>
      </c>
      <c r="G80" s="50" t="s">
        <v>623</v>
      </c>
      <c r="H80" s="51">
        <v>0.22879692</v>
      </c>
      <c r="I80" s="51">
        <v>78729.0</v>
      </c>
      <c r="J80" s="51">
        <v>7351773.22</v>
      </c>
      <c r="K80" s="51">
        <v>7351773.22</v>
      </c>
    </row>
    <row r="81">
      <c r="A81" s="50" t="s">
        <v>1612</v>
      </c>
      <c r="B81" s="50" t="s">
        <v>1613</v>
      </c>
      <c r="C81" s="50" t="s">
        <v>1614</v>
      </c>
      <c r="D81" s="50" t="s">
        <v>93</v>
      </c>
      <c r="E81" s="50" t="s">
        <v>115</v>
      </c>
      <c r="F81" s="50" t="s">
        <v>622</v>
      </c>
      <c r="G81" s="50" t="s">
        <v>623</v>
      </c>
      <c r="H81" s="51">
        <v>0.22688539</v>
      </c>
      <c r="I81" s="51">
        <v>144819.0</v>
      </c>
      <c r="J81" s="51">
        <v>7290351.17</v>
      </c>
      <c r="K81" s="51">
        <v>7290351.17</v>
      </c>
    </row>
    <row r="82">
      <c r="A82" s="50" t="s">
        <v>1639</v>
      </c>
      <c r="B82" s="51">
        <v>2257019.0</v>
      </c>
      <c r="C82" s="50" t="s">
        <v>1640</v>
      </c>
      <c r="D82" s="50" t="s">
        <v>93</v>
      </c>
      <c r="E82" s="50" t="s">
        <v>167</v>
      </c>
      <c r="F82" s="50" t="s">
        <v>622</v>
      </c>
      <c r="G82" s="50" t="s">
        <v>623</v>
      </c>
      <c r="H82" s="51">
        <v>0.22198985</v>
      </c>
      <c r="I82" s="51">
        <v>72595.0</v>
      </c>
      <c r="J82" s="51">
        <v>7133046.23</v>
      </c>
      <c r="K82" s="51">
        <v>7133046.23</v>
      </c>
    </row>
    <row r="83">
      <c r="A83" s="50" t="s">
        <v>1596</v>
      </c>
      <c r="B83" s="50" t="s">
        <v>1597</v>
      </c>
      <c r="C83" s="50" t="s">
        <v>1598</v>
      </c>
      <c r="D83" s="50" t="s">
        <v>93</v>
      </c>
      <c r="E83" s="50" t="s">
        <v>167</v>
      </c>
      <c r="F83" s="50" t="s">
        <v>622</v>
      </c>
      <c r="G83" s="50" t="s">
        <v>623</v>
      </c>
      <c r="H83" s="51">
        <v>0.21834149</v>
      </c>
      <c r="I83" s="51">
        <v>32061.0</v>
      </c>
      <c r="J83" s="51">
        <v>7015816.16</v>
      </c>
      <c r="K83" s="51">
        <v>7015816.16</v>
      </c>
    </row>
    <row r="84">
      <c r="A84" s="50" t="s">
        <v>1644</v>
      </c>
      <c r="B84" s="50" t="s">
        <v>1645</v>
      </c>
      <c r="C84" s="50" t="s">
        <v>1646</v>
      </c>
      <c r="D84" s="50" t="s">
        <v>93</v>
      </c>
      <c r="E84" s="50" t="s">
        <v>127</v>
      </c>
      <c r="F84" s="50" t="s">
        <v>622</v>
      </c>
      <c r="G84" s="50" t="s">
        <v>623</v>
      </c>
      <c r="H84" s="51">
        <v>0.21202342</v>
      </c>
      <c r="I84" s="51">
        <v>20712.0</v>
      </c>
      <c r="J84" s="51">
        <v>6812801.86</v>
      </c>
      <c r="K84" s="51">
        <v>6812801.86</v>
      </c>
    </row>
    <row r="85">
      <c r="A85" s="50" t="s">
        <v>2078</v>
      </c>
      <c r="B85" s="51">
        <v>2272476.0</v>
      </c>
      <c r="C85" s="50" t="s">
        <v>2079</v>
      </c>
      <c r="D85" s="50" t="s">
        <v>93</v>
      </c>
      <c r="E85" s="50" t="s">
        <v>124</v>
      </c>
      <c r="F85" s="50" t="s">
        <v>622</v>
      </c>
      <c r="G85" s="50" t="s">
        <v>623</v>
      </c>
      <c r="H85" s="51">
        <v>0.21078818</v>
      </c>
      <c r="I85" s="51">
        <v>31527.0</v>
      </c>
      <c r="J85" s="51">
        <v>6773110.76</v>
      </c>
      <c r="K85" s="51">
        <v>6773110.76</v>
      </c>
    </row>
    <row r="86">
      <c r="A86" s="50" t="s">
        <v>1768</v>
      </c>
      <c r="B86" s="51">
        <v>2332262.0</v>
      </c>
      <c r="C86" s="50" t="s">
        <v>1769</v>
      </c>
      <c r="D86" s="50" t="s">
        <v>93</v>
      </c>
      <c r="E86" s="50" t="s">
        <v>127</v>
      </c>
      <c r="F86" s="50" t="s">
        <v>622</v>
      </c>
      <c r="G86" s="50" t="s">
        <v>623</v>
      </c>
      <c r="H86" s="51">
        <v>0.20923928</v>
      </c>
      <c r="I86" s="51">
        <v>81688.0</v>
      </c>
      <c r="J86" s="51">
        <v>6723340.98</v>
      </c>
      <c r="K86" s="51">
        <v>6723340.98</v>
      </c>
    </row>
    <row r="87">
      <c r="A87" s="50" t="s">
        <v>1947</v>
      </c>
      <c r="B87" s="50" t="s">
        <v>1948</v>
      </c>
      <c r="C87" s="50" t="s">
        <v>1949</v>
      </c>
      <c r="D87" s="50" t="s">
        <v>93</v>
      </c>
      <c r="E87" s="50" t="s">
        <v>167</v>
      </c>
      <c r="F87" s="50" t="s">
        <v>622</v>
      </c>
      <c r="G87" s="50" t="s">
        <v>623</v>
      </c>
      <c r="H87" s="51">
        <v>0.20905279</v>
      </c>
      <c r="I87" s="51">
        <v>42381.0</v>
      </c>
      <c r="J87" s="51">
        <v>6717348.51</v>
      </c>
      <c r="K87" s="51">
        <v>6717348.51</v>
      </c>
    </row>
    <row r="88">
      <c r="A88" s="50" t="s">
        <v>1927</v>
      </c>
      <c r="B88" s="50" t="s">
        <v>1928</v>
      </c>
      <c r="C88" s="50" t="s">
        <v>1929</v>
      </c>
      <c r="D88" s="50" t="s">
        <v>93</v>
      </c>
      <c r="E88" s="50" t="s">
        <v>121</v>
      </c>
      <c r="F88" s="50" t="s">
        <v>622</v>
      </c>
      <c r="G88" s="50" t="s">
        <v>623</v>
      </c>
      <c r="H88" s="51">
        <v>0.20623376</v>
      </c>
      <c r="I88" s="51">
        <v>348487.0</v>
      </c>
      <c r="J88" s="51">
        <v>6626766.87</v>
      </c>
      <c r="K88" s="51">
        <v>6626766.87</v>
      </c>
    </row>
    <row r="89">
      <c r="A89" s="50" t="s">
        <v>1607</v>
      </c>
      <c r="B89" s="50" t="s">
        <v>1608</v>
      </c>
      <c r="C89" s="50" t="s">
        <v>1609</v>
      </c>
      <c r="D89" s="50" t="s">
        <v>93</v>
      </c>
      <c r="E89" s="50" t="s">
        <v>170</v>
      </c>
      <c r="F89" s="50" t="s">
        <v>622</v>
      </c>
      <c r="G89" s="50" t="s">
        <v>623</v>
      </c>
      <c r="H89" s="51">
        <v>0.1997292</v>
      </c>
      <c r="I89" s="51">
        <v>46407.0</v>
      </c>
      <c r="J89" s="51">
        <v>6417760.04</v>
      </c>
      <c r="K89" s="51">
        <v>6417760.04</v>
      </c>
    </row>
    <row r="90">
      <c r="A90" s="50" t="s">
        <v>1913</v>
      </c>
      <c r="B90" s="51">
        <v>2045623.0</v>
      </c>
      <c r="C90" s="50" t="s">
        <v>1914</v>
      </c>
      <c r="D90" s="50" t="s">
        <v>93</v>
      </c>
      <c r="E90" s="50" t="s">
        <v>167</v>
      </c>
      <c r="F90" s="50" t="s">
        <v>622</v>
      </c>
      <c r="G90" s="50" t="s">
        <v>623</v>
      </c>
      <c r="H90" s="51">
        <v>0.19448484</v>
      </c>
      <c r="I90" s="51">
        <v>12397.0</v>
      </c>
      <c r="J90" s="51">
        <v>6249246.9</v>
      </c>
      <c r="K90" s="51">
        <v>6249246.9</v>
      </c>
    </row>
    <row r="91">
      <c r="A91" s="50" t="s">
        <v>2136</v>
      </c>
      <c r="B91" s="51">
        <v>2613990.0</v>
      </c>
      <c r="C91" s="50" t="s">
        <v>2137</v>
      </c>
      <c r="D91" s="50" t="s">
        <v>93</v>
      </c>
      <c r="E91" s="50" t="s">
        <v>102</v>
      </c>
      <c r="F91" s="50" t="s">
        <v>622</v>
      </c>
      <c r="G91" s="50" t="s">
        <v>623</v>
      </c>
      <c r="H91" s="51">
        <v>0.19293361</v>
      </c>
      <c r="I91" s="51">
        <v>22617.0</v>
      </c>
      <c r="J91" s="51">
        <v>6199402.1</v>
      </c>
      <c r="K91" s="51">
        <v>6199402.1</v>
      </c>
    </row>
    <row r="92">
      <c r="A92" s="50" t="s">
        <v>2083</v>
      </c>
      <c r="B92" s="51">
        <v>2679204.0</v>
      </c>
      <c r="C92" s="50" t="s">
        <v>2084</v>
      </c>
      <c r="D92" s="50" t="s">
        <v>93</v>
      </c>
      <c r="E92" s="50" t="s">
        <v>102</v>
      </c>
      <c r="F92" s="50" t="s">
        <v>622</v>
      </c>
      <c r="G92" s="50" t="s">
        <v>623</v>
      </c>
      <c r="H92" s="51">
        <v>0.18175467</v>
      </c>
      <c r="I92" s="51">
        <v>10946.0</v>
      </c>
      <c r="J92" s="51">
        <v>5840197.07</v>
      </c>
      <c r="K92" s="51">
        <v>5840197.07</v>
      </c>
    </row>
    <row r="93">
      <c r="A93" s="50" t="s">
        <v>1835</v>
      </c>
      <c r="B93" s="50" t="s">
        <v>1836</v>
      </c>
      <c r="C93" s="50" t="s">
        <v>1837</v>
      </c>
      <c r="D93" s="50" t="s">
        <v>93</v>
      </c>
      <c r="E93" s="50" t="s">
        <v>167</v>
      </c>
      <c r="F93" s="50" t="s">
        <v>622</v>
      </c>
      <c r="G93" s="50" t="s">
        <v>623</v>
      </c>
      <c r="H93" s="51">
        <v>0.17467231</v>
      </c>
      <c r="I93" s="51">
        <v>21727.0</v>
      </c>
      <c r="J93" s="51">
        <v>5612624.36</v>
      </c>
      <c r="K93" s="51">
        <v>5612624.36</v>
      </c>
    </row>
    <row r="94">
      <c r="A94" s="50" t="s">
        <v>2429</v>
      </c>
      <c r="B94" s="50" t="s">
        <v>2430</v>
      </c>
      <c r="C94" s="50" t="s">
        <v>2431</v>
      </c>
      <c r="D94" s="50" t="s">
        <v>93</v>
      </c>
      <c r="E94" s="50" t="s">
        <v>124</v>
      </c>
      <c r="F94" s="50" t="s">
        <v>622</v>
      </c>
      <c r="G94" s="50" t="s">
        <v>623</v>
      </c>
      <c r="H94" s="51">
        <v>0.16582212</v>
      </c>
      <c r="I94" s="51">
        <v>123424.0</v>
      </c>
      <c r="J94" s="51">
        <v>5328247.58</v>
      </c>
      <c r="K94" s="51">
        <v>5328247.58</v>
      </c>
    </row>
    <row r="95">
      <c r="A95" s="50" t="s">
        <v>1950</v>
      </c>
      <c r="B95" s="50" t="s">
        <v>1951</v>
      </c>
      <c r="C95" s="50" t="s">
        <v>1952</v>
      </c>
      <c r="D95" s="50" t="s">
        <v>93</v>
      </c>
      <c r="E95" s="50" t="s">
        <v>115</v>
      </c>
      <c r="F95" s="50" t="s">
        <v>622</v>
      </c>
      <c r="G95" s="50" t="s">
        <v>623</v>
      </c>
      <c r="H95" s="51">
        <v>0.16315342</v>
      </c>
      <c r="I95" s="51">
        <v>25906.0</v>
      </c>
      <c r="J95" s="51">
        <v>5242495.95</v>
      </c>
      <c r="K95" s="51">
        <v>5242495.95</v>
      </c>
    </row>
    <row r="96">
      <c r="A96" s="50" t="s">
        <v>2351</v>
      </c>
      <c r="B96" s="50" t="s">
        <v>2352</v>
      </c>
      <c r="C96" s="50" t="s">
        <v>2353</v>
      </c>
      <c r="D96" s="50" t="s">
        <v>93</v>
      </c>
      <c r="E96" s="50" t="s">
        <v>167</v>
      </c>
      <c r="F96" s="50" t="s">
        <v>622</v>
      </c>
      <c r="G96" s="50" t="s">
        <v>623</v>
      </c>
      <c r="H96" s="51">
        <v>0.16175758</v>
      </c>
      <c r="I96" s="51">
        <v>19605.0</v>
      </c>
      <c r="J96" s="51">
        <v>5197644.36</v>
      </c>
      <c r="K96" s="51">
        <v>5197644.36</v>
      </c>
    </row>
    <row r="97">
      <c r="A97" s="50" t="s">
        <v>2004</v>
      </c>
      <c r="B97" s="51">
        <v>2293819.0</v>
      </c>
      <c r="C97" s="50" t="s">
        <v>2005</v>
      </c>
      <c r="D97" s="50" t="s">
        <v>93</v>
      </c>
      <c r="E97" s="50" t="s">
        <v>118</v>
      </c>
      <c r="F97" s="50" t="s">
        <v>622</v>
      </c>
      <c r="G97" s="50" t="s">
        <v>623</v>
      </c>
      <c r="H97" s="51">
        <v>0.15940896</v>
      </c>
      <c r="I97" s="51">
        <v>76494.0</v>
      </c>
      <c r="J97" s="51">
        <v>5122177.7</v>
      </c>
      <c r="K97" s="51">
        <v>5122177.7</v>
      </c>
    </row>
    <row r="98">
      <c r="A98" s="50" t="s">
        <v>2573</v>
      </c>
      <c r="B98" s="50" t="s">
        <v>2574</v>
      </c>
      <c r="C98" s="50" t="s">
        <v>2575</v>
      </c>
      <c r="D98" s="50" t="s">
        <v>93</v>
      </c>
      <c r="E98" s="50" t="s">
        <v>167</v>
      </c>
      <c r="F98" s="50" t="s">
        <v>622</v>
      </c>
      <c r="G98" s="50" t="s">
        <v>623</v>
      </c>
      <c r="H98" s="51">
        <v>0.13611169</v>
      </c>
      <c r="I98" s="51">
        <v>20759.0</v>
      </c>
      <c r="J98" s="51">
        <v>4373582.9</v>
      </c>
      <c r="K98" s="51">
        <v>4373582.9</v>
      </c>
    </row>
    <row r="99">
      <c r="A99" s="50" t="s">
        <v>3615</v>
      </c>
      <c r="B99" s="50" t="s">
        <v>3616</v>
      </c>
      <c r="C99" s="50" t="s">
        <v>3617</v>
      </c>
      <c r="D99" s="50" t="s">
        <v>93</v>
      </c>
      <c r="E99" s="50" t="s">
        <v>121</v>
      </c>
      <c r="F99" s="50" t="s">
        <v>622</v>
      </c>
      <c r="G99" s="50" t="s">
        <v>623</v>
      </c>
      <c r="H99" s="51">
        <v>0.12224543</v>
      </c>
      <c r="I99" s="51">
        <v>553378.0</v>
      </c>
      <c r="J99" s="51">
        <v>3928027.9</v>
      </c>
      <c r="K99" s="51">
        <v>3928027.9</v>
      </c>
    </row>
    <row r="100">
      <c r="A100" s="50" t="s">
        <v>2288</v>
      </c>
      <c r="B100" s="50" t="s">
        <v>2289</v>
      </c>
      <c r="C100" s="50" t="s">
        <v>2290</v>
      </c>
      <c r="D100" s="50" t="s">
        <v>93</v>
      </c>
      <c r="E100" s="50" t="s">
        <v>167</v>
      </c>
      <c r="F100" s="50" t="s">
        <v>622</v>
      </c>
      <c r="G100" s="50" t="s">
        <v>623</v>
      </c>
      <c r="H100" s="51">
        <v>0.11549816</v>
      </c>
      <c r="I100" s="51">
        <v>35888.0</v>
      </c>
      <c r="J100" s="51">
        <v>3711222.41</v>
      </c>
      <c r="K100" s="51">
        <v>3711222.41</v>
      </c>
    </row>
    <row r="101">
      <c r="A101" s="50" t="s">
        <v>717</v>
      </c>
      <c r="B101" s="50" t="s">
        <v>718</v>
      </c>
      <c r="C101" s="50" t="s">
        <v>719</v>
      </c>
      <c r="D101" s="50" t="s">
        <v>93</v>
      </c>
      <c r="E101" s="50" t="s">
        <v>118</v>
      </c>
      <c r="F101" s="50" t="s">
        <v>622</v>
      </c>
      <c r="G101" s="50" t="s">
        <v>623</v>
      </c>
      <c r="H101" s="51">
        <v>0.1154807</v>
      </c>
      <c r="I101" s="51">
        <v>64946.0</v>
      </c>
      <c r="J101" s="51">
        <v>3710661.29</v>
      </c>
      <c r="K101" s="51">
        <v>3710661.29</v>
      </c>
    </row>
    <row r="102">
      <c r="A102" s="50" t="s">
        <v>3670</v>
      </c>
      <c r="B102" s="50" t="s">
        <v>3671</v>
      </c>
      <c r="C102" s="50" t="s">
        <v>3672</v>
      </c>
      <c r="D102" s="50" t="s">
        <v>93</v>
      </c>
      <c r="E102" s="50" t="s">
        <v>118</v>
      </c>
      <c r="F102" s="50" t="s">
        <v>622</v>
      </c>
      <c r="G102" s="50" t="s">
        <v>623</v>
      </c>
      <c r="H102" s="51">
        <v>0.08439742</v>
      </c>
      <c r="I102" s="51">
        <v>262390.0</v>
      </c>
      <c r="J102" s="51">
        <v>2711883.87</v>
      </c>
      <c r="K102" s="51">
        <v>2711883.87</v>
      </c>
    </row>
    <row r="103">
      <c r="A103" s="50" t="s">
        <v>4734</v>
      </c>
      <c r="B103" s="52"/>
      <c r="C103" s="50" t="s">
        <v>4735</v>
      </c>
      <c r="D103" s="50" t="s">
        <v>615</v>
      </c>
      <c r="E103" s="52"/>
      <c r="F103" s="52"/>
      <c r="G103" s="50" t="s">
        <v>623</v>
      </c>
      <c r="H103" s="52"/>
      <c r="I103" s="51">
        <v>7.0</v>
      </c>
      <c r="J103" s="52"/>
      <c r="K103" s="51">
        <v>3192930.76</v>
      </c>
    </row>
    <row r="104">
      <c r="A104" s="50" t="s">
        <v>96</v>
      </c>
      <c r="B104" s="52"/>
      <c r="C104" s="50" t="s">
        <v>616</v>
      </c>
      <c r="D104" s="50" t="s">
        <v>617</v>
      </c>
      <c r="E104" s="52"/>
      <c r="F104" s="52"/>
      <c r="G104" s="50" t="s">
        <v>96</v>
      </c>
      <c r="H104" s="51">
        <v>0.23252279</v>
      </c>
      <c r="I104" s="51">
        <v>7471493.79</v>
      </c>
      <c r="J104" s="51">
        <v>7471493.79</v>
      </c>
      <c r="K104" s="51">
        <v>7471493.79</v>
      </c>
    </row>
    <row r="105">
      <c r="A105" s="50" t="s">
        <v>623</v>
      </c>
      <c r="B105" s="52"/>
      <c r="C105" s="50" t="s">
        <v>830</v>
      </c>
      <c r="D105" s="50" t="s">
        <v>617</v>
      </c>
      <c r="E105" s="52"/>
      <c r="F105" s="52"/>
      <c r="G105" s="50" t="s">
        <v>623</v>
      </c>
      <c r="H105" s="51">
        <v>0.01576428</v>
      </c>
      <c r="I105" s="51">
        <v>348957.27</v>
      </c>
      <c r="J105" s="51">
        <v>506542.7</v>
      </c>
      <c r="K105" s="51">
        <v>506542.7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2.0"/>
    <col customWidth="1" min="2" max="2" width="7.25"/>
    <col customWidth="1" min="3" max="3" width="15.25"/>
    <col customWidth="1" min="4" max="4" width="8.0"/>
    <col customWidth="1" min="5" max="5" width="15.25"/>
    <col customWidth="1" min="6" max="6" width="9.0"/>
    <col customWidth="1" min="7" max="7" width="6.38"/>
    <col customWidth="1" min="8" max="8" width="7.63"/>
    <col customWidth="1" min="9" max="9" width="10.63"/>
    <col customWidth="1" min="10" max="10" width="15.38"/>
    <col customWidth="1" min="11" max="11" width="13.63"/>
  </cols>
  <sheetData>
    <row r="1">
      <c r="A1" s="35" t="s">
        <v>618</v>
      </c>
      <c r="B1" s="35" t="s">
        <v>81</v>
      </c>
      <c r="C1" s="35" t="s">
        <v>82</v>
      </c>
      <c r="D1" s="35" t="s">
        <v>83</v>
      </c>
      <c r="E1" s="35" t="s">
        <v>84</v>
      </c>
      <c r="F1" s="35" t="s">
        <v>85</v>
      </c>
      <c r="G1" s="35" t="s">
        <v>86</v>
      </c>
      <c r="H1" s="37" t="s">
        <v>87</v>
      </c>
      <c r="I1" s="37" t="s">
        <v>88</v>
      </c>
      <c r="J1" s="37" t="s">
        <v>619</v>
      </c>
      <c r="K1" s="35" t="s">
        <v>90</v>
      </c>
    </row>
    <row r="2">
      <c r="A2" s="39" t="s">
        <v>4736</v>
      </c>
      <c r="B2" s="39" t="s">
        <v>3548</v>
      </c>
      <c r="C2" s="40" t="s">
        <v>3549</v>
      </c>
      <c r="D2" s="50" t="s">
        <v>93</v>
      </c>
      <c r="E2" s="39" t="s">
        <v>124</v>
      </c>
      <c r="F2" s="39" t="s">
        <v>918</v>
      </c>
      <c r="G2" s="39" t="s">
        <v>908</v>
      </c>
      <c r="H2" s="41">
        <v>2.08</v>
      </c>
      <c r="I2" s="41">
        <v>447122.0</v>
      </c>
      <c r="J2" s="42">
        <v>5205096.0</v>
      </c>
      <c r="K2" s="38"/>
      <c r="L2" s="38"/>
    </row>
    <row r="3">
      <c r="A3" s="39" t="s">
        <v>4737</v>
      </c>
      <c r="B3" s="39">
        <v>2698782.0</v>
      </c>
      <c r="C3" s="40" t="s">
        <v>4738</v>
      </c>
      <c r="D3" s="50" t="s">
        <v>93</v>
      </c>
      <c r="E3" s="39" t="s">
        <v>167</v>
      </c>
      <c r="F3" s="39" t="s">
        <v>622</v>
      </c>
      <c r="G3" s="39" t="s">
        <v>623</v>
      </c>
      <c r="H3" s="41">
        <v>1.93</v>
      </c>
      <c r="I3" s="41">
        <v>23414.0</v>
      </c>
      <c r="J3" s="42">
        <v>4815856.0</v>
      </c>
      <c r="K3" s="38"/>
      <c r="L3" s="38"/>
    </row>
    <row r="4">
      <c r="A4" s="39" t="s">
        <v>4739</v>
      </c>
      <c r="B4" s="39">
        <v>2871301.0</v>
      </c>
      <c r="C4" s="40" t="s">
        <v>4740</v>
      </c>
      <c r="D4" s="50" t="s">
        <v>93</v>
      </c>
      <c r="E4" s="39" t="s">
        <v>4014</v>
      </c>
      <c r="F4" s="39" t="s">
        <v>622</v>
      </c>
      <c r="G4" s="39" t="s">
        <v>623</v>
      </c>
      <c r="H4" s="41">
        <v>1.9</v>
      </c>
      <c r="I4" s="41">
        <v>9281.0</v>
      </c>
      <c r="J4" s="42">
        <v>4749331.0</v>
      </c>
      <c r="K4" s="38"/>
      <c r="L4" s="38"/>
    </row>
    <row r="5">
      <c r="A5" s="39" t="s">
        <v>4741</v>
      </c>
      <c r="B5" s="39">
        <v>2145460.0</v>
      </c>
      <c r="C5" s="40" t="s">
        <v>4742</v>
      </c>
      <c r="D5" s="50" t="s">
        <v>93</v>
      </c>
      <c r="E5" s="39" t="s">
        <v>4014</v>
      </c>
      <c r="F5" s="39" t="s">
        <v>622</v>
      </c>
      <c r="G5" s="39" t="s">
        <v>623</v>
      </c>
      <c r="H5" s="41">
        <v>1.86</v>
      </c>
      <c r="I5" s="41">
        <v>63899.0</v>
      </c>
      <c r="J5" s="42">
        <v>4644378.0</v>
      </c>
      <c r="K5" s="38"/>
      <c r="L5" s="38"/>
    </row>
    <row r="6">
      <c r="A6" s="39" t="s">
        <v>4743</v>
      </c>
      <c r="B6" s="39">
        <v>2989356.0</v>
      </c>
      <c r="C6" s="40" t="s">
        <v>4744</v>
      </c>
      <c r="D6" s="50" t="s">
        <v>93</v>
      </c>
      <c r="E6" s="39" t="s">
        <v>167</v>
      </c>
      <c r="F6" s="39" t="s">
        <v>622</v>
      </c>
      <c r="G6" s="39" t="s">
        <v>623</v>
      </c>
      <c r="H6" s="41">
        <v>1.82</v>
      </c>
      <c r="I6" s="41">
        <v>9797.0</v>
      </c>
      <c r="J6" s="42">
        <v>4556741.0</v>
      </c>
      <c r="K6" s="38"/>
      <c r="L6" s="38"/>
    </row>
    <row r="7">
      <c r="A7" s="39" t="s">
        <v>4745</v>
      </c>
      <c r="B7" s="39">
        <v>2754060.0</v>
      </c>
      <c r="C7" s="40" t="s">
        <v>4746</v>
      </c>
      <c r="D7" s="50" t="s">
        <v>93</v>
      </c>
      <c r="E7" s="39" t="s">
        <v>127</v>
      </c>
      <c r="F7" s="39" t="s">
        <v>622</v>
      </c>
      <c r="G7" s="39" t="s">
        <v>623</v>
      </c>
      <c r="H7" s="41">
        <v>1.81</v>
      </c>
      <c r="I7" s="41">
        <v>9053.0</v>
      </c>
      <c r="J7" s="42">
        <v>4525500.0</v>
      </c>
      <c r="K7" s="38"/>
      <c r="L7" s="38"/>
    </row>
    <row r="8">
      <c r="A8" s="39" t="s">
        <v>4747</v>
      </c>
      <c r="B8" s="39" t="s">
        <v>4748</v>
      </c>
      <c r="C8" s="40" t="s">
        <v>4749</v>
      </c>
      <c r="D8" s="50" t="s">
        <v>93</v>
      </c>
      <c r="E8" s="39" t="s">
        <v>127</v>
      </c>
      <c r="F8" s="39" t="s">
        <v>654</v>
      </c>
      <c r="G8" s="39" t="s">
        <v>655</v>
      </c>
      <c r="H8" s="41">
        <v>1.67</v>
      </c>
      <c r="I8" s="41">
        <v>12339.0</v>
      </c>
      <c r="J8" s="42">
        <v>4163632.0</v>
      </c>
      <c r="K8" s="38"/>
      <c r="L8" s="38"/>
    </row>
    <row r="9">
      <c r="A9" s="39" t="s">
        <v>4750</v>
      </c>
      <c r="B9" s="39">
        <v>2884183.0</v>
      </c>
      <c r="C9" s="40" t="s">
        <v>2487</v>
      </c>
      <c r="D9" s="50" t="s">
        <v>93</v>
      </c>
      <c r="E9" s="39" t="s">
        <v>167</v>
      </c>
      <c r="F9" s="39" t="s">
        <v>622</v>
      </c>
      <c r="G9" s="39" t="s">
        <v>623</v>
      </c>
      <c r="H9" s="41">
        <v>1.67</v>
      </c>
      <c r="I9" s="41">
        <v>25403.0</v>
      </c>
      <c r="J9" s="42">
        <v>4160220.0</v>
      </c>
      <c r="K9" s="38"/>
      <c r="L9" s="38"/>
    </row>
    <row r="10">
      <c r="A10" s="39" t="s">
        <v>4751</v>
      </c>
      <c r="B10" s="39">
        <v>2208288.0</v>
      </c>
      <c r="C10" s="40" t="s">
        <v>4752</v>
      </c>
      <c r="D10" s="50" t="s">
        <v>93</v>
      </c>
      <c r="E10" s="39" t="s">
        <v>167</v>
      </c>
      <c r="F10" s="39" t="s">
        <v>622</v>
      </c>
      <c r="G10" s="39" t="s">
        <v>623</v>
      </c>
      <c r="H10" s="41">
        <v>1.64</v>
      </c>
      <c r="I10" s="41">
        <v>48909.0</v>
      </c>
      <c r="J10" s="42">
        <v>4097051.0</v>
      </c>
      <c r="K10" s="38"/>
      <c r="L10" s="38"/>
    </row>
    <row r="11">
      <c r="A11" s="39" t="s">
        <v>4753</v>
      </c>
      <c r="B11" s="39" t="s">
        <v>4754</v>
      </c>
      <c r="C11" s="40" t="s">
        <v>4755</v>
      </c>
      <c r="D11" s="50" t="s">
        <v>93</v>
      </c>
      <c r="E11" s="39" t="s">
        <v>167</v>
      </c>
      <c r="F11" s="39" t="s">
        <v>622</v>
      </c>
      <c r="G11" s="39" t="s">
        <v>623</v>
      </c>
      <c r="H11" s="41">
        <v>1.64</v>
      </c>
      <c r="I11" s="41">
        <v>15360.0</v>
      </c>
      <c r="J11" s="42">
        <v>4095925.0</v>
      </c>
      <c r="K11" s="38"/>
      <c r="L11" s="38"/>
    </row>
    <row r="12">
      <c r="A12" s="39" t="s">
        <v>4756</v>
      </c>
      <c r="B12" s="39" t="s">
        <v>4757</v>
      </c>
      <c r="C12" s="40" t="s">
        <v>4758</v>
      </c>
      <c r="D12" s="50" t="s">
        <v>93</v>
      </c>
      <c r="E12" s="39" t="s">
        <v>127</v>
      </c>
      <c r="F12" s="39" t="s">
        <v>622</v>
      </c>
      <c r="G12" s="39" t="s">
        <v>623</v>
      </c>
      <c r="H12" s="41">
        <v>1.59</v>
      </c>
      <c r="I12" s="41">
        <v>62383.0</v>
      </c>
      <c r="J12" s="42">
        <v>3983144.0</v>
      </c>
      <c r="K12" s="38"/>
      <c r="L12" s="38"/>
    </row>
    <row r="13">
      <c r="A13" s="39" t="s">
        <v>4759</v>
      </c>
      <c r="B13" s="39" t="s">
        <v>1005</v>
      </c>
      <c r="C13" s="40" t="s">
        <v>1006</v>
      </c>
      <c r="D13" s="50" t="s">
        <v>93</v>
      </c>
      <c r="E13" s="39" t="s">
        <v>167</v>
      </c>
      <c r="F13" s="39" t="s">
        <v>622</v>
      </c>
      <c r="G13" s="39" t="s">
        <v>623</v>
      </c>
      <c r="H13" s="41">
        <v>1.59</v>
      </c>
      <c r="I13" s="41">
        <v>4809.0</v>
      </c>
      <c r="J13" s="42">
        <v>3974213.0</v>
      </c>
      <c r="K13" s="38"/>
      <c r="L13" s="38"/>
    </row>
    <row r="14">
      <c r="A14" s="39" t="s">
        <v>4760</v>
      </c>
      <c r="B14" s="39">
        <v>6356934.0</v>
      </c>
      <c r="C14" s="40" t="s">
        <v>1954</v>
      </c>
      <c r="D14" s="50" t="s">
        <v>93</v>
      </c>
      <c r="E14" s="39" t="s">
        <v>127</v>
      </c>
      <c r="F14" s="39" t="s">
        <v>629</v>
      </c>
      <c r="G14" s="39" t="s">
        <v>630</v>
      </c>
      <c r="H14" s="41">
        <v>1.6</v>
      </c>
      <c r="I14" s="41">
        <v>79100.0</v>
      </c>
      <c r="J14" s="42">
        <v>3961655.0</v>
      </c>
      <c r="K14" s="38"/>
      <c r="L14" s="38"/>
    </row>
    <row r="15">
      <c r="A15" s="39" t="s">
        <v>4761</v>
      </c>
      <c r="B15" s="39">
        <v>6356592.0</v>
      </c>
      <c r="C15" s="40" t="s">
        <v>4762</v>
      </c>
      <c r="D15" s="50" t="s">
        <v>93</v>
      </c>
      <c r="E15" s="39" t="s">
        <v>127</v>
      </c>
      <c r="F15" s="39" t="s">
        <v>629</v>
      </c>
      <c r="G15" s="39" t="s">
        <v>630</v>
      </c>
      <c r="H15" s="41">
        <v>1.58</v>
      </c>
      <c r="I15" s="41">
        <v>145500.0</v>
      </c>
      <c r="J15" s="42">
        <v>3923721.0</v>
      </c>
      <c r="K15" s="38"/>
      <c r="L15" s="38"/>
    </row>
    <row r="16">
      <c r="A16" s="39" t="s">
        <v>4763</v>
      </c>
      <c r="B16" s="39" t="s">
        <v>4764</v>
      </c>
      <c r="C16" s="40" t="s">
        <v>4765</v>
      </c>
      <c r="D16" s="50" t="s">
        <v>93</v>
      </c>
      <c r="E16" s="39" t="s">
        <v>167</v>
      </c>
      <c r="F16" s="39" t="s">
        <v>622</v>
      </c>
      <c r="G16" s="39" t="s">
        <v>623</v>
      </c>
      <c r="H16" s="41">
        <v>1.52</v>
      </c>
      <c r="I16" s="41">
        <v>134055.0</v>
      </c>
      <c r="J16" s="42">
        <v>3785315.0</v>
      </c>
      <c r="K16" s="38"/>
      <c r="L16" s="38"/>
    </row>
    <row r="17">
      <c r="A17" s="39" t="s">
        <v>4766</v>
      </c>
      <c r="B17" s="39">
        <v>2641838.0</v>
      </c>
      <c r="C17" s="40" t="s">
        <v>4585</v>
      </c>
      <c r="D17" s="50" t="s">
        <v>93</v>
      </c>
      <c r="E17" s="39" t="s">
        <v>127</v>
      </c>
      <c r="F17" s="39" t="s">
        <v>622</v>
      </c>
      <c r="G17" s="39" t="s">
        <v>623</v>
      </c>
      <c r="H17" s="41">
        <v>1.5</v>
      </c>
      <c r="I17" s="41">
        <v>10265.0</v>
      </c>
      <c r="J17" s="42">
        <v>3743457.0</v>
      </c>
      <c r="K17" s="38"/>
      <c r="L17" s="38"/>
    </row>
    <row r="18">
      <c r="A18" s="39" t="s">
        <v>4767</v>
      </c>
      <c r="B18" s="39">
        <v>6108179.0</v>
      </c>
      <c r="C18" s="40" t="s">
        <v>4768</v>
      </c>
      <c r="D18" s="50" t="s">
        <v>93</v>
      </c>
      <c r="E18" s="39" t="s">
        <v>127</v>
      </c>
      <c r="F18" s="39" t="s">
        <v>629</v>
      </c>
      <c r="G18" s="39" t="s">
        <v>630</v>
      </c>
      <c r="H18" s="41">
        <v>1.51</v>
      </c>
      <c r="I18" s="41">
        <v>85600.0</v>
      </c>
      <c r="J18" s="42">
        <v>3737304.0</v>
      </c>
      <c r="K18" s="38"/>
      <c r="L18" s="38"/>
    </row>
    <row r="19">
      <c r="A19" s="39" t="s">
        <v>4769</v>
      </c>
      <c r="B19" s="39">
        <v>6250025.0</v>
      </c>
      <c r="C19" s="40" t="s">
        <v>2338</v>
      </c>
      <c r="D19" s="50" t="s">
        <v>93</v>
      </c>
      <c r="E19" s="39" t="s">
        <v>127</v>
      </c>
      <c r="F19" s="39" t="s">
        <v>629</v>
      </c>
      <c r="G19" s="39" t="s">
        <v>630</v>
      </c>
      <c r="H19" s="41">
        <v>1.53</v>
      </c>
      <c r="I19" s="41">
        <v>121300.0</v>
      </c>
      <c r="J19" s="42">
        <v>3723950.0</v>
      </c>
      <c r="K19" s="38"/>
      <c r="L19" s="38"/>
    </row>
    <row r="20">
      <c r="A20" s="39" t="s">
        <v>4770</v>
      </c>
      <c r="B20" s="39" t="s">
        <v>4771</v>
      </c>
      <c r="C20" s="40" t="s">
        <v>4772</v>
      </c>
      <c r="D20" s="50" t="s">
        <v>93</v>
      </c>
      <c r="E20" s="39" t="s">
        <v>127</v>
      </c>
      <c r="F20" s="39" t="s">
        <v>694</v>
      </c>
      <c r="G20" s="39" t="s">
        <v>1003</v>
      </c>
      <c r="H20" s="41">
        <v>1.49</v>
      </c>
      <c r="I20" s="41">
        <v>53077.0</v>
      </c>
      <c r="J20" s="42">
        <v>3713319.0</v>
      </c>
      <c r="K20" s="38"/>
      <c r="L20" s="38"/>
    </row>
    <row r="21">
      <c r="A21" s="39" t="s">
        <v>4773</v>
      </c>
      <c r="B21" s="39">
        <v>2379504.0</v>
      </c>
      <c r="C21" s="40" t="s">
        <v>840</v>
      </c>
      <c r="D21" s="50" t="s">
        <v>93</v>
      </c>
      <c r="E21" s="39" t="s">
        <v>167</v>
      </c>
      <c r="F21" s="39" t="s">
        <v>622</v>
      </c>
      <c r="G21" s="39" t="s">
        <v>623</v>
      </c>
      <c r="H21" s="41">
        <v>1.48</v>
      </c>
      <c r="I21" s="41">
        <v>5710.0</v>
      </c>
      <c r="J21" s="42">
        <v>3690547.0</v>
      </c>
      <c r="K21" s="38"/>
      <c r="L21" s="38"/>
    </row>
    <row r="22">
      <c r="A22" s="39" t="s">
        <v>4774</v>
      </c>
      <c r="B22" s="39">
        <v>6490995.0</v>
      </c>
      <c r="C22" s="40" t="s">
        <v>1171</v>
      </c>
      <c r="D22" s="50" t="s">
        <v>93</v>
      </c>
      <c r="E22" s="39" t="s">
        <v>167</v>
      </c>
      <c r="F22" s="39" t="s">
        <v>629</v>
      </c>
      <c r="G22" s="39" t="s">
        <v>630</v>
      </c>
      <c r="H22" s="41">
        <v>1.5</v>
      </c>
      <c r="I22" s="41">
        <v>5300.0</v>
      </c>
      <c r="J22" s="42">
        <v>3683774.0</v>
      </c>
      <c r="K22" s="38"/>
      <c r="L22" s="38"/>
    </row>
    <row r="23">
      <c r="A23" s="39" t="s">
        <v>4775</v>
      </c>
      <c r="B23" s="39" t="s">
        <v>4776</v>
      </c>
      <c r="C23" s="40" t="s">
        <v>4777</v>
      </c>
      <c r="D23" s="50" t="s">
        <v>93</v>
      </c>
      <c r="E23" s="39" t="s">
        <v>127</v>
      </c>
      <c r="F23" s="39" t="s">
        <v>635</v>
      </c>
      <c r="G23" s="39" t="s">
        <v>636</v>
      </c>
      <c r="H23" s="41">
        <v>1.42</v>
      </c>
      <c r="I23" s="41">
        <v>75813.0</v>
      </c>
      <c r="J23" s="42">
        <v>3572982.0</v>
      </c>
      <c r="K23" s="38"/>
      <c r="L23" s="38"/>
    </row>
    <row r="24">
      <c r="A24" s="39" t="s">
        <v>4778</v>
      </c>
      <c r="B24" s="39" t="s">
        <v>2304</v>
      </c>
      <c r="C24" s="40" t="s">
        <v>4779</v>
      </c>
      <c r="D24" s="50" t="s">
        <v>93</v>
      </c>
      <c r="E24" s="39" t="s">
        <v>167</v>
      </c>
      <c r="F24" s="39" t="s">
        <v>1740</v>
      </c>
      <c r="G24" s="39" t="s">
        <v>1741</v>
      </c>
      <c r="H24" s="41">
        <v>1.41</v>
      </c>
      <c r="I24" s="41">
        <v>212864.0</v>
      </c>
      <c r="J24" s="42">
        <v>3523880.0</v>
      </c>
      <c r="K24" s="38"/>
      <c r="L24" s="38"/>
    </row>
    <row r="25">
      <c r="A25" s="39" t="s">
        <v>4780</v>
      </c>
      <c r="B25" s="39">
        <v>6986041.0</v>
      </c>
      <c r="C25" s="40" t="s">
        <v>4781</v>
      </c>
      <c r="D25" s="50" t="s">
        <v>93</v>
      </c>
      <c r="E25" s="39" t="s">
        <v>127</v>
      </c>
      <c r="F25" s="39" t="s">
        <v>629</v>
      </c>
      <c r="G25" s="39" t="s">
        <v>630</v>
      </c>
      <c r="H25" s="41">
        <v>1.42</v>
      </c>
      <c r="I25" s="41">
        <v>55500.0</v>
      </c>
      <c r="J25" s="42">
        <v>3522253.0</v>
      </c>
      <c r="K25" s="38"/>
      <c r="L25" s="38"/>
    </row>
    <row r="26">
      <c r="A26" s="39" t="s">
        <v>4782</v>
      </c>
      <c r="B26" s="39" t="s">
        <v>4783</v>
      </c>
      <c r="C26" s="40" t="s">
        <v>4784</v>
      </c>
      <c r="D26" s="50" t="s">
        <v>93</v>
      </c>
      <c r="E26" s="39" t="s">
        <v>118</v>
      </c>
      <c r="F26" s="39" t="s">
        <v>622</v>
      </c>
      <c r="G26" s="39" t="s">
        <v>623</v>
      </c>
      <c r="H26" s="41">
        <v>1.4</v>
      </c>
      <c r="I26" s="41">
        <v>292317.0</v>
      </c>
      <c r="J26" s="42">
        <v>3494463.0</v>
      </c>
      <c r="K26" s="38"/>
      <c r="L26" s="38"/>
    </row>
    <row r="27">
      <c r="A27" s="39" t="s">
        <v>4785</v>
      </c>
      <c r="B27" s="39">
        <v>5523881.0</v>
      </c>
      <c r="C27" s="40" t="s">
        <v>4786</v>
      </c>
      <c r="D27" s="50" t="s">
        <v>93</v>
      </c>
      <c r="E27" s="39" t="s">
        <v>127</v>
      </c>
      <c r="F27" s="39" t="s">
        <v>649</v>
      </c>
      <c r="G27" s="39" t="s">
        <v>640</v>
      </c>
      <c r="H27" s="41">
        <v>1.39</v>
      </c>
      <c r="I27" s="41">
        <v>19791.0</v>
      </c>
      <c r="J27" s="42">
        <v>3470337.0</v>
      </c>
      <c r="K27" s="38"/>
      <c r="L27" s="38"/>
    </row>
    <row r="28">
      <c r="A28" s="39" t="s">
        <v>4787</v>
      </c>
      <c r="B28" s="39">
        <v>6900546.0</v>
      </c>
      <c r="C28" s="40" t="s">
        <v>4788</v>
      </c>
      <c r="D28" s="50" t="s">
        <v>93</v>
      </c>
      <c r="E28" s="39" t="s">
        <v>127</v>
      </c>
      <c r="F28" s="39" t="s">
        <v>629</v>
      </c>
      <c r="G28" s="39" t="s">
        <v>630</v>
      </c>
      <c r="H28" s="41">
        <v>1.38</v>
      </c>
      <c r="I28" s="41">
        <v>33000.0</v>
      </c>
      <c r="J28" s="42">
        <v>3457178.0</v>
      </c>
      <c r="K28" s="38"/>
      <c r="L28" s="38"/>
    </row>
    <row r="29">
      <c r="A29" s="39" t="s">
        <v>4789</v>
      </c>
      <c r="B29" s="39">
        <v>7110902.0</v>
      </c>
      <c r="C29" s="40" t="s">
        <v>4790</v>
      </c>
      <c r="D29" s="50" t="s">
        <v>93</v>
      </c>
      <c r="E29" s="39" t="s">
        <v>4014</v>
      </c>
      <c r="F29" s="39" t="s">
        <v>654</v>
      </c>
      <c r="G29" s="39" t="s">
        <v>655</v>
      </c>
      <c r="H29" s="41">
        <v>1.38</v>
      </c>
      <c r="I29" s="41">
        <v>5777.0</v>
      </c>
      <c r="J29" s="42">
        <v>3453565.0</v>
      </c>
      <c r="K29" s="38"/>
      <c r="L29" s="38"/>
    </row>
    <row r="30">
      <c r="A30" s="39" t="s">
        <v>4791</v>
      </c>
      <c r="B30" s="39">
        <v>2239471.0</v>
      </c>
      <c r="C30" s="40" t="s">
        <v>4792</v>
      </c>
      <c r="D30" s="50" t="s">
        <v>93</v>
      </c>
      <c r="E30" s="39" t="s">
        <v>167</v>
      </c>
      <c r="F30" s="39" t="s">
        <v>622</v>
      </c>
      <c r="G30" s="39" t="s">
        <v>623</v>
      </c>
      <c r="H30" s="41">
        <v>1.37</v>
      </c>
      <c r="I30" s="41">
        <v>11717.0</v>
      </c>
      <c r="J30" s="42">
        <v>3424797.0</v>
      </c>
      <c r="K30" s="38"/>
      <c r="L30" s="38"/>
    </row>
    <row r="31">
      <c r="A31" s="39" t="s">
        <v>4793</v>
      </c>
      <c r="B31" s="39">
        <v>4557104.0</v>
      </c>
      <c r="C31" s="40" t="s">
        <v>4794</v>
      </c>
      <c r="D31" s="50" t="s">
        <v>93</v>
      </c>
      <c r="E31" s="39" t="s">
        <v>127</v>
      </c>
      <c r="F31" s="39" t="s">
        <v>649</v>
      </c>
      <c r="G31" s="39" t="s">
        <v>640</v>
      </c>
      <c r="H31" s="41">
        <v>1.37</v>
      </c>
      <c r="I31" s="41">
        <v>55914.0</v>
      </c>
      <c r="J31" s="42">
        <v>3424702.0</v>
      </c>
      <c r="K31" s="38"/>
      <c r="L31" s="38"/>
    </row>
    <row r="32">
      <c r="A32" s="39" t="s">
        <v>4795</v>
      </c>
      <c r="B32" s="39" t="s">
        <v>4796</v>
      </c>
      <c r="C32" s="40" t="s">
        <v>4797</v>
      </c>
      <c r="D32" s="50" t="s">
        <v>93</v>
      </c>
      <c r="E32" s="39" t="s">
        <v>127</v>
      </c>
      <c r="F32" s="39" t="s">
        <v>1673</v>
      </c>
      <c r="G32" s="39" t="s">
        <v>1674</v>
      </c>
      <c r="H32" s="41">
        <v>1.36</v>
      </c>
      <c r="I32" s="41">
        <v>1028832.0</v>
      </c>
      <c r="J32" s="42">
        <v>3398448.0</v>
      </c>
      <c r="K32" s="38"/>
      <c r="L32" s="38"/>
    </row>
    <row r="33">
      <c r="A33" s="39" t="s">
        <v>4798</v>
      </c>
      <c r="B33" s="39">
        <v>2613990.0</v>
      </c>
      <c r="C33" s="40" t="s">
        <v>2137</v>
      </c>
      <c r="D33" s="50" t="s">
        <v>93</v>
      </c>
      <c r="E33" s="39" t="s">
        <v>4014</v>
      </c>
      <c r="F33" s="39" t="s">
        <v>622</v>
      </c>
      <c r="G33" s="39" t="s">
        <v>623</v>
      </c>
      <c r="H33" s="41">
        <v>1.36</v>
      </c>
      <c r="I33" s="41">
        <v>12019.0</v>
      </c>
      <c r="J33" s="42">
        <v>3396462.0</v>
      </c>
      <c r="K33" s="38"/>
      <c r="L33" s="38"/>
    </row>
    <row r="34">
      <c r="A34" s="39" t="s">
        <v>4799</v>
      </c>
      <c r="B34" s="39">
        <v>2789523.0</v>
      </c>
      <c r="C34" s="40" t="s">
        <v>4800</v>
      </c>
      <c r="D34" s="50" t="s">
        <v>93</v>
      </c>
      <c r="E34" s="39" t="s">
        <v>4014</v>
      </c>
      <c r="F34" s="39" t="s">
        <v>622</v>
      </c>
      <c r="G34" s="39" t="s">
        <v>623</v>
      </c>
      <c r="H34" s="41">
        <v>1.35</v>
      </c>
      <c r="I34" s="41">
        <v>31332.0</v>
      </c>
      <c r="J34" s="42">
        <v>3383441.0</v>
      </c>
      <c r="K34" s="38"/>
      <c r="L34" s="38"/>
    </row>
    <row r="35">
      <c r="A35" s="39" t="s">
        <v>4801</v>
      </c>
      <c r="B35" s="39">
        <v>6763965.0</v>
      </c>
      <c r="C35" s="40" t="s">
        <v>1941</v>
      </c>
      <c r="D35" s="50" t="s">
        <v>93</v>
      </c>
      <c r="E35" s="39" t="s">
        <v>127</v>
      </c>
      <c r="F35" s="39" t="s">
        <v>629</v>
      </c>
      <c r="G35" s="39" t="s">
        <v>630</v>
      </c>
      <c r="H35" s="41">
        <v>1.36</v>
      </c>
      <c r="I35" s="41">
        <v>4200.0</v>
      </c>
      <c r="J35" s="42">
        <v>3351628.0</v>
      </c>
      <c r="K35" s="38"/>
      <c r="L35" s="38"/>
    </row>
    <row r="36">
      <c r="A36" s="39" t="s">
        <v>4802</v>
      </c>
      <c r="B36" s="39" t="s">
        <v>4803</v>
      </c>
      <c r="C36" s="40" t="s">
        <v>4804</v>
      </c>
      <c r="D36" s="50" t="s">
        <v>93</v>
      </c>
      <c r="E36" s="39" t="s">
        <v>4014</v>
      </c>
      <c r="F36" s="39" t="s">
        <v>622</v>
      </c>
      <c r="G36" s="39" t="s">
        <v>623</v>
      </c>
      <c r="H36" s="41">
        <v>1.34</v>
      </c>
      <c r="I36" s="41">
        <v>22349.0</v>
      </c>
      <c r="J36" s="42">
        <v>3336639.0</v>
      </c>
      <c r="K36" s="38"/>
      <c r="L36" s="38"/>
    </row>
    <row r="37">
      <c r="A37" s="39" t="s">
        <v>4805</v>
      </c>
      <c r="B37" s="39" t="s">
        <v>4806</v>
      </c>
      <c r="C37" s="40" t="s">
        <v>4807</v>
      </c>
      <c r="D37" s="50" t="s">
        <v>93</v>
      </c>
      <c r="E37" s="39" t="s">
        <v>167</v>
      </c>
      <c r="F37" s="39" t="s">
        <v>622</v>
      </c>
      <c r="G37" s="39" t="s">
        <v>623</v>
      </c>
      <c r="H37" s="41">
        <v>1.33</v>
      </c>
      <c r="I37" s="41">
        <v>82238.0</v>
      </c>
      <c r="J37" s="42">
        <v>3319788.0</v>
      </c>
      <c r="K37" s="38"/>
      <c r="L37" s="38"/>
    </row>
    <row r="38">
      <c r="A38" s="39" t="s">
        <v>652</v>
      </c>
      <c r="B38" s="39">
        <v>7108899.0</v>
      </c>
      <c r="C38" s="40" t="s">
        <v>653</v>
      </c>
      <c r="D38" s="50" t="s">
        <v>93</v>
      </c>
      <c r="E38" s="39" t="s">
        <v>127</v>
      </c>
      <c r="F38" s="39" t="s">
        <v>654</v>
      </c>
      <c r="G38" s="39" t="s">
        <v>655</v>
      </c>
      <c r="H38" s="41">
        <v>1.31</v>
      </c>
      <c r="I38" s="41">
        <v>56539.0</v>
      </c>
      <c r="J38" s="42">
        <v>3283048.0</v>
      </c>
      <c r="K38" s="38"/>
      <c r="L38" s="38"/>
    </row>
    <row r="39">
      <c r="A39" s="39" t="s">
        <v>4808</v>
      </c>
      <c r="B39" s="39" t="s">
        <v>4809</v>
      </c>
      <c r="C39" s="40" t="s">
        <v>4810</v>
      </c>
      <c r="D39" s="50" t="s">
        <v>93</v>
      </c>
      <c r="E39" s="39" t="s">
        <v>127</v>
      </c>
      <c r="F39" s="39" t="s">
        <v>635</v>
      </c>
      <c r="G39" s="39" t="s">
        <v>636</v>
      </c>
      <c r="H39" s="41">
        <v>1.33</v>
      </c>
      <c r="I39" s="41">
        <v>315081.0</v>
      </c>
      <c r="J39" s="42">
        <v>3281721.0</v>
      </c>
      <c r="K39" s="38"/>
      <c r="L39" s="38"/>
    </row>
    <row r="40">
      <c r="A40" s="39" t="s">
        <v>4811</v>
      </c>
      <c r="B40" s="39" t="s">
        <v>4812</v>
      </c>
      <c r="C40" s="40" t="s">
        <v>4480</v>
      </c>
      <c r="D40" s="50" t="s">
        <v>93</v>
      </c>
      <c r="E40" s="39" t="s">
        <v>167</v>
      </c>
      <c r="F40" s="39" t="s">
        <v>622</v>
      </c>
      <c r="G40" s="39" t="s">
        <v>623</v>
      </c>
      <c r="H40" s="41">
        <v>1.31</v>
      </c>
      <c r="I40" s="41">
        <v>15545.0</v>
      </c>
      <c r="J40" s="42">
        <v>3277209.0</v>
      </c>
      <c r="K40" s="38"/>
      <c r="L40" s="38"/>
    </row>
    <row r="41">
      <c r="A41" s="39" t="s">
        <v>4813</v>
      </c>
      <c r="B41" s="39" t="s">
        <v>4814</v>
      </c>
      <c r="C41" s="40" t="s">
        <v>4815</v>
      </c>
      <c r="D41" s="50" t="s">
        <v>93</v>
      </c>
      <c r="E41" s="39" t="s">
        <v>167</v>
      </c>
      <c r="F41" s="39" t="s">
        <v>622</v>
      </c>
      <c r="G41" s="39" t="s">
        <v>623</v>
      </c>
      <c r="H41" s="41">
        <v>1.31</v>
      </c>
      <c r="I41" s="41">
        <v>26498.0</v>
      </c>
      <c r="J41" s="42">
        <v>3271045.0</v>
      </c>
      <c r="K41" s="38"/>
      <c r="L41" s="38"/>
    </row>
    <row r="42">
      <c r="A42" s="39" t="s">
        <v>4816</v>
      </c>
      <c r="B42" s="39" t="s">
        <v>4817</v>
      </c>
      <c r="C42" s="40" t="s">
        <v>4818</v>
      </c>
      <c r="D42" s="50" t="s">
        <v>93</v>
      </c>
      <c r="E42" s="39" t="s">
        <v>167</v>
      </c>
      <c r="F42" s="39" t="s">
        <v>649</v>
      </c>
      <c r="G42" s="39" t="s">
        <v>640</v>
      </c>
      <c r="H42" s="41">
        <v>1.31</v>
      </c>
      <c r="I42" s="41">
        <v>66547.0</v>
      </c>
      <c r="J42" s="42">
        <v>3268618.0</v>
      </c>
      <c r="K42" s="38"/>
      <c r="L42" s="38"/>
    </row>
    <row r="43">
      <c r="A43" s="39" t="s">
        <v>4819</v>
      </c>
      <c r="B43" s="39">
        <v>2261203.0</v>
      </c>
      <c r="C43" s="40" t="s">
        <v>1049</v>
      </c>
      <c r="D43" s="50" t="s">
        <v>93</v>
      </c>
      <c r="E43" s="39" t="s">
        <v>127</v>
      </c>
      <c r="F43" s="39" t="s">
        <v>622</v>
      </c>
      <c r="G43" s="39" t="s">
        <v>623</v>
      </c>
      <c r="H43" s="41">
        <v>1.29</v>
      </c>
      <c r="I43" s="41">
        <v>5388.0</v>
      </c>
      <c r="J43" s="42">
        <v>3233752.0</v>
      </c>
      <c r="K43" s="38"/>
      <c r="L43" s="38"/>
    </row>
    <row r="44">
      <c r="A44" s="39" t="s">
        <v>4820</v>
      </c>
      <c r="B44" s="39">
        <v>2889768.0</v>
      </c>
      <c r="C44" s="40" t="s">
        <v>4821</v>
      </c>
      <c r="D44" s="50" t="s">
        <v>93</v>
      </c>
      <c r="E44" s="39" t="s">
        <v>127</v>
      </c>
      <c r="F44" s="39" t="s">
        <v>622</v>
      </c>
      <c r="G44" s="39" t="s">
        <v>623</v>
      </c>
      <c r="H44" s="41">
        <v>1.29</v>
      </c>
      <c r="I44" s="41">
        <v>204502.0</v>
      </c>
      <c r="J44" s="42">
        <v>3230484.0</v>
      </c>
      <c r="K44" s="38"/>
      <c r="L44" s="38"/>
    </row>
    <row r="45">
      <c r="A45" s="39" t="s">
        <v>4822</v>
      </c>
      <c r="B45" s="39">
        <v>2645078.0</v>
      </c>
      <c r="C45" s="40" t="s">
        <v>4823</v>
      </c>
      <c r="D45" s="50" t="s">
        <v>93</v>
      </c>
      <c r="E45" s="39" t="s">
        <v>167</v>
      </c>
      <c r="F45" s="39" t="s">
        <v>622</v>
      </c>
      <c r="G45" s="39" t="s">
        <v>623</v>
      </c>
      <c r="H45" s="41">
        <v>1.26</v>
      </c>
      <c r="I45" s="41">
        <v>37596.0</v>
      </c>
      <c r="J45" s="42">
        <v>3143839.0</v>
      </c>
      <c r="K45" s="38"/>
      <c r="L45" s="38"/>
    </row>
    <row r="46">
      <c r="A46" s="39" t="s">
        <v>4824</v>
      </c>
      <c r="B46" s="39">
        <v>6986427.0</v>
      </c>
      <c r="C46" s="40" t="s">
        <v>4825</v>
      </c>
      <c r="D46" s="50" t="s">
        <v>93</v>
      </c>
      <c r="E46" s="39" t="s">
        <v>167</v>
      </c>
      <c r="F46" s="39" t="s">
        <v>629</v>
      </c>
      <c r="G46" s="39" t="s">
        <v>630</v>
      </c>
      <c r="H46" s="41">
        <v>1.26</v>
      </c>
      <c r="I46" s="41">
        <v>111100.0</v>
      </c>
      <c r="J46" s="42">
        <v>3128985.0</v>
      </c>
      <c r="K46" s="38"/>
      <c r="L46" s="38"/>
    </row>
    <row r="47">
      <c r="A47" s="39" t="s">
        <v>4826</v>
      </c>
      <c r="B47" s="39">
        <v>2302232.0</v>
      </c>
      <c r="C47" s="40" t="s">
        <v>4827</v>
      </c>
      <c r="D47" s="50" t="s">
        <v>93</v>
      </c>
      <c r="E47" s="39" t="s">
        <v>167</v>
      </c>
      <c r="F47" s="39" t="s">
        <v>622</v>
      </c>
      <c r="G47" s="39" t="s">
        <v>623</v>
      </c>
      <c r="H47" s="41">
        <v>1.25</v>
      </c>
      <c r="I47" s="41">
        <v>9083.0</v>
      </c>
      <c r="J47" s="42">
        <v>3112223.0</v>
      </c>
      <c r="K47" s="38"/>
      <c r="L47" s="38"/>
    </row>
    <row r="48">
      <c r="A48" s="39" t="s">
        <v>4828</v>
      </c>
      <c r="B48" s="39">
        <v>732358.0</v>
      </c>
      <c r="C48" s="40" t="s">
        <v>4829</v>
      </c>
      <c r="D48" s="50" t="s">
        <v>93</v>
      </c>
      <c r="E48" s="39" t="s">
        <v>167</v>
      </c>
      <c r="F48" s="39" t="s">
        <v>918</v>
      </c>
      <c r="G48" s="39" t="s">
        <v>908</v>
      </c>
      <c r="H48" s="41">
        <v>1.22</v>
      </c>
      <c r="I48" s="41">
        <v>42418.0</v>
      </c>
      <c r="J48" s="42">
        <v>3046898.0</v>
      </c>
      <c r="K48" s="38"/>
      <c r="L48" s="38"/>
    </row>
    <row r="49">
      <c r="A49" s="39" t="s">
        <v>4830</v>
      </c>
      <c r="B49" s="39">
        <v>6659428.0</v>
      </c>
      <c r="C49" s="40" t="s">
        <v>3041</v>
      </c>
      <c r="D49" s="50" t="s">
        <v>93</v>
      </c>
      <c r="E49" s="39" t="s">
        <v>167</v>
      </c>
      <c r="F49" s="39" t="s">
        <v>629</v>
      </c>
      <c r="G49" s="39" t="s">
        <v>630</v>
      </c>
      <c r="H49" s="41">
        <v>1.23</v>
      </c>
      <c r="I49" s="41">
        <v>33800.0</v>
      </c>
      <c r="J49" s="42">
        <v>3030151.0</v>
      </c>
      <c r="K49" s="38"/>
      <c r="L49" s="38"/>
    </row>
    <row r="50">
      <c r="A50" s="39" t="s">
        <v>4831</v>
      </c>
      <c r="B50" s="39">
        <v>6202673.0</v>
      </c>
      <c r="C50" s="40" t="s">
        <v>4832</v>
      </c>
      <c r="D50" s="50" t="s">
        <v>93</v>
      </c>
      <c r="E50" s="39" t="s">
        <v>167</v>
      </c>
      <c r="F50" s="39" t="s">
        <v>635</v>
      </c>
      <c r="G50" s="39" t="s">
        <v>636</v>
      </c>
      <c r="H50" s="41">
        <v>1.24</v>
      </c>
      <c r="I50" s="41">
        <v>166978.0</v>
      </c>
      <c r="J50" s="42">
        <v>3014013.0</v>
      </c>
      <c r="K50" s="38"/>
      <c r="L50" s="38"/>
    </row>
    <row r="51">
      <c r="A51" s="39" t="s">
        <v>4833</v>
      </c>
      <c r="B51" s="39">
        <v>2903958.0</v>
      </c>
      <c r="C51" s="40" t="s">
        <v>2100</v>
      </c>
      <c r="D51" s="50" t="s">
        <v>93</v>
      </c>
      <c r="E51" s="39" t="s">
        <v>167</v>
      </c>
      <c r="F51" s="39" t="s">
        <v>622</v>
      </c>
      <c r="G51" s="39" t="s">
        <v>623</v>
      </c>
      <c r="H51" s="41">
        <v>1.2</v>
      </c>
      <c r="I51" s="41">
        <v>38000.0</v>
      </c>
      <c r="J51" s="42">
        <v>3009790.0</v>
      </c>
      <c r="K51" s="38"/>
      <c r="L51" s="38"/>
    </row>
    <row r="52">
      <c r="A52" s="39" t="s">
        <v>4834</v>
      </c>
      <c r="B52" s="39">
        <v>2592174.0</v>
      </c>
      <c r="C52" s="40" t="s">
        <v>4835</v>
      </c>
      <c r="D52" s="50" t="s">
        <v>93</v>
      </c>
      <c r="E52" s="39" t="s">
        <v>167</v>
      </c>
      <c r="F52" s="39" t="s">
        <v>622</v>
      </c>
      <c r="G52" s="39" t="s">
        <v>623</v>
      </c>
      <c r="H52" s="41">
        <v>1.2</v>
      </c>
      <c r="I52" s="41">
        <v>22519.0</v>
      </c>
      <c r="J52" s="42">
        <v>3007285.0</v>
      </c>
      <c r="K52" s="38"/>
      <c r="L52" s="38"/>
    </row>
    <row r="53">
      <c r="A53" s="39" t="s">
        <v>4836</v>
      </c>
      <c r="B53" s="39" t="s">
        <v>1983</v>
      </c>
      <c r="C53" s="40" t="s">
        <v>4837</v>
      </c>
      <c r="D53" s="50" t="s">
        <v>93</v>
      </c>
      <c r="E53" s="39" t="s">
        <v>167</v>
      </c>
      <c r="F53" s="39" t="s">
        <v>639</v>
      </c>
      <c r="G53" s="39" t="s">
        <v>640</v>
      </c>
      <c r="H53" s="41">
        <v>1.18</v>
      </c>
      <c r="I53" s="41">
        <v>44726.0</v>
      </c>
      <c r="J53" s="42">
        <v>2944480.0</v>
      </c>
      <c r="K53" s="38"/>
      <c r="L53" s="38"/>
    </row>
    <row r="54">
      <c r="A54" s="39" t="s">
        <v>4838</v>
      </c>
      <c r="B54" s="39" t="s">
        <v>4839</v>
      </c>
      <c r="C54" s="40" t="s">
        <v>4840</v>
      </c>
      <c r="D54" s="50" t="s">
        <v>93</v>
      </c>
      <c r="E54" s="39" t="s">
        <v>4014</v>
      </c>
      <c r="F54" s="39" t="s">
        <v>668</v>
      </c>
      <c r="G54" s="39" t="s">
        <v>623</v>
      </c>
      <c r="H54" s="41">
        <v>1.18</v>
      </c>
      <c r="I54" s="41">
        <v>43635.0</v>
      </c>
      <c r="J54" s="42">
        <v>2942833.0</v>
      </c>
      <c r="K54" s="38"/>
      <c r="L54" s="38"/>
    </row>
    <row r="55">
      <c r="A55" s="39" t="s">
        <v>4841</v>
      </c>
      <c r="B55" s="39">
        <v>5119901.0</v>
      </c>
      <c r="C55" s="40" t="s">
        <v>4842</v>
      </c>
      <c r="D55" s="50" t="s">
        <v>93</v>
      </c>
      <c r="E55" s="39" t="s">
        <v>127</v>
      </c>
      <c r="F55" s="39" t="s">
        <v>649</v>
      </c>
      <c r="G55" s="39" t="s">
        <v>640</v>
      </c>
      <c r="H55" s="41">
        <v>1.17</v>
      </c>
      <c r="I55" s="41">
        <v>62912.0</v>
      </c>
      <c r="J55" s="42">
        <v>2923212.0</v>
      </c>
      <c r="K55" s="38"/>
      <c r="L55" s="38"/>
    </row>
    <row r="56">
      <c r="A56" s="39" t="s">
        <v>4843</v>
      </c>
      <c r="B56" s="39" t="s">
        <v>1856</v>
      </c>
      <c r="C56" s="40" t="s">
        <v>1857</v>
      </c>
      <c r="D56" s="50" t="s">
        <v>93</v>
      </c>
      <c r="E56" s="39" t="s">
        <v>118</v>
      </c>
      <c r="F56" s="39" t="s">
        <v>1666</v>
      </c>
      <c r="G56" s="39" t="s">
        <v>623</v>
      </c>
      <c r="H56" s="41">
        <v>1.17</v>
      </c>
      <c r="I56" s="41">
        <v>17628.0</v>
      </c>
      <c r="J56" s="42">
        <v>2917022.0</v>
      </c>
      <c r="K56" s="38"/>
      <c r="L56" s="38"/>
    </row>
    <row r="57">
      <c r="A57" s="39" t="s">
        <v>4844</v>
      </c>
      <c r="B57" s="39">
        <v>2065159.0</v>
      </c>
      <c r="C57" s="40" t="s">
        <v>1443</v>
      </c>
      <c r="D57" s="50" t="s">
        <v>93</v>
      </c>
      <c r="E57" s="39" t="s">
        <v>167</v>
      </c>
      <c r="F57" s="39" t="s">
        <v>622</v>
      </c>
      <c r="G57" s="39" t="s">
        <v>623</v>
      </c>
      <c r="H57" s="41">
        <v>1.13</v>
      </c>
      <c r="I57" s="41">
        <v>8938.0</v>
      </c>
      <c r="J57" s="42">
        <v>2833316.0</v>
      </c>
      <c r="K57" s="38"/>
      <c r="L57" s="38"/>
    </row>
    <row r="58">
      <c r="A58" s="39" t="s">
        <v>4845</v>
      </c>
      <c r="B58" s="39">
        <v>6687571.0</v>
      </c>
      <c r="C58" s="40" t="s">
        <v>4846</v>
      </c>
      <c r="D58" s="50" t="s">
        <v>93</v>
      </c>
      <c r="E58" s="39" t="s">
        <v>127</v>
      </c>
      <c r="F58" s="39" t="s">
        <v>629</v>
      </c>
      <c r="G58" s="39" t="s">
        <v>630</v>
      </c>
      <c r="H58" s="41">
        <v>1.13</v>
      </c>
      <c r="I58" s="41">
        <v>85900.0</v>
      </c>
      <c r="J58" s="42">
        <v>2811203.0</v>
      </c>
      <c r="K58" s="38"/>
      <c r="L58" s="38"/>
    </row>
    <row r="59">
      <c r="A59" s="39" t="s">
        <v>4847</v>
      </c>
      <c r="B59" s="39">
        <v>6869131.0</v>
      </c>
      <c r="C59" s="40" t="s">
        <v>4848</v>
      </c>
      <c r="D59" s="50" t="s">
        <v>93</v>
      </c>
      <c r="E59" s="39" t="s">
        <v>127</v>
      </c>
      <c r="F59" s="39" t="s">
        <v>629</v>
      </c>
      <c r="G59" s="39" t="s">
        <v>630</v>
      </c>
      <c r="H59" s="41">
        <v>1.14</v>
      </c>
      <c r="I59" s="41">
        <v>94700.0</v>
      </c>
      <c r="J59" s="42">
        <v>2788470.0</v>
      </c>
      <c r="K59" s="38"/>
      <c r="L59" s="38"/>
    </row>
    <row r="60">
      <c r="A60" s="39" t="s">
        <v>4849</v>
      </c>
      <c r="B60" s="39" t="s">
        <v>4850</v>
      </c>
      <c r="C60" s="40" t="s">
        <v>4851</v>
      </c>
      <c r="D60" s="50" t="s">
        <v>93</v>
      </c>
      <c r="E60" s="39" t="s">
        <v>127</v>
      </c>
      <c r="F60" s="39" t="s">
        <v>686</v>
      </c>
      <c r="G60" s="39" t="s">
        <v>640</v>
      </c>
      <c r="H60" s="41">
        <v>1.11</v>
      </c>
      <c r="I60" s="41">
        <v>34694.0</v>
      </c>
      <c r="J60" s="42">
        <v>2765155.0</v>
      </c>
      <c r="K60" s="38"/>
      <c r="L60" s="38"/>
    </row>
    <row r="61">
      <c r="A61" s="39" t="s">
        <v>633</v>
      </c>
      <c r="B61" s="39">
        <v>6260734.0</v>
      </c>
      <c r="C61" s="40" t="s">
        <v>634</v>
      </c>
      <c r="D61" s="50" t="s">
        <v>93</v>
      </c>
      <c r="E61" s="39" t="s">
        <v>167</v>
      </c>
      <c r="F61" s="39" t="s">
        <v>635</v>
      </c>
      <c r="G61" s="39" t="s">
        <v>636</v>
      </c>
      <c r="H61" s="41">
        <v>1.16</v>
      </c>
      <c r="I61" s="41">
        <v>161097.0</v>
      </c>
      <c r="J61" s="42">
        <v>2756013.0</v>
      </c>
      <c r="K61" s="38"/>
      <c r="L61" s="38"/>
    </row>
    <row r="62">
      <c r="A62" s="39" t="s">
        <v>4852</v>
      </c>
      <c r="B62" s="39" t="s">
        <v>4853</v>
      </c>
      <c r="C62" s="40" t="s">
        <v>4854</v>
      </c>
      <c r="D62" s="50" t="s">
        <v>93</v>
      </c>
      <c r="E62" s="39" t="s">
        <v>4014</v>
      </c>
      <c r="F62" s="39" t="s">
        <v>622</v>
      </c>
      <c r="G62" s="39" t="s">
        <v>623</v>
      </c>
      <c r="H62" s="41">
        <v>1.09</v>
      </c>
      <c r="I62" s="41">
        <v>30127.0</v>
      </c>
      <c r="J62" s="42">
        <v>2733939.0</v>
      </c>
      <c r="K62" s="38"/>
      <c r="L62" s="38"/>
    </row>
    <row r="63">
      <c r="A63" s="39" t="s">
        <v>4855</v>
      </c>
      <c r="B63" s="39" t="s">
        <v>4856</v>
      </c>
      <c r="C63" s="40" t="s">
        <v>4857</v>
      </c>
      <c r="D63" s="50" t="s">
        <v>93</v>
      </c>
      <c r="E63" s="39" t="s">
        <v>127</v>
      </c>
      <c r="F63" s="39" t="s">
        <v>622</v>
      </c>
      <c r="G63" s="39" t="s">
        <v>623</v>
      </c>
      <c r="H63" s="41">
        <v>1.08</v>
      </c>
      <c r="I63" s="41">
        <v>15112.0</v>
      </c>
      <c r="J63" s="42">
        <v>2691571.0</v>
      </c>
      <c r="K63" s="38"/>
      <c r="L63" s="38"/>
    </row>
    <row r="64">
      <c r="A64" s="39" t="s">
        <v>4858</v>
      </c>
      <c r="B64" s="39">
        <v>2714923.0</v>
      </c>
      <c r="C64" s="40" t="s">
        <v>1000</v>
      </c>
      <c r="D64" s="50" t="s">
        <v>93</v>
      </c>
      <c r="E64" s="39" t="s">
        <v>167</v>
      </c>
      <c r="F64" s="39" t="s">
        <v>622</v>
      </c>
      <c r="G64" s="39" t="s">
        <v>623</v>
      </c>
      <c r="H64" s="41">
        <v>1.07</v>
      </c>
      <c r="I64" s="41">
        <v>15286.0</v>
      </c>
      <c r="J64" s="42">
        <v>2670802.0</v>
      </c>
      <c r="K64" s="38"/>
      <c r="L64" s="38"/>
    </row>
    <row r="65">
      <c r="A65" s="39" t="s">
        <v>4859</v>
      </c>
      <c r="B65" s="39" t="s">
        <v>4860</v>
      </c>
      <c r="C65" s="40" t="s">
        <v>4861</v>
      </c>
      <c r="D65" s="50" t="s">
        <v>93</v>
      </c>
      <c r="E65" s="39" t="s">
        <v>127</v>
      </c>
      <c r="F65" s="39" t="s">
        <v>622</v>
      </c>
      <c r="G65" s="39" t="s">
        <v>623</v>
      </c>
      <c r="H65" s="41">
        <v>1.05</v>
      </c>
      <c r="I65" s="41">
        <v>27638.0</v>
      </c>
      <c r="J65" s="42">
        <v>2622406.0</v>
      </c>
      <c r="K65" s="38"/>
      <c r="L65" s="38"/>
    </row>
    <row r="66">
      <c r="A66" s="39" t="s">
        <v>4862</v>
      </c>
      <c r="B66" s="39" t="s">
        <v>4863</v>
      </c>
      <c r="C66" s="40" t="s">
        <v>4864</v>
      </c>
      <c r="D66" s="50" t="s">
        <v>93</v>
      </c>
      <c r="E66" s="39" t="s">
        <v>4014</v>
      </c>
      <c r="F66" s="39" t="s">
        <v>1740</v>
      </c>
      <c r="G66" s="39" t="s">
        <v>1741</v>
      </c>
      <c r="H66" s="41">
        <v>1.04</v>
      </c>
      <c r="I66" s="41">
        <v>221000.0</v>
      </c>
      <c r="J66" s="42">
        <v>2600465.0</v>
      </c>
      <c r="K66" s="38"/>
      <c r="L66" s="38"/>
    </row>
    <row r="67">
      <c r="A67" s="39" t="s">
        <v>4865</v>
      </c>
      <c r="B67" s="39">
        <v>4834108.0</v>
      </c>
      <c r="C67" s="40" t="s">
        <v>4866</v>
      </c>
      <c r="D67" s="50" t="s">
        <v>93</v>
      </c>
      <c r="E67" s="39" t="s">
        <v>127</v>
      </c>
      <c r="F67" s="39" t="s">
        <v>639</v>
      </c>
      <c r="G67" s="39" t="s">
        <v>640</v>
      </c>
      <c r="H67" s="41">
        <v>0.97</v>
      </c>
      <c r="I67" s="41">
        <v>8971.0</v>
      </c>
      <c r="J67" s="42">
        <v>2428767.0</v>
      </c>
      <c r="K67" s="38"/>
      <c r="L67" s="38"/>
    </row>
    <row r="68">
      <c r="A68" s="39" t="s">
        <v>4867</v>
      </c>
      <c r="B68" s="39" t="s">
        <v>4868</v>
      </c>
      <c r="C68" s="40" t="s">
        <v>4869</v>
      </c>
      <c r="D68" s="50" t="s">
        <v>93</v>
      </c>
      <c r="E68" s="39" t="s">
        <v>167</v>
      </c>
      <c r="F68" s="39" t="s">
        <v>635</v>
      </c>
      <c r="G68" s="39" t="s">
        <v>636</v>
      </c>
      <c r="H68" s="41">
        <v>1.03</v>
      </c>
      <c r="I68" s="41">
        <v>31124.0</v>
      </c>
      <c r="J68" s="42">
        <v>2390948.0</v>
      </c>
      <c r="K68" s="38"/>
      <c r="L68" s="38"/>
    </row>
    <row r="69">
      <c r="A69" s="39" t="s">
        <v>4870</v>
      </c>
      <c r="B69" s="39" t="s">
        <v>4871</v>
      </c>
      <c r="C69" s="40" t="s">
        <v>4872</v>
      </c>
      <c r="D69" s="50" t="s">
        <v>93</v>
      </c>
      <c r="E69" s="39" t="s">
        <v>167</v>
      </c>
      <c r="F69" s="39" t="s">
        <v>658</v>
      </c>
      <c r="G69" s="39" t="s">
        <v>659</v>
      </c>
      <c r="H69" s="41">
        <v>0.96</v>
      </c>
      <c r="I69" s="41">
        <v>146026.0</v>
      </c>
      <c r="J69" s="42">
        <v>2373760.0</v>
      </c>
      <c r="K69" s="38"/>
      <c r="L69" s="38"/>
    </row>
    <row r="70">
      <c r="A70" s="39" t="s">
        <v>4873</v>
      </c>
      <c r="B70" s="39" t="s">
        <v>4874</v>
      </c>
      <c r="C70" s="40" t="s">
        <v>4875</v>
      </c>
      <c r="D70" s="50" t="s">
        <v>93</v>
      </c>
      <c r="E70" s="39" t="s">
        <v>127</v>
      </c>
      <c r="F70" s="39" t="s">
        <v>649</v>
      </c>
      <c r="G70" s="39" t="s">
        <v>640</v>
      </c>
      <c r="H70" s="41">
        <v>0.94</v>
      </c>
      <c r="I70" s="41">
        <v>40378.0</v>
      </c>
      <c r="J70" s="42">
        <v>2337607.0</v>
      </c>
      <c r="K70" s="38"/>
      <c r="L70" s="38"/>
    </row>
    <row r="71">
      <c r="A71" s="39" t="s">
        <v>4876</v>
      </c>
      <c r="B71" s="39">
        <v>5727973.0</v>
      </c>
      <c r="C71" s="40" t="s">
        <v>4877</v>
      </c>
      <c r="D71" s="50" t="s">
        <v>93</v>
      </c>
      <c r="E71" s="39" t="s">
        <v>127</v>
      </c>
      <c r="F71" s="39" t="s">
        <v>649</v>
      </c>
      <c r="G71" s="39" t="s">
        <v>640</v>
      </c>
      <c r="H71" s="41">
        <v>0.93</v>
      </c>
      <c r="I71" s="41">
        <v>9498.0</v>
      </c>
      <c r="J71" s="42">
        <v>2321080.0</v>
      </c>
      <c r="K71" s="38"/>
      <c r="L71" s="38"/>
    </row>
    <row r="72">
      <c r="A72" s="39" t="s">
        <v>4878</v>
      </c>
      <c r="B72" s="39">
        <v>6661843.0</v>
      </c>
      <c r="C72" s="40" t="s">
        <v>4879</v>
      </c>
      <c r="D72" s="50" t="s">
        <v>93</v>
      </c>
      <c r="E72" s="39" t="s">
        <v>127</v>
      </c>
      <c r="F72" s="39" t="s">
        <v>629</v>
      </c>
      <c r="G72" s="39" t="s">
        <v>630</v>
      </c>
      <c r="H72" s="41">
        <v>0.93</v>
      </c>
      <c r="I72" s="41">
        <v>40600.0</v>
      </c>
      <c r="J72" s="42">
        <v>2310209.0</v>
      </c>
      <c r="K72" s="38"/>
      <c r="L72" s="38"/>
    </row>
    <row r="73">
      <c r="A73" s="39" t="s">
        <v>4880</v>
      </c>
      <c r="B73" s="39">
        <v>6597045.0</v>
      </c>
      <c r="C73" s="40" t="s">
        <v>4881</v>
      </c>
      <c r="D73" s="50" t="s">
        <v>93</v>
      </c>
      <c r="E73" s="39" t="s">
        <v>127</v>
      </c>
      <c r="F73" s="39" t="s">
        <v>629</v>
      </c>
      <c r="G73" s="39" t="s">
        <v>630</v>
      </c>
      <c r="H73" s="41">
        <v>0.92</v>
      </c>
      <c r="I73" s="41">
        <v>107300.0</v>
      </c>
      <c r="J73" s="42">
        <v>2289868.0</v>
      </c>
      <c r="K73" s="38"/>
      <c r="L73" s="38"/>
    </row>
    <row r="74">
      <c r="A74" s="39" t="s">
        <v>4882</v>
      </c>
      <c r="B74" s="39">
        <v>6897262.0</v>
      </c>
      <c r="C74" s="40" t="s">
        <v>4883</v>
      </c>
      <c r="D74" s="50" t="s">
        <v>93</v>
      </c>
      <c r="E74" s="39" t="s">
        <v>127</v>
      </c>
      <c r="F74" s="39" t="s">
        <v>629</v>
      </c>
      <c r="G74" s="39" t="s">
        <v>630</v>
      </c>
      <c r="H74" s="41">
        <v>0.89</v>
      </c>
      <c r="I74" s="41">
        <v>46300.0</v>
      </c>
      <c r="J74" s="42">
        <v>2183967.0</v>
      </c>
      <c r="K74" s="38"/>
      <c r="L74" s="38"/>
    </row>
    <row r="75">
      <c r="A75" s="39" t="s">
        <v>4884</v>
      </c>
      <c r="B75" s="39">
        <v>6660914.0</v>
      </c>
      <c r="C75" s="40" t="s">
        <v>4885</v>
      </c>
      <c r="D75" s="50" t="s">
        <v>93</v>
      </c>
      <c r="E75" s="39" t="s">
        <v>167</v>
      </c>
      <c r="F75" s="39" t="s">
        <v>629</v>
      </c>
      <c r="G75" s="39" t="s">
        <v>630</v>
      </c>
      <c r="H75" s="41">
        <v>0.73</v>
      </c>
      <c r="I75" s="41">
        <v>90200.0</v>
      </c>
      <c r="J75" s="42">
        <v>1844834.0</v>
      </c>
      <c r="K75" s="38"/>
      <c r="L75" s="38"/>
    </row>
    <row r="76">
      <c r="A76" s="39" t="s">
        <v>4886</v>
      </c>
      <c r="B76" s="39">
        <v>2106661.0</v>
      </c>
      <c r="C76" s="40" t="s">
        <v>4887</v>
      </c>
      <c r="D76" s="50" t="s">
        <v>93</v>
      </c>
      <c r="E76" s="39" t="s">
        <v>167</v>
      </c>
      <c r="F76" s="39" t="s">
        <v>622</v>
      </c>
      <c r="G76" s="39" t="s">
        <v>623</v>
      </c>
      <c r="H76" s="41">
        <v>0.47</v>
      </c>
      <c r="I76" s="41">
        <v>50780.0</v>
      </c>
      <c r="J76" s="42">
        <v>1172220.0</v>
      </c>
      <c r="K76" s="38"/>
      <c r="L76" s="38"/>
    </row>
    <row r="77">
      <c r="A77" s="39" t="s">
        <v>4888</v>
      </c>
      <c r="B77" s="39" t="s">
        <v>4889</v>
      </c>
      <c r="C77" s="40" t="s">
        <v>4890</v>
      </c>
      <c r="D77" s="50" t="s">
        <v>93</v>
      </c>
      <c r="E77" s="39" t="s">
        <v>167</v>
      </c>
      <c r="F77" s="39" t="s">
        <v>645</v>
      </c>
      <c r="G77" s="39" t="s">
        <v>4891</v>
      </c>
      <c r="H77" s="41">
        <v>0.36</v>
      </c>
      <c r="I77" s="41">
        <v>66900.0</v>
      </c>
      <c r="J77" s="42">
        <v>936700.0</v>
      </c>
      <c r="K77" s="38"/>
      <c r="L77" s="38"/>
    </row>
    <row r="78">
      <c r="A78" s="39" t="s">
        <v>4892</v>
      </c>
      <c r="B78" s="39" t="s">
        <v>4893</v>
      </c>
      <c r="C78" s="40" t="s">
        <v>4894</v>
      </c>
      <c r="D78" s="50" t="s">
        <v>93</v>
      </c>
      <c r="E78" s="39" t="s">
        <v>127</v>
      </c>
      <c r="F78" s="39" t="s">
        <v>645</v>
      </c>
      <c r="G78" s="39" t="s">
        <v>4891</v>
      </c>
      <c r="H78" s="41">
        <v>0.37</v>
      </c>
      <c r="I78" s="41">
        <v>175700.0</v>
      </c>
      <c r="J78" s="42">
        <v>930240.0</v>
      </c>
      <c r="K78" s="38"/>
      <c r="L78" s="38"/>
    </row>
    <row r="79">
      <c r="A79" s="39" t="s">
        <v>4895</v>
      </c>
      <c r="B79" s="39" t="s">
        <v>4896</v>
      </c>
      <c r="C79" s="40" t="s">
        <v>4897</v>
      </c>
      <c r="D79" s="50" t="s">
        <v>93</v>
      </c>
      <c r="E79" s="39" t="s">
        <v>127</v>
      </c>
      <c r="F79" s="39" t="s">
        <v>645</v>
      </c>
      <c r="G79" s="39" t="s">
        <v>4891</v>
      </c>
      <c r="H79" s="41">
        <v>0.34</v>
      </c>
      <c r="I79" s="41">
        <v>170400.0</v>
      </c>
      <c r="J79" s="42">
        <v>875222.0</v>
      </c>
      <c r="K79" s="38"/>
      <c r="L79" s="38"/>
    </row>
    <row r="80">
      <c r="A80" s="38"/>
      <c r="B80" s="38"/>
      <c r="C80" s="43"/>
      <c r="E80" s="38"/>
      <c r="F80" s="38"/>
      <c r="G80" s="38"/>
      <c r="H80" s="38"/>
      <c r="I80" s="38"/>
      <c r="J80" s="38"/>
      <c r="K80" s="38"/>
      <c r="L80" s="38"/>
    </row>
    <row r="81">
      <c r="A81" s="38"/>
      <c r="B81" s="38"/>
      <c r="C81" s="43"/>
      <c r="E81" s="38"/>
      <c r="F81" s="38"/>
      <c r="G81" s="38"/>
      <c r="H81" s="38"/>
      <c r="I81" s="38"/>
      <c r="J81" s="38"/>
      <c r="K81" s="38"/>
      <c r="L81" s="38"/>
    </row>
    <row r="82">
      <c r="A82" s="38"/>
      <c r="B82" s="38"/>
      <c r="C82" s="43"/>
      <c r="E82" s="38"/>
      <c r="F82" s="38"/>
      <c r="G82" s="38"/>
      <c r="H82" s="38"/>
      <c r="I82" s="38"/>
      <c r="J82" s="38"/>
      <c r="K82" s="38"/>
      <c r="L82" s="38"/>
    </row>
    <row r="83">
      <c r="C83" s="5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8.0"/>
    <col customWidth="1" min="3" max="3" width="26.0"/>
    <col customWidth="1" min="4" max="4" width="8.0"/>
    <col customWidth="1" min="5" max="5" width="15.25"/>
    <col customWidth="1" min="6" max="6" width="9.0"/>
    <col customWidth="1" min="7" max="7" width="6.38"/>
    <col customWidth="1" min="8" max="8" width="8.0"/>
    <col customWidth="1" min="9" max="9" width="10.63"/>
    <col customWidth="1" min="10" max="10" width="12.88"/>
    <col customWidth="1" min="11" max="11" width="13.63"/>
  </cols>
  <sheetData>
    <row r="1">
      <c r="A1" s="50" t="s">
        <v>80</v>
      </c>
      <c r="B1" s="50" t="s">
        <v>81</v>
      </c>
      <c r="C1" s="50" t="s">
        <v>82</v>
      </c>
      <c r="D1" s="50" t="s">
        <v>83</v>
      </c>
      <c r="E1" s="50" t="s">
        <v>84</v>
      </c>
      <c r="F1" s="50" t="s">
        <v>85</v>
      </c>
      <c r="G1" s="50" t="s">
        <v>86</v>
      </c>
      <c r="H1" s="50" t="s">
        <v>87</v>
      </c>
      <c r="I1" s="50" t="s">
        <v>88</v>
      </c>
      <c r="J1" s="50" t="s">
        <v>89</v>
      </c>
      <c r="K1" s="50" t="s">
        <v>90</v>
      </c>
    </row>
    <row r="2">
      <c r="A2" s="50" t="s">
        <v>775</v>
      </c>
      <c r="B2" s="50" t="s">
        <v>776</v>
      </c>
      <c r="C2" s="50" t="s">
        <v>777</v>
      </c>
      <c r="D2" s="50" t="s">
        <v>93</v>
      </c>
      <c r="E2" s="50" t="s">
        <v>167</v>
      </c>
      <c r="F2" s="50" t="s">
        <v>645</v>
      </c>
      <c r="G2" s="50" t="s">
        <v>646</v>
      </c>
      <c r="H2" s="51">
        <v>8.19751681</v>
      </c>
      <c r="I2" s="51">
        <v>204487.0</v>
      </c>
      <c r="J2" s="51">
        <v>337308.5</v>
      </c>
      <c r="K2" s="51">
        <v>337308.5</v>
      </c>
    </row>
    <row r="3">
      <c r="A3" s="50" t="s">
        <v>3915</v>
      </c>
      <c r="B3" s="50" t="s">
        <v>3916</v>
      </c>
      <c r="C3" s="50" t="s">
        <v>3917</v>
      </c>
      <c r="D3" s="50" t="s">
        <v>93</v>
      </c>
      <c r="E3" s="50" t="s">
        <v>167</v>
      </c>
      <c r="F3" s="50" t="s">
        <v>622</v>
      </c>
      <c r="G3" s="50" t="s">
        <v>623</v>
      </c>
      <c r="H3" s="51">
        <v>7.60113399</v>
      </c>
      <c r="I3" s="51">
        <v>1130.0</v>
      </c>
      <c r="J3" s="51">
        <v>312768.75</v>
      </c>
      <c r="K3" s="51">
        <v>312768.75</v>
      </c>
    </row>
    <row r="4">
      <c r="A4" s="50" t="s">
        <v>4898</v>
      </c>
      <c r="B4" s="50" t="s">
        <v>4899</v>
      </c>
      <c r="C4" s="50" t="s">
        <v>4683</v>
      </c>
      <c r="D4" s="50" t="s">
        <v>93</v>
      </c>
      <c r="E4" s="50" t="s">
        <v>167</v>
      </c>
      <c r="F4" s="50" t="s">
        <v>622</v>
      </c>
      <c r="G4" s="50" t="s">
        <v>623</v>
      </c>
      <c r="H4" s="51">
        <v>6.89432622</v>
      </c>
      <c r="I4" s="51">
        <v>784.0</v>
      </c>
      <c r="J4" s="51">
        <v>283685.28</v>
      </c>
      <c r="K4" s="51">
        <v>283685.28</v>
      </c>
    </row>
    <row r="5">
      <c r="A5" s="50" t="s">
        <v>2351</v>
      </c>
      <c r="B5" s="50" t="s">
        <v>2352</v>
      </c>
      <c r="C5" s="50" t="s">
        <v>2353</v>
      </c>
      <c r="D5" s="50" t="s">
        <v>93</v>
      </c>
      <c r="E5" s="50" t="s">
        <v>167</v>
      </c>
      <c r="F5" s="50" t="s">
        <v>622</v>
      </c>
      <c r="G5" s="50" t="s">
        <v>623</v>
      </c>
      <c r="H5" s="51">
        <v>6.59196994</v>
      </c>
      <c r="I5" s="51">
        <v>1128.0</v>
      </c>
      <c r="J5" s="51">
        <v>271244.03</v>
      </c>
      <c r="K5" s="51">
        <v>271244.03</v>
      </c>
    </row>
    <row r="6">
      <c r="A6" s="50" t="s">
        <v>4900</v>
      </c>
      <c r="B6" s="50" t="s">
        <v>4901</v>
      </c>
      <c r="C6" s="50" t="s">
        <v>4902</v>
      </c>
      <c r="D6" s="50" t="s">
        <v>93</v>
      </c>
      <c r="E6" s="50" t="s">
        <v>127</v>
      </c>
      <c r="F6" s="50" t="s">
        <v>622</v>
      </c>
      <c r="G6" s="50" t="s">
        <v>623</v>
      </c>
      <c r="H6" s="51">
        <v>6.12966366</v>
      </c>
      <c r="I6" s="51">
        <v>9492.0</v>
      </c>
      <c r="J6" s="51">
        <v>252221.22</v>
      </c>
      <c r="K6" s="51">
        <v>252221.22</v>
      </c>
    </row>
    <row r="7">
      <c r="A7" s="50" t="s">
        <v>844</v>
      </c>
      <c r="B7" s="50" t="s">
        <v>845</v>
      </c>
      <c r="C7" s="50" t="s">
        <v>621</v>
      </c>
      <c r="D7" s="50" t="s">
        <v>93</v>
      </c>
      <c r="E7" s="50" t="s">
        <v>118</v>
      </c>
      <c r="F7" s="50" t="s">
        <v>622</v>
      </c>
      <c r="G7" s="50" t="s">
        <v>623</v>
      </c>
      <c r="H7" s="51">
        <v>6.04160825</v>
      </c>
      <c r="I7" s="51">
        <v>635.0</v>
      </c>
      <c r="J7" s="51">
        <v>248597.94</v>
      </c>
      <c r="K7" s="51">
        <v>248597.94</v>
      </c>
    </row>
    <row r="8">
      <c r="A8" s="50" t="s">
        <v>3949</v>
      </c>
      <c r="B8" s="50" t="s">
        <v>3950</v>
      </c>
      <c r="C8" s="50" t="s">
        <v>3951</v>
      </c>
      <c r="D8" s="50" t="s">
        <v>93</v>
      </c>
      <c r="E8" s="50" t="s">
        <v>127</v>
      </c>
      <c r="F8" s="50" t="s">
        <v>622</v>
      </c>
      <c r="G8" s="50" t="s">
        <v>623</v>
      </c>
      <c r="H8" s="51">
        <v>5.32191778</v>
      </c>
      <c r="I8" s="51">
        <v>6081.0</v>
      </c>
      <c r="J8" s="51">
        <v>218984.38</v>
      </c>
      <c r="K8" s="51">
        <v>218984.38</v>
      </c>
    </row>
    <row r="9">
      <c r="A9" s="50" t="s">
        <v>4903</v>
      </c>
      <c r="B9" s="50" t="s">
        <v>4904</v>
      </c>
      <c r="C9" s="50" t="s">
        <v>4905</v>
      </c>
      <c r="D9" s="50" t="s">
        <v>93</v>
      </c>
      <c r="E9" s="50" t="s">
        <v>127</v>
      </c>
      <c r="F9" s="50" t="s">
        <v>622</v>
      </c>
      <c r="G9" s="50" t="s">
        <v>623</v>
      </c>
      <c r="H9" s="51">
        <v>4.89010011</v>
      </c>
      <c r="I9" s="51">
        <v>6548.0</v>
      </c>
      <c r="J9" s="51">
        <v>201216.1</v>
      </c>
      <c r="K9" s="51">
        <v>201216.1</v>
      </c>
    </row>
    <row r="10">
      <c r="A10" s="50" t="s">
        <v>4906</v>
      </c>
      <c r="B10" s="50" t="s">
        <v>4907</v>
      </c>
      <c r="C10" s="50" t="s">
        <v>4908</v>
      </c>
      <c r="D10" s="50" t="s">
        <v>93</v>
      </c>
      <c r="E10" s="50" t="s">
        <v>99</v>
      </c>
      <c r="F10" s="50" t="s">
        <v>622</v>
      </c>
      <c r="G10" s="50" t="s">
        <v>623</v>
      </c>
      <c r="H10" s="51">
        <v>3.61886931</v>
      </c>
      <c r="I10" s="51">
        <v>4098.0</v>
      </c>
      <c r="J10" s="51">
        <v>148907.94</v>
      </c>
      <c r="K10" s="51">
        <v>148907.94</v>
      </c>
    </row>
    <row r="11">
      <c r="A11" s="50" t="s">
        <v>4909</v>
      </c>
      <c r="B11" s="50" t="s">
        <v>4910</v>
      </c>
      <c r="C11" s="50" t="s">
        <v>4911</v>
      </c>
      <c r="D11" s="50" t="s">
        <v>93</v>
      </c>
      <c r="E11" s="50" t="s">
        <v>167</v>
      </c>
      <c r="F11" s="50" t="s">
        <v>654</v>
      </c>
      <c r="G11" s="50" t="s">
        <v>655</v>
      </c>
      <c r="H11" s="51">
        <v>3.43932332</v>
      </c>
      <c r="I11" s="51">
        <v>147723.0</v>
      </c>
      <c r="J11" s="51">
        <v>141520.05</v>
      </c>
      <c r="K11" s="51">
        <v>141520.05</v>
      </c>
    </row>
    <row r="12">
      <c r="A12" s="50" t="s">
        <v>4912</v>
      </c>
      <c r="B12" s="50" t="s">
        <v>4913</v>
      </c>
      <c r="C12" s="50" t="s">
        <v>4914</v>
      </c>
      <c r="D12" s="50" t="s">
        <v>93</v>
      </c>
      <c r="E12" s="50" t="s">
        <v>170</v>
      </c>
      <c r="F12" s="50" t="s">
        <v>622</v>
      </c>
      <c r="G12" s="50" t="s">
        <v>623</v>
      </c>
      <c r="H12" s="51">
        <v>3.36898053</v>
      </c>
      <c r="I12" s="51">
        <v>5095.0</v>
      </c>
      <c r="J12" s="51">
        <v>138625.61</v>
      </c>
      <c r="K12" s="51">
        <v>138625.61</v>
      </c>
    </row>
    <row r="13">
      <c r="A13" s="50" t="s">
        <v>4915</v>
      </c>
      <c r="B13" s="50" t="s">
        <v>4916</v>
      </c>
      <c r="C13" s="50" t="s">
        <v>4917</v>
      </c>
      <c r="D13" s="50" t="s">
        <v>93</v>
      </c>
      <c r="E13" s="50" t="s">
        <v>167</v>
      </c>
      <c r="F13" s="50" t="s">
        <v>694</v>
      </c>
      <c r="G13" s="50" t="s">
        <v>623</v>
      </c>
      <c r="H13" s="51">
        <v>3.20365114</v>
      </c>
      <c r="I13" s="51">
        <v>2294.0</v>
      </c>
      <c r="J13" s="51">
        <v>131822.7</v>
      </c>
      <c r="K13" s="51">
        <v>131822.7</v>
      </c>
    </row>
    <row r="14">
      <c r="A14" s="50" t="s">
        <v>4918</v>
      </c>
      <c r="B14" s="51">
        <v>5491966.0</v>
      </c>
      <c r="C14" s="50" t="s">
        <v>4919</v>
      </c>
      <c r="D14" s="50" t="s">
        <v>93</v>
      </c>
      <c r="E14" s="50" t="s">
        <v>170</v>
      </c>
      <c r="F14" s="50" t="s">
        <v>649</v>
      </c>
      <c r="G14" s="50" t="s">
        <v>640</v>
      </c>
      <c r="H14" s="51">
        <v>3.17036376</v>
      </c>
      <c r="I14" s="51">
        <v>5278.0</v>
      </c>
      <c r="J14" s="51">
        <v>130453.0</v>
      </c>
      <c r="K14" s="51">
        <v>130453.0</v>
      </c>
    </row>
    <row r="15">
      <c r="A15" s="50" t="s">
        <v>793</v>
      </c>
      <c r="B15" s="51">
        <v>6407768.0</v>
      </c>
      <c r="C15" s="50" t="s">
        <v>794</v>
      </c>
      <c r="D15" s="50" t="s">
        <v>93</v>
      </c>
      <c r="E15" s="50" t="s">
        <v>94</v>
      </c>
      <c r="F15" s="50" t="s">
        <v>658</v>
      </c>
      <c r="G15" s="50" t="s">
        <v>659</v>
      </c>
      <c r="H15" s="51">
        <v>2.88824208</v>
      </c>
      <c r="I15" s="51">
        <v>2301.0</v>
      </c>
      <c r="J15" s="51">
        <v>118844.36</v>
      </c>
      <c r="K15" s="51">
        <v>118844.36</v>
      </c>
    </row>
    <row r="16">
      <c r="A16" s="50" t="s">
        <v>4920</v>
      </c>
      <c r="B16" s="50" t="s">
        <v>4921</v>
      </c>
      <c r="C16" s="50" t="s">
        <v>4922</v>
      </c>
      <c r="D16" s="50" t="s">
        <v>93</v>
      </c>
      <c r="E16" s="50" t="s">
        <v>167</v>
      </c>
      <c r="F16" s="50" t="s">
        <v>645</v>
      </c>
      <c r="G16" s="50" t="s">
        <v>646</v>
      </c>
      <c r="H16" s="51">
        <v>2.3424971</v>
      </c>
      <c r="I16" s="51">
        <v>19658.0</v>
      </c>
      <c r="J16" s="51">
        <v>96388.24</v>
      </c>
      <c r="K16" s="51">
        <v>96388.24</v>
      </c>
    </row>
    <row r="17">
      <c r="A17" s="50" t="s">
        <v>4923</v>
      </c>
      <c r="B17" s="51">
        <v>6335278.0</v>
      </c>
      <c r="C17" s="50" t="s">
        <v>4924</v>
      </c>
      <c r="D17" s="50" t="s">
        <v>93</v>
      </c>
      <c r="E17" s="50" t="s">
        <v>167</v>
      </c>
      <c r="F17" s="50" t="s">
        <v>635</v>
      </c>
      <c r="G17" s="50" t="s">
        <v>636</v>
      </c>
      <c r="H17" s="51">
        <v>2.28966504</v>
      </c>
      <c r="I17" s="51">
        <v>12631.0</v>
      </c>
      <c r="J17" s="51">
        <v>94214.32</v>
      </c>
      <c r="K17" s="51">
        <v>94214.32</v>
      </c>
    </row>
    <row r="18">
      <c r="A18" s="50" t="s">
        <v>4925</v>
      </c>
      <c r="B18" s="50" t="s">
        <v>4926</v>
      </c>
      <c r="C18" s="50" t="s">
        <v>4927</v>
      </c>
      <c r="D18" s="50" t="s">
        <v>93</v>
      </c>
      <c r="E18" s="50" t="s">
        <v>167</v>
      </c>
      <c r="F18" s="50" t="s">
        <v>649</v>
      </c>
      <c r="G18" s="50" t="s">
        <v>640</v>
      </c>
      <c r="H18" s="51">
        <v>2.20012165</v>
      </c>
      <c r="I18" s="51">
        <v>638.0</v>
      </c>
      <c r="J18" s="51">
        <v>90529.82</v>
      </c>
      <c r="K18" s="51">
        <v>90529.82</v>
      </c>
    </row>
    <row r="19">
      <c r="A19" s="50" t="s">
        <v>4928</v>
      </c>
      <c r="B19" s="50" t="s">
        <v>4929</v>
      </c>
      <c r="C19" s="50" t="s">
        <v>4930</v>
      </c>
      <c r="D19" s="50" t="s">
        <v>93</v>
      </c>
      <c r="E19" s="50" t="s">
        <v>170</v>
      </c>
      <c r="F19" s="50" t="s">
        <v>1201</v>
      </c>
      <c r="G19" s="50" t="s">
        <v>640</v>
      </c>
      <c r="H19" s="51">
        <v>1.98083935</v>
      </c>
      <c r="I19" s="51">
        <v>3587.0</v>
      </c>
      <c r="J19" s="51">
        <v>81506.87</v>
      </c>
      <c r="K19" s="51">
        <v>81506.87</v>
      </c>
    </row>
    <row r="20">
      <c r="A20" s="50" t="s">
        <v>4931</v>
      </c>
      <c r="B20" s="50" t="s">
        <v>4932</v>
      </c>
      <c r="C20" s="50" t="s">
        <v>4933</v>
      </c>
      <c r="D20" s="50" t="s">
        <v>93</v>
      </c>
      <c r="E20" s="50" t="s">
        <v>170</v>
      </c>
      <c r="F20" s="50" t="s">
        <v>622</v>
      </c>
      <c r="G20" s="50" t="s">
        <v>623</v>
      </c>
      <c r="H20" s="51">
        <v>1.90950624</v>
      </c>
      <c r="I20" s="51">
        <v>1830.0</v>
      </c>
      <c r="J20" s="51">
        <v>78571.68</v>
      </c>
      <c r="K20" s="51">
        <v>78571.68</v>
      </c>
    </row>
    <row r="21">
      <c r="A21" s="50" t="s">
        <v>4934</v>
      </c>
      <c r="B21" s="50" t="s">
        <v>4935</v>
      </c>
      <c r="C21" s="50" t="s">
        <v>4936</v>
      </c>
      <c r="D21" s="50" t="s">
        <v>93</v>
      </c>
      <c r="E21" s="50" t="s">
        <v>94</v>
      </c>
      <c r="F21" s="50" t="s">
        <v>649</v>
      </c>
      <c r="G21" s="50" t="s">
        <v>640</v>
      </c>
      <c r="H21" s="51">
        <v>1.90687792</v>
      </c>
      <c r="I21" s="51">
        <v>392.0</v>
      </c>
      <c r="J21" s="51">
        <v>78463.53</v>
      </c>
      <c r="K21" s="51">
        <v>78463.53</v>
      </c>
    </row>
    <row r="22">
      <c r="A22" s="50" t="s">
        <v>4937</v>
      </c>
      <c r="B22" s="50" t="s">
        <v>4938</v>
      </c>
      <c r="C22" s="50" t="s">
        <v>4939</v>
      </c>
      <c r="D22" s="50" t="s">
        <v>93</v>
      </c>
      <c r="E22" s="50" t="s">
        <v>170</v>
      </c>
      <c r="F22" s="50" t="s">
        <v>639</v>
      </c>
      <c r="G22" s="50" t="s">
        <v>640</v>
      </c>
      <c r="H22" s="51">
        <v>1.78370287</v>
      </c>
      <c r="I22" s="51">
        <v>1533.0</v>
      </c>
      <c r="J22" s="51">
        <v>73395.17</v>
      </c>
      <c r="K22" s="51">
        <v>73395.17</v>
      </c>
    </row>
    <row r="23">
      <c r="A23" s="50" t="s">
        <v>4940</v>
      </c>
      <c r="B23" s="51">
        <v>6767677.0</v>
      </c>
      <c r="C23" s="50" t="s">
        <v>4941</v>
      </c>
      <c r="D23" s="50" t="s">
        <v>93</v>
      </c>
      <c r="E23" s="50" t="s">
        <v>170</v>
      </c>
      <c r="F23" s="50" t="s">
        <v>679</v>
      </c>
      <c r="G23" s="50" t="s">
        <v>2438</v>
      </c>
      <c r="H23" s="51">
        <v>1.74699724</v>
      </c>
      <c r="I23" s="51">
        <v>2592.3</v>
      </c>
      <c r="J23" s="51">
        <v>71884.82</v>
      </c>
      <c r="K23" s="51">
        <v>71884.82</v>
      </c>
    </row>
    <row r="24">
      <c r="A24" s="50" t="s">
        <v>4942</v>
      </c>
      <c r="B24" s="50" t="s">
        <v>4943</v>
      </c>
      <c r="C24" s="50" t="s">
        <v>4944</v>
      </c>
      <c r="D24" s="50" t="s">
        <v>93</v>
      </c>
      <c r="E24" s="50" t="s">
        <v>127</v>
      </c>
      <c r="F24" s="50" t="s">
        <v>622</v>
      </c>
      <c r="G24" s="50" t="s">
        <v>623</v>
      </c>
      <c r="H24" s="51">
        <v>1.45406542</v>
      </c>
      <c r="I24" s="51">
        <v>3881.0</v>
      </c>
      <c r="J24" s="51">
        <v>59831.37</v>
      </c>
      <c r="K24" s="51">
        <v>59831.37</v>
      </c>
    </row>
    <row r="25">
      <c r="A25" s="50" t="s">
        <v>4945</v>
      </c>
      <c r="B25" s="50" t="s">
        <v>4946</v>
      </c>
      <c r="C25" s="50" t="s">
        <v>4947</v>
      </c>
      <c r="D25" s="50" t="s">
        <v>93</v>
      </c>
      <c r="E25" s="50" t="s">
        <v>167</v>
      </c>
      <c r="F25" s="50" t="s">
        <v>635</v>
      </c>
      <c r="G25" s="50" t="s">
        <v>636</v>
      </c>
      <c r="H25" s="51">
        <v>1.41281372</v>
      </c>
      <c r="I25" s="51">
        <v>62672.0</v>
      </c>
      <c r="J25" s="51">
        <v>58133.96</v>
      </c>
      <c r="K25" s="51">
        <v>58133.96</v>
      </c>
    </row>
    <row r="26">
      <c r="A26" s="50" t="s">
        <v>4948</v>
      </c>
      <c r="B26" s="50" t="s">
        <v>4949</v>
      </c>
      <c r="C26" s="50" t="s">
        <v>4950</v>
      </c>
      <c r="D26" s="50" t="s">
        <v>93</v>
      </c>
      <c r="E26" s="50" t="s">
        <v>127</v>
      </c>
      <c r="F26" s="50" t="s">
        <v>645</v>
      </c>
      <c r="G26" s="50" t="s">
        <v>646</v>
      </c>
      <c r="H26" s="51">
        <v>1.32162134</v>
      </c>
      <c r="I26" s="51">
        <v>17010.0</v>
      </c>
      <c r="J26" s="51">
        <v>54381.6</v>
      </c>
      <c r="K26" s="51">
        <v>54381.6</v>
      </c>
    </row>
    <row r="27">
      <c r="A27" s="50" t="s">
        <v>4951</v>
      </c>
      <c r="B27" s="50" t="s">
        <v>4952</v>
      </c>
      <c r="C27" s="50" t="s">
        <v>4953</v>
      </c>
      <c r="D27" s="50" t="s">
        <v>93</v>
      </c>
      <c r="E27" s="50" t="s">
        <v>170</v>
      </c>
      <c r="F27" s="50" t="s">
        <v>716</v>
      </c>
      <c r="G27" s="50" t="s">
        <v>623</v>
      </c>
      <c r="H27" s="51">
        <v>1.18137363</v>
      </c>
      <c r="I27" s="51">
        <v>5920.0</v>
      </c>
      <c r="J27" s="51">
        <v>48610.74</v>
      </c>
      <c r="K27" s="51">
        <v>48610.74</v>
      </c>
    </row>
    <row r="28">
      <c r="A28" s="50" t="s">
        <v>4954</v>
      </c>
      <c r="B28" s="50" t="s">
        <v>4955</v>
      </c>
      <c r="C28" s="50" t="s">
        <v>4956</v>
      </c>
      <c r="D28" s="50" t="s">
        <v>93</v>
      </c>
      <c r="E28" s="50" t="s">
        <v>167</v>
      </c>
      <c r="F28" s="50" t="s">
        <v>622</v>
      </c>
      <c r="G28" s="50" t="s">
        <v>623</v>
      </c>
      <c r="H28" s="51">
        <v>1.02491821</v>
      </c>
      <c r="I28" s="51">
        <v>1053.0</v>
      </c>
      <c r="J28" s="51">
        <v>42172.97</v>
      </c>
      <c r="K28" s="51">
        <v>42172.97</v>
      </c>
    </row>
    <row r="29">
      <c r="A29" s="50" t="s">
        <v>4957</v>
      </c>
      <c r="B29" s="50" t="s">
        <v>4958</v>
      </c>
      <c r="C29" s="50" t="s">
        <v>4959</v>
      </c>
      <c r="D29" s="50" t="s">
        <v>93</v>
      </c>
      <c r="E29" s="50" t="s">
        <v>170</v>
      </c>
      <c r="F29" s="50" t="s">
        <v>645</v>
      </c>
      <c r="G29" s="50" t="s">
        <v>646</v>
      </c>
      <c r="H29" s="51">
        <v>1.00483451</v>
      </c>
      <c r="I29" s="51">
        <v>93116.0</v>
      </c>
      <c r="J29" s="51">
        <v>41346.57</v>
      </c>
      <c r="K29" s="51">
        <v>41346.57</v>
      </c>
    </row>
    <row r="30">
      <c r="A30" s="50" t="s">
        <v>4960</v>
      </c>
      <c r="B30" s="50" t="s">
        <v>4961</v>
      </c>
      <c r="C30" s="50" t="s">
        <v>4962</v>
      </c>
      <c r="D30" s="50" t="s">
        <v>93</v>
      </c>
      <c r="E30" s="50" t="s">
        <v>167</v>
      </c>
      <c r="F30" s="50" t="s">
        <v>635</v>
      </c>
      <c r="G30" s="50" t="s">
        <v>636</v>
      </c>
      <c r="H30" s="51">
        <v>0.9492689</v>
      </c>
      <c r="I30" s="51">
        <v>22819.0</v>
      </c>
      <c r="J30" s="51">
        <v>39060.18</v>
      </c>
      <c r="K30" s="51">
        <v>39060.18</v>
      </c>
    </row>
    <row r="31">
      <c r="A31" s="50" t="s">
        <v>4963</v>
      </c>
      <c r="B31" s="50" t="s">
        <v>4964</v>
      </c>
      <c r="C31" s="50" t="s">
        <v>4965</v>
      </c>
      <c r="D31" s="50" t="s">
        <v>93</v>
      </c>
      <c r="E31" s="50" t="s">
        <v>170</v>
      </c>
      <c r="F31" s="50" t="s">
        <v>629</v>
      </c>
      <c r="G31" s="50" t="s">
        <v>630</v>
      </c>
      <c r="H31" s="51">
        <v>0.72059771</v>
      </c>
      <c r="I31" s="51">
        <v>1661.0</v>
      </c>
      <c r="J31" s="51">
        <v>29650.9</v>
      </c>
      <c r="K31" s="51">
        <v>29650.9</v>
      </c>
    </row>
    <row r="32">
      <c r="A32" s="50" t="s">
        <v>4966</v>
      </c>
      <c r="B32" s="51">
        <v>6609445.0</v>
      </c>
      <c r="C32" s="50" t="s">
        <v>4967</v>
      </c>
      <c r="D32" s="50" t="s">
        <v>93</v>
      </c>
      <c r="E32" s="50" t="s">
        <v>167</v>
      </c>
      <c r="F32" s="50" t="s">
        <v>635</v>
      </c>
      <c r="G32" s="50" t="s">
        <v>636</v>
      </c>
      <c r="H32" s="51">
        <v>0.70089702</v>
      </c>
      <c r="I32" s="51">
        <v>17611.0</v>
      </c>
      <c r="J32" s="51">
        <v>28840.26</v>
      </c>
      <c r="K32" s="51">
        <v>28840.26</v>
      </c>
    </row>
    <row r="33">
      <c r="A33" s="50" t="s">
        <v>4968</v>
      </c>
      <c r="B33" s="50" t="s">
        <v>4969</v>
      </c>
      <c r="C33" s="50" t="s">
        <v>4970</v>
      </c>
      <c r="D33" s="50" t="s">
        <v>93</v>
      </c>
      <c r="E33" s="50" t="s">
        <v>170</v>
      </c>
      <c r="F33" s="50" t="s">
        <v>622</v>
      </c>
      <c r="G33" s="50" t="s">
        <v>623</v>
      </c>
      <c r="H33" s="51">
        <v>0.64972673</v>
      </c>
      <c r="I33" s="51">
        <v>3475.0</v>
      </c>
      <c r="J33" s="51">
        <v>26734.72</v>
      </c>
      <c r="K33" s="51">
        <v>26734.72</v>
      </c>
    </row>
    <row r="34">
      <c r="A34" s="50" t="s">
        <v>4971</v>
      </c>
      <c r="B34" s="50" t="s">
        <v>4972</v>
      </c>
      <c r="C34" s="50" t="s">
        <v>4973</v>
      </c>
      <c r="D34" s="50" t="s">
        <v>93</v>
      </c>
      <c r="E34" s="50" t="s">
        <v>170</v>
      </c>
      <c r="F34" s="50" t="s">
        <v>629</v>
      </c>
      <c r="G34" s="50" t="s">
        <v>630</v>
      </c>
      <c r="H34" s="51">
        <v>0.64667859</v>
      </c>
      <c r="I34" s="51">
        <v>960.0</v>
      </c>
      <c r="J34" s="51">
        <v>26609.3</v>
      </c>
      <c r="K34" s="51">
        <v>26609.3</v>
      </c>
    </row>
    <row r="35">
      <c r="A35" s="50" t="s">
        <v>4974</v>
      </c>
      <c r="B35" s="50" t="s">
        <v>4975</v>
      </c>
      <c r="C35" s="50" t="s">
        <v>4976</v>
      </c>
      <c r="D35" s="50" t="s">
        <v>93</v>
      </c>
      <c r="E35" s="50" t="s">
        <v>170</v>
      </c>
      <c r="F35" s="50" t="s">
        <v>1727</v>
      </c>
      <c r="G35" s="50" t="s">
        <v>1674</v>
      </c>
      <c r="H35" s="51">
        <v>0.61205761</v>
      </c>
      <c r="I35" s="51">
        <v>2592.0</v>
      </c>
      <c r="J35" s="51">
        <v>25184.73</v>
      </c>
      <c r="K35" s="51">
        <v>25184.73</v>
      </c>
    </row>
    <row r="36">
      <c r="A36" s="50" t="s">
        <v>4977</v>
      </c>
      <c r="B36" s="50" t="s">
        <v>4978</v>
      </c>
      <c r="C36" s="50" t="s">
        <v>4979</v>
      </c>
      <c r="D36" s="50" t="s">
        <v>93</v>
      </c>
      <c r="E36" s="50" t="s">
        <v>127</v>
      </c>
      <c r="F36" s="50" t="s">
        <v>645</v>
      </c>
      <c r="G36" s="50" t="s">
        <v>623</v>
      </c>
      <c r="H36" s="51">
        <v>0.37677966</v>
      </c>
      <c r="I36" s="51">
        <v>2736.0</v>
      </c>
      <c r="J36" s="51">
        <v>15503.6</v>
      </c>
      <c r="K36" s="51">
        <v>15503.6</v>
      </c>
    </row>
    <row r="37">
      <c r="A37" s="50" t="s">
        <v>4980</v>
      </c>
      <c r="B37" s="50" t="s">
        <v>4981</v>
      </c>
      <c r="C37" s="50" t="s">
        <v>4982</v>
      </c>
      <c r="D37" s="50" t="s">
        <v>93</v>
      </c>
      <c r="E37" s="50" t="s">
        <v>167</v>
      </c>
      <c r="F37" s="50" t="s">
        <v>635</v>
      </c>
      <c r="G37" s="50" t="s">
        <v>636</v>
      </c>
      <c r="H37" s="51">
        <v>0.24723654</v>
      </c>
      <c r="I37" s="51">
        <v>3454.0</v>
      </c>
      <c r="J37" s="51">
        <v>10173.2</v>
      </c>
      <c r="K37" s="51">
        <v>10173.2</v>
      </c>
    </row>
    <row r="38">
      <c r="A38" s="50" t="s">
        <v>646</v>
      </c>
      <c r="B38" s="52"/>
      <c r="C38" s="50" t="s">
        <v>832</v>
      </c>
      <c r="D38" s="50" t="s">
        <v>617</v>
      </c>
      <c r="E38" s="52"/>
      <c r="F38" s="52"/>
      <c r="G38" s="50" t="s">
        <v>646</v>
      </c>
      <c r="H38" s="51">
        <v>0.13451632</v>
      </c>
      <c r="I38" s="51">
        <v>29293.59</v>
      </c>
      <c r="J38" s="51">
        <v>5535.03</v>
      </c>
      <c r="K38" s="51">
        <v>5535.03</v>
      </c>
    </row>
    <row r="39">
      <c r="A39" s="50" t="s">
        <v>1674</v>
      </c>
      <c r="B39" s="52"/>
      <c r="C39" s="50" t="s">
        <v>3908</v>
      </c>
      <c r="D39" s="50" t="s">
        <v>617</v>
      </c>
      <c r="E39" s="52"/>
      <c r="F39" s="52"/>
      <c r="G39" s="50" t="s">
        <v>1674</v>
      </c>
      <c r="H39" s="51">
        <v>0.0133057</v>
      </c>
      <c r="I39" s="51">
        <v>3941.56</v>
      </c>
      <c r="J39" s="51">
        <v>547.5</v>
      </c>
      <c r="K39" s="51">
        <v>547.5</v>
      </c>
    </row>
    <row r="40">
      <c r="A40" s="50" t="s">
        <v>96</v>
      </c>
      <c r="B40" s="52"/>
      <c r="C40" s="50" t="s">
        <v>616</v>
      </c>
      <c r="D40" s="50" t="s">
        <v>617</v>
      </c>
      <c r="E40" s="52"/>
      <c r="F40" s="52"/>
      <c r="G40" s="50" t="s">
        <v>96</v>
      </c>
      <c r="H40" s="51">
        <v>0.0105887</v>
      </c>
      <c r="I40" s="51">
        <v>435.7</v>
      </c>
      <c r="J40" s="51">
        <v>435.7</v>
      </c>
      <c r="K40" s="51">
        <v>435.7</v>
      </c>
    </row>
    <row r="41">
      <c r="A41" s="50" t="s">
        <v>2438</v>
      </c>
      <c r="B41" s="52"/>
      <c r="C41" s="50" t="s">
        <v>3907</v>
      </c>
      <c r="D41" s="50" t="s">
        <v>617</v>
      </c>
      <c r="E41" s="52"/>
      <c r="F41" s="52"/>
      <c r="G41" s="50" t="s">
        <v>2438</v>
      </c>
      <c r="H41" s="51">
        <v>0.00849027</v>
      </c>
      <c r="I41" s="51">
        <v>855.43</v>
      </c>
      <c r="J41" s="51">
        <v>349.35</v>
      </c>
      <c r="K41" s="51">
        <v>349.35</v>
      </c>
    </row>
    <row r="42">
      <c r="A42" s="50" t="s">
        <v>636</v>
      </c>
      <c r="B42" s="52"/>
      <c r="C42" s="50" t="s">
        <v>829</v>
      </c>
      <c r="D42" s="50" t="s">
        <v>617</v>
      </c>
      <c r="E42" s="52"/>
      <c r="F42" s="52"/>
      <c r="G42" s="50" t="s">
        <v>636</v>
      </c>
      <c r="H42" s="51">
        <v>0.00570004</v>
      </c>
      <c r="I42" s="51">
        <v>4905.33</v>
      </c>
      <c r="J42" s="51">
        <v>234.54</v>
      </c>
      <c r="K42" s="51">
        <v>234.54</v>
      </c>
    </row>
    <row r="43">
      <c r="A43" s="50" t="s">
        <v>655</v>
      </c>
      <c r="B43" s="52"/>
      <c r="C43" s="50" t="s">
        <v>3901</v>
      </c>
      <c r="D43" s="50" t="s">
        <v>617</v>
      </c>
      <c r="E43" s="52"/>
      <c r="F43" s="52"/>
      <c r="G43" s="50" t="s">
        <v>655</v>
      </c>
      <c r="H43" s="51">
        <v>0.00253795</v>
      </c>
      <c r="I43" s="51">
        <v>63.17</v>
      </c>
      <c r="J43" s="51">
        <v>104.43</v>
      </c>
      <c r="K43" s="51">
        <v>104.43</v>
      </c>
    </row>
    <row r="44">
      <c r="A44" s="50" t="s">
        <v>623</v>
      </c>
      <c r="B44" s="52"/>
      <c r="C44" s="50" t="s">
        <v>830</v>
      </c>
      <c r="D44" s="50" t="s">
        <v>617</v>
      </c>
      <c r="E44" s="52"/>
      <c r="F44" s="52"/>
      <c r="G44" s="50" t="s">
        <v>623</v>
      </c>
      <c r="H44" s="51">
        <v>0.00162234</v>
      </c>
      <c r="I44" s="51">
        <v>45.12</v>
      </c>
      <c r="J44" s="51">
        <v>66.76</v>
      </c>
      <c r="K44" s="51">
        <v>66.76</v>
      </c>
    </row>
    <row r="45">
      <c r="A45" s="50" t="s">
        <v>640</v>
      </c>
      <c r="B45" s="52"/>
      <c r="C45" s="50" t="s">
        <v>3902</v>
      </c>
      <c r="D45" s="50" t="s">
        <v>617</v>
      </c>
      <c r="E45" s="52"/>
      <c r="F45" s="52"/>
      <c r="G45" s="50" t="s">
        <v>640</v>
      </c>
      <c r="H45" s="51">
        <v>0.00139199</v>
      </c>
      <c r="I45" s="51">
        <v>35.34</v>
      </c>
      <c r="J45" s="51">
        <v>57.28</v>
      </c>
      <c r="K45" s="51">
        <v>57.28</v>
      </c>
    </row>
    <row r="46">
      <c r="A46" s="50" t="s">
        <v>630</v>
      </c>
      <c r="B46" s="52"/>
      <c r="C46" s="50" t="s">
        <v>3906</v>
      </c>
      <c r="D46" s="50" t="s">
        <v>617</v>
      </c>
      <c r="E46" s="52"/>
      <c r="F46" s="52"/>
      <c r="G46" s="50" t="s">
        <v>630</v>
      </c>
      <c r="H46" s="51">
        <v>0.00110279</v>
      </c>
      <c r="I46" s="51">
        <v>4387.45</v>
      </c>
      <c r="J46" s="51">
        <v>45.38</v>
      </c>
      <c r="K46" s="51">
        <v>45.38</v>
      </c>
    </row>
    <row r="47">
      <c r="A47" s="50" t="s">
        <v>659</v>
      </c>
      <c r="B47" s="52"/>
      <c r="C47" s="50" t="s">
        <v>831</v>
      </c>
      <c r="D47" s="50" t="s">
        <v>617</v>
      </c>
      <c r="E47" s="52"/>
      <c r="F47" s="52"/>
      <c r="G47" s="50" t="s">
        <v>659</v>
      </c>
      <c r="H47" s="52"/>
      <c r="I47" s="51">
        <v>0.05</v>
      </c>
      <c r="J47" s="52"/>
      <c r="K47" s="52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37.38"/>
  </cols>
  <sheetData>
    <row r="1">
      <c r="A1" s="35" t="s">
        <v>80</v>
      </c>
      <c r="B1" s="35" t="s">
        <v>81</v>
      </c>
      <c r="C1" s="56" t="s">
        <v>82</v>
      </c>
      <c r="D1" s="35" t="s">
        <v>83</v>
      </c>
      <c r="E1" s="35" t="s">
        <v>84</v>
      </c>
      <c r="F1" s="35" t="s">
        <v>85</v>
      </c>
      <c r="G1" s="35" t="s">
        <v>86</v>
      </c>
      <c r="H1" s="37" t="s">
        <v>87</v>
      </c>
      <c r="I1" s="37" t="s">
        <v>88</v>
      </c>
      <c r="J1" s="37" t="s">
        <v>89</v>
      </c>
      <c r="K1" s="35" t="s">
        <v>90</v>
      </c>
      <c r="M1" s="56" t="s">
        <v>4983</v>
      </c>
    </row>
    <row r="2">
      <c r="C2" s="56" t="s">
        <v>4984</v>
      </c>
      <c r="H2" s="57">
        <v>0.0425</v>
      </c>
      <c r="M2" s="57">
        <v>0.0295448</v>
      </c>
    </row>
    <row r="3">
      <c r="C3" s="56" t="s">
        <v>4985</v>
      </c>
      <c r="H3" s="57">
        <v>0.0325</v>
      </c>
      <c r="M3" s="57">
        <v>0.0284272</v>
      </c>
    </row>
    <row r="4">
      <c r="C4" s="56" t="s">
        <v>4984</v>
      </c>
      <c r="H4" s="57">
        <v>0.0025</v>
      </c>
      <c r="M4" s="57">
        <v>0.0272667</v>
      </c>
    </row>
    <row r="5">
      <c r="C5" s="56" t="s">
        <v>4984</v>
      </c>
      <c r="H5" s="57">
        <v>0.0475</v>
      </c>
      <c r="M5" s="57">
        <v>0.0267172</v>
      </c>
    </row>
    <row r="6">
      <c r="C6" s="56" t="s">
        <v>4984</v>
      </c>
      <c r="H6" s="57">
        <v>0.0325</v>
      </c>
      <c r="M6" s="57">
        <v>0.0251678</v>
      </c>
    </row>
    <row r="7">
      <c r="C7" s="56" t="s">
        <v>4984</v>
      </c>
      <c r="H7" s="57">
        <v>0.0025</v>
      </c>
      <c r="M7" s="57">
        <v>0.0250237</v>
      </c>
    </row>
    <row r="8">
      <c r="C8" s="56" t="s">
        <v>4984</v>
      </c>
      <c r="H8" s="57">
        <v>0.005</v>
      </c>
      <c r="M8" s="57">
        <v>0.0240874</v>
      </c>
    </row>
    <row r="9">
      <c r="C9" s="56" t="s">
        <v>4984</v>
      </c>
      <c r="H9" s="57">
        <v>0.025</v>
      </c>
      <c r="M9" s="57">
        <v>0.0239022</v>
      </c>
    </row>
    <row r="10">
      <c r="C10" s="56" t="s">
        <v>4984</v>
      </c>
      <c r="H10" s="58">
        <v>0.01</v>
      </c>
      <c r="M10" s="57">
        <v>0.0233136</v>
      </c>
    </row>
    <row r="11">
      <c r="C11" s="56" t="s">
        <v>4984</v>
      </c>
      <c r="H11" s="57">
        <v>0.0275</v>
      </c>
      <c r="M11" s="57">
        <v>0.0229583</v>
      </c>
    </row>
    <row r="12">
      <c r="C12" s="56" t="s">
        <v>4984</v>
      </c>
      <c r="H12" s="57">
        <v>0.0275</v>
      </c>
      <c r="M12" s="57">
        <v>0.0229527</v>
      </c>
    </row>
    <row r="13">
      <c r="C13" s="56" t="s">
        <v>4984</v>
      </c>
      <c r="H13" s="57">
        <v>0.015</v>
      </c>
      <c r="M13" s="57">
        <v>0.022661</v>
      </c>
    </row>
    <row r="14">
      <c r="C14" s="56" t="s">
        <v>4984</v>
      </c>
      <c r="H14" s="57">
        <v>0.0125</v>
      </c>
      <c r="M14" s="57">
        <v>0.0222606</v>
      </c>
    </row>
    <row r="15">
      <c r="C15" s="56" t="s">
        <v>4986</v>
      </c>
      <c r="H15" s="57">
        <v>0.0275</v>
      </c>
      <c r="M15" s="57">
        <v>0.0220824</v>
      </c>
    </row>
    <row r="16">
      <c r="C16" s="56" t="s">
        <v>4984</v>
      </c>
      <c r="H16" s="58">
        <v>0.01</v>
      </c>
      <c r="M16" s="57">
        <v>0.0220472</v>
      </c>
    </row>
    <row r="17">
      <c r="C17" s="56" t="s">
        <v>4984</v>
      </c>
      <c r="H17" s="57">
        <v>0.0275</v>
      </c>
      <c r="M17" s="57">
        <v>0.0218121</v>
      </c>
    </row>
    <row r="18">
      <c r="C18" s="56" t="s">
        <v>4984</v>
      </c>
      <c r="H18" s="57">
        <v>0.045</v>
      </c>
      <c r="M18" s="57">
        <v>0.0203118</v>
      </c>
    </row>
    <row r="19">
      <c r="C19" s="56" t="s">
        <v>4984</v>
      </c>
      <c r="H19" s="57">
        <v>0.0225</v>
      </c>
      <c r="M19" s="57">
        <v>0.0200077</v>
      </c>
    </row>
    <row r="20">
      <c r="C20" s="56" t="s">
        <v>4984</v>
      </c>
      <c r="H20" s="57">
        <v>0.0175</v>
      </c>
      <c r="M20" s="57">
        <v>0.0171948</v>
      </c>
    </row>
    <row r="21">
      <c r="C21" s="56" t="s">
        <v>4987</v>
      </c>
      <c r="H21" s="57">
        <v>0.0375</v>
      </c>
      <c r="M21" s="57">
        <v>0.0125336</v>
      </c>
    </row>
    <row r="22">
      <c r="C22" s="56" t="s">
        <v>4984</v>
      </c>
      <c r="H22" s="58">
        <v>0.03</v>
      </c>
      <c r="M22" s="57">
        <v>0.0122266</v>
      </c>
    </row>
    <row r="23">
      <c r="C23" s="56" t="s">
        <v>4984</v>
      </c>
      <c r="H23" s="57">
        <v>0.035</v>
      </c>
      <c r="M23" s="57">
        <v>0.0109019</v>
      </c>
    </row>
    <row r="24">
      <c r="C24" s="56" t="s">
        <v>4984</v>
      </c>
      <c r="H24" s="57">
        <v>0.0375</v>
      </c>
      <c r="M24" s="57">
        <v>0.0082846</v>
      </c>
    </row>
    <row r="25">
      <c r="C25" s="56" t="s">
        <v>4988</v>
      </c>
      <c r="H25" s="57">
        <v>0.055</v>
      </c>
      <c r="M25" s="57">
        <v>0.0081353</v>
      </c>
    </row>
    <row r="26">
      <c r="C26" s="56" t="s">
        <v>4984</v>
      </c>
      <c r="H26" s="57">
        <v>0.0175</v>
      </c>
      <c r="M26" s="57">
        <v>0.0080147</v>
      </c>
    </row>
    <row r="27">
      <c r="C27" s="56" t="s">
        <v>4984</v>
      </c>
      <c r="H27" s="58">
        <v>0.03</v>
      </c>
      <c r="M27" s="57">
        <v>0.0079737</v>
      </c>
    </row>
    <row r="28">
      <c r="C28" s="56" t="s">
        <v>4984</v>
      </c>
      <c r="H28" s="57">
        <v>0.0275</v>
      </c>
      <c r="M28" s="57">
        <v>0.0078091</v>
      </c>
    </row>
    <row r="29">
      <c r="C29" s="56" t="s">
        <v>4989</v>
      </c>
      <c r="H29" s="58">
        <v>0.03</v>
      </c>
      <c r="M29" s="57">
        <v>0.0075735</v>
      </c>
    </row>
    <row r="30">
      <c r="C30" s="56" t="s">
        <v>4984</v>
      </c>
      <c r="H30" s="57">
        <v>0.0275</v>
      </c>
      <c r="M30" s="57">
        <v>0.0073697</v>
      </c>
    </row>
    <row r="31">
      <c r="C31" s="56" t="s">
        <v>4990</v>
      </c>
      <c r="H31" s="58">
        <v>0.03</v>
      </c>
      <c r="M31" s="57">
        <v>0.0070899</v>
      </c>
    </row>
    <row r="32">
      <c r="C32" s="56" t="s">
        <v>4988</v>
      </c>
      <c r="H32" s="57">
        <v>0.0425</v>
      </c>
      <c r="M32" s="57">
        <v>0.0070769</v>
      </c>
    </row>
    <row r="33">
      <c r="C33" s="56" t="s">
        <v>4990</v>
      </c>
      <c r="H33" s="58">
        <v>0.03</v>
      </c>
      <c r="M33" s="57">
        <v>0.0070742</v>
      </c>
    </row>
    <row r="34">
      <c r="C34" s="56" t="s">
        <v>4991</v>
      </c>
      <c r="H34" s="58">
        <v>0.02</v>
      </c>
      <c r="M34" s="57">
        <v>0.0069607</v>
      </c>
    </row>
    <row r="35">
      <c r="C35" s="56" t="s">
        <v>4990</v>
      </c>
      <c r="H35" s="57">
        <v>0.015</v>
      </c>
      <c r="M35" s="57">
        <v>0.0069484</v>
      </c>
    </row>
    <row r="36">
      <c r="C36" s="56" t="s">
        <v>4989</v>
      </c>
      <c r="H36" s="57">
        <v>0.015</v>
      </c>
      <c r="M36" s="57">
        <v>0.0067601</v>
      </c>
    </row>
    <row r="37">
      <c r="C37" s="56" t="s">
        <v>4992</v>
      </c>
      <c r="H37" s="57">
        <v>0.0475</v>
      </c>
      <c r="M37" s="57">
        <v>0.0066765</v>
      </c>
    </row>
    <row r="38">
      <c r="C38" s="56" t="s">
        <v>4989</v>
      </c>
      <c r="H38" s="57">
        <v>0.005</v>
      </c>
      <c r="M38" s="57">
        <v>0.0065935</v>
      </c>
    </row>
    <row r="39">
      <c r="C39" s="56" t="s">
        <v>4993</v>
      </c>
      <c r="H39" s="58">
        <v>0.03</v>
      </c>
      <c r="M39" s="57">
        <v>0.0064239</v>
      </c>
    </row>
    <row r="40">
      <c r="C40" s="56" t="s">
        <v>4984</v>
      </c>
      <c r="H40" s="57">
        <v>0.0325</v>
      </c>
      <c r="M40" s="57">
        <v>0.0063442</v>
      </c>
    </row>
    <row r="41">
      <c r="C41" s="56" t="s">
        <v>4990</v>
      </c>
      <c r="H41" s="58">
        <v>0.03</v>
      </c>
      <c r="M41" s="57">
        <v>0.0063203</v>
      </c>
    </row>
    <row r="42">
      <c r="C42" s="56" t="s">
        <v>4990</v>
      </c>
      <c r="H42" s="58">
        <v>0.02</v>
      </c>
      <c r="M42" s="57">
        <v>0.0060704</v>
      </c>
    </row>
    <row r="43">
      <c r="C43" s="56" t="s">
        <v>4992</v>
      </c>
      <c r="H43" s="57">
        <v>0.0275</v>
      </c>
      <c r="M43" s="57">
        <v>0.0059033</v>
      </c>
    </row>
    <row r="44">
      <c r="C44" s="56" t="s">
        <v>4992</v>
      </c>
      <c r="H44" s="57">
        <v>0.0325</v>
      </c>
      <c r="M44" s="57">
        <v>0.0058376</v>
      </c>
    </row>
    <row r="45">
      <c r="C45" s="56" t="s">
        <v>4989</v>
      </c>
      <c r="H45" s="57">
        <v>0.025</v>
      </c>
      <c r="M45" s="57">
        <v>0.0058278</v>
      </c>
    </row>
    <row r="46">
      <c r="C46" s="56" t="s">
        <v>4992</v>
      </c>
      <c r="H46" s="57">
        <v>0.035</v>
      </c>
      <c r="M46" s="57">
        <v>0.0057968</v>
      </c>
    </row>
    <row r="47">
      <c r="C47" s="56" t="s">
        <v>4989</v>
      </c>
      <c r="H47" s="57">
        <v>0.0225</v>
      </c>
      <c r="M47" s="57">
        <v>0.0056751</v>
      </c>
    </row>
    <row r="48">
      <c r="C48" s="56" t="s">
        <v>4992</v>
      </c>
      <c r="H48" s="57">
        <v>0.0325</v>
      </c>
      <c r="M48" s="57">
        <v>0.0055713</v>
      </c>
    </row>
    <row r="49">
      <c r="C49" s="56" t="s">
        <v>4992</v>
      </c>
      <c r="H49" s="57">
        <v>0.0575</v>
      </c>
      <c r="M49" s="57">
        <v>0.0053111</v>
      </c>
    </row>
    <row r="50">
      <c r="C50" s="56" t="s">
        <v>4992</v>
      </c>
      <c r="H50" s="57">
        <v>0.0325</v>
      </c>
      <c r="M50" s="57">
        <v>0.0051128</v>
      </c>
    </row>
    <row r="51">
      <c r="C51" s="56" t="s">
        <v>4988</v>
      </c>
      <c r="H51" s="57">
        <v>0.0125</v>
      </c>
      <c r="M51" s="57">
        <v>0.0050742</v>
      </c>
    </row>
    <row r="52">
      <c r="C52" s="56" t="s">
        <v>4994</v>
      </c>
      <c r="H52" s="57">
        <v>0.0175</v>
      </c>
      <c r="M52" s="57">
        <v>0.0048014</v>
      </c>
    </row>
    <row r="53">
      <c r="C53" s="56" t="s">
        <v>4989</v>
      </c>
      <c r="H53" s="57">
        <v>0.0225</v>
      </c>
      <c r="M53" s="57">
        <v>0.0047405</v>
      </c>
    </row>
    <row r="54">
      <c r="C54" s="56" t="s">
        <v>4992</v>
      </c>
      <c r="H54" s="57">
        <v>0.0175</v>
      </c>
      <c r="M54" s="57">
        <v>0.0047107</v>
      </c>
    </row>
    <row r="55">
      <c r="C55" s="56" t="s">
        <v>4990</v>
      </c>
      <c r="H55" s="57">
        <v>0.0475</v>
      </c>
      <c r="M55" s="57">
        <v>0.0044965</v>
      </c>
    </row>
    <row r="56">
      <c r="C56" s="56" t="s">
        <v>4988</v>
      </c>
      <c r="H56" s="57">
        <v>0.055</v>
      </c>
      <c r="M56" s="57">
        <v>0.0044547</v>
      </c>
    </row>
    <row r="57">
      <c r="C57" s="56" t="s">
        <v>4989</v>
      </c>
      <c r="H57" s="57">
        <v>0.015</v>
      </c>
      <c r="M57" s="57">
        <v>0.0044154</v>
      </c>
    </row>
    <row r="58">
      <c r="C58" s="56" t="s">
        <v>4989</v>
      </c>
      <c r="H58" s="57">
        <v>0.0475</v>
      </c>
      <c r="M58" s="57">
        <v>0.0043141</v>
      </c>
    </row>
    <row r="59">
      <c r="C59" s="56" t="s">
        <v>4993</v>
      </c>
      <c r="H59" s="58">
        <v>0.04</v>
      </c>
      <c r="M59" s="57">
        <v>0.0039393</v>
      </c>
    </row>
    <row r="60">
      <c r="C60" s="56" t="s">
        <v>4995</v>
      </c>
      <c r="H60" s="58">
        <v>0.05</v>
      </c>
      <c r="M60" s="57">
        <v>0.0038489</v>
      </c>
    </row>
    <row r="61">
      <c r="C61" s="56" t="s">
        <v>4992</v>
      </c>
      <c r="H61" s="57">
        <v>0.015</v>
      </c>
      <c r="M61" s="57">
        <v>0.0036672</v>
      </c>
    </row>
    <row r="62">
      <c r="C62" s="56" t="s">
        <v>4993</v>
      </c>
      <c r="H62" s="58">
        <v>0.05</v>
      </c>
      <c r="M62" s="57">
        <v>0.0035861</v>
      </c>
    </row>
    <row r="63">
      <c r="C63" s="56" t="s">
        <v>4996</v>
      </c>
      <c r="H63" s="58">
        <v>0.03</v>
      </c>
      <c r="M63" s="57">
        <v>0.0035676</v>
      </c>
    </row>
    <row r="64">
      <c r="C64" s="56" t="s">
        <v>4989</v>
      </c>
      <c r="H64" s="58">
        <v>0.02</v>
      </c>
      <c r="M64" s="57">
        <v>0.0033357</v>
      </c>
    </row>
    <row r="65">
      <c r="C65" s="56" t="s">
        <v>4989</v>
      </c>
      <c r="H65" s="58">
        <v>0.01</v>
      </c>
      <c r="M65" s="57">
        <v>0.0033169</v>
      </c>
    </row>
    <row r="66">
      <c r="C66" s="56" t="s">
        <v>4996</v>
      </c>
      <c r="H66" s="57">
        <v>0.025</v>
      </c>
      <c r="M66" s="57">
        <v>0.0032117</v>
      </c>
    </row>
    <row r="67">
      <c r="C67" s="56" t="s">
        <v>4990</v>
      </c>
      <c r="H67" s="58">
        <v>0.01</v>
      </c>
      <c r="M67" s="57">
        <v>0.0031551</v>
      </c>
    </row>
    <row r="68">
      <c r="C68" s="56" t="s">
        <v>4997</v>
      </c>
      <c r="H68" s="58">
        <v>0.04</v>
      </c>
      <c r="M68" s="57">
        <v>0.0029706</v>
      </c>
    </row>
    <row r="69">
      <c r="C69" s="56" t="s">
        <v>4992</v>
      </c>
      <c r="H69" s="57">
        <v>0.0175</v>
      </c>
      <c r="M69" s="57">
        <v>0.0029512</v>
      </c>
    </row>
    <row r="70">
      <c r="C70" s="56" t="s">
        <v>4996</v>
      </c>
      <c r="H70" s="57">
        <v>0.0275</v>
      </c>
      <c r="M70" s="57">
        <v>0.0028365</v>
      </c>
    </row>
    <row r="71">
      <c r="C71" s="56" t="s">
        <v>4996</v>
      </c>
      <c r="H71" s="58">
        <v>0.03</v>
      </c>
      <c r="M71" s="57">
        <v>0.0028052</v>
      </c>
    </row>
    <row r="72">
      <c r="C72" s="56" t="s">
        <v>4998</v>
      </c>
      <c r="H72" s="58">
        <v>0.03</v>
      </c>
      <c r="M72" s="57">
        <v>0.0027105</v>
      </c>
    </row>
    <row r="73">
      <c r="C73" s="56" t="s">
        <v>4996</v>
      </c>
      <c r="H73" s="57">
        <v>0.0325</v>
      </c>
      <c r="M73" s="57">
        <v>0.0026462</v>
      </c>
    </row>
    <row r="74">
      <c r="C74" s="56" t="s">
        <v>4992</v>
      </c>
      <c r="H74" s="58">
        <v>0.02</v>
      </c>
      <c r="M74" s="57">
        <v>0.0026204</v>
      </c>
    </row>
    <row r="75">
      <c r="C75" s="56" t="s">
        <v>4996</v>
      </c>
      <c r="H75" s="58">
        <v>0.06</v>
      </c>
      <c r="M75" s="57">
        <v>0.002513</v>
      </c>
    </row>
    <row r="76">
      <c r="C76" s="56" t="s">
        <v>4998</v>
      </c>
      <c r="H76" s="57">
        <v>0.0275</v>
      </c>
      <c r="M76" s="57">
        <v>0.0024969</v>
      </c>
    </row>
    <row r="77">
      <c r="C77" s="56" t="s">
        <v>4998</v>
      </c>
      <c r="H77" s="58">
        <v>0.03</v>
      </c>
      <c r="M77" s="57">
        <v>0.0023908</v>
      </c>
    </row>
    <row r="78">
      <c r="C78" s="56" t="s">
        <v>4992</v>
      </c>
      <c r="H78" s="57">
        <v>0.045</v>
      </c>
      <c r="M78" s="57">
        <v>0.002345</v>
      </c>
    </row>
    <row r="79">
      <c r="C79" s="56" t="s">
        <v>4997</v>
      </c>
      <c r="H79" s="58">
        <v>0.05</v>
      </c>
      <c r="M79" s="57">
        <v>0.002172</v>
      </c>
    </row>
    <row r="80">
      <c r="C80" s="56" t="s">
        <v>4998</v>
      </c>
      <c r="H80" s="57">
        <v>0.0225</v>
      </c>
      <c r="M80" s="57">
        <v>0.0021203</v>
      </c>
    </row>
    <row r="81">
      <c r="C81" s="56" t="s">
        <v>4999</v>
      </c>
      <c r="H81" s="57">
        <v>0.025</v>
      </c>
      <c r="M81" s="57">
        <v>0.0020134</v>
      </c>
    </row>
    <row r="82">
      <c r="C82" s="56" t="s">
        <v>4998</v>
      </c>
      <c r="H82" s="57">
        <v>0.0175</v>
      </c>
      <c r="M82" s="57">
        <v>0.001836</v>
      </c>
    </row>
    <row r="83">
      <c r="C83" s="56" t="s">
        <v>5000</v>
      </c>
      <c r="H83" s="57">
        <v>0.022</v>
      </c>
      <c r="M83" s="57">
        <v>0.001693</v>
      </c>
    </row>
    <row r="84">
      <c r="C84" s="56" t="s">
        <v>5001</v>
      </c>
      <c r="H84" s="57">
        <v>0.015</v>
      </c>
      <c r="M84" s="57">
        <v>0.0016139</v>
      </c>
    </row>
    <row r="85">
      <c r="C85" s="56" t="s">
        <v>5002</v>
      </c>
      <c r="H85" s="58">
        <v>0.03</v>
      </c>
      <c r="M85" s="57">
        <v>0.0016027</v>
      </c>
    </row>
    <row r="86">
      <c r="C86" s="56" t="s">
        <v>5003</v>
      </c>
      <c r="H86" s="57">
        <v>0.029</v>
      </c>
      <c r="M86" s="57">
        <v>0.001569</v>
      </c>
    </row>
    <row r="87">
      <c r="C87" s="56" t="s">
        <v>4997</v>
      </c>
      <c r="H87" s="57">
        <v>0.032</v>
      </c>
      <c r="M87" s="57">
        <v>0.0015669</v>
      </c>
    </row>
    <row r="88">
      <c r="C88" s="56" t="s">
        <v>4990</v>
      </c>
      <c r="H88" s="57">
        <v>0.0425</v>
      </c>
      <c r="M88" s="57">
        <v>0.0015278</v>
      </c>
    </row>
    <row r="89">
      <c r="C89" s="56" t="s">
        <v>4989</v>
      </c>
      <c r="H89" s="58">
        <v>0.02</v>
      </c>
      <c r="M89" s="57">
        <v>0.0015228</v>
      </c>
    </row>
    <row r="90">
      <c r="C90" s="56" t="s">
        <v>5004</v>
      </c>
      <c r="H90" s="57">
        <v>0.0425</v>
      </c>
      <c r="M90" s="57">
        <v>0.0014687</v>
      </c>
    </row>
    <row r="91">
      <c r="C91" s="56" t="s">
        <v>4997</v>
      </c>
      <c r="H91" s="57">
        <v>0.043</v>
      </c>
      <c r="M91" s="57">
        <v>0.0014266</v>
      </c>
    </row>
    <row r="92">
      <c r="C92" s="56" t="s">
        <v>5003</v>
      </c>
      <c r="H92" s="57">
        <v>0.0475</v>
      </c>
      <c r="M92" s="57">
        <v>0.0014085</v>
      </c>
    </row>
    <row r="93">
      <c r="C93" s="56" t="s">
        <v>5000</v>
      </c>
      <c r="H93" s="57">
        <v>0.033</v>
      </c>
      <c r="M93" s="57">
        <v>0.0013831</v>
      </c>
    </row>
    <row r="94">
      <c r="C94" s="56" t="s">
        <v>4996</v>
      </c>
      <c r="H94" s="57">
        <v>0.0425</v>
      </c>
      <c r="M94" s="57">
        <v>0.0013644</v>
      </c>
    </row>
    <row r="95">
      <c r="C95" s="56" t="s">
        <v>4996</v>
      </c>
      <c r="H95" s="57">
        <v>0.0175</v>
      </c>
      <c r="M95" s="57">
        <v>0.0013483</v>
      </c>
    </row>
    <row r="96">
      <c r="C96" s="56" t="s">
        <v>4996</v>
      </c>
      <c r="H96" s="57">
        <v>0.015</v>
      </c>
      <c r="M96" s="57">
        <v>0.0013292</v>
      </c>
    </row>
    <row r="97">
      <c r="C97" s="56" t="s">
        <v>4998</v>
      </c>
      <c r="H97" s="57">
        <v>0.0175</v>
      </c>
      <c r="M97" s="57">
        <v>0.0013002</v>
      </c>
    </row>
    <row r="98">
      <c r="C98" s="56" t="s">
        <v>4998</v>
      </c>
      <c r="H98" s="57">
        <v>0.0425</v>
      </c>
      <c r="M98" s="57">
        <v>0.0012538</v>
      </c>
    </row>
    <row r="99">
      <c r="C99" s="56" t="s">
        <v>5005</v>
      </c>
      <c r="H99" s="57">
        <v>0.0315</v>
      </c>
      <c r="M99" s="57">
        <v>0.0012504</v>
      </c>
    </row>
    <row r="100">
      <c r="C100" s="56" t="s">
        <v>5006</v>
      </c>
      <c r="H100" s="57">
        <v>0.033</v>
      </c>
      <c r="M100" s="57">
        <v>0.0012481</v>
      </c>
    </row>
    <row r="101">
      <c r="C101" s="56" t="s">
        <v>5007</v>
      </c>
      <c r="H101" s="57">
        <v>0.0125</v>
      </c>
      <c r="M101" s="57">
        <v>0.0012445</v>
      </c>
    </row>
    <row r="102">
      <c r="C102" s="56" t="s">
        <v>5008</v>
      </c>
      <c r="H102" s="58">
        <v>0.02</v>
      </c>
      <c r="M102" s="57">
        <v>0.0012436</v>
      </c>
    </row>
    <row r="103">
      <c r="C103" s="56" t="s">
        <v>4998</v>
      </c>
      <c r="H103" s="58">
        <v>0.03</v>
      </c>
      <c r="M103" s="57">
        <v>0.0011902</v>
      </c>
    </row>
    <row r="104">
      <c r="C104" s="56" t="s">
        <v>4990</v>
      </c>
      <c r="H104" s="57">
        <v>0.0225</v>
      </c>
      <c r="M104" s="57">
        <v>0.0011486</v>
      </c>
    </row>
    <row r="105">
      <c r="C105" s="56" t="s">
        <v>5009</v>
      </c>
      <c r="H105" s="57">
        <v>0.0425</v>
      </c>
      <c r="M105" s="57">
        <v>0.0011104</v>
      </c>
    </row>
    <row r="106">
      <c r="C106" s="56" t="s">
        <v>5010</v>
      </c>
      <c r="H106" s="57">
        <v>0.025</v>
      </c>
      <c r="M106" s="57">
        <v>0.0011061</v>
      </c>
    </row>
    <row r="107">
      <c r="C107" s="56" t="s">
        <v>4998</v>
      </c>
      <c r="H107" s="58">
        <v>0.02</v>
      </c>
      <c r="M107" s="57">
        <v>0.0011054</v>
      </c>
    </row>
    <row r="108">
      <c r="C108" s="56" t="s">
        <v>5001</v>
      </c>
      <c r="H108" s="57">
        <v>0.025</v>
      </c>
      <c r="M108" s="57">
        <v>0.001088</v>
      </c>
    </row>
    <row r="109">
      <c r="C109" s="56" t="s">
        <v>5009</v>
      </c>
      <c r="H109" s="57">
        <v>0.0325</v>
      </c>
      <c r="M109" s="57">
        <v>0.0010873</v>
      </c>
    </row>
    <row r="110">
      <c r="C110" s="56" t="s">
        <v>4992</v>
      </c>
      <c r="H110" s="57">
        <v>0.0225</v>
      </c>
      <c r="M110" s="57">
        <v>0.0010871</v>
      </c>
    </row>
    <row r="111">
      <c r="C111" s="56" t="s">
        <v>4996</v>
      </c>
      <c r="H111" s="58">
        <v>0.02</v>
      </c>
      <c r="M111" s="57">
        <v>0.0010826</v>
      </c>
    </row>
    <row r="112">
      <c r="C112" s="56" t="s">
        <v>5003</v>
      </c>
      <c r="H112" s="57">
        <v>0.042</v>
      </c>
      <c r="M112" s="57">
        <v>0.001074</v>
      </c>
    </row>
    <row r="113">
      <c r="C113" s="56" t="s">
        <v>5011</v>
      </c>
      <c r="H113" s="57">
        <v>0.045</v>
      </c>
      <c r="M113" s="57">
        <v>0.0010315</v>
      </c>
    </row>
    <row r="114">
      <c r="C114" s="56" t="s">
        <v>5005</v>
      </c>
      <c r="H114" s="57">
        <v>0.0075</v>
      </c>
      <c r="M114" s="57">
        <v>0.0010312</v>
      </c>
    </row>
    <row r="115">
      <c r="C115" s="56" t="s">
        <v>5000</v>
      </c>
      <c r="H115" s="57">
        <v>0.044</v>
      </c>
      <c r="M115" s="57">
        <v>0.001022</v>
      </c>
    </row>
    <row r="116">
      <c r="C116" s="56" t="s">
        <v>5012</v>
      </c>
      <c r="H116" s="57">
        <v>0.033</v>
      </c>
      <c r="M116" s="57">
        <v>0.0010153</v>
      </c>
    </row>
    <row r="117">
      <c r="C117" s="56" t="s">
        <v>4990</v>
      </c>
      <c r="H117" s="57">
        <v>0.035</v>
      </c>
      <c r="M117" s="57">
        <v>0.0010147</v>
      </c>
    </row>
    <row r="118">
      <c r="C118" s="56" t="s">
        <v>4989</v>
      </c>
      <c r="H118" s="57">
        <v>0.0225</v>
      </c>
      <c r="M118" s="57">
        <v>9.899E-4</v>
      </c>
    </row>
    <row r="119">
      <c r="C119" s="56" t="s">
        <v>5003</v>
      </c>
      <c r="H119" s="57">
        <v>0.031</v>
      </c>
      <c r="M119" s="57">
        <v>9.885E-4</v>
      </c>
    </row>
    <row r="120">
      <c r="C120" s="56" t="s">
        <v>5009</v>
      </c>
      <c r="H120" s="57">
        <v>0.0475</v>
      </c>
      <c r="M120" s="57">
        <v>9.819E-4</v>
      </c>
    </row>
    <row r="121">
      <c r="C121" s="56" t="s">
        <v>5013</v>
      </c>
      <c r="H121" s="58">
        <v>0.04</v>
      </c>
      <c r="M121" s="57">
        <v>9.801E-4</v>
      </c>
    </row>
    <row r="122">
      <c r="C122" s="56" t="s">
        <v>5014</v>
      </c>
      <c r="H122" s="57">
        <v>0.033</v>
      </c>
      <c r="M122" s="57">
        <v>9.669E-4</v>
      </c>
    </row>
    <row r="123">
      <c r="C123" s="56" t="s">
        <v>5005</v>
      </c>
      <c r="H123" s="57">
        <v>0.0445</v>
      </c>
      <c r="M123" s="57">
        <v>9.562E-4</v>
      </c>
    </row>
    <row r="124">
      <c r="C124" s="56" t="s">
        <v>5005</v>
      </c>
      <c r="H124" s="58">
        <v>0.04</v>
      </c>
      <c r="M124" s="57">
        <v>9.531E-4</v>
      </c>
    </row>
    <row r="125">
      <c r="C125" s="56" t="s">
        <v>5003</v>
      </c>
      <c r="H125" s="57">
        <v>0.018</v>
      </c>
      <c r="M125" s="57">
        <v>9.386E-4</v>
      </c>
    </row>
    <row r="126">
      <c r="C126" s="56" t="s">
        <v>5015</v>
      </c>
      <c r="H126" s="57">
        <v>0.042</v>
      </c>
      <c r="M126" s="57">
        <v>9.339E-4</v>
      </c>
    </row>
    <row r="127">
      <c r="C127" s="56" t="s">
        <v>4992</v>
      </c>
      <c r="H127" s="57">
        <v>0.0225</v>
      </c>
      <c r="M127" s="57">
        <v>9.338E-4</v>
      </c>
    </row>
    <row r="128">
      <c r="C128" s="56" t="s">
        <v>5016</v>
      </c>
      <c r="H128" s="57">
        <v>0.0425</v>
      </c>
      <c r="M128" s="57">
        <v>9.327E-4</v>
      </c>
    </row>
    <row r="129">
      <c r="C129" s="56" t="s">
        <v>5016</v>
      </c>
      <c r="H129" s="57">
        <v>0.0475</v>
      </c>
      <c r="M129" s="57">
        <v>9.207E-4</v>
      </c>
    </row>
    <row r="130">
      <c r="C130" s="56" t="s">
        <v>5000</v>
      </c>
      <c r="H130" s="58">
        <v>0.03</v>
      </c>
      <c r="M130" s="57">
        <v>9.159E-4</v>
      </c>
    </row>
    <row r="131">
      <c r="C131" s="56" t="s">
        <v>5017</v>
      </c>
      <c r="H131" s="57">
        <v>0.024</v>
      </c>
      <c r="M131" s="57">
        <v>9.15E-4</v>
      </c>
    </row>
    <row r="132">
      <c r="C132" s="56" t="s">
        <v>5018</v>
      </c>
      <c r="H132" s="57">
        <v>0.0445</v>
      </c>
      <c r="M132" s="57">
        <v>9.104E-4</v>
      </c>
    </row>
    <row r="133">
      <c r="C133" s="56" t="s">
        <v>5017</v>
      </c>
      <c r="H133" s="57">
        <v>0.0475</v>
      </c>
      <c r="M133" s="57">
        <v>8.966E-4</v>
      </c>
    </row>
    <row r="134">
      <c r="C134" s="56" t="s">
        <v>5018</v>
      </c>
      <c r="H134" s="57">
        <v>0.042</v>
      </c>
      <c r="M134" s="57">
        <v>8.964E-4</v>
      </c>
    </row>
    <row r="135">
      <c r="C135" s="56" t="s">
        <v>5015</v>
      </c>
      <c r="H135" s="58">
        <v>0.01</v>
      </c>
      <c r="M135" s="57">
        <v>8.916E-4</v>
      </c>
    </row>
    <row r="136">
      <c r="C136" s="56" t="s">
        <v>5019</v>
      </c>
      <c r="H136" s="57">
        <v>0.0375</v>
      </c>
      <c r="M136" s="57">
        <v>8.891E-4</v>
      </c>
    </row>
    <row r="137">
      <c r="C137" s="56" t="s">
        <v>98</v>
      </c>
      <c r="H137" s="58">
        <v>0.05</v>
      </c>
      <c r="M137" s="57">
        <v>8.642E-4</v>
      </c>
    </row>
    <row r="138">
      <c r="C138" s="56" t="s">
        <v>5020</v>
      </c>
      <c r="H138" s="58">
        <v>0.04</v>
      </c>
      <c r="M138" s="57">
        <v>8.552E-4</v>
      </c>
    </row>
    <row r="139">
      <c r="C139" s="56" t="s">
        <v>4992</v>
      </c>
      <c r="H139" s="57">
        <v>0.0125</v>
      </c>
      <c r="M139" s="57">
        <v>8.481E-4</v>
      </c>
    </row>
    <row r="140">
      <c r="C140" s="56" t="s">
        <v>4992</v>
      </c>
      <c r="H140" s="57">
        <v>0.045</v>
      </c>
      <c r="M140" s="57">
        <v>8.467E-4</v>
      </c>
    </row>
    <row r="141">
      <c r="C141" s="56" t="s">
        <v>5020</v>
      </c>
      <c r="H141" s="57">
        <v>0.011</v>
      </c>
      <c r="M141" s="57">
        <v>8.356E-4</v>
      </c>
    </row>
    <row r="142">
      <c r="C142" s="56" t="s">
        <v>4990</v>
      </c>
      <c r="H142" s="57">
        <v>0.0225</v>
      </c>
      <c r="M142" s="57">
        <v>8.305E-4</v>
      </c>
    </row>
    <row r="143">
      <c r="C143" s="56" t="s">
        <v>5005</v>
      </c>
      <c r="H143" s="57">
        <v>0.032</v>
      </c>
      <c r="M143" s="57">
        <v>8.182E-4</v>
      </c>
    </row>
    <row r="144">
      <c r="C144" s="56" t="s">
        <v>5021</v>
      </c>
      <c r="H144" s="57">
        <v>0.0345</v>
      </c>
      <c r="M144" s="57">
        <v>8.178E-4</v>
      </c>
    </row>
    <row r="145">
      <c r="C145" s="56" t="s">
        <v>5022</v>
      </c>
      <c r="H145" s="57">
        <v>0.048</v>
      </c>
      <c r="M145" s="57">
        <v>8.155E-4</v>
      </c>
    </row>
    <row r="146">
      <c r="C146" s="56" t="s">
        <v>5021</v>
      </c>
      <c r="H146" s="57">
        <v>0.033</v>
      </c>
      <c r="M146" s="57">
        <v>8.145E-4</v>
      </c>
    </row>
    <row r="147">
      <c r="C147" s="56" t="s">
        <v>5023</v>
      </c>
      <c r="H147" s="57">
        <v>0.0405</v>
      </c>
      <c r="M147" s="57">
        <v>8.123E-4</v>
      </c>
    </row>
    <row r="148">
      <c r="C148" s="56" t="s">
        <v>5014</v>
      </c>
      <c r="H148" s="57">
        <v>0.037</v>
      </c>
      <c r="M148" s="57">
        <v>8.085E-4</v>
      </c>
    </row>
    <row r="149">
      <c r="C149" s="56" t="s">
        <v>5024</v>
      </c>
      <c r="H149" s="57">
        <v>0.0475</v>
      </c>
      <c r="M149" s="57">
        <v>7.854E-4</v>
      </c>
    </row>
    <row r="150">
      <c r="C150" s="56" t="s">
        <v>5008</v>
      </c>
      <c r="H150" s="58">
        <v>0.04</v>
      </c>
      <c r="M150" s="57">
        <v>7.797E-4</v>
      </c>
    </row>
    <row r="151">
      <c r="C151" s="56" t="s">
        <v>5025</v>
      </c>
      <c r="H151" s="57">
        <v>0.0325</v>
      </c>
      <c r="M151" s="57">
        <v>7.683E-4</v>
      </c>
    </row>
    <row r="152">
      <c r="C152" s="56" t="s">
        <v>5025</v>
      </c>
      <c r="H152" s="57">
        <v>0.033</v>
      </c>
      <c r="M152" s="57">
        <v>7.646E-4</v>
      </c>
    </row>
    <row r="153">
      <c r="C153" s="56" t="s">
        <v>5014</v>
      </c>
      <c r="H153" s="57">
        <v>0.011</v>
      </c>
      <c r="M153" s="57">
        <v>7.592E-4</v>
      </c>
    </row>
    <row r="154">
      <c r="C154" s="56" t="s">
        <v>4998</v>
      </c>
      <c r="H154" s="57">
        <v>0.0275</v>
      </c>
      <c r="M154" s="57">
        <v>7.533E-4</v>
      </c>
    </row>
    <row r="155">
      <c r="C155" s="56" t="s">
        <v>5010</v>
      </c>
      <c r="H155" s="57">
        <v>0.045</v>
      </c>
      <c r="M155" s="57">
        <v>7.497E-4</v>
      </c>
    </row>
    <row r="156">
      <c r="C156" s="56" t="s">
        <v>5003</v>
      </c>
      <c r="H156" s="57">
        <v>0.0075</v>
      </c>
      <c r="M156" s="57">
        <v>7.456E-4</v>
      </c>
    </row>
    <row r="157">
      <c r="C157" s="56" t="s">
        <v>5021</v>
      </c>
      <c r="H157" s="57">
        <v>0.0315</v>
      </c>
      <c r="M157" s="57">
        <v>7.447E-4</v>
      </c>
    </row>
    <row r="158">
      <c r="C158" s="56" t="s">
        <v>5016</v>
      </c>
      <c r="H158" s="57">
        <v>0.025</v>
      </c>
      <c r="M158" s="57">
        <v>7.391E-4</v>
      </c>
    </row>
    <row r="159">
      <c r="C159" s="56" t="s">
        <v>5009</v>
      </c>
      <c r="H159" s="58">
        <v>0.04</v>
      </c>
      <c r="M159" s="57">
        <v>7.359E-4</v>
      </c>
    </row>
    <row r="160">
      <c r="C160" s="56" t="s">
        <v>5026</v>
      </c>
      <c r="H160" s="57">
        <v>0.029</v>
      </c>
      <c r="M160" s="57">
        <v>7.351E-4</v>
      </c>
    </row>
    <row r="161">
      <c r="C161" s="56" t="s">
        <v>5005</v>
      </c>
      <c r="H161" s="57">
        <v>0.032</v>
      </c>
      <c r="M161" s="57">
        <v>7.277E-4</v>
      </c>
    </row>
    <row r="162">
      <c r="C162" s="56" t="s">
        <v>4992</v>
      </c>
      <c r="H162" s="57">
        <v>0.042</v>
      </c>
      <c r="M162" s="57">
        <v>7.196E-4</v>
      </c>
    </row>
    <row r="163">
      <c r="C163" s="56" t="s">
        <v>5000</v>
      </c>
      <c r="H163" s="57">
        <v>0.011</v>
      </c>
      <c r="M163" s="57">
        <v>7.162E-4</v>
      </c>
    </row>
    <row r="164">
      <c r="C164" s="56" t="s">
        <v>5004</v>
      </c>
      <c r="H164" s="57">
        <v>0.0525</v>
      </c>
      <c r="M164" s="57">
        <v>7.148E-4</v>
      </c>
    </row>
    <row r="165">
      <c r="C165" s="56" t="s">
        <v>5027</v>
      </c>
      <c r="H165" s="57">
        <v>0.0375</v>
      </c>
      <c r="M165" s="57">
        <v>7.146E-4</v>
      </c>
    </row>
    <row r="166">
      <c r="C166" s="56" t="s">
        <v>4997</v>
      </c>
      <c r="H166" s="57">
        <v>0.042</v>
      </c>
      <c r="M166" s="57">
        <v>7.116E-4</v>
      </c>
    </row>
    <row r="167">
      <c r="C167" s="56" t="s">
        <v>5008</v>
      </c>
      <c r="H167" s="57">
        <v>0.0325</v>
      </c>
      <c r="M167" s="57">
        <v>7.115E-4</v>
      </c>
    </row>
    <row r="168">
      <c r="C168" s="56" t="s">
        <v>5000</v>
      </c>
      <c r="H168" s="57">
        <v>0.005</v>
      </c>
      <c r="M168" s="57">
        <v>7.113E-4</v>
      </c>
    </row>
    <row r="169">
      <c r="C169" s="56" t="s">
        <v>5028</v>
      </c>
      <c r="H169" s="57">
        <v>0.0425</v>
      </c>
      <c r="M169" s="57">
        <v>7.059E-4</v>
      </c>
    </row>
    <row r="170">
      <c r="C170" s="56" t="s">
        <v>5018</v>
      </c>
      <c r="H170" s="57">
        <v>0.044</v>
      </c>
      <c r="M170" s="57">
        <v>7.001E-4</v>
      </c>
    </row>
    <row r="171">
      <c r="C171" s="56" t="s">
        <v>5005</v>
      </c>
      <c r="H171" s="57">
        <v>0.015</v>
      </c>
      <c r="M171" s="57">
        <v>6.827E-4</v>
      </c>
    </row>
    <row r="172">
      <c r="C172" s="56" t="s">
        <v>5027</v>
      </c>
      <c r="H172" s="58">
        <v>0.02</v>
      </c>
      <c r="M172" s="57">
        <v>6.824E-4</v>
      </c>
    </row>
    <row r="173">
      <c r="C173" s="56" t="s">
        <v>5029</v>
      </c>
      <c r="H173" s="58">
        <v>0.03</v>
      </c>
      <c r="M173" s="57">
        <v>6.823E-4</v>
      </c>
    </row>
    <row r="174">
      <c r="C174" s="56" t="s">
        <v>5030</v>
      </c>
      <c r="H174" s="57">
        <v>0.045</v>
      </c>
      <c r="M174" s="57">
        <v>6.823E-4</v>
      </c>
    </row>
    <row r="175">
      <c r="C175" s="56" t="s">
        <v>5030</v>
      </c>
      <c r="H175" s="57">
        <v>0.044</v>
      </c>
      <c r="M175" s="57">
        <v>6.818E-4</v>
      </c>
    </row>
    <row r="176">
      <c r="C176" s="56" t="s">
        <v>4997</v>
      </c>
      <c r="H176" s="57">
        <v>0.041</v>
      </c>
      <c r="M176" s="57">
        <v>6.779E-4</v>
      </c>
    </row>
    <row r="177">
      <c r="C177" s="56" t="s">
        <v>5005</v>
      </c>
      <c r="H177" s="57">
        <v>0.036</v>
      </c>
      <c r="M177" s="57">
        <v>6.689E-4</v>
      </c>
    </row>
    <row r="178">
      <c r="C178" s="56" t="s">
        <v>5010</v>
      </c>
      <c r="H178" s="57">
        <v>0.0125</v>
      </c>
      <c r="M178" s="57">
        <v>6.604E-4</v>
      </c>
    </row>
    <row r="179">
      <c r="C179" s="56" t="s">
        <v>4998</v>
      </c>
      <c r="H179" s="57">
        <v>0.0475</v>
      </c>
      <c r="M179" s="57">
        <v>6.602E-4</v>
      </c>
    </row>
    <row r="180">
      <c r="C180" s="56" t="s">
        <v>5022</v>
      </c>
      <c r="H180" s="57">
        <v>0.024</v>
      </c>
      <c r="M180" s="57">
        <v>6.543E-4</v>
      </c>
    </row>
    <row r="181">
      <c r="C181" s="56" t="s">
        <v>5031</v>
      </c>
      <c r="H181" s="57">
        <v>0.0215</v>
      </c>
      <c r="M181" s="57">
        <v>6.525E-4</v>
      </c>
    </row>
    <row r="182">
      <c r="C182" s="56" t="s">
        <v>5027</v>
      </c>
      <c r="H182" s="57">
        <v>0.0275</v>
      </c>
      <c r="M182" s="57">
        <v>6.511E-4</v>
      </c>
    </row>
    <row r="183">
      <c r="C183" s="56" t="s">
        <v>5032</v>
      </c>
      <c r="H183" s="57">
        <v>0.0245</v>
      </c>
      <c r="M183" s="57">
        <v>6.504E-4</v>
      </c>
    </row>
    <row r="184">
      <c r="C184" s="56" t="s">
        <v>5033</v>
      </c>
      <c r="H184" s="57">
        <v>0.0175</v>
      </c>
      <c r="M184" s="57">
        <v>6.487E-4</v>
      </c>
    </row>
    <row r="185">
      <c r="C185" s="56" t="s">
        <v>5027</v>
      </c>
      <c r="H185" s="57">
        <v>0.035</v>
      </c>
      <c r="M185" s="57">
        <v>6.435E-4</v>
      </c>
    </row>
    <row r="186">
      <c r="C186" s="56" t="s">
        <v>5034</v>
      </c>
      <c r="H186" s="57">
        <v>0.0425</v>
      </c>
      <c r="M186" s="57">
        <v>6.414E-4</v>
      </c>
    </row>
    <row r="187">
      <c r="C187" s="56" t="s">
        <v>5035</v>
      </c>
      <c r="H187" s="57">
        <v>0.04642</v>
      </c>
      <c r="M187" s="57">
        <v>6.383E-4</v>
      </c>
    </row>
    <row r="188">
      <c r="C188" s="56" t="s">
        <v>98</v>
      </c>
      <c r="H188" s="57">
        <v>0.044</v>
      </c>
      <c r="M188" s="57">
        <v>6.376E-4</v>
      </c>
    </row>
    <row r="189">
      <c r="C189" s="56" t="s">
        <v>5014</v>
      </c>
      <c r="H189" s="57">
        <v>0.008</v>
      </c>
      <c r="M189" s="57">
        <v>6.294E-4</v>
      </c>
    </row>
    <row r="190">
      <c r="C190" s="56" t="s">
        <v>5014</v>
      </c>
      <c r="H190" s="57">
        <v>0.045</v>
      </c>
      <c r="M190" s="57">
        <v>6.222E-4</v>
      </c>
    </row>
    <row r="191">
      <c r="C191" s="56" t="s">
        <v>5036</v>
      </c>
      <c r="H191" s="57">
        <v>0.0525</v>
      </c>
      <c r="M191" s="57">
        <v>6.16E-4</v>
      </c>
    </row>
    <row r="192">
      <c r="C192" s="56" t="s">
        <v>5003</v>
      </c>
      <c r="H192" s="57">
        <v>0.033</v>
      </c>
      <c r="M192" s="57">
        <v>6.121E-4</v>
      </c>
    </row>
    <row r="193">
      <c r="C193" s="56" t="s">
        <v>5037</v>
      </c>
      <c r="H193" s="57">
        <v>0.0425</v>
      </c>
      <c r="M193" s="57">
        <v>6.101E-4</v>
      </c>
    </row>
    <row r="194">
      <c r="C194" s="56" t="s">
        <v>5014</v>
      </c>
      <c r="H194" s="57">
        <v>0.0375</v>
      </c>
      <c r="M194" s="57">
        <v>6.08E-4</v>
      </c>
    </row>
    <row r="195">
      <c r="C195" s="56" t="s">
        <v>5038</v>
      </c>
      <c r="H195" s="57">
        <v>0.0145</v>
      </c>
      <c r="M195" s="57">
        <v>6.052E-4</v>
      </c>
    </row>
    <row r="196">
      <c r="C196" s="56" t="s">
        <v>5010</v>
      </c>
      <c r="H196" s="58">
        <v>0.03</v>
      </c>
      <c r="M196" s="57">
        <v>5.969E-4</v>
      </c>
    </row>
    <row r="197">
      <c r="C197" s="56" t="s">
        <v>5039</v>
      </c>
      <c r="H197" s="57">
        <v>0.0475</v>
      </c>
      <c r="M197" s="57">
        <v>5.932E-4</v>
      </c>
    </row>
    <row r="198">
      <c r="C198" s="56" t="s">
        <v>5016</v>
      </c>
      <c r="H198" s="57">
        <v>0.0385</v>
      </c>
      <c r="M198" s="57">
        <v>5.922E-4</v>
      </c>
    </row>
    <row r="199">
      <c r="C199" s="56" t="s">
        <v>5008</v>
      </c>
      <c r="H199" s="57">
        <v>0.0325</v>
      </c>
      <c r="M199" s="57">
        <v>5.908E-4</v>
      </c>
    </row>
    <row r="200">
      <c r="C200" s="56" t="s">
        <v>5022</v>
      </c>
      <c r="H200" s="57">
        <v>0.038</v>
      </c>
      <c r="M200" s="57">
        <v>5.903E-4</v>
      </c>
    </row>
    <row r="201">
      <c r="C201" s="56" t="s">
        <v>5040</v>
      </c>
      <c r="H201" s="57">
        <v>0.0185</v>
      </c>
      <c r="M201" s="57">
        <v>5.833E-4</v>
      </c>
    </row>
    <row r="202">
      <c r="C202" s="56" t="s">
        <v>4992</v>
      </c>
      <c r="H202" s="57">
        <v>0.065</v>
      </c>
      <c r="M202" s="57">
        <v>5.793E-4</v>
      </c>
    </row>
    <row r="203">
      <c r="C203" s="56" t="s">
        <v>5041</v>
      </c>
      <c r="H203" s="57">
        <v>0.0535</v>
      </c>
      <c r="M203" s="57">
        <v>5.771E-4</v>
      </c>
    </row>
    <row r="204">
      <c r="C204" s="56" t="s">
        <v>5010</v>
      </c>
      <c r="H204" s="57">
        <v>0.0175</v>
      </c>
      <c r="M204" s="57">
        <v>5.718E-4</v>
      </c>
    </row>
    <row r="205">
      <c r="C205" s="56" t="s">
        <v>5016</v>
      </c>
      <c r="H205" s="57">
        <v>0.0329</v>
      </c>
      <c r="M205" s="57">
        <v>5.688E-4</v>
      </c>
    </row>
    <row r="206">
      <c r="C206" s="56" t="s">
        <v>5026</v>
      </c>
      <c r="H206" s="58">
        <v>0.05</v>
      </c>
      <c r="M206" s="57">
        <v>5.681E-4</v>
      </c>
    </row>
    <row r="207">
      <c r="C207" s="56" t="s">
        <v>5042</v>
      </c>
      <c r="H207" s="57">
        <v>0.045</v>
      </c>
      <c r="M207" s="57">
        <v>5.651E-4</v>
      </c>
    </row>
    <row r="208">
      <c r="C208" s="56" t="s">
        <v>5043</v>
      </c>
      <c r="H208" s="57">
        <v>0.0625</v>
      </c>
      <c r="M208" s="57">
        <v>5.641E-4</v>
      </c>
    </row>
    <row r="209">
      <c r="C209" s="56" t="s">
        <v>5027</v>
      </c>
      <c r="H209" s="57">
        <v>0.035</v>
      </c>
      <c r="M209" s="57">
        <v>5.561E-4</v>
      </c>
    </row>
    <row r="210">
      <c r="C210" s="56" t="s">
        <v>5020</v>
      </c>
      <c r="H210" s="57">
        <v>0.0475</v>
      </c>
      <c r="M210" s="57">
        <v>5.554E-4</v>
      </c>
    </row>
    <row r="211">
      <c r="C211" s="56" t="s">
        <v>4989</v>
      </c>
      <c r="H211" s="57">
        <v>0.024</v>
      </c>
      <c r="M211" s="57">
        <v>5.548E-4</v>
      </c>
    </row>
    <row r="212">
      <c r="C212" s="56" t="s">
        <v>98</v>
      </c>
      <c r="H212" s="57">
        <v>0.024</v>
      </c>
      <c r="M212" s="57">
        <v>5.54E-4</v>
      </c>
    </row>
    <row r="213">
      <c r="C213" s="56" t="s">
        <v>5044</v>
      </c>
      <c r="H213" s="57">
        <v>0.0305</v>
      </c>
      <c r="M213" s="57">
        <v>5.534E-4</v>
      </c>
    </row>
    <row r="214">
      <c r="C214" s="56" t="s">
        <v>5045</v>
      </c>
      <c r="H214" s="57">
        <v>0.0425</v>
      </c>
      <c r="M214" s="57">
        <v>5.406E-4</v>
      </c>
    </row>
    <row r="215">
      <c r="C215" s="56" t="s">
        <v>5004</v>
      </c>
      <c r="H215" s="57">
        <v>0.0435</v>
      </c>
      <c r="M215" s="57">
        <v>5.402E-4</v>
      </c>
    </row>
    <row r="216">
      <c r="C216" s="56" t="s">
        <v>5014</v>
      </c>
      <c r="H216" s="57">
        <v>0.039</v>
      </c>
      <c r="M216" s="57">
        <v>5.392E-4</v>
      </c>
    </row>
    <row r="217">
      <c r="C217" s="56" t="s">
        <v>5008</v>
      </c>
      <c r="H217" s="57">
        <v>0.0225</v>
      </c>
      <c r="M217" s="57">
        <v>5.371E-4</v>
      </c>
    </row>
    <row r="218">
      <c r="C218" s="56" t="s">
        <v>5046</v>
      </c>
      <c r="H218" s="57">
        <v>0.039</v>
      </c>
      <c r="M218" s="57">
        <v>5.369E-4</v>
      </c>
    </row>
    <row r="219">
      <c r="C219" s="56" t="s">
        <v>5047</v>
      </c>
      <c r="H219" s="57">
        <v>0.042</v>
      </c>
      <c r="M219" s="57">
        <v>5.344E-4</v>
      </c>
    </row>
    <row r="220">
      <c r="C220" s="56" t="s">
        <v>1257</v>
      </c>
      <c r="H220" s="57">
        <v>0.032</v>
      </c>
      <c r="M220" s="57">
        <v>5.324E-4</v>
      </c>
    </row>
    <row r="221">
      <c r="C221" s="56" t="s">
        <v>4997</v>
      </c>
      <c r="H221" s="57">
        <v>0.038</v>
      </c>
      <c r="M221" s="57">
        <v>5.308E-4</v>
      </c>
    </row>
    <row r="222">
      <c r="C222" s="56" t="s">
        <v>5005</v>
      </c>
      <c r="H222" s="57">
        <v>0.0125</v>
      </c>
      <c r="M222" s="57">
        <v>5.299E-4</v>
      </c>
    </row>
    <row r="223">
      <c r="C223" s="56" t="s">
        <v>5048</v>
      </c>
      <c r="H223" s="57">
        <v>0.029</v>
      </c>
      <c r="M223" s="57">
        <v>5.282E-4</v>
      </c>
    </row>
    <row r="224">
      <c r="C224" s="56" t="s">
        <v>5049</v>
      </c>
      <c r="H224" s="57">
        <v>0.0293</v>
      </c>
      <c r="M224" s="57">
        <v>5.281E-4</v>
      </c>
    </row>
    <row r="225">
      <c r="C225" s="56" t="s">
        <v>5003</v>
      </c>
      <c r="H225" s="57">
        <v>0.017</v>
      </c>
      <c r="M225" s="57">
        <v>5.277E-4</v>
      </c>
    </row>
    <row r="226">
      <c r="C226" s="56" t="s">
        <v>5050</v>
      </c>
      <c r="H226" s="57">
        <v>0.045</v>
      </c>
      <c r="M226" s="57">
        <v>5.277E-4</v>
      </c>
    </row>
    <row r="227">
      <c r="C227" s="56" t="s">
        <v>5004</v>
      </c>
      <c r="H227" s="58">
        <v>0.03</v>
      </c>
      <c r="M227" s="57">
        <v>5.275E-4</v>
      </c>
    </row>
    <row r="228">
      <c r="C228" s="56" t="s">
        <v>98</v>
      </c>
      <c r="H228" s="57">
        <v>0.042</v>
      </c>
      <c r="M228" s="57">
        <v>5.263E-4</v>
      </c>
    </row>
    <row r="229">
      <c r="C229" s="56" t="s">
        <v>5014</v>
      </c>
      <c r="H229" s="57">
        <v>0.034</v>
      </c>
      <c r="M229" s="57">
        <v>5.261E-4</v>
      </c>
    </row>
    <row r="230">
      <c r="C230" s="56" t="s">
        <v>5009</v>
      </c>
      <c r="H230" s="57">
        <v>0.026</v>
      </c>
      <c r="M230" s="57">
        <v>5.128E-4</v>
      </c>
    </row>
    <row r="231">
      <c r="C231" s="56" t="s">
        <v>4990</v>
      </c>
      <c r="H231" s="57">
        <v>0.0125</v>
      </c>
      <c r="M231" s="57">
        <v>5.09E-4</v>
      </c>
    </row>
    <row r="232">
      <c r="C232" s="56" t="s">
        <v>5026</v>
      </c>
      <c r="H232" s="57">
        <v>0.0465</v>
      </c>
      <c r="M232" s="57">
        <v>5.032E-4</v>
      </c>
    </row>
    <row r="233">
      <c r="C233" s="56" t="s">
        <v>5051</v>
      </c>
      <c r="H233" s="57">
        <v>0.0345</v>
      </c>
      <c r="M233" s="57">
        <v>4.98E-4</v>
      </c>
    </row>
    <row r="234">
      <c r="C234" s="56" t="s">
        <v>5026</v>
      </c>
      <c r="H234" s="57">
        <v>0.039</v>
      </c>
      <c r="M234" s="57">
        <v>4.973E-4</v>
      </c>
    </row>
    <row r="235">
      <c r="C235" s="56" t="s">
        <v>5033</v>
      </c>
      <c r="H235" s="57">
        <v>0.017</v>
      </c>
      <c r="M235" s="57">
        <v>4.933E-4</v>
      </c>
    </row>
    <row r="236">
      <c r="C236" s="56" t="s">
        <v>5010</v>
      </c>
      <c r="H236" s="57">
        <v>0.0225</v>
      </c>
      <c r="M236" s="57">
        <v>4.89E-4</v>
      </c>
    </row>
    <row r="237">
      <c r="C237" s="56" t="s">
        <v>5022</v>
      </c>
      <c r="H237" s="57">
        <v>0.027</v>
      </c>
      <c r="M237" s="57">
        <v>4.887E-4</v>
      </c>
    </row>
    <row r="238">
      <c r="C238" s="56" t="s">
        <v>5052</v>
      </c>
      <c r="H238" s="57">
        <v>0.0325</v>
      </c>
      <c r="M238" s="57">
        <v>4.875E-4</v>
      </c>
    </row>
    <row r="239">
      <c r="C239" s="56" t="s">
        <v>5053</v>
      </c>
      <c r="H239" s="57">
        <v>0.035</v>
      </c>
      <c r="M239" s="57">
        <v>4.839E-4</v>
      </c>
    </row>
    <row r="240">
      <c r="C240" s="56" t="s">
        <v>5054</v>
      </c>
      <c r="H240" s="57">
        <v>0.016</v>
      </c>
      <c r="M240" s="57">
        <v>4.837E-4</v>
      </c>
    </row>
    <row r="241">
      <c r="C241" s="56" t="s">
        <v>4997</v>
      </c>
      <c r="H241" s="57">
        <v>0.032</v>
      </c>
      <c r="M241" s="57">
        <v>4.788E-4</v>
      </c>
    </row>
    <row r="242">
      <c r="C242" s="56" t="s">
        <v>5025</v>
      </c>
      <c r="H242" s="57">
        <v>0.0525</v>
      </c>
      <c r="M242" s="57">
        <v>4.781E-4</v>
      </c>
    </row>
    <row r="243">
      <c r="C243" s="56" t="s">
        <v>2618</v>
      </c>
      <c r="H243" s="58">
        <v>0.05</v>
      </c>
      <c r="M243" s="57">
        <v>4.769E-4</v>
      </c>
    </row>
    <row r="244">
      <c r="C244" s="56" t="s">
        <v>5055</v>
      </c>
      <c r="H244" s="57">
        <v>0.00515</v>
      </c>
      <c r="M244" s="57">
        <v>4.763E-4</v>
      </c>
    </row>
    <row r="245">
      <c r="C245" s="56" t="s">
        <v>5038</v>
      </c>
      <c r="H245" s="58">
        <v>0.04</v>
      </c>
      <c r="M245" s="57">
        <v>4.705E-4</v>
      </c>
    </row>
    <row r="246">
      <c r="C246" s="56" t="s">
        <v>5056</v>
      </c>
      <c r="H246" s="58">
        <v>0.04</v>
      </c>
      <c r="M246" s="57">
        <v>4.682E-4</v>
      </c>
    </row>
    <row r="247">
      <c r="C247" s="56" t="s">
        <v>5020</v>
      </c>
      <c r="H247" s="57">
        <v>0.033</v>
      </c>
      <c r="M247" s="57">
        <v>4.681E-4</v>
      </c>
    </row>
    <row r="248">
      <c r="C248" s="56" t="s">
        <v>5006</v>
      </c>
      <c r="H248" s="57">
        <v>0.0245</v>
      </c>
      <c r="M248" s="57">
        <v>4.677E-4</v>
      </c>
    </row>
    <row r="249">
      <c r="C249" s="56" t="s">
        <v>5050</v>
      </c>
      <c r="H249" s="57">
        <v>0.0205</v>
      </c>
      <c r="M249" s="57">
        <v>4.654E-4</v>
      </c>
    </row>
    <row r="250">
      <c r="C250" s="56" t="s">
        <v>98</v>
      </c>
      <c r="H250" s="57">
        <v>0.0475</v>
      </c>
      <c r="M250" s="57">
        <v>4.632E-4</v>
      </c>
    </row>
    <row r="251">
      <c r="C251" s="56" t="s">
        <v>1971</v>
      </c>
      <c r="H251" s="57">
        <v>0.042</v>
      </c>
      <c r="M251" s="57">
        <v>4.622E-4</v>
      </c>
    </row>
    <row r="252">
      <c r="C252" s="56" t="s">
        <v>5057</v>
      </c>
      <c r="H252" s="57">
        <v>0.035</v>
      </c>
      <c r="M252" s="57">
        <v>4.605E-4</v>
      </c>
    </row>
    <row r="253">
      <c r="C253" s="56" t="s">
        <v>5010</v>
      </c>
      <c r="H253" s="57">
        <v>0.0175</v>
      </c>
      <c r="M253" s="57">
        <v>4.587E-4</v>
      </c>
    </row>
    <row r="254">
      <c r="C254" s="56" t="s">
        <v>4998</v>
      </c>
      <c r="H254" s="57">
        <v>0.0225</v>
      </c>
      <c r="M254" s="57">
        <v>4.577E-4</v>
      </c>
    </row>
    <row r="255">
      <c r="C255" s="56" t="s">
        <v>5009</v>
      </c>
      <c r="H255" s="57">
        <v>0.032</v>
      </c>
      <c r="M255" s="57">
        <v>4.559E-4</v>
      </c>
    </row>
    <row r="256">
      <c r="C256" s="56" t="s">
        <v>5025</v>
      </c>
      <c r="H256" s="57">
        <v>0.035</v>
      </c>
      <c r="M256" s="57">
        <v>4.557E-4</v>
      </c>
    </row>
    <row r="257">
      <c r="C257" s="56" t="s">
        <v>4993</v>
      </c>
      <c r="H257" s="58">
        <v>0.06</v>
      </c>
      <c r="M257" s="57">
        <v>4.521E-4</v>
      </c>
    </row>
    <row r="258">
      <c r="C258" s="56" t="s">
        <v>5058</v>
      </c>
      <c r="H258" s="57">
        <v>0.042</v>
      </c>
      <c r="M258" s="57">
        <v>4.515E-4</v>
      </c>
    </row>
    <row r="259">
      <c r="C259" s="56" t="s">
        <v>5059</v>
      </c>
      <c r="H259" s="57">
        <v>0.029</v>
      </c>
      <c r="M259" s="57">
        <v>4.508E-4</v>
      </c>
    </row>
    <row r="260">
      <c r="C260" s="56" t="s">
        <v>5058</v>
      </c>
      <c r="H260" s="57">
        <v>0.06134</v>
      </c>
      <c r="M260" s="57">
        <v>4.504E-4</v>
      </c>
    </row>
    <row r="261">
      <c r="C261" s="56" t="s">
        <v>5027</v>
      </c>
      <c r="H261" s="58">
        <v>0.06</v>
      </c>
      <c r="M261" s="57">
        <v>4.488E-4</v>
      </c>
    </row>
    <row r="262">
      <c r="C262" s="56" t="s">
        <v>5050</v>
      </c>
      <c r="H262" s="57">
        <v>0.045</v>
      </c>
      <c r="M262" s="57">
        <v>4.477E-4</v>
      </c>
    </row>
    <row r="263">
      <c r="C263" s="56" t="s">
        <v>5014</v>
      </c>
      <c r="H263" s="57">
        <v>0.048</v>
      </c>
      <c r="M263" s="57">
        <v>4.466E-4</v>
      </c>
    </row>
    <row r="264">
      <c r="C264" s="56" t="s">
        <v>5060</v>
      </c>
      <c r="H264" s="58">
        <v>0.04</v>
      </c>
      <c r="M264" s="57">
        <v>4.456E-4</v>
      </c>
    </row>
    <row r="265">
      <c r="C265" s="56" t="s">
        <v>5061</v>
      </c>
      <c r="H265" s="57">
        <v>0.051</v>
      </c>
      <c r="M265" s="57">
        <v>4.447E-4</v>
      </c>
    </row>
    <row r="266">
      <c r="C266" s="56" t="s">
        <v>5005</v>
      </c>
      <c r="H266" s="57">
        <v>0.0145</v>
      </c>
      <c r="M266" s="57">
        <v>4.382E-4</v>
      </c>
    </row>
    <row r="267">
      <c r="C267" s="56" t="s">
        <v>5001</v>
      </c>
      <c r="H267" s="58">
        <v>0.03</v>
      </c>
      <c r="M267" s="57">
        <v>4.372E-4</v>
      </c>
    </row>
    <row r="268">
      <c r="C268" s="56" t="s">
        <v>5062</v>
      </c>
      <c r="H268" s="57">
        <v>0.050546</v>
      </c>
      <c r="M268" s="57">
        <v>4.335E-4</v>
      </c>
    </row>
    <row r="269">
      <c r="C269" s="56" t="s">
        <v>5063</v>
      </c>
      <c r="H269" s="58">
        <v>0.01</v>
      </c>
      <c r="M269" s="57">
        <v>4.306E-4</v>
      </c>
    </row>
    <row r="270">
      <c r="C270" s="56" t="s">
        <v>5055</v>
      </c>
      <c r="H270" s="57">
        <v>0.0428</v>
      </c>
      <c r="M270" s="57">
        <v>4.235E-4</v>
      </c>
    </row>
    <row r="271">
      <c r="C271" s="56" t="s">
        <v>5064</v>
      </c>
      <c r="H271" s="57">
        <v>0.035</v>
      </c>
      <c r="M271" s="57">
        <v>4.222E-4</v>
      </c>
    </row>
    <row r="272">
      <c r="C272" s="56" t="s">
        <v>5065</v>
      </c>
      <c r="H272" s="57">
        <v>0.044</v>
      </c>
      <c r="M272" s="57">
        <v>4.199E-4</v>
      </c>
    </row>
    <row r="273">
      <c r="C273" s="56" t="s">
        <v>5016</v>
      </c>
      <c r="H273" s="57">
        <v>0.0315</v>
      </c>
      <c r="M273" s="57">
        <v>4.17E-4</v>
      </c>
    </row>
    <row r="274">
      <c r="C274" s="56" t="s">
        <v>5066</v>
      </c>
      <c r="H274" s="57">
        <v>0.031</v>
      </c>
      <c r="M274" s="57">
        <v>4.123E-4</v>
      </c>
    </row>
    <row r="275">
      <c r="C275" s="56" t="s">
        <v>5058</v>
      </c>
      <c r="H275" s="57">
        <v>0.044</v>
      </c>
      <c r="M275" s="57">
        <v>4.104E-4</v>
      </c>
    </row>
    <row r="276">
      <c r="C276" s="56" t="s">
        <v>5019</v>
      </c>
      <c r="H276" s="57">
        <v>0.01814</v>
      </c>
      <c r="M276" s="57">
        <v>4.102E-4</v>
      </c>
    </row>
    <row r="277">
      <c r="C277" s="56" t="s">
        <v>5015</v>
      </c>
      <c r="H277" s="57">
        <v>0.0475</v>
      </c>
      <c r="M277" s="57">
        <v>4.078E-4</v>
      </c>
    </row>
    <row r="278">
      <c r="C278" s="56" t="s">
        <v>5067</v>
      </c>
      <c r="H278" s="57">
        <v>0.0535</v>
      </c>
      <c r="M278" s="57">
        <v>4.058E-4</v>
      </c>
    </row>
    <row r="279">
      <c r="C279" s="56" t="s">
        <v>5068</v>
      </c>
      <c r="H279" s="57">
        <v>0.02543</v>
      </c>
      <c r="M279" s="57">
        <v>4.054E-4</v>
      </c>
    </row>
    <row r="280">
      <c r="C280" s="56" t="s">
        <v>5029</v>
      </c>
      <c r="H280" s="57">
        <v>0.0325</v>
      </c>
      <c r="M280" s="57">
        <v>4.037E-4</v>
      </c>
    </row>
    <row r="281">
      <c r="C281" s="56" t="s">
        <v>5069</v>
      </c>
      <c r="H281" s="57">
        <v>0.0405</v>
      </c>
      <c r="M281" s="57">
        <v>4.032E-4</v>
      </c>
    </row>
    <row r="282">
      <c r="C282" s="56" t="s">
        <v>5016</v>
      </c>
      <c r="H282" s="57">
        <v>0.0195</v>
      </c>
      <c r="M282" s="57">
        <v>4.028E-4</v>
      </c>
    </row>
    <row r="283">
      <c r="C283" s="56" t="s">
        <v>5022</v>
      </c>
      <c r="H283" s="57">
        <v>0.039</v>
      </c>
      <c r="M283" s="57">
        <v>4.025E-4</v>
      </c>
    </row>
    <row r="284">
      <c r="C284" s="56" t="s">
        <v>5070</v>
      </c>
      <c r="H284" s="57">
        <v>0.012</v>
      </c>
      <c r="M284" s="57">
        <v>3.997E-4</v>
      </c>
    </row>
    <row r="285">
      <c r="C285" s="56" t="s">
        <v>5071</v>
      </c>
      <c r="H285" s="57">
        <v>0.043</v>
      </c>
      <c r="M285" s="57">
        <v>3.972E-4</v>
      </c>
    </row>
    <row r="286">
      <c r="C286" s="56" t="s">
        <v>5010</v>
      </c>
      <c r="H286" s="58">
        <v>0.04</v>
      </c>
      <c r="M286" s="57">
        <v>3.971E-4</v>
      </c>
    </row>
    <row r="287">
      <c r="C287" s="56" t="s">
        <v>5072</v>
      </c>
      <c r="H287" s="57">
        <v>0.018152</v>
      </c>
      <c r="M287" s="57">
        <v>3.96E-4</v>
      </c>
    </row>
    <row r="288">
      <c r="C288" s="56" t="s">
        <v>5063</v>
      </c>
      <c r="H288" s="57">
        <v>0.019</v>
      </c>
      <c r="M288" s="57">
        <v>3.959E-4</v>
      </c>
    </row>
    <row r="289">
      <c r="C289" s="56" t="s">
        <v>5073</v>
      </c>
      <c r="H289" s="58">
        <v>0.04</v>
      </c>
      <c r="M289" s="57">
        <v>3.958E-4</v>
      </c>
    </row>
    <row r="290">
      <c r="C290" s="56" t="s">
        <v>5026</v>
      </c>
      <c r="H290" s="57">
        <v>0.0235</v>
      </c>
      <c r="M290" s="57">
        <v>3.947E-4</v>
      </c>
    </row>
    <row r="291">
      <c r="C291" s="56" t="s">
        <v>5025</v>
      </c>
      <c r="H291" s="57">
        <v>0.0325</v>
      </c>
      <c r="M291" s="57">
        <v>3.944E-4</v>
      </c>
    </row>
    <row r="292">
      <c r="C292" s="56" t="s">
        <v>5074</v>
      </c>
      <c r="H292" s="57">
        <v>0.01941</v>
      </c>
      <c r="M292" s="57">
        <v>3.905E-4</v>
      </c>
    </row>
    <row r="293">
      <c r="C293" s="56" t="s">
        <v>5006</v>
      </c>
      <c r="H293" s="57">
        <v>0.016</v>
      </c>
      <c r="M293" s="57">
        <v>3.899E-4</v>
      </c>
    </row>
    <row r="294">
      <c r="C294" s="56" t="s">
        <v>5037</v>
      </c>
      <c r="H294" s="57">
        <v>0.035</v>
      </c>
      <c r="M294" s="57">
        <v>3.844E-4</v>
      </c>
    </row>
    <row r="295">
      <c r="C295" s="56" t="s">
        <v>5026</v>
      </c>
      <c r="H295" s="57">
        <v>0.0495</v>
      </c>
      <c r="M295" s="57">
        <v>3.834E-4</v>
      </c>
    </row>
    <row r="296">
      <c r="C296" s="56" t="s">
        <v>5003</v>
      </c>
      <c r="H296" s="57">
        <v>0.013</v>
      </c>
      <c r="M296" s="57">
        <v>3.832E-4</v>
      </c>
    </row>
    <row r="297">
      <c r="C297" s="56" t="s">
        <v>5075</v>
      </c>
      <c r="H297" s="58">
        <v>0.03</v>
      </c>
      <c r="M297" s="57">
        <v>3.81E-4</v>
      </c>
    </row>
    <row r="298">
      <c r="C298" s="56" t="s">
        <v>5076</v>
      </c>
      <c r="H298" s="57">
        <v>0.0245</v>
      </c>
      <c r="M298" s="57">
        <v>3.787E-4</v>
      </c>
    </row>
    <row r="299">
      <c r="C299" s="56" t="s">
        <v>5077</v>
      </c>
      <c r="H299" s="57">
        <v>0.038</v>
      </c>
      <c r="M299" s="57">
        <v>3.784E-4</v>
      </c>
    </row>
    <row r="300">
      <c r="C300" s="56" t="s">
        <v>5004</v>
      </c>
      <c r="H300" s="57">
        <v>0.034</v>
      </c>
      <c r="M300" s="57">
        <v>3.779E-4</v>
      </c>
    </row>
    <row r="301">
      <c r="C301" s="56" t="s">
        <v>5078</v>
      </c>
      <c r="H301" s="57">
        <v>0.0375</v>
      </c>
      <c r="M301" s="57">
        <v>3.753E-4</v>
      </c>
    </row>
    <row r="302">
      <c r="C302" s="56" t="s">
        <v>5004</v>
      </c>
      <c r="H302" s="57">
        <v>0.019</v>
      </c>
      <c r="M302" s="57">
        <v>3.747E-4</v>
      </c>
    </row>
    <row r="303">
      <c r="C303" s="56" t="s">
        <v>5054</v>
      </c>
      <c r="H303" s="57">
        <v>0.035</v>
      </c>
      <c r="M303" s="57">
        <v>3.726E-4</v>
      </c>
    </row>
    <row r="304">
      <c r="C304" s="56" t="s">
        <v>5073</v>
      </c>
      <c r="H304" s="57">
        <v>0.01603</v>
      </c>
      <c r="M304" s="57">
        <v>3.724E-4</v>
      </c>
    </row>
    <row r="305">
      <c r="C305" s="56" t="s">
        <v>5079</v>
      </c>
      <c r="H305" s="57">
        <v>0.043</v>
      </c>
      <c r="M305" s="57">
        <v>3.705E-4</v>
      </c>
    </row>
    <row r="306">
      <c r="C306" s="56" t="s">
        <v>5010</v>
      </c>
      <c r="H306" s="57">
        <v>0.025</v>
      </c>
      <c r="M306" s="57">
        <v>3.681E-4</v>
      </c>
    </row>
    <row r="307">
      <c r="C307" s="56" t="s">
        <v>5016</v>
      </c>
      <c r="H307" s="57">
        <v>0.011</v>
      </c>
      <c r="M307" s="57">
        <v>3.681E-4</v>
      </c>
    </row>
    <row r="308">
      <c r="C308" s="56" t="s">
        <v>5027</v>
      </c>
      <c r="H308" s="57">
        <v>0.025</v>
      </c>
      <c r="M308" s="57">
        <v>3.668E-4</v>
      </c>
    </row>
    <row r="309">
      <c r="C309" s="56" t="s">
        <v>5041</v>
      </c>
      <c r="H309" s="57">
        <v>0.031</v>
      </c>
      <c r="M309" s="57">
        <v>3.661E-4</v>
      </c>
    </row>
    <row r="310">
      <c r="C310" s="56" t="s">
        <v>5080</v>
      </c>
      <c r="H310" s="57">
        <v>0.036</v>
      </c>
      <c r="M310" s="57">
        <v>3.654E-4</v>
      </c>
    </row>
    <row r="311">
      <c r="C311" s="56" t="s">
        <v>5040</v>
      </c>
      <c r="H311" s="57">
        <v>0.0285</v>
      </c>
      <c r="M311" s="57">
        <v>3.64E-4</v>
      </c>
    </row>
    <row r="312">
      <c r="C312" s="56" t="s">
        <v>5026</v>
      </c>
      <c r="H312" s="57">
        <v>0.029</v>
      </c>
      <c r="M312" s="57">
        <v>3.614E-4</v>
      </c>
    </row>
    <row r="313">
      <c r="C313" s="56" t="s">
        <v>5081</v>
      </c>
      <c r="H313" s="57">
        <v>0.0315</v>
      </c>
      <c r="M313" s="57">
        <v>3.586E-4</v>
      </c>
    </row>
    <row r="314">
      <c r="C314" s="56" t="s">
        <v>5014</v>
      </c>
      <c r="H314" s="57">
        <v>0.005</v>
      </c>
      <c r="M314" s="57">
        <v>3.56E-4</v>
      </c>
    </row>
    <row r="315">
      <c r="C315" s="56" t="s">
        <v>5011</v>
      </c>
      <c r="H315" s="57">
        <v>0.035</v>
      </c>
      <c r="M315" s="57">
        <v>3.551E-4</v>
      </c>
    </row>
    <row r="316">
      <c r="C316" s="56" t="s">
        <v>5020</v>
      </c>
      <c r="H316" s="57">
        <v>0.045</v>
      </c>
      <c r="M316" s="57">
        <v>3.549E-4</v>
      </c>
    </row>
    <row r="317">
      <c r="C317" s="56" t="s">
        <v>5082</v>
      </c>
      <c r="H317" s="57">
        <v>0.032</v>
      </c>
      <c r="M317" s="57">
        <v>3.546E-4</v>
      </c>
    </row>
    <row r="318">
      <c r="C318" s="56" t="s">
        <v>5083</v>
      </c>
      <c r="H318" s="57">
        <v>0.0375</v>
      </c>
      <c r="M318" s="57">
        <v>3.542E-4</v>
      </c>
    </row>
    <row r="319">
      <c r="C319" s="56" t="s">
        <v>5084</v>
      </c>
      <c r="H319" s="57">
        <v>0.02584</v>
      </c>
      <c r="M319" s="57">
        <v>3.535E-4</v>
      </c>
    </row>
    <row r="320">
      <c r="C320" s="56" t="s">
        <v>5085</v>
      </c>
      <c r="H320" s="57">
        <v>0.021486</v>
      </c>
      <c r="M320" s="57">
        <v>3.518E-4</v>
      </c>
    </row>
    <row r="321">
      <c r="C321" s="56" t="s">
        <v>5086</v>
      </c>
      <c r="H321" s="57">
        <v>0.0141</v>
      </c>
      <c r="M321" s="57">
        <v>3.517E-4</v>
      </c>
    </row>
    <row r="322">
      <c r="C322" s="56" t="s">
        <v>5064</v>
      </c>
      <c r="H322" s="57">
        <v>0.038</v>
      </c>
      <c r="M322" s="57">
        <v>3.51E-4</v>
      </c>
    </row>
    <row r="323">
      <c r="C323" s="56" t="s">
        <v>5087</v>
      </c>
      <c r="H323" s="57">
        <v>0.0245</v>
      </c>
      <c r="M323" s="57">
        <v>3.499E-4</v>
      </c>
    </row>
    <row r="324">
      <c r="C324" s="56" t="s">
        <v>5004</v>
      </c>
      <c r="H324" s="57">
        <v>0.0374</v>
      </c>
      <c r="M324" s="57">
        <v>3.496E-4</v>
      </c>
    </row>
    <row r="325">
      <c r="C325" s="56" t="s">
        <v>5088</v>
      </c>
      <c r="H325" s="58">
        <v>0.05</v>
      </c>
      <c r="M325" s="57">
        <v>3.463E-4</v>
      </c>
    </row>
    <row r="326">
      <c r="C326" s="56" t="s">
        <v>5040</v>
      </c>
      <c r="H326" s="57">
        <v>0.028</v>
      </c>
      <c r="M326" s="57">
        <v>3.46E-4</v>
      </c>
    </row>
    <row r="327">
      <c r="C327" s="56" t="s">
        <v>5089</v>
      </c>
      <c r="H327" s="57">
        <v>0.017</v>
      </c>
      <c r="M327" s="57">
        <v>3.437E-4</v>
      </c>
    </row>
    <row r="328">
      <c r="C328" s="56" t="s">
        <v>5041</v>
      </c>
      <c r="H328" s="57">
        <v>0.0155</v>
      </c>
      <c r="M328" s="57">
        <v>3.434E-4</v>
      </c>
    </row>
    <row r="329">
      <c r="C329" s="56" t="s">
        <v>5090</v>
      </c>
      <c r="H329" s="57">
        <v>0.065</v>
      </c>
      <c r="M329" s="57">
        <v>3.412E-4</v>
      </c>
    </row>
    <row r="330">
      <c r="C330" s="56" t="s">
        <v>5091</v>
      </c>
      <c r="H330" s="57">
        <v>0.012</v>
      </c>
      <c r="M330" s="57">
        <v>3.403E-4</v>
      </c>
    </row>
    <row r="331">
      <c r="C331" s="56" t="s">
        <v>5092</v>
      </c>
      <c r="H331" s="57">
        <v>0.04678</v>
      </c>
      <c r="M331" s="57">
        <v>3.399E-4</v>
      </c>
    </row>
    <row r="332">
      <c r="C332" s="56" t="s">
        <v>5093</v>
      </c>
      <c r="H332" s="57">
        <v>0.005</v>
      </c>
      <c r="M332" s="57">
        <v>3.385E-4</v>
      </c>
    </row>
    <row r="333">
      <c r="C333" s="56" t="s">
        <v>5003</v>
      </c>
      <c r="H333" s="57">
        <v>0.0475</v>
      </c>
      <c r="M333" s="57">
        <v>3.38E-4</v>
      </c>
    </row>
    <row r="334">
      <c r="C334" s="56" t="s">
        <v>5078</v>
      </c>
      <c r="H334" s="57">
        <v>0.045</v>
      </c>
      <c r="M334" s="57">
        <v>3.363E-4</v>
      </c>
    </row>
    <row r="335">
      <c r="C335" s="56" t="s">
        <v>5027</v>
      </c>
      <c r="H335" s="57">
        <v>0.0275</v>
      </c>
      <c r="M335" s="57">
        <v>3.35E-4</v>
      </c>
    </row>
    <row r="336">
      <c r="C336" s="56" t="s">
        <v>5003</v>
      </c>
      <c r="H336" s="57">
        <v>0.0455</v>
      </c>
      <c r="M336" s="57">
        <v>3.336E-4</v>
      </c>
    </row>
    <row r="337">
      <c r="C337" s="56" t="s">
        <v>1655</v>
      </c>
      <c r="H337" s="57">
        <v>0.0425</v>
      </c>
      <c r="M337" s="57">
        <v>3.33E-4</v>
      </c>
    </row>
    <row r="338">
      <c r="C338" s="56" t="s">
        <v>5094</v>
      </c>
      <c r="H338" s="57">
        <v>0.035</v>
      </c>
      <c r="M338" s="57">
        <v>3.294E-4</v>
      </c>
    </row>
    <row r="339">
      <c r="C339" s="56" t="s">
        <v>5095</v>
      </c>
      <c r="H339" s="57">
        <v>0.021</v>
      </c>
      <c r="M339" s="57">
        <v>3.25E-4</v>
      </c>
    </row>
    <row r="340">
      <c r="C340" s="56" t="s">
        <v>5039</v>
      </c>
      <c r="H340" s="57">
        <v>0.0525</v>
      </c>
      <c r="M340" s="57">
        <v>3.235E-4</v>
      </c>
    </row>
    <row r="341">
      <c r="C341" s="56" t="s">
        <v>5096</v>
      </c>
      <c r="H341" s="57">
        <v>0.029</v>
      </c>
      <c r="M341" s="57">
        <v>3.211E-4</v>
      </c>
    </row>
    <row r="342">
      <c r="C342" s="56" t="s">
        <v>5038</v>
      </c>
      <c r="H342" s="57">
        <v>0.045</v>
      </c>
      <c r="M342" s="57">
        <v>3.202E-4</v>
      </c>
    </row>
    <row r="343">
      <c r="C343" s="56" t="s">
        <v>5014</v>
      </c>
      <c r="H343" s="58">
        <v>0.03</v>
      </c>
      <c r="M343" s="57">
        <v>3.193E-4</v>
      </c>
    </row>
    <row r="344">
      <c r="C344" s="56" t="s">
        <v>1269</v>
      </c>
      <c r="H344" s="57">
        <v>0.05678</v>
      </c>
      <c r="M344" s="57">
        <v>3.189E-4</v>
      </c>
    </row>
    <row r="345">
      <c r="C345" s="56" t="s">
        <v>5021</v>
      </c>
      <c r="H345" s="57">
        <v>0.034</v>
      </c>
      <c r="M345" s="57">
        <v>3.175E-4</v>
      </c>
    </row>
    <row r="346">
      <c r="C346" s="56" t="s">
        <v>5097</v>
      </c>
      <c r="H346" s="57">
        <v>0.034</v>
      </c>
      <c r="M346" s="57">
        <v>3.148E-4</v>
      </c>
    </row>
    <row r="347">
      <c r="C347" s="56" t="s">
        <v>5022</v>
      </c>
      <c r="H347" s="57">
        <v>0.049</v>
      </c>
      <c r="M347" s="57">
        <v>3.146E-4</v>
      </c>
    </row>
    <row r="348">
      <c r="C348" s="56" t="s">
        <v>5026</v>
      </c>
      <c r="H348" s="57">
        <v>0.0325</v>
      </c>
      <c r="M348" s="57">
        <v>3.138E-4</v>
      </c>
    </row>
    <row r="349">
      <c r="C349" s="56" t="s">
        <v>4989</v>
      </c>
      <c r="H349" s="58">
        <v>0.05</v>
      </c>
      <c r="M349" s="57">
        <v>3.138E-4</v>
      </c>
    </row>
    <row r="350">
      <c r="C350" s="56" t="s">
        <v>1655</v>
      </c>
      <c r="H350" s="57">
        <v>0.039</v>
      </c>
      <c r="M350" s="57">
        <v>3.131E-4</v>
      </c>
    </row>
    <row r="351">
      <c r="C351" s="56" t="s">
        <v>5098</v>
      </c>
      <c r="H351" s="57">
        <v>0.0195</v>
      </c>
      <c r="M351" s="57">
        <v>3.113E-4</v>
      </c>
    </row>
    <row r="352">
      <c r="C352" s="56" t="s">
        <v>5099</v>
      </c>
      <c r="H352" s="57">
        <v>0.022</v>
      </c>
      <c r="M352" s="57">
        <v>3.09E-4</v>
      </c>
    </row>
    <row r="353">
      <c r="C353" s="56" t="s">
        <v>5041</v>
      </c>
      <c r="H353" s="57">
        <v>0.045</v>
      </c>
      <c r="M353" s="57">
        <v>3.086E-4</v>
      </c>
    </row>
    <row r="354">
      <c r="C354" s="56" t="s">
        <v>5100</v>
      </c>
      <c r="H354" s="57">
        <v>0.0476</v>
      </c>
      <c r="M354" s="57">
        <v>3.044E-4</v>
      </c>
    </row>
    <row r="355">
      <c r="C355" s="56" t="s">
        <v>2618</v>
      </c>
      <c r="H355" s="57">
        <v>0.0295</v>
      </c>
      <c r="M355" s="57">
        <v>3.042E-4</v>
      </c>
    </row>
    <row r="356">
      <c r="C356" s="56" t="s">
        <v>5051</v>
      </c>
      <c r="H356" s="57">
        <v>0.046</v>
      </c>
      <c r="M356" s="57">
        <v>3.021E-4</v>
      </c>
    </row>
    <row r="357">
      <c r="C357" s="56" t="s">
        <v>2618</v>
      </c>
      <c r="H357" s="57">
        <v>0.0325</v>
      </c>
      <c r="M357" s="57">
        <v>3.001E-4</v>
      </c>
    </row>
    <row r="358">
      <c r="C358" s="56" t="s">
        <v>5101</v>
      </c>
      <c r="H358" s="57">
        <v>0.050213</v>
      </c>
      <c r="M358" s="57">
        <v>2.999E-4</v>
      </c>
    </row>
    <row r="359">
      <c r="C359" s="56" t="s">
        <v>5017</v>
      </c>
      <c r="H359" s="57">
        <v>0.033</v>
      </c>
      <c r="M359" s="57">
        <v>2.991E-4</v>
      </c>
    </row>
    <row r="360">
      <c r="C360" s="56" t="s">
        <v>5102</v>
      </c>
      <c r="H360" s="57">
        <v>0.04674</v>
      </c>
      <c r="M360" s="57">
        <v>2.953E-4</v>
      </c>
    </row>
    <row r="361">
      <c r="C361" s="56" t="s">
        <v>5103</v>
      </c>
      <c r="H361" s="57">
        <v>0.02579</v>
      </c>
      <c r="M361" s="57">
        <v>2.945E-4</v>
      </c>
    </row>
    <row r="362">
      <c r="C362" s="56" t="s">
        <v>1655</v>
      </c>
      <c r="H362" s="58">
        <v>0.04</v>
      </c>
      <c r="M362" s="57">
        <v>2.921E-4</v>
      </c>
    </row>
    <row r="363">
      <c r="C363" s="56" t="s">
        <v>5104</v>
      </c>
      <c r="H363" s="58">
        <v>0.06</v>
      </c>
      <c r="M363" s="57">
        <v>2.913E-4</v>
      </c>
    </row>
    <row r="364">
      <c r="C364" s="56" t="s">
        <v>5053</v>
      </c>
      <c r="H364" s="57">
        <v>0.031</v>
      </c>
      <c r="M364" s="57">
        <v>2.912E-4</v>
      </c>
    </row>
    <row r="365">
      <c r="C365" s="56" t="s">
        <v>5069</v>
      </c>
      <c r="H365" s="57">
        <v>0.0075</v>
      </c>
      <c r="M365" s="57">
        <v>2.911E-4</v>
      </c>
    </row>
    <row r="366">
      <c r="C366" s="56" t="s">
        <v>5105</v>
      </c>
      <c r="H366" s="57">
        <v>0.04225</v>
      </c>
      <c r="M366" s="57">
        <v>2.89E-4</v>
      </c>
    </row>
    <row r="367">
      <c r="C367" s="56" t="s">
        <v>5106</v>
      </c>
      <c r="H367" s="58">
        <v>0.02</v>
      </c>
      <c r="M367" s="57">
        <v>2.888E-4</v>
      </c>
    </row>
    <row r="368">
      <c r="C368" s="56" t="s">
        <v>5086</v>
      </c>
      <c r="H368" s="57">
        <v>0.0174</v>
      </c>
      <c r="M368" s="57">
        <v>2.826E-4</v>
      </c>
    </row>
    <row r="369">
      <c r="C369" s="56" t="s">
        <v>5107</v>
      </c>
      <c r="H369" s="57">
        <v>0.048</v>
      </c>
      <c r="M369" s="57">
        <v>2.825E-4</v>
      </c>
    </row>
    <row r="370">
      <c r="C370" s="56" t="s">
        <v>5108</v>
      </c>
      <c r="H370" s="57">
        <v>0.02485</v>
      </c>
      <c r="M370" s="57">
        <v>2.794E-4</v>
      </c>
    </row>
    <row r="371">
      <c r="C371" s="56" t="s">
        <v>5109</v>
      </c>
      <c r="H371" s="57">
        <v>0.061</v>
      </c>
      <c r="M371" s="57">
        <v>2.793E-4</v>
      </c>
    </row>
    <row r="372">
      <c r="C372" s="56" t="s">
        <v>5096</v>
      </c>
      <c r="H372" s="58">
        <v>0.04</v>
      </c>
      <c r="M372" s="57">
        <v>2.773E-4</v>
      </c>
    </row>
    <row r="373">
      <c r="C373" s="56" t="s">
        <v>5027</v>
      </c>
      <c r="H373" s="58">
        <v>0.02</v>
      </c>
      <c r="M373" s="57">
        <v>2.768E-4</v>
      </c>
    </row>
    <row r="374">
      <c r="C374" s="56" t="s">
        <v>5110</v>
      </c>
      <c r="H374" s="57">
        <v>0.042</v>
      </c>
      <c r="M374" s="57">
        <v>2.754E-4</v>
      </c>
    </row>
    <row r="375">
      <c r="C375" s="56" t="s">
        <v>5111</v>
      </c>
      <c r="H375" s="57">
        <v>0.015</v>
      </c>
      <c r="M375" s="57">
        <v>2.739E-4</v>
      </c>
    </row>
    <row r="376">
      <c r="C376" s="56" t="s">
        <v>5019</v>
      </c>
      <c r="H376" s="57">
        <v>0.049715</v>
      </c>
      <c r="M376" s="57">
        <v>2.738E-4</v>
      </c>
    </row>
    <row r="377">
      <c r="C377" s="56" t="s">
        <v>5112</v>
      </c>
      <c r="H377" s="57">
        <v>0.049</v>
      </c>
      <c r="M377" s="57">
        <v>2.73E-4</v>
      </c>
    </row>
    <row r="378">
      <c r="C378" s="56" t="s">
        <v>5113</v>
      </c>
      <c r="H378" s="58">
        <v>0.03</v>
      </c>
      <c r="M378" s="57">
        <v>2.729E-4</v>
      </c>
    </row>
    <row r="379">
      <c r="C379" s="56" t="s">
        <v>5086</v>
      </c>
      <c r="H379" s="57">
        <v>0.0152</v>
      </c>
      <c r="M379" s="57">
        <v>2.727E-4</v>
      </c>
    </row>
    <row r="380">
      <c r="C380" s="56" t="s">
        <v>5090</v>
      </c>
      <c r="H380" s="57">
        <v>0.057</v>
      </c>
      <c r="M380" s="57">
        <v>2.72E-4</v>
      </c>
    </row>
    <row r="381">
      <c r="C381" s="56" t="s">
        <v>5038</v>
      </c>
      <c r="H381" s="57">
        <v>0.047</v>
      </c>
      <c r="M381" s="57">
        <v>2.717E-4</v>
      </c>
    </row>
    <row r="382">
      <c r="C382" s="56" t="s">
        <v>5111</v>
      </c>
      <c r="H382" s="57">
        <v>0.052018</v>
      </c>
      <c r="M382" s="57">
        <v>2.712E-4</v>
      </c>
    </row>
    <row r="383">
      <c r="C383" s="56" t="s">
        <v>5114</v>
      </c>
      <c r="H383" s="57">
        <v>0.036</v>
      </c>
      <c r="M383" s="57">
        <v>2.712E-4</v>
      </c>
    </row>
    <row r="384">
      <c r="C384" s="56" t="s">
        <v>5115</v>
      </c>
      <c r="H384" s="57">
        <v>0.025</v>
      </c>
      <c r="M384" s="57">
        <v>2.704E-4</v>
      </c>
    </row>
    <row r="385">
      <c r="C385" s="56" t="s">
        <v>5022</v>
      </c>
      <c r="H385" s="58">
        <v>0.03</v>
      </c>
      <c r="M385" s="57">
        <v>2.7E-4</v>
      </c>
    </row>
    <row r="386">
      <c r="C386" s="56" t="s">
        <v>5014</v>
      </c>
      <c r="H386" s="57">
        <v>0.045</v>
      </c>
      <c r="M386" s="57">
        <v>2.698E-4</v>
      </c>
    </row>
    <row r="387">
      <c r="C387" s="56" t="s">
        <v>5029</v>
      </c>
      <c r="H387" s="57">
        <v>0.044</v>
      </c>
      <c r="M387" s="57">
        <v>2.693E-4</v>
      </c>
    </row>
    <row r="388">
      <c r="C388" s="56" t="s">
        <v>5116</v>
      </c>
      <c r="H388" s="57">
        <v>0.035</v>
      </c>
      <c r="M388" s="57">
        <v>2.689E-4</v>
      </c>
    </row>
    <row r="389">
      <c r="C389" s="56" t="s">
        <v>5117</v>
      </c>
      <c r="H389" s="58">
        <v>0.04</v>
      </c>
      <c r="M389" s="57">
        <v>2.664E-4</v>
      </c>
    </row>
    <row r="390">
      <c r="C390" s="56" t="s">
        <v>5111</v>
      </c>
      <c r="H390" s="57">
        <v>0.045</v>
      </c>
      <c r="M390" s="57">
        <v>2.655E-4</v>
      </c>
    </row>
    <row r="391">
      <c r="C391" s="56" t="s">
        <v>5026</v>
      </c>
      <c r="H391" s="57">
        <v>0.04333</v>
      </c>
      <c r="M391" s="57">
        <v>2.64E-4</v>
      </c>
    </row>
    <row r="392">
      <c r="C392" s="56" t="s">
        <v>5118</v>
      </c>
      <c r="H392" s="57">
        <v>0.0175</v>
      </c>
      <c r="M392" s="57">
        <v>2.638E-4</v>
      </c>
    </row>
    <row r="393">
      <c r="C393" s="56" t="s">
        <v>5000</v>
      </c>
      <c r="H393" s="58">
        <v>0.03</v>
      </c>
      <c r="M393" s="57">
        <v>2.623E-4</v>
      </c>
    </row>
    <row r="394">
      <c r="C394" s="56" t="s">
        <v>5016</v>
      </c>
      <c r="H394" s="57">
        <v>0.027</v>
      </c>
      <c r="M394" s="57">
        <v>2.619E-4</v>
      </c>
    </row>
    <row r="395">
      <c r="C395" s="56" t="s">
        <v>5046</v>
      </c>
      <c r="H395" s="57">
        <v>0.0335</v>
      </c>
      <c r="M395" s="57">
        <v>2.612E-4</v>
      </c>
    </row>
    <row r="396">
      <c r="C396" s="56" t="s">
        <v>5119</v>
      </c>
      <c r="H396" s="58">
        <v>0.04</v>
      </c>
      <c r="M396" s="57">
        <v>2.61E-4</v>
      </c>
    </row>
    <row r="397">
      <c r="C397" s="56" t="s">
        <v>5093</v>
      </c>
      <c r="H397" s="57">
        <v>0.027</v>
      </c>
      <c r="M397" s="57">
        <v>2.593E-4</v>
      </c>
    </row>
    <row r="398">
      <c r="C398" s="56" t="s">
        <v>5120</v>
      </c>
      <c r="H398" s="57">
        <v>0.008325</v>
      </c>
      <c r="M398" s="57">
        <v>2.591E-4</v>
      </c>
    </row>
    <row r="399">
      <c r="C399" s="56" t="s">
        <v>5121</v>
      </c>
      <c r="H399" s="57">
        <v>0.0375</v>
      </c>
      <c r="M399" s="57">
        <v>2.587E-4</v>
      </c>
    </row>
    <row r="400">
      <c r="C400" s="56" t="s">
        <v>5120</v>
      </c>
      <c r="H400" s="57">
        <v>0.015</v>
      </c>
      <c r="M400" s="57">
        <v>2.566E-4</v>
      </c>
    </row>
    <row r="401">
      <c r="C401" s="56" t="s">
        <v>5003</v>
      </c>
      <c r="H401" s="57">
        <v>0.0145</v>
      </c>
      <c r="M401" s="57">
        <v>2.561E-4</v>
      </c>
    </row>
    <row r="402">
      <c r="C402" s="56" t="s">
        <v>5122</v>
      </c>
      <c r="H402" s="57">
        <v>0.0397</v>
      </c>
      <c r="M402" s="57">
        <v>2.552E-4</v>
      </c>
    </row>
    <row r="403">
      <c r="C403" s="56" t="s">
        <v>5072</v>
      </c>
      <c r="H403" s="57">
        <v>0.02119</v>
      </c>
      <c r="M403" s="57">
        <v>2.531E-4</v>
      </c>
    </row>
    <row r="404">
      <c r="C404" s="56" t="s">
        <v>4997</v>
      </c>
      <c r="H404" s="57">
        <v>0.015</v>
      </c>
      <c r="M404" s="57">
        <v>2.524E-4</v>
      </c>
    </row>
    <row r="405">
      <c r="C405" s="56" t="s">
        <v>5123</v>
      </c>
      <c r="H405" s="57">
        <v>0.035</v>
      </c>
      <c r="M405" s="57">
        <v>2.522E-4</v>
      </c>
    </row>
    <row r="406">
      <c r="C406" s="56" t="s">
        <v>5014</v>
      </c>
      <c r="H406" s="57">
        <v>0.031</v>
      </c>
      <c r="M406" s="57">
        <v>2.514E-4</v>
      </c>
    </row>
    <row r="407">
      <c r="C407" s="56" t="s">
        <v>5124</v>
      </c>
      <c r="H407" s="57">
        <v>0.022</v>
      </c>
      <c r="M407" s="57">
        <v>2.508E-4</v>
      </c>
    </row>
    <row r="408">
      <c r="C408" s="56" t="s">
        <v>5125</v>
      </c>
      <c r="H408" s="57">
        <v>0.0425</v>
      </c>
      <c r="M408" s="57">
        <v>2.502E-4</v>
      </c>
    </row>
    <row r="409">
      <c r="C409" s="56" t="s">
        <v>5022</v>
      </c>
      <c r="H409" s="57">
        <v>0.053</v>
      </c>
      <c r="M409" s="57">
        <v>2.498E-4</v>
      </c>
    </row>
    <row r="410">
      <c r="C410" s="56" t="s">
        <v>5126</v>
      </c>
      <c r="H410" s="57">
        <v>0.023</v>
      </c>
      <c r="M410" s="57">
        <v>2.496E-4</v>
      </c>
    </row>
    <row r="411">
      <c r="C411" s="56" t="s">
        <v>5015</v>
      </c>
      <c r="H411" s="57">
        <v>0.0215</v>
      </c>
      <c r="M411" s="57">
        <v>2.496E-4</v>
      </c>
    </row>
    <row r="412">
      <c r="C412" s="56" t="s">
        <v>5103</v>
      </c>
      <c r="H412" s="57">
        <v>0.06061</v>
      </c>
      <c r="M412" s="57">
        <v>2.49E-4</v>
      </c>
    </row>
    <row r="413">
      <c r="C413" s="56" t="s">
        <v>5117</v>
      </c>
      <c r="H413" s="57">
        <v>0.049921</v>
      </c>
      <c r="M413" s="57">
        <v>2.459E-4</v>
      </c>
    </row>
    <row r="414">
      <c r="C414" s="56" t="s">
        <v>5127</v>
      </c>
      <c r="H414" s="57">
        <v>0.0345</v>
      </c>
      <c r="M414" s="57">
        <v>2.456E-4</v>
      </c>
    </row>
    <row r="415">
      <c r="C415" s="56" t="s">
        <v>5128</v>
      </c>
      <c r="H415" s="57">
        <v>0.0425</v>
      </c>
      <c r="M415" s="57">
        <v>2.432E-4</v>
      </c>
    </row>
    <row r="416">
      <c r="C416" s="56" t="s">
        <v>5129</v>
      </c>
      <c r="H416" s="57">
        <v>0.035</v>
      </c>
      <c r="M416" s="57">
        <v>2.43E-4</v>
      </c>
    </row>
    <row r="417">
      <c r="C417" s="56" t="s">
        <v>5115</v>
      </c>
      <c r="H417" s="57">
        <v>0.026</v>
      </c>
      <c r="M417" s="57">
        <v>2.408E-4</v>
      </c>
    </row>
    <row r="418">
      <c r="C418" s="56" t="s">
        <v>5130</v>
      </c>
      <c r="H418" s="57">
        <v>0.022</v>
      </c>
      <c r="M418" s="57">
        <v>2.404E-4</v>
      </c>
    </row>
    <row r="419">
      <c r="C419" s="56" t="s">
        <v>5087</v>
      </c>
      <c r="H419" s="57">
        <v>0.039</v>
      </c>
      <c r="M419" s="57">
        <v>2.404E-4</v>
      </c>
    </row>
    <row r="420">
      <c r="C420" s="56" t="s">
        <v>5131</v>
      </c>
      <c r="H420" s="57">
        <v>0.0325</v>
      </c>
      <c r="M420" s="57">
        <v>2.393E-4</v>
      </c>
    </row>
    <row r="421">
      <c r="C421" s="56" t="s">
        <v>5088</v>
      </c>
      <c r="H421" s="57">
        <v>0.035</v>
      </c>
      <c r="M421" s="57">
        <v>2.388E-4</v>
      </c>
    </row>
    <row r="422">
      <c r="C422" s="56" t="s">
        <v>5132</v>
      </c>
      <c r="H422" s="57">
        <v>0.00928</v>
      </c>
      <c r="M422" s="57">
        <v>2.385E-4</v>
      </c>
    </row>
    <row r="423">
      <c r="C423" s="56" t="s">
        <v>5133</v>
      </c>
      <c r="H423" s="57">
        <v>0.045</v>
      </c>
      <c r="M423" s="57">
        <v>2.383E-4</v>
      </c>
    </row>
    <row r="424">
      <c r="C424" s="56" t="s">
        <v>1826</v>
      </c>
      <c r="H424" s="58">
        <v>0.04</v>
      </c>
      <c r="M424" s="57">
        <v>2.376E-4</v>
      </c>
    </row>
    <row r="425">
      <c r="C425" s="56" t="s">
        <v>444</v>
      </c>
      <c r="H425" s="57">
        <v>0.022</v>
      </c>
      <c r="M425" s="57">
        <v>2.359E-4</v>
      </c>
    </row>
    <row r="426">
      <c r="C426" s="56" t="s">
        <v>5027</v>
      </c>
      <c r="H426" s="58">
        <v>0.06</v>
      </c>
      <c r="M426" s="57">
        <v>2.347E-4</v>
      </c>
    </row>
    <row r="427">
      <c r="C427" s="56" t="s">
        <v>5134</v>
      </c>
      <c r="H427" s="57">
        <v>0.03763</v>
      </c>
      <c r="M427" s="57">
        <v>2.344E-4</v>
      </c>
    </row>
    <row r="428">
      <c r="C428" s="56" t="s">
        <v>5135</v>
      </c>
      <c r="H428" s="58">
        <v>0.04</v>
      </c>
      <c r="M428" s="57">
        <v>2.338E-4</v>
      </c>
    </row>
    <row r="429">
      <c r="C429" s="56" t="s">
        <v>5124</v>
      </c>
      <c r="H429" s="57">
        <v>0.0265</v>
      </c>
      <c r="M429" s="57">
        <v>2.324E-4</v>
      </c>
    </row>
    <row r="430">
      <c r="C430" s="56" t="s">
        <v>5136</v>
      </c>
      <c r="H430" s="58">
        <v>0.03</v>
      </c>
      <c r="M430" s="57">
        <v>2.309E-4</v>
      </c>
    </row>
    <row r="431">
      <c r="C431" s="56" t="s">
        <v>5137</v>
      </c>
      <c r="H431" s="57">
        <v>0.0425</v>
      </c>
      <c r="M431" s="57">
        <v>2.302E-4</v>
      </c>
    </row>
    <row r="432">
      <c r="C432" s="56" t="s">
        <v>5046</v>
      </c>
      <c r="H432" s="57">
        <v>0.026</v>
      </c>
      <c r="M432" s="57">
        <v>2.298E-4</v>
      </c>
    </row>
    <row r="433">
      <c r="C433" s="56" t="s">
        <v>5015</v>
      </c>
      <c r="H433" s="57">
        <v>0.0075</v>
      </c>
      <c r="M433" s="57">
        <v>2.289E-4</v>
      </c>
    </row>
    <row r="434">
      <c r="C434" s="56" t="s">
        <v>5039</v>
      </c>
      <c r="H434" s="57">
        <v>0.0315</v>
      </c>
      <c r="M434" s="57">
        <v>2.283E-4</v>
      </c>
    </row>
    <row r="435">
      <c r="C435" s="56" t="s">
        <v>5006</v>
      </c>
      <c r="H435" s="57">
        <v>0.0155</v>
      </c>
      <c r="M435" s="57">
        <v>2.277E-4</v>
      </c>
    </row>
    <row r="436">
      <c r="C436" s="56" t="s">
        <v>5051</v>
      </c>
      <c r="H436" s="57">
        <v>0.041</v>
      </c>
      <c r="M436" s="57">
        <v>2.266E-4</v>
      </c>
    </row>
    <row r="437">
      <c r="C437" s="56" t="s">
        <v>4997</v>
      </c>
      <c r="H437" s="58">
        <v>0.02</v>
      </c>
      <c r="M437" s="57">
        <v>2.264E-4</v>
      </c>
    </row>
    <row r="438">
      <c r="C438" s="56" t="s">
        <v>5022</v>
      </c>
      <c r="H438" s="57">
        <v>0.0225</v>
      </c>
      <c r="M438" s="57">
        <v>2.264E-4</v>
      </c>
    </row>
    <row r="439">
      <c r="C439" s="56" t="s">
        <v>5104</v>
      </c>
      <c r="H439" s="57">
        <v>0.054</v>
      </c>
      <c r="M439" s="57">
        <v>2.257E-4</v>
      </c>
    </row>
    <row r="440">
      <c r="C440" s="56" t="s">
        <v>5070</v>
      </c>
      <c r="H440" s="58">
        <v>0.02</v>
      </c>
      <c r="M440" s="57">
        <v>2.253E-4</v>
      </c>
    </row>
    <row r="441">
      <c r="C441" s="56" t="s">
        <v>862</v>
      </c>
      <c r="H441" s="57">
        <v>0.045</v>
      </c>
      <c r="M441" s="57">
        <v>2.246E-4</v>
      </c>
    </row>
    <row r="442">
      <c r="C442" s="56" t="s">
        <v>5014</v>
      </c>
      <c r="H442" s="57">
        <v>0.016</v>
      </c>
      <c r="M442" s="57">
        <v>2.241E-4</v>
      </c>
    </row>
    <row r="443">
      <c r="C443" s="56" t="s">
        <v>5061</v>
      </c>
      <c r="H443" s="57">
        <v>0.015</v>
      </c>
      <c r="M443" s="57">
        <v>2.233E-4</v>
      </c>
    </row>
    <row r="444">
      <c r="C444" s="56" t="s">
        <v>4990</v>
      </c>
      <c r="H444" s="57">
        <v>0.035</v>
      </c>
      <c r="M444" s="57">
        <v>2.213E-4</v>
      </c>
    </row>
    <row r="445">
      <c r="C445" s="56" t="s">
        <v>4996</v>
      </c>
      <c r="H445" s="57">
        <v>0.0225</v>
      </c>
      <c r="M445" s="57">
        <v>2.213E-4</v>
      </c>
    </row>
    <row r="446">
      <c r="C446" s="56" t="s">
        <v>5000</v>
      </c>
      <c r="H446" s="57">
        <v>0.0135</v>
      </c>
      <c r="M446" s="57">
        <v>2.206E-4</v>
      </c>
    </row>
    <row r="447">
      <c r="C447" s="56" t="s">
        <v>5138</v>
      </c>
      <c r="H447" s="57">
        <v>0.045</v>
      </c>
      <c r="M447" s="57">
        <v>2.202E-4</v>
      </c>
    </row>
    <row r="448">
      <c r="C448" s="56" t="s">
        <v>5117</v>
      </c>
      <c r="H448" s="57">
        <v>0.055</v>
      </c>
      <c r="M448" s="57">
        <v>2.193E-4</v>
      </c>
    </row>
    <row r="449">
      <c r="C449" s="56" t="s">
        <v>5139</v>
      </c>
      <c r="H449" s="58">
        <v>0.04</v>
      </c>
      <c r="M449" s="57">
        <v>2.19E-4</v>
      </c>
    </row>
    <row r="450">
      <c r="C450" s="56" t="s">
        <v>5016</v>
      </c>
      <c r="H450" s="58">
        <v>0.01</v>
      </c>
      <c r="M450" s="57">
        <v>2.18E-4</v>
      </c>
    </row>
    <row r="451">
      <c r="C451" s="56" t="s">
        <v>5055</v>
      </c>
      <c r="H451" s="57">
        <v>0.01465</v>
      </c>
      <c r="M451" s="57">
        <v>2.174E-4</v>
      </c>
    </row>
    <row r="452">
      <c r="C452" s="56" t="s">
        <v>5015</v>
      </c>
      <c r="H452" s="57">
        <v>0.022</v>
      </c>
      <c r="M452" s="57">
        <v>2.172E-4</v>
      </c>
    </row>
    <row r="453">
      <c r="C453" s="56" t="s">
        <v>2580</v>
      </c>
      <c r="H453" s="57">
        <v>0.053636</v>
      </c>
      <c r="M453" s="57">
        <v>2.172E-4</v>
      </c>
    </row>
    <row r="454">
      <c r="C454" s="56" t="s">
        <v>4989</v>
      </c>
      <c r="H454" s="57">
        <v>0.0225</v>
      </c>
      <c r="M454" s="57">
        <v>2.16E-4</v>
      </c>
    </row>
    <row r="455">
      <c r="C455" s="56" t="s">
        <v>452</v>
      </c>
      <c r="H455" s="57">
        <v>0.03026</v>
      </c>
      <c r="M455" s="57">
        <v>2.156E-4</v>
      </c>
    </row>
    <row r="456">
      <c r="C456" s="56" t="s">
        <v>5140</v>
      </c>
      <c r="H456" s="57">
        <v>0.035</v>
      </c>
      <c r="M456" s="57">
        <v>2.151E-4</v>
      </c>
    </row>
    <row r="457">
      <c r="C457" s="56" t="s">
        <v>5041</v>
      </c>
      <c r="H457" s="57">
        <v>0.042</v>
      </c>
      <c r="M457" s="57">
        <v>2.149E-4</v>
      </c>
    </row>
    <row r="458">
      <c r="C458" s="56" t="s">
        <v>5027</v>
      </c>
      <c r="H458" s="57">
        <v>0.041</v>
      </c>
      <c r="M458" s="57">
        <v>2.148E-4</v>
      </c>
    </row>
    <row r="459">
      <c r="C459" s="56" t="s">
        <v>5070</v>
      </c>
      <c r="H459" s="57">
        <v>0.014</v>
      </c>
      <c r="M459" s="57">
        <v>2.146E-4</v>
      </c>
    </row>
    <row r="460">
      <c r="C460" s="56" t="s">
        <v>5103</v>
      </c>
      <c r="H460" s="57">
        <v>0.035</v>
      </c>
      <c r="M460" s="57">
        <v>2.143E-4</v>
      </c>
    </row>
    <row r="461">
      <c r="C461" s="56" t="s">
        <v>5141</v>
      </c>
      <c r="H461" s="57">
        <v>0.0398</v>
      </c>
      <c r="M461" s="57">
        <v>2.126E-4</v>
      </c>
    </row>
    <row r="462">
      <c r="C462" s="56" t="s">
        <v>5142</v>
      </c>
      <c r="H462" s="57">
        <v>0.045</v>
      </c>
      <c r="M462" s="57">
        <v>2.111E-4</v>
      </c>
    </row>
    <row r="463">
      <c r="C463" s="56" t="s">
        <v>5134</v>
      </c>
      <c r="H463" s="57">
        <v>0.0375</v>
      </c>
      <c r="M463" s="57">
        <v>2.091E-4</v>
      </c>
    </row>
    <row r="464">
      <c r="C464" s="56" t="s">
        <v>4989</v>
      </c>
      <c r="H464" s="58">
        <v>0.04</v>
      </c>
      <c r="M464" s="57">
        <v>2.087E-4</v>
      </c>
    </row>
    <row r="465">
      <c r="C465" s="56" t="s">
        <v>5068</v>
      </c>
      <c r="H465" s="57">
        <v>0.02732</v>
      </c>
      <c r="M465" s="57">
        <v>2.083E-4</v>
      </c>
    </row>
    <row r="466">
      <c r="C466" s="56" t="s">
        <v>5004</v>
      </c>
      <c r="H466" s="57">
        <v>0.006</v>
      </c>
      <c r="M466" s="57">
        <v>2.078E-4</v>
      </c>
    </row>
    <row r="467">
      <c r="C467" s="56" t="s">
        <v>1826</v>
      </c>
      <c r="H467" s="57">
        <v>0.03382</v>
      </c>
      <c r="M467" s="57">
        <v>2.073E-4</v>
      </c>
    </row>
    <row r="468">
      <c r="C468" s="56" t="s">
        <v>5021</v>
      </c>
      <c r="H468" s="57">
        <v>0.0525</v>
      </c>
      <c r="M468" s="57">
        <v>2.058E-4</v>
      </c>
    </row>
    <row r="469">
      <c r="C469" s="56" t="s">
        <v>5143</v>
      </c>
      <c r="H469" s="57">
        <v>0.0452</v>
      </c>
      <c r="M469" s="57">
        <v>2.049E-4</v>
      </c>
    </row>
    <row r="470">
      <c r="C470" s="56" t="s">
        <v>5115</v>
      </c>
      <c r="H470" s="57">
        <v>0.0325</v>
      </c>
      <c r="M470" s="57">
        <v>2.048E-4</v>
      </c>
    </row>
    <row r="471">
      <c r="C471" s="56" t="s">
        <v>5118</v>
      </c>
      <c r="H471" s="57">
        <v>0.049</v>
      </c>
      <c r="M471" s="57">
        <v>2.047E-4</v>
      </c>
    </row>
    <row r="472">
      <c r="C472" s="56" t="s">
        <v>5144</v>
      </c>
      <c r="H472" s="57">
        <v>0.023</v>
      </c>
      <c r="M472" s="57">
        <v>2.041E-4</v>
      </c>
    </row>
    <row r="473">
      <c r="C473" s="56" t="s">
        <v>1655</v>
      </c>
      <c r="H473" s="57">
        <v>0.053906</v>
      </c>
      <c r="M473" s="57">
        <v>2.034E-4</v>
      </c>
    </row>
    <row r="474">
      <c r="C474" s="56" t="s">
        <v>5145</v>
      </c>
      <c r="H474" s="57">
        <v>0.02656</v>
      </c>
      <c r="M474" s="57">
        <v>2.022E-4</v>
      </c>
    </row>
    <row r="475">
      <c r="C475" s="56" t="s">
        <v>5146</v>
      </c>
      <c r="H475" s="57">
        <v>0.04927</v>
      </c>
      <c r="M475" s="57">
        <v>2.021E-4</v>
      </c>
    </row>
    <row r="476">
      <c r="C476" s="56" t="s">
        <v>5147</v>
      </c>
      <c r="H476" s="57">
        <v>0.037</v>
      </c>
      <c r="M476" s="57">
        <v>2.013E-4</v>
      </c>
    </row>
    <row r="477">
      <c r="C477" s="56" t="s">
        <v>5026</v>
      </c>
      <c r="H477" s="57">
        <v>0.0215</v>
      </c>
      <c r="M477" s="57">
        <v>2.005E-4</v>
      </c>
    </row>
    <row r="478">
      <c r="C478" s="56" t="s">
        <v>5148</v>
      </c>
      <c r="H478" s="57">
        <v>0.0545</v>
      </c>
      <c r="M478" s="57">
        <v>2.004E-4</v>
      </c>
    </row>
    <row r="479">
      <c r="C479" s="56" t="s">
        <v>5149</v>
      </c>
      <c r="H479" s="57">
        <v>0.0325</v>
      </c>
      <c r="M479" s="57">
        <v>2.002E-4</v>
      </c>
    </row>
    <row r="480">
      <c r="C480" s="56" t="s">
        <v>5026</v>
      </c>
      <c r="H480" s="57">
        <v>0.044</v>
      </c>
      <c r="M480" s="57">
        <v>2.002E-4</v>
      </c>
    </row>
    <row r="481">
      <c r="C481" s="56" t="s">
        <v>5094</v>
      </c>
      <c r="H481" s="57">
        <v>0.029</v>
      </c>
      <c r="M481" s="57">
        <v>2.0E-4</v>
      </c>
    </row>
    <row r="482">
      <c r="C482" s="56" t="s">
        <v>5041</v>
      </c>
      <c r="H482" s="58">
        <v>0.04</v>
      </c>
      <c r="M482" s="57">
        <v>2.0E-4</v>
      </c>
    </row>
    <row r="483">
      <c r="C483" s="56" t="s">
        <v>5119</v>
      </c>
      <c r="H483" s="57">
        <v>0.0355</v>
      </c>
      <c r="M483" s="57">
        <v>1.998E-4</v>
      </c>
    </row>
    <row r="484">
      <c r="C484" s="56" t="s">
        <v>5029</v>
      </c>
      <c r="H484" s="57">
        <v>0.0185</v>
      </c>
      <c r="M484" s="57">
        <v>1.987E-4</v>
      </c>
    </row>
    <row r="485">
      <c r="C485" s="56" t="s">
        <v>5150</v>
      </c>
      <c r="H485" s="57">
        <v>0.0525</v>
      </c>
      <c r="M485" s="57">
        <v>1.984E-4</v>
      </c>
    </row>
    <row r="486">
      <c r="C486" s="56" t="s">
        <v>5003</v>
      </c>
      <c r="H486" s="57">
        <v>0.014</v>
      </c>
      <c r="M486" s="57">
        <v>1.981E-4</v>
      </c>
    </row>
    <row r="487">
      <c r="C487" s="56" t="s">
        <v>5039</v>
      </c>
      <c r="H487" s="57">
        <v>0.044</v>
      </c>
      <c r="M487" s="57">
        <v>1.98E-4</v>
      </c>
    </row>
    <row r="488">
      <c r="C488" s="56" t="s">
        <v>5049</v>
      </c>
      <c r="H488" s="57">
        <v>0.0085</v>
      </c>
      <c r="M488" s="57">
        <v>1.959E-4</v>
      </c>
    </row>
    <row r="489">
      <c r="C489" s="56" t="s">
        <v>5069</v>
      </c>
      <c r="H489" s="57">
        <v>0.009</v>
      </c>
      <c r="M489" s="57">
        <v>1.959E-4</v>
      </c>
    </row>
    <row r="490">
      <c r="C490" s="56" t="s">
        <v>5021</v>
      </c>
      <c r="H490" s="57">
        <v>0.0225</v>
      </c>
      <c r="M490" s="57">
        <v>1.952E-4</v>
      </c>
    </row>
    <row r="491">
      <c r="C491" s="56" t="s">
        <v>5125</v>
      </c>
      <c r="H491" s="58">
        <v>0.03</v>
      </c>
      <c r="M491" s="57">
        <v>1.951E-4</v>
      </c>
    </row>
    <row r="492">
      <c r="C492" s="56" t="s">
        <v>5114</v>
      </c>
      <c r="H492" s="57">
        <v>0.031</v>
      </c>
      <c r="M492" s="57">
        <v>1.949E-4</v>
      </c>
    </row>
    <row r="493">
      <c r="C493" s="56" t="s">
        <v>5097</v>
      </c>
      <c r="H493" s="57">
        <v>0.037</v>
      </c>
      <c r="M493" s="57">
        <v>1.937E-4</v>
      </c>
    </row>
    <row r="494">
      <c r="C494" s="56" t="s">
        <v>5016</v>
      </c>
      <c r="H494" s="57">
        <v>0.031</v>
      </c>
      <c r="M494" s="57">
        <v>1.929E-4</v>
      </c>
    </row>
    <row r="495">
      <c r="C495" s="56" t="s">
        <v>5151</v>
      </c>
      <c r="H495" s="57">
        <v>0.034</v>
      </c>
      <c r="M495" s="57">
        <v>1.926E-4</v>
      </c>
    </row>
    <row r="496">
      <c r="C496" s="56" t="s">
        <v>5152</v>
      </c>
      <c r="H496" s="57">
        <v>0.04977</v>
      </c>
      <c r="M496" s="57">
        <v>1.923E-4</v>
      </c>
    </row>
    <row r="497">
      <c r="C497" s="56" t="s">
        <v>5153</v>
      </c>
      <c r="H497" s="57">
        <v>0.055</v>
      </c>
      <c r="M497" s="57">
        <v>1.921E-4</v>
      </c>
    </row>
    <row r="498">
      <c r="C498" s="56" t="s">
        <v>5043</v>
      </c>
      <c r="H498" s="57">
        <v>0.045</v>
      </c>
      <c r="M498" s="57">
        <v>1.904E-4</v>
      </c>
    </row>
    <row r="499">
      <c r="C499" s="56" t="s">
        <v>5043</v>
      </c>
      <c r="H499" s="57">
        <v>0.034</v>
      </c>
      <c r="M499" s="57">
        <v>1.903E-4</v>
      </c>
    </row>
    <row r="500">
      <c r="C500" s="56" t="s">
        <v>5066</v>
      </c>
      <c r="H500" s="57">
        <v>0.045</v>
      </c>
      <c r="M500" s="57">
        <v>1.891E-4</v>
      </c>
    </row>
    <row r="501">
      <c r="C501" s="56" t="s">
        <v>5148</v>
      </c>
      <c r="H501" s="57">
        <v>0.023</v>
      </c>
      <c r="M501" s="57">
        <v>1.886E-4</v>
      </c>
    </row>
    <row r="502">
      <c r="C502" s="56" t="s">
        <v>5154</v>
      </c>
      <c r="H502" s="57">
        <v>0.055</v>
      </c>
      <c r="M502" s="57">
        <v>1.884E-4</v>
      </c>
    </row>
    <row r="503">
      <c r="C503" s="56" t="s">
        <v>5155</v>
      </c>
      <c r="H503" s="58">
        <v>0.04</v>
      </c>
      <c r="M503" s="57">
        <v>1.871E-4</v>
      </c>
    </row>
    <row r="504">
      <c r="C504" s="56" t="s">
        <v>5156</v>
      </c>
      <c r="H504" s="57">
        <v>0.0155</v>
      </c>
      <c r="M504" s="57">
        <v>1.87E-4</v>
      </c>
    </row>
    <row r="505">
      <c r="C505" s="56" t="s">
        <v>5157</v>
      </c>
      <c r="H505" s="57">
        <v>0.011</v>
      </c>
      <c r="M505" s="57">
        <v>1.841E-4</v>
      </c>
    </row>
    <row r="506">
      <c r="C506" s="56" t="s">
        <v>5116</v>
      </c>
      <c r="H506" s="57">
        <v>0.026</v>
      </c>
      <c r="M506" s="57">
        <v>1.817E-4</v>
      </c>
    </row>
    <row r="507">
      <c r="C507" s="56" t="s">
        <v>5158</v>
      </c>
      <c r="H507" s="57">
        <v>0.0405</v>
      </c>
      <c r="M507" s="57">
        <v>1.808E-4</v>
      </c>
    </row>
    <row r="508">
      <c r="C508" s="56" t="s">
        <v>5072</v>
      </c>
      <c r="H508" s="57">
        <v>0.06109</v>
      </c>
      <c r="M508" s="57">
        <v>1.796E-4</v>
      </c>
    </row>
    <row r="509">
      <c r="C509" s="56" t="s">
        <v>5113</v>
      </c>
      <c r="H509" s="57">
        <v>0.025</v>
      </c>
      <c r="M509" s="57">
        <v>1.785E-4</v>
      </c>
    </row>
    <row r="510">
      <c r="C510" s="56" t="s">
        <v>5038</v>
      </c>
      <c r="H510" s="58">
        <v>0.03</v>
      </c>
      <c r="M510" s="57">
        <v>1.775E-4</v>
      </c>
    </row>
    <row r="511">
      <c r="C511" s="56" t="s">
        <v>5058</v>
      </c>
      <c r="H511" s="57">
        <v>0.026</v>
      </c>
      <c r="M511" s="57">
        <v>1.77E-4</v>
      </c>
    </row>
    <row r="512">
      <c r="C512" s="56" t="s">
        <v>5136</v>
      </c>
      <c r="H512" s="57">
        <v>0.051</v>
      </c>
      <c r="M512" s="57">
        <v>1.769E-4</v>
      </c>
    </row>
    <row r="513">
      <c r="C513" s="56" t="s">
        <v>5159</v>
      </c>
      <c r="H513" s="58">
        <v>0.03</v>
      </c>
      <c r="M513" s="57">
        <v>1.768E-4</v>
      </c>
    </row>
    <row r="514">
      <c r="C514" s="56" t="s">
        <v>5127</v>
      </c>
      <c r="H514" s="58">
        <v>0.03</v>
      </c>
      <c r="M514" s="57">
        <v>1.759E-4</v>
      </c>
    </row>
    <row r="515">
      <c r="C515" s="56" t="s">
        <v>5160</v>
      </c>
      <c r="H515" s="57">
        <v>0.0485</v>
      </c>
      <c r="M515" s="57">
        <v>1.755E-4</v>
      </c>
    </row>
    <row r="516">
      <c r="C516" s="56" t="s">
        <v>5161</v>
      </c>
      <c r="H516" s="57">
        <v>0.0595</v>
      </c>
      <c r="M516" s="57">
        <v>1.743E-4</v>
      </c>
    </row>
    <row r="517">
      <c r="C517" s="56" t="s">
        <v>5162</v>
      </c>
      <c r="H517" s="57">
        <v>0.024737</v>
      </c>
      <c r="M517" s="57">
        <v>1.737E-4</v>
      </c>
    </row>
    <row r="518">
      <c r="C518" s="56" t="s">
        <v>5163</v>
      </c>
      <c r="H518" s="57">
        <v>0.0245</v>
      </c>
      <c r="M518" s="57">
        <v>1.694E-4</v>
      </c>
    </row>
    <row r="519">
      <c r="C519" s="56" t="s">
        <v>5058</v>
      </c>
      <c r="H519" s="57">
        <v>0.04301</v>
      </c>
      <c r="M519" s="57">
        <v>1.691E-4</v>
      </c>
    </row>
    <row r="520">
      <c r="C520" s="56" t="s">
        <v>5042</v>
      </c>
      <c r="H520" s="57">
        <v>0.027</v>
      </c>
      <c r="M520" s="57">
        <v>1.691E-4</v>
      </c>
    </row>
    <row r="521">
      <c r="C521" s="56" t="s">
        <v>5104</v>
      </c>
      <c r="H521" s="57">
        <v>0.022</v>
      </c>
      <c r="M521" s="57">
        <v>1.679E-4</v>
      </c>
    </row>
    <row r="522">
      <c r="C522" s="56" t="s">
        <v>5011</v>
      </c>
      <c r="H522" s="57">
        <v>0.0385</v>
      </c>
      <c r="M522" s="57">
        <v>1.672E-4</v>
      </c>
    </row>
    <row r="523">
      <c r="C523" s="56" t="s">
        <v>5074</v>
      </c>
      <c r="H523" s="57">
        <v>0.0255</v>
      </c>
      <c r="M523" s="57">
        <v>1.651E-4</v>
      </c>
    </row>
    <row r="524">
      <c r="C524" s="56" t="s">
        <v>4992</v>
      </c>
      <c r="H524" s="57">
        <v>0.0225</v>
      </c>
      <c r="M524" s="57">
        <v>1.643E-4</v>
      </c>
    </row>
    <row r="525">
      <c r="C525" s="56" t="s">
        <v>5041</v>
      </c>
      <c r="H525" s="57">
        <v>0.0495</v>
      </c>
      <c r="M525" s="57">
        <v>1.643E-4</v>
      </c>
    </row>
    <row r="526">
      <c r="C526" s="56" t="s">
        <v>5086</v>
      </c>
      <c r="H526" s="57">
        <v>0.02335</v>
      </c>
      <c r="M526" s="57">
        <v>1.64E-4</v>
      </c>
    </row>
    <row r="527">
      <c r="C527" s="56" t="s">
        <v>5136</v>
      </c>
      <c r="H527" s="57">
        <v>0.051</v>
      </c>
      <c r="M527" s="57">
        <v>1.638E-4</v>
      </c>
    </row>
    <row r="528">
      <c r="C528" s="56" t="s">
        <v>5053</v>
      </c>
      <c r="H528" s="57">
        <v>0.0425</v>
      </c>
      <c r="M528" s="57">
        <v>1.631E-4</v>
      </c>
    </row>
    <row r="529">
      <c r="C529" s="56" t="s">
        <v>5018</v>
      </c>
      <c r="H529" s="57">
        <v>0.041</v>
      </c>
      <c r="M529" s="57">
        <v>1.619E-4</v>
      </c>
    </row>
    <row r="530">
      <c r="C530" s="56" t="s">
        <v>5164</v>
      </c>
      <c r="H530" s="57">
        <v>0.03993</v>
      </c>
      <c r="M530" s="57">
        <v>1.619E-4</v>
      </c>
    </row>
    <row r="531">
      <c r="C531" s="56" t="s">
        <v>5049</v>
      </c>
      <c r="H531" s="57">
        <v>0.0445</v>
      </c>
      <c r="M531" s="57">
        <v>1.618E-4</v>
      </c>
    </row>
    <row r="532">
      <c r="C532" s="56" t="s">
        <v>5069</v>
      </c>
      <c r="H532" s="57">
        <v>0.045</v>
      </c>
      <c r="M532" s="57">
        <v>1.616E-4</v>
      </c>
    </row>
    <row r="533">
      <c r="C533" s="56" t="s">
        <v>5152</v>
      </c>
      <c r="H533" s="57">
        <v>0.0575</v>
      </c>
      <c r="M533" s="57">
        <v>1.615E-4</v>
      </c>
    </row>
    <row r="534">
      <c r="C534" s="56" t="s">
        <v>2618</v>
      </c>
      <c r="H534" s="57">
        <v>0.012</v>
      </c>
      <c r="M534" s="57">
        <v>1.61E-4</v>
      </c>
    </row>
    <row r="535">
      <c r="C535" s="56" t="s">
        <v>5136</v>
      </c>
      <c r="H535" s="57">
        <v>0.047</v>
      </c>
      <c r="M535" s="57">
        <v>1.609E-4</v>
      </c>
    </row>
    <row r="536">
      <c r="C536" s="56" t="s">
        <v>5165</v>
      </c>
      <c r="H536" s="57">
        <v>0.03642</v>
      </c>
      <c r="M536" s="57">
        <v>1.603E-4</v>
      </c>
    </row>
    <row r="537">
      <c r="C537" s="56" t="s">
        <v>5106</v>
      </c>
      <c r="H537" s="57">
        <v>0.014</v>
      </c>
      <c r="M537" s="57">
        <v>1.594E-4</v>
      </c>
    </row>
    <row r="538">
      <c r="C538" s="56" t="s">
        <v>5166</v>
      </c>
      <c r="H538" s="57">
        <v>0.01843</v>
      </c>
      <c r="M538" s="57">
        <v>1.582E-4</v>
      </c>
    </row>
    <row r="539">
      <c r="C539" s="56" t="s">
        <v>5167</v>
      </c>
      <c r="H539" s="57">
        <v>0.026</v>
      </c>
      <c r="M539" s="57">
        <v>1.581E-4</v>
      </c>
    </row>
    <row r="540">
      <c r="C540" s="56" t="s">
        <v>5123</v>
      </c>
      <c r="H540" s="57">
        <v>0.0225</v>
      </c>
      <c r="M540" s="57">
        <v>1.575E-4</v>
      </c>
    </row>
    <row r="541">
      <c r="C541" s="56" t="s">
        <v>5168</v>
      </c>
      <c r="H541" s="57">
        <v>0.0375</v>
      </c>
      <c r="M541" s="57">
        <v>1.571E-4</v>
      </c>
    </row>
    <row r="542">
      <c r="C542" s="56" t="s">
        <v>5084</v>
      </c>
      <c r="H542" s="57">
        <v>0.019</v>
      </c>
      <c r="M542" s="57">
        <v>1.564E-4</v>
      </c>
    </row>
    <row r="543">
      <c r="C543" s="56" t="s">
        <v>5008</v>
      </c>
      <c r="H543" s="57">
        <v>0.025</v>
      </c>
      <c r="M543" s="57">
        <v>1.56E-4</v>
      </c>
    </row>
    <row r="544">
      <c r="C544" s="56" t="s">
        <v>5050</v>
      </c>
      <c r="H544" s="57">
        <v>0.042</v>
      </c>
      <c r="M544" s="57">
        <v>1.557E-4</v>
      </c>
    </row>
    <row r="545">
      <c r="C545" s="56" t="s">
        <v>5169</v>
      </c>
      <c r="H545" s="57">
        <v>0.02849</v>
      </c>
      <c r="M545" s="57">
        <v>1.553E-4</v>
      </c>
    </row>
    <row r="546">
      <c r="C546" s="56" t="s">
        <v>5170</v>
      </c>
      <c r="H546" s="57">
        <v>0.049</v>
      </c>
      <c r="M546" s="57">
        <v>1.551E-4</v>
      </c>
    </row>
    <row r="547">
      <c r="C547" s="56" t="s">
        <v>5143</v>
      </c>
      <c r="H547" s="57">
        <v>0.03222</v>
      </c>
      <c r="M547" s="57">
        <v>1.539E-4</v>
      </c>
    </row>
    <row r="548">
      <c r="C548" s="56" t="s">
        <v>5152</v>
      </c>
      <c r="H548" s="57">
        <v>0.05233</v>
      </c>
      <c r="M548" s="57">
        <v>1.52E-4</v>
      </c>
    </row>
    <row r="549">
      <c r="C549" s="56" t="s">
        <v>5171</v>
      </c>
      <c r="H549" s="57">
        <v>0.0265</v>
      </c>
      <c r="M549" s="57">
        <v>1.513E-4</v>
      </c>
    </row>
    <row r="550">
      <c r="C550" s="56" t="s">
        <v>5022</v>
      </c>
      <c r="H550" s="57">
        <v>0.046</v>
      </c>
      <c r="M550" s="57">
        <v>1.493E-4</v>
      </c>
    </row>
    <row r="551">
      <c r="C551" s="56" t="s">
        <v>5029</v>
      </c>
      <c r="H551" s="57">
        <v>0.04373</v>
      </c>
      <c r="M551" s="57">
        <v>1.49E-4</v>
      </c>
    </row>
    <row r="552">
      <c r="C552" s="56" t="s">
        <v>5163</v>
      </c>
      <c r="H552" s="57">
        <v>0.039</v>
      </c>
      <c r="M552" s="57">
        <v>1.487E-4</v>
      </c>
    </row>
    <row r="553">
      <c r="C553" s="56" t="s">
        <v>5172</v>
      </c>
      <c r="H553" s="57">
        <v>0.03092</v>
      </c>
      <c r="M553" s="57">
        <v>1.484E-4</v>
      </c>
    </row>
    <row r="554">
      <c r="C554" s="56" t="s">
        <v>5173</v>
      </c>
      <c r="H554" s="57">
        <v>0.013</v>
      </c>
      <c r="M554" s="57">
        <v>1.484E-4</v>
      </c>
    </row>
    <row r="555">
      <c r="C555" s="56" t="s">
        <v>5166</v>
      </c>
      <c r="H555" s="57">
        <v>0.0375</v>
      </c>
      <c r="M555" s="57">
        <v>1.477E-4</v>
      </c>
    </row>
    <row r="556">
      <c r="C556" s="56" t="s">
        <v>5086</v>
      </c>
      <c r="H556" s="57">
        <v>0.0238</v>
      </c>
      <c r="M556" s="57">
        <v>1.473E-4</v>
      </c>
    </row>
    <row r="557">
      <c r="C557" s="56" t="s">
        <v>5174</v>
      </c>
      <c r="H557" s="57">
        <v>0.03147</v>
      </c>
      <c r="M557" s="57">
        <v>1.469E-4</v>
      </c>
    </row>
    <row r="558">
      <c r="C558" s="56" t="s">
        <v>5011</v>
      </c>
      <c r="H558" s="57">
        <v>0.021</v>
      </c>
      <c r="M558" s="57">
        <v>1.45E-4</v>
      </c>
    </row>
    <row r="559">
      <c r="C559" s="56" t="s">
        <v>5136</v>
      </c>
      <c r="H559" s="57">
        <v>0.017</v>
      </c>
      <c r="M559" s="57">
        <v>1.448E-4</v>
      </c>
    </row>
    <row r="560">
      <c r="C560" s="56" t="s">
        <v>5040</v>
      </c>
      <c r="H560" s="57">
        <v>0.0185</v>
      </c>
      <c r="M560" s="57">
        <v>1.446E-4</v>
      </c>
    </row>
    <row r="561">
      <c r="C561" s="56" t="s">
        <v>5153</v>
      </c>
      <c r="H561" s="58">
        <v>0.04</v>
      </c>
      <c r="M561" s="57">
        <v>1.438E-4</v>
      </c>
    </row>
    <row r="562">
      <c r="C562" s="56" t="s">
        <v>1655</v>
      </c>
      <c r="H562" s="57">
        <v>0.0475</v>
      </c>
      <c r="M562" s="57">
        <v>1.433E-4</v>
      </c>
    </row>
    <row r="563">
      <c r="C563" s="56" t="s">
        <v>5041</v>
      </c>
      <c r="H563" s="57">
        <v>0.0165</v>
      </c>
      <c r="M563" s="57">
        <v>1.428E-4</v>
      </c>
    </row>
    <row r="564">
      <c r="C564" s="56" t="s">
        <v>5175</v>
      </c>
      <c r="H564" s="57">
        <v>0.045</v>
      </c>
      <c r="M564" s="57">
        <v>1.416E-4</v>
      </c>
    </row>
    <row r="565">
      <c r="C565" s="56" t="s">
        <v>5160</v>
      </c>
      <c r="H565" s="57">
        <v>0.0475</v>
      </c>
      <c r="M565" s="57">
        <v>1.414E-4</v>
      </c>
    </row>
    <row r="566">
      <c r="C566" s="56" t="s">
        <v>5175</v>
      </c>
      <c r="H566" s="57">
        <v>0.0375</v>
      </c>
      <c r="M566" s="57">
        <v>1.408E-4</v>
      </c>
    </row>
    <row r="567">
      <c r="C567" s="56" t="s">
        <v>5176</v>
      </c>
      <c r="H567" s="57">
        <v>0.055</v>
      </c>
      <c r="M567" s="57">
        <v>1.373E-4</v>
      </c>
    </row>
    <row r="568">
      <c r="C568" s="56" t="s">
        <v>5177</v>
      </c>
      <c r="H568" s="57">
        <v>0.05802</v>
      </c>
      <c r="M568" s="57">
        <v>1.367E-4</v>
      </c>
    </row>
    <row r="569">
      <c r="C569" s="56" t="s">
        <v>5178</v>
      </c>
      <c r="H569" s="57">
        <v>0.0475</v>
      </c>
      <c r="M569" s="57">
        <v>1.365E-4</v>
      </c>
    </row>
    <row r="570">
      <c r="C570" s="56" t="s">
        <v>5029</v>
      </c>
      <c r="H570" s="57">
        <v>0.0485</v>
      </c>
      <c r="M570" s="57">
        <v>1.364E-4</v>
      </c>
    </row>
    <row r="571">
      <c r="C571" s="56" t="s">
        <v>5179</v>
      </c>
      <c r="H571" s="57">
        <v>0.036</v>
      </c>
      <c r="M571" s="57">
        <v>1.362E-4</v>
      </c>
    </row>
    <row r="572">
      <c r="C572" s="56" t="s">
        <v>5054</v>
      </c>
      <c r="H572" s="57">
        <v>0.045</v>
      </c>
      <c r="M572" s="57">
        <v>1.362E-4</v>
      </c>
    </row>
    <row r="573">
      <c r="C573" s="56" t="s">
        <v>5180</v>
      </c>
      <c r="H573" s="57">
        <v>0.03591</v>
      </c>
      <c r="M573" s="57">
        <v>1.362E-4</v>
      </c>
    </row>
    <row r="574">
      <c r="C574" s="56" t="s">
        <v>5181</v>
      </c>
      <c r="H574" s="57">
        <v>0.00839</v>
      </c>
      <c r="M574" s="57">
        <v>1.354E-4</v>
      </c>
    </row>
    <row r="575">
      <c r="C575" s="56" t="s">
        <v>1269</v>
      </c>
      <c r="H575" s="57">
        <v>0.0165</v>
      </c>
      <c r="M575" s="57">
        <v>1.354E-4</v>
      </c>
    </row>
    <row r="576">
      <c r="C576" s="56" t="s">
        <v>4997</v>
      </c>
      <c r="H576" s="57">
        <v>0.0235</v>
      </c>
      <c r="M576" s="57">
        <v>1.353E-4</v>
      </c>
    </row>
    <row r="577">
      <c r="C577" s="56" t="s">
        <v>5115</v>
      </c>
      <c r="H577" s="57">
        <v>0.016</v>
      </c>
      <c r="M577" s="57">
        <v>1.348E-4</v>
      </c>
    </row>
    <row r="578">
      <c r="C578" s="56" t="s">
        <v>5129</v>
      </c>
      <c r="H578" s="57">
        <v>0.0385</v>
      </c>
      <c r="M578" s="57">
        <v>1.347E-4</v>
      </c>
    </row>
    <row r="579">
      <c r="C579" s="56" t="s">
        <v>5182</v>
      </c>
      <c r="H579" s="57">
        <v>0.015</v>
      </c>
      <c r="M579" s="57">
        <v>1.344E-4</v>
      </c>
    </row>
    <row r="580">
      <c r="C580" s="56" t="s">
        <v>5066</v>
      </c>
      <c r="H580" s="57">
        <v>0.039</v>
      </c>
      <c r="M580" s="57">
        <v>1.338E-4</v>
      </c>
    </row>
    <row r="581">
      <c r="C581" s="56" t="s">
        <v>1257</v>
      </c>
      <c r="H581" s="57">
        <v>0.021</v>
      </c>
      <c r="M581" s="57">
        <v>1.329E-4</v>
      </c>
    </row>
    <row r="582">
      <c r="C582" s="56" t="s">
        <v>4990</v>
      </c>
      <c r="H582" s="57">
        <v>0.0225</v>
      </c>
      <c r="M582" s="57">
        <v>1.317E-4</v>
      </c>
    </row>
    <row r="583">
      <c r="C583" s="56" t="s">
        <v>5016</v>
      </c>
      <c r="H583" s="57">
        <v>0.0275</v>
      </c>
      <c r="M583" s="57">
        <v>1.316E-4</v>
      </c>
    </row>
    <row r="584">
      <c r="C584" s="56" t="s">
        <v>5063</v>
      </c>
      <c r="H584" s="58">
        <v>0.04</v>
      </c>
      <c r="M584" s="57">
        <v>1.306E-4</v>
      </c>
    </row>
    <row r="585">
      <c r="C585" s="56" t="s">
        <v>5050</v>
      </c>
      <c r="H585" s="57">
        <v>0.015</v>
      </c>
      <c r="M585" s="57">
        <v>1.302E-4</v>
      </c>
    </row>
    <row r="586">
      <c r="C586" s="56" t="s">
        <v>5009</v>
      </c>
      <c r="H586" s="57">
        <v>0.019</v>
      </c>
      <c r="M586" s="57">
        <v>1.296E-4</v>
      </c>
    </row>
    <row r="587">
      <c r="C587" s="56" t="s">
        <v>444</v>
      </c>
      <c r="H587" s="57">
        <v>0.033</v>
      </c>
      <c r="M587" s="57">
        <v>1.296E-4</v>
      </c>
    </row>
    <row r="588">
      <c r="C588" s="56" t="s">
        <v>5183</v>
      </c>
      <c r="H588" s="57">
        <v>0.054</v>
      </c>
      <c r="M588" s="57">
        <v>1.293E-4</v>
      </c>
    </row>
    <row r="589">
      <c r="C589" s="56" t="s">
        <v>949</v>
      </c>
      <c r="H589" s="57">
        <v>0.0475</v>
      </c>
      <c r="M589" s="57">
        <v>1.293E-4</v>
      </c>
    </row>
    <row r="590">
      <c r="C590" s="56" t="s">
        <v>5006</v>
      </c>
      <c r="H590" s="57">
        <v>0.019</v>
      </c>
      <c r="M590" s="57">
        <v>1.285E-4</v>
      </c>
    </row>
    <row r="591">
      <c r="C591" s="56" t="s">
        <v>5111</v>
      </c>
      <c r="H591" s="58">
        <v>0.02</v>
      </c>
      <c r="M591" s="57">
        <v>1.28E-4</v>
      </c>
    </row>
    <row r="592">
      <c r="C592" s="56" t="s">
        <v>5184</v>
      </c>
      <c r="H592" s="57">
        <v>0.035</v>
      </c>
      <c r="M592" s="57">
        <v>1.277E-4</v>
      </c>
    </row>
    <row r="593">
      <c r="C593" s="56" t="s">
        <v>5135</v>
      </c>
      <c r="H593" s="57">
        <v>0.035</v>
      </c>
      <c r="M593" s="57">
        <v>1.271E-4</v>
      </c>
    </row>
    <row r="594">
      <c r="C594" s="56" t="s">
        <v>5114</v>
      </c>
      <c r="H594" s="57">
        <v>0.024</v>
      </c>
      <c r="M594" s="57">
        <v>1.264E-4</v>
      </c>
    </row>
    <row r="595">
      <c r="C595" s="56" t="s">
        <v>5029</v>
      </c>
      <c r="H595" s="57">
        <v>0.052</v>
      </c>
      <c r="M595" s="57">
        <v>1.237E-4</v>
      </c>
    </row>
    <row r="596">
      <c r="C596" s="56" t="s">
        <v>5103</v>
      </c>
      <c r="H596" s="57">
        <v>0.0225</v>
      </c>
      <c r="M596" s="57">
        <v>1.234E-4</v>
      </c>
    </row>
    <row r="597">
      <c r="C597" s="56" t="s">
        <v>4990</v>
      </c>
      <c r="H597" s="57">
        <v>0.0245</v>
      </c>
      <c r="M597" s="57">
        <v>1.222E-4</v>
      </c>
    </row>
    <row r="598">
      <c r="C598" s="56" t="s">
        <v>5038</v>
      </c>
      <c r="H598" s="57">
        <v>0.011</v>
      </c>
      <c r="M598" s="57">
        <v>1.221E-4</v>
      </c>
    </row>
    <row r="599">
      <c r="C599" s="56" t="s">
        <v>5157</v>
      </c>
      <c r="H599" s="58">
        <v>0.05</v>
      </c>
      <c r="M599" s="57">
        <v>1.21E-4</v>
      </c>
    </row>
    <row r="600">
      <c r="C600" s="56" t="s">
        <v>5026</v>
      </c>
      <c r="H600" s="57">
        <v>0.042</v>
      </c>
      <c r="M600" s="57">
        <v>1.208E-4</v>
      </c>
    </row>
    <row r="601">
      <c r="C601" s="56" t="s">
        <v>5111</v>
      </c>
      <c r="H601" s="57">
        <v>0.063424</v>
      </c>
      <c r="M601" s="57">
        <v>1.204E-4</v>
      </c>
    </row>
    <row r="602">
      <c r="C602" s="56" t="s">
        <v>5131</v>
      </c>
      <c r="H602" s="57">
        <v>0.037</v>
      </c>
      <c r="M602" s="57">
        <v>1.197E-4</v>
      </c>
    </row>
    <row r="603">
      <c r="C603" s="56" t="s">
        <v>5185</v>
      </c>
      <c r="H603" s="57">
        <v>0.0285</v>
      </c>
      <c r="M603" s="57">
        <v>1.196E-4</v>
      </c>
    </row>
    <row r="604">
      <c r="C604" s="56" t="s">
        <v>5186</v>
      </c>
      <c r="H604" s="57">
        <v>0.01606</v>
      </c>
      <c r="M604" s="57">
        <v>1.187E-4</v>
      </c>
    </row>
    <row r="605">
      <c r="C605" s="56" t="s">
        <v>5111</v>
      </c>
      <c r="H605" s="57">
        <v>0.022</v>
      </c>
      <c r="M605" s="57">
        <v>1.178E-4</v>
      </c>
    </row>
    <row r="606">
      <c r="C606" s="56" t="s">
        <v>5187</v>
      </c>
      <c r="H606" s="57">
        <v>0.0364</v>
      </c>
      <c r="M606" s="57">
        <v>1.176E-4</v>
      </c>
    </row>
    <row r="607">
      <c r="C607" s="56" t="s">
        <v>5188</v>
      </c>
      <c r="H607" s="57">
        <v>0.045</v>
      </c>
      <c r="M607" s="57">
        <v>1.174E-4</v>
      </c>
    </row>
    <row r="608">
      <c r="C608" s="56" t="s">
        <v>5135</v>
      </c>
      <c r="H608" s="57">
        <v>0.026</v>
      </c>
      <c r="M608" s="57">
        <v>1.172E-4</v>
      </c>
    </row>
    <row r="609">
      <c r="C609" s="56" t="s">
        <v>5077</v>
      </c>
      <c r="H609" s="57">
        <v>0.037</v>
      </c>
      <c r="M609" s="57">
        <v>1.163E-4</v>
      </c>
    </row>
    <row r="610">
      <c r="C610" s="56" t="s">
        <v>5164</v>
      </c>
      <c r="H610" s="57">
        <v>0.0449</v>
      </c>
      <c r="M610" s="57">
        <v>1.155E-4</v>
      </c>
    </row>
    <row r="611">
      <c r="C611" s="56" t="s">
        <v>4986</v>
      </c>
      <c r="H611" s="57">
        <v>0.045</v>
      </c>
      <c r="M611" s="57">
        <v>1.133E-4</v>
      </c>
    </row>
    <row r="612">
      <c r="C612" s="56" t="s">
        <v>5104</v>
      </c>
      <c r="H612" s="57">
        <v>0.059</v>
      </c>
      <c r="M612" s="57">
        <v>1.133E-4</v>
      </c>
    </row>
    <row r="613">
      <c r="C613" s="56" t="s">
        <v>5014</v>
      </c>
      <c r="H613" s="57">
        <v>0.0235</v>
      </c>
      <c r="M613" s="57">
        <v>1.124E-4</v>
      </c>
    </row>
    <row r="614">
      <c r="C614" s="56" t="s">
        <v>5159</v>
      </c>
      <c r="H614" s="57">
        <v>0.034</v>
      </c>
      <c r="M614" s="57">
        <v>1.098E-4</v>
      </c>
    </row>
    <row r="615">
      <c r="C615" s="56" t="s">
        <v>5189</v>
      </c>
      <c r="H615" s="57">
        <v>0.032</v>
      </c>
      <c r="M615" s="57">
        <v>1.092E-4</v>
      </c>
    </row>
    <row r="616">
      <c r="C616" s="56" t="s">
        <v>5190</v>
      </c>
      <c r="H616" s="57">
        <v>0.05311</v>
      </c>
      <c r="M616" s="57">
        <v>1.091E-4</v>
      </c>
    </row>
    <row r="617">
      <c r="C617" s="56" t="s">
        <v>5085</v>
      </c>
      <c r="H617" s="57">
        <v>0.0282</v>
      </c>
      <c r="M617" s="57">
        <v>1.088E-4</v>
      </c>
    </row>
    <row r="618">
      <c r="C618" s="56" t="s">
        <v>5068</v>
      </c>
      <c r="H618" s="57">
        <v>0.0577</v>
      </c>
      <c r="M618" s="57">
        <v>1.083E-4</v>
      </c>
    </row>
    <row r="619">
      <c r="C619" s="56" t="s">
        <v>4990</v>
      </c>
      <c r="H619" s="58">
        <v>0.02</v>
      </c>
      <c r="M619" s="57">
        <v>1.08E-4</v>
      </c>
    </row>
    <row r="620">
      <c r="C620" s="56" t="s">
        <v>5022</v>
      </c>
      <c r="H620" s="57">
        <v>0.04125</v>
      </c>
      <c r="M620" s="57">
        <v>1.071E-4</v>
      </c>
    </row>
    <row r="621">
      <c r="C621" s="56" t="s">
        <v>4988</v>
      </c>
      <c r="H621" s="57">
        <v>0.0475</v>
      </c>
      <c r="M621" s="57">
        <v>1.069E-4</v>
      </c>
    </row>
    <row r="622">
      <c r="C622" s="56" t="s">
        <v>5106</v>
      </c>
      <c r="H622" s="57">
        <v>0.047</v>
      </c>
      <c r="M622" s="57">
        <v>1.065E-4</v>
      </c>
    </row>
    <row r="623">
      <c r="C623" s="56" t="s">
        <v>5111</v>
      </c>
      <c r="H623" s="57">
        <v>0.018</v>
      </c>
      <c r="M623" s="57">
        <v>1.052E-4</v>
      </c>
    </row>
    <row r="624">
      <c r="C624" s="56" t="s">
        <v>5169</v>
      </c>
      <c r="H624" s="57">
        <v>0.03657</v>
      </c>
      <c r="M624" s="57">
        <v>1.042E-4</v>
      </c>
    </row>
    <row r="625">
      <c r="C625" s="56" t="s">
        <v>5082</v>
      </c>
      <c r="H625" s="57">
        <v>0.035</v>
      </c>
      <c r="M625" s="57">
        <v>1.04E-4</v>
      </c>
    </row>
    <row r="626">
      <c r="C626" s="56" t="s">
        <v>98</v>
      </c>
      <c r="H626" s="57">
        <v>0.0325</v>
      </c>
      <c r="M626" s="57">
        <v>1.039E-4</v>
      </c>
    </row>
    <row r="627">
      <c r="C627" s="56" t="s">
        <v>5098</v>
      </c>
      <c r="H627" s="57">
        <v>0.0345</v>
      </c>
      <c r="M627" s="57">
        <v>1.027E-4</v>
      </c>
    </row>
    <row r="628">
      <c r="C628" s="56" t="s">
        <v>5145</v>
      </c>
      <c r="H628" s="57">
        <v>0.02086</v>
      </c>
      <c r="M628" s="57">
        <v>1.025E-4</v>
      </c>
    </row>
    <row r="629">
      <c r="C629" s="56" t="s">
        <v>5011</v>
      </c>
      <c r="H629" s="57">
        <v>0.0265</v>
      </c>
      <c r="M629" s="57">
        <v>1.01E-4</v>
      </c>
    </row>
    <row r="630">
      <c r="C630" s="56" t="s">
        <v>5021</v>
      </c>
      <c r="H630" s="57">
        <v>0.025</v>
      </c>
      <c r="M630" s="57">
        <v>9.99E-5</v>
      </c>
    </row>
    <row r="631">
      <c r="C631" s="56" t="s">
        <v>5101</v>
      </c>
      <c r="H631" s="57">
        <v>0.0425</v>
      </c>
      <c r="M631" s="57">
        <v>9.76E-5</v>
      </c>
    </row>
    <row r="632">
      <c r="C632" s="56" t="s">
        <v>5191</v>
      </c>
      <c r="H632" s="57">
        <v>0.02725</v>
      </c>
      <c r="M632" s="57">
        <v>9.7E-5</v>
      </c>
    </row>
    <row r="633">
      <c r="C633" s="56" t="s">
        <v>5026</v>
      </c>
      <c r="H633" s="57">
        <v>0.036</v>
      </c>
      <c r="M633" s="57">
        <v>9.69E-5</v>
      </c>
    </row>
    <row r="634">
      <c r="C634" s="56" t="s">
        <v>5192</v>
      </c>
      <c r="H634" s="57">
        <v>0.0475</v>
      </c>
      <c r="M634" s="57">
        <v>9.57E-5</v>
      </c>
    </row>
    <row r="635">
      <c r="C635" s="56" t="s">
        <v>5193</v>
      </c>
      <c r="H635" s="57">
        <v>0.01183</v>
      </c>
      <c r="M635" s="57">
        <v>9.52E-5</v>
      </c>
    </row>
    <row r="636">
      <c r="C636" s="56" t="s">
        <v>5104</v>
      </c>
      <c r="H636" s="57">
        <v>0.0325</v>
      </c>
      <c r="M636" s="57">
        <v>9.46E-5</v>
      </c>
    </row>
    <row r="637">
      <c r="C637" s="56" t="s">
        <v>5194</v>
      </c>
      <c r="H637" s="57">
        <v>0.019</v>
      </c>
      <c r="M637" s="57">
        <v>9.43E-5</v>
      </c>
    </row>
    <row r="638">
      <c r="C638" s="56" t="s">
        <v>2128</v>
      </c>
      <c r="H638" s="57">
        <v>0.029</v>
      </c>
      <c r="M638" s="57">
        <v>9.33E-5</v>
      </c>
    </row>
    <row r="639">
      <c r="C639" s="56" t="s">
        <v>5073</v>
      </c>
      <c r="H639" s="57">
        <v>0.02132</v>
      </c>
      <c r="M639" s="57">
        <v>9.32E-5</v>
      </c>
    </row>
    <row r="640">
      <c r="C640" s="56" t="s">
        <v>5153</v>
      </c>
      <c r="H640" s="57">
        <v>0.0375</v>
      </c>
      <c r="M640" s="57">
        <v>9.27E-5</v>
      </c>
    </row>
    <row r="641">
      <c r="C641" s="56" t="s">
        <v>5106</v>
      </c>
      <c r="H641" s="57">
        <v>0.021</v>
      </c>
      <c r="M641" s="57">
        <v>9.23E-5</v>
      </c>
    </row>
    <row r="642">
      <c r="C642" s="56" t="s">
        <v>5121</v>
      </c>
      <c r="H642" s="58">
        <v>0.02</v>
      </c>
      <c r="M642" s="57">
        <v>8.97E-5</v>
      </c>
    </row>
    <row r="643">
      <c r="C643" s="56" t="s">
        <v>5195</v>
      </c>
      <c r="H643" s="57">
        <v>0.045</v>
      </c>
      <c r="M643" s="57">
        <v>8.85E-5</v>
      </c>
    </row>
    <row r="644">
      <c r="C644" s="56" t="s">
        <v>5196</v>
      </c>
      <c r="H644" s="57">
        <v>0.03261</v>
      </c>
      <c r="M644" s="57">
        <v>8.81E-5</v>
      </c>
    </row>
    <row r="645">
      <c r="C645" s="56" t="s">
        <v>5040</v>
      </c>
      <c r="H645" s="57">
        <v>0.0275</v>
      </c>
      <c r="M645" s="57">
        <v>8.74E-5</v>
      </c>
    </row>
    <row r="646">
      <c r="C646" s="56" t="s">
        <v>5144</v>
      </c>
      <c r="H646" s="57">
        <v>0.0285</v>
      </c>
      <c r="M646" s="57">
        <v>8.71E-5</v>
      </c>
    </row>
    <row r="647">
      <c r="C647" s="56" t="s">
        <v>2618</v>
      </c>
      <c r="H647" s="58">
        <v>0.04</v>
      </c>
      <c r="M647" s="57">
        <v>8.65E-5</v>
      </c>
    </row>
    <row r="648">
      <c r="C648" s="56" t="s">
        <v>5197</v>
      </c>
      <c r="H648" s="57">
        <v>0.02317</v>
      </c>
      <c r="M648" s="57">
        <v>8.57E-5</v>
      </c>
    </row>
    <row r="649">
      <c r="C649" s="56" t="s">
        <v>5198</v>
      </c>
      <c r="H649" s="57">
        <v>0.029</v>
      </c>
      <c r="M649" s="57">
        <v>8.51E-5</v>
      </c>
    </row>
    <row r="650">
      <c r="C650" s="56" t="s">
        <v>5127</v>
      </c>
      <c r="H650" s="57">
        <v>0.038</v>
      </c>
      <c r="M650" s="57">
        <v>8.45E-5</v>
      </c>
    </row>
    <row r="651">
      <c r="C651" s="56" t="s">
        <v>5119</v>
      </c>
      <c r="H651" s="57">
        <v>0.051</v>
      </c>
      <c r="M651" s="57">
        <v>8.22E-5</v>
      </c>
    </row>
    <row r="652">
      <c r="C652" s="56" t="s">
        <v>5199</v>
      </c>
      <c r="H652" s="57">
        <v>0.0475</v>
      </c>
      <c r="M652" s="57">
        <v>8.12E-5</v>
      </c>
    </row>
    <row r="653">
      <c r="C653" s="56" t="s">
        <v>5117</v>
      </c>
      <c r="H653" s="57">
        <v>0.047637</v>
      </c>
      <c r="M653" s="57">
        <v>8.05E-5</v>
      </c>
    </row>
    <row r="654">
      <c r="C654" s="56" t="s">
        <v>5131</v>
      </c>
      <c r="H654" s="57">
        <v>0.026</v>
      </c>
      <c r="M654" s="57">
        <v>7.19E-5</v>
      </c>
    </row>
    <row r="655">
      <c r="C655" s="56" t="s">
        <v>5008</v>
      </c>
      <c r="H655" s="57">
        <v>0.0435</v>
      </c>
      <c r="M655" s="57">
        <v>6.95E-5</v>
      </c>
    </row>
    <row r="656">
      <c r="C656" s="56" t="s">
        <v>5200</v>
      </c>
      <c r="H656" s="57">
        <v>0.024</v>
      </c>
      <c r="M656" s="57">
        <v>6.88E-5</v>
      </c>
    </row>
    <row r="657">
      <c r="C657" s="56" t="s">
        <v>5201</v>
      </c>
      <c r="H657" s="57">
        <v>0.04145</v>
      </c>
      <c r="M657" s="57">
        <v>6.82E-5</v>
      </c>
    </row>
    <row r="658">
      <c r="C658" s="56" t="s">
        <v>5070</v>
      </c>
      <c r="H658" s="57">
        <v>0.0495</v>
      </c>
      <c r="M658" s="57">
        <v>6.77E-5</v>
      </c>
    </row>
    <row r="659">
      <c r="C659" s="56" t="s">
        <v>5113</v>
      </c>
      <c r="H659" s="57">
        <v>0.0475</v>
      </c>
      <c r="M659" s="57">
        <v>6.76E-5</v>
      </c>
    </row>
    <row r="660">
      <c r="C660" s="56" t="s">
        <v>5049</v>
      </c>
      <c r="H660" s="57">
        <v>0.0475</v>
      </c>
      <c r="M660" s="57">
        <v>6.71E-5</v>
      </c>
    </row>
    <row r="661">
      <c r="C661" s="56" t="s">
        <v>98</v>
      </c>
      <c r="H661" s="57">
        <v>0.042</v>
      </c>
      <c r="M661" s="57">
        <v>6.7E-5</v>
      </c>
    </row>
    <row r="662">
      <c r="C662" s="56" t="s">
        <v>5202</v>
      </c>
      <c r="H662" s="57">
        <v>0.04475</v>
      </c>
      <c r="M662" s="57">
        <v>6.7E-5</v>
      </c>
    </row>
    <row r="663">
      <c r="C663" s="56" t="s">
        <v>5050</v>
      </c>
      <c r="H663" s="58">
        <v>0.04</v>
      </c>
      <c r="M663" s="57">
        <v>6.66E-5</v>
      </c>
    </row>
    <row r="664">
      <c r="C664" s="56" t="s">
        <v>5106</v>
      </c>
      <c r="H664" s="58">
        <v>0.04</v>
      </c>
      <c r="M664" s="57">
        <v>6.64E-5</v>
      </c>
    </row>
    <row r="665">
      <c r="C665" s="56" t="s">
        <v>5203</v>
      </c>
      <c r="H665" s="57">
        <v>0.041</v>
      </c>
      <c r="M665" s="57">
        <v>6.63E-5</v>
      </c>
    </row>
    <row r="666">
      <c r="C666" s="56" t="s">
        <v>5026</v>
      </c>
      <c r="H666" s="57">
        <v>0.0165</v>
      </c>
      <c r="M666" s="57">
        <v>6.53E-5</v>
      </c>
    </row>
    <row r="667">
      <c r="C667" s="56" t="s">
        <v>5159</v>
      </c>
      <c r="H667" s="57">
        <v>0.02741</v>
      </c>
      <c r="M667" s="57">
        <v>6.32E-5</v>
      </c>
    </row>
    <row r="668">
      <c r="C668" s="56" t="s">
        <v>5204</v>
      </c>
      <c r="H668" s="57">
        <v>0.0425</v>
      </c>
      <c r="M668" s="57">
        <v>6.28E-5</v>
      </c>
    </row>
    <row r="669">
      <c r="C669" s="56" t="s">
        <v>5020</v>
      </c>
      <c r="H669" s="57">
        <v>0.0335</v>
      </c>
      <c r="M669" s="57">
        <v>5.78E-5</v>
      </c>
    </row>
    <row r="670">
      <c r="C670" s="56" t="s">
        <v>5167</v>
      </c>
      <c r="H670" s="57">
        <v>0.019</v>
      </c>
      <c r="M670" s="57">
        <v>5.66E-5</v>
      </c>
    </row>
    <row r="671">
      <c r="C671" s="56" t="s">
        <v>98</v>
      </c>
      <c r="H671" s="57">
        <v>0.0475</v>
      </c>
      <c r="M671" s="57">
        <v>5.46E-5</v>
      </c>
    </row>
    <row r="672">
      <c r="C672" s="56" t="s">
        <v>98</v>
      </c>
      <c r="H672" s="58">
        <v>0.03</v>
      </c>
      <c r="M672" s="57">
        <v>5.43E-5</v>
      </c>
    </row>
    <row r="673">
      <c r="C673" s="56" t="s">
        <v>5079</v>
      </c>
      <c r="H673" s="57">
        <v>0.033</v>
      </c>
      <c r="M673" s="57">
        <v>5.22E-5</v>
      </c>
    </row>
    <row r="674">
      <c r="C674" s="56" t="s">
        <v>5205</v>
      </c>
      <c r="H674" s="57">
        <v>0.0415</v>
      </c>
      <c r="M674" s="57">
        <v>4.83E-5</v>
      </c>
    </row>
    <row r="675">
      <c r="C675" s="56" t="s">
        <v>98</v>
      </c>
      <c r="H675" s="57">
        <v>0.032</v>
      </c>
      <c r="M675" s="57">
        <v>4.78E-5</v>
      </c>
    </row>
    <row r="676">
      <c r="C676" s="56" t="s">
        <v>5184</v>
      </c>
      <c r="H676" s="57">
        <v>0.01746</v>
      </c>
      <c r="M676" s="57">
        <v>4.56E-5</v>
      </c>
    </row>
    <row r="677">
      <c r="C677" s="56" t="s">
        <v>5088</v>
      </c>
      <c r="H677" s="57">
        <v>0.034</v>
      </c>
      <c r="M677" s="57">
        <v>3.88E-5</v>
      </c>
    </row>
    <row r="678">
      <c r="C678" s="56" t="s">
        <v>5206</v>
      </c>
      <c r="H678" s="57">
        <v>0.026</v>
      </c>
      <c r="M678" s="57">
        <v>3.45E-5</v>
      </c>
    </row>
    <row r="679">
      <c r="C679" s="56" t="s">
        <v>5143</v>
      </c>
      <c r="H679" s="57">
        <v>0.02525</v>
      </c>
      <c r="M679" s="57">
        <v>3.33E-5</v>
      </c>
    </row>
    <row r="680">
      <c r="C680" s="56" t="s">
        <v>5207</v>
      </c>
      <c r="H680" s="57">
        <v>0.05244</v>
      </c>
      <c r="M680" s="57">
        <v>3.27E-5</v>
      </c>
    </row>
    <row r="681">
      <c r="C681" s="56" t="s">
        <v>5064</v>
      </c>
      <c r="H681" s="57">
        <v>0.01987</v>
      </c>
      <c r="M681" s="57">
        <v>3.27E-5</v>
      </c>
    </row>
    <row r="682">
      <c r="C682" s="56" t="s">
        <v>5145</v>
      </c>
      <c r="H682" s="57">
        <v>0.02787</v>
      </c>
      <c r="M682" s="57">
        <v>3.12E-5</v>
      </c>
    </row>
    <row r="683">
      <c r="C683" s="56" t="s">
        <v>5208</v>
      </c>
      <c r="H683" s="58">
        <v>0.04</v>
      </c>
      <c r="M683" s="57">
        <v>2.59E-5</v>
      </c>
    </row>
    <row r="684">
      <c r="C684" s="56" t="s">
        <v>5206</v>
      </c>
      <c r="H684" s="57">
        <v>0.019</v>
      </c>
      <c r="M684" s="57">
        <v>2.52E-5</v>
      </c>
    </row>
    <row r="685">
      <c r="C685" s="56" t="s">
        <v>5011</v>
      </c>
      <c r="H685" s="58">
        <v>0.03</v>
      </c>
      <c r="M685" s="57">
        <v>2.22E-5</v>
      </c>
    </row>
    <row r="686">
      <c r="C686" s="56" t="s">
        <v>5080</v>
      </c>
      <c r="H686" s="57">
        <v>0.0335</v>
      </c>
      <c r="M686" s="57">
        <v>2.04E-5</v>
      </c>
    </row>
    <row r="687">
      <c r="C687" s="56" t="s">
        <v>5004</v>
      </c>
      <c r="H687" s="57">
        <v>0.025</v>
      </c>
      <c r="M687" s="57">
        <v>1.68E-5</v>
      </c>
    </row>
    <row r="688">
      <c r="C688" s="56" t="s">
        <v>5055</v>
      </c>
      <c r="H688" s="57">
        <v>0.01065</v>
      </c>
      <c r="M688" s="57">
        <v>5.4E-6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75"/>
    <col customWidth="1" min="2" max="2" width="5.5"/>
    <col customWidth="1" min="3" max="3" width="31.63"/>
    <col customWidth="1" min="5" max="5" width="30.25"/>
    <col customWidth="1" min="6" max="7" width="6.38"/>
    <col customWidth="1" min="8" max="8" width="7.63"/>
  </cols>
  <sheetData>
    <row r="1">
      <c r="A1" s="56" t="s">
        <v>80</v>
      </c>
      <c r="B1" s="35" t="s">
        <v>81</v>
      </c>
      <c r="C1" s="56" t="s">
        <v>82</v>
      </c>
      <c r="D1" s="35" t="s">
        <v>83</v>
      </c>
      <c r="E1" s="56" t="s">
        <v>84</v>
      </c>
      <c r="F1" s="56" t="s">
        <v>85</v>
      </c>
      <c r="G1" s="35" t="s">
        <v>86</v>
      </c>
      <c r="H1" s="37" t="s">
        <v>87</v>
      </c>
      <c r="I1" s="37" t="s">
        <v>88</v>
      </c>
      <c r="J1" s="37" t="s">
        <v>89</v>
      </c>
      <c r="K1" s="35" t="s">
        <v>90</v>
      </c>
      <c r="N1" s="59"/>
    </row>
    <row r="2">
      <c r="A2" s="56" t="s">
        <v>5209</v>
      </c>
      <c r="B2" s="48"/>
      <c r="C2" s="56" t="s">
        <v>5210</v>
      </c>
      <c r="D2" s="48"/>
      <c r="E2" s="56" t="s">
        <v>5211</v>
      </c>
      <c r="F2" s="56" t="s">
        <v>5212</v>
      </c>
      <c r="G2" s="60" t="s">
        <v>96</v>
      </c>
      <c r="H2" s="57">
        <v>0.103617</v>
      </c>
      <c r="I2" s="49"/>
      <c r="J2" s="49"/>
      <c r="K2" s="44"/>
      <c r="N2" s="59"/>
    </row>
    <row r="3">
      <c r="A3" s="56" t="s">
        <v>5213</v>
      </c>
      <c r="C3" s="56" t="s">
        <v>5214</v>
      </c>
      <c r="E3" s="56" t="s">
        <v>5215</v>
      </c>
      <c r="F3" s="56" t="s">
        <v>5212</v>
      </c>
      <c r="G3" s="60" t="s">
        <v>96</v>
      </c>
      <c r="H3" s="57">
        <v>0.079227</v>
      </c>
      <c r="N3" s="59"/>
    </row>
    <row r="4">
      <c r="A4" s="56" t="s">
        <v>5216</v>
      </c>
      <c r="C4" s="56" t="s">
        <v>5217</v>
      </c>
      <c r="E4" s="56" t="s">
        <v>5218</v>
      </c>
      <c r="F4" s="56" t="s">
        <v>5212</v>
      </c>
      <c r="G4" s="60" t="s">
        <v>96</v>
      </c>
      <c r="H4" s="57">
        <v>0.0575656</v>
      </c>
      <c r="N4" s="59"/>
    </row>
    <row r="5">
      <c r="A5" s="56" t="s">
        <v>5219</v>
      </c>
      <c r="C5" s="56" t="s">
        <v>5220</v>
      </c>
      <c r="E5" s="56" t="s">
        <v>5215</v>
      </c>
      <c r="F5" s="56" t="s">
        <v>5212</v>
      </c>
      <c r="G5" s="60" t="s">
        <v>96</v>
      </c>
      <c r="H5" s="57">
        <v>0.0396644</v>
      </c>
      <c r="N5" s="59"/>
    </row>
    <row r="6">
      <c r="A6" s="56" t="s">
        <v>5221</v>
      </c>
      <c r="C6" s="56" t="s">
        <v>5036</v>
      </c>
      <c r="E6" s="56" t="s">
        <v>5215</v>
      </c>
      <c r="F6" s="56" t="s">
        <v>5212</v>
      </c>
      <c r="G6" s="60" t="s">
        <v>96</v>
      </c>
      <c r="H6" s="57">
        <v>0.0348376</v>
      </c>
      <c r="N6" s="59"/>
    </row>
    <row r="7">
      <c r="A7" s="56" t="s">
        <v>5222</v>
      </c>
      <c r="C7" s="56" t="s">
        <v>5223</v>
      </c>
      <c r="E7" s="56" t="s">
        <v>5215</v>
      </c>
      <c r="F7" s="56" t="s">
        <v>5212</v>
      </c>
      <c r="G7" s="60" t="s">
        <v>96</v>
      </c>
      <c r="H7" s="57">
        <v>0.0343816</v>
      </c>
      <c r="N7" s="59"/>
    </row>
    <row r="8">
      <c r="A8" s="56" t="s">
        <v>5224</v>
      </c>
      <c r="C8" s="56" t="s">
        <v>5225</v>
      </c>
      <c r="E8" s="56" t="s">
        <v>5226</v>
      </c>
      <c r="F8" s="56" t="s">
        <v>5212</v>
      </c>
      <c r="G8" s="60" t="s">
        <v>96</v>
      </c>
      <c r="H8" s="57">
        <v>0.032059</v>
      </c>
      <c r="N8" s="59"/>
    </row>
    <row r="9">
      <c r="A9" s="56" t="s">
        <v>5227</v>
      </c>
      <c r="C9" s="56" t="s">
        <v>5228</v>
      </c>
      <c r="E9" s="56" t="s">
        <v>5229</v>
      </c>
      <c r="F9" s="56" t="s">
        <v>5212</v>
      </c>
      <c r="G9" s="60" t="s">
        <v>96</v>
      </c>
      <c r="H9" s="57">
        <v>0.0283052</v>
      </c>
      <c r="N9" s="59"/>
    </row>
    <row r="10">
      <c r="A10" s="56" t="s">
        <v>5230</v>
      </c>
      <c r="C10" s="56" t="s">
        <v>5231</v>
      </c>
      <c r="E10" s="56" t="s">
        <v>5232</v>
      </c>
      <c r="F10" s="56" t="s">
        <v>5212</v>
      </c>
      <c r="G10" s="60" t="s">
        <v>96</v>
      </c>
      <c r="H10" s="57">
        <v>0.0250698</v>
      </c>
      <c r="N10" s="59"/>
    </row>
    <row r="11">
      <c r="A11" s="56" t="s">
        <v>5233</v>
      </c>
      <c r="C11" s="56" t="s">
        <v>5234</v>
      </c>
      <c r="E11" s="56" t="s">
        <v>5235</v>
      </c>
      <c r="F11" s="56" t="s">
        <v>5212</v>
      </c>
      <c r="G11" s="60" t="s">
        <v>96</v>
      </c>
      <c r="H11" s="57">
        <v>0.021865</v>
      </c>
      <c r="N11" s="59"/>
    </row>
    <row r="12">
      <c r="A12" s="56" t="s">
        <v>5236</v>
      </c>
      <c r="C12" s="56" t="s">
        <v>5237</v>
      </c>
      <c r="E12" s="56" t="s">
        <v>5238</v>
      </c>
      <c r="F12" s="56" t="s">
        <v>5212</v>
      </c>
      <c r="G12" s="60" t="s">
        <v>96</v>
      </c>
      <c r="H12" s="57">
        <v>0.020904</v>
      </c>
      <c r="N12" s="59"/>
    </row>
    <row r="13">
      <c r="A13" s="56" t="s">
        <v>5239</v>
      </c>
      <c r="C13" s="56" t="s">
        <v>5240</v>
      </c>
      <c r="E13" s="56" t="s">
        <v>5241</v>
      </c>
      <c r="F13" s="56" t="s">
        <v>5212</v>
      </c>
      <c r="G13" s="60" t="s">
        <v>96</v>
      </c>
      <c r="H13" s="57">
        <v>0.0196441</v>
      </c>
      <c r="N13" s="59"/>
    </row>
    <row r="14">
      <c r="A14" s="56" t="s">
        <v>5242</v>
      </c>
      <c r="C14" s="56" t="s">
        <v>5243</v>
      </c>
      <c r="E14" s="56" t="s">
        <v>5211</v>
      </c>
      <c r="F14" s="56" t="s">
        <v>5212</v>
      </c>
      <c r="G14" s="60" t="s">
        <v>96</v>
      </c>
      <c r="H14" s="57">
        <v>0.0193144</v>
      </c>
      <c r="N14" s="59"/>
    </row>
    <row r="15">
      <c r="A15" s="56" t="s">
        <v>5244</v>
      </c>
      <c r="C15" s="56" t="s">
        <v>5245</v>
      </c>
      <c r="E15" s="56" t="s">
        <v>5246</v>
      </c>
      <c r="F15" s="56" t="s">
        <v>5212</v>
      </c>
      <c r="G15" s="60" t="s">
        <v>96</v>
      </c>
      <c r="H15" s="57">
        <v>0.0163154</v>
      </c>
      <c r="N15" s="59"/>
    </row>
    <row r="16">
      <c r="A16" s="56" t="s">
        <v>5247</v>
      </c>
      <c r="C16" s="56" t="s">
        <v>5248</v>
      </c>
      <c r="E16" s="56" t="s">
        <v>5249</v>
      </c>
      <c r="F16" s="56" t="s">
        <v>5212</v>
      </c>
      <c r="G16" s="60" t="s">
        <v>96</v>
      </c>
      <c r="H16" s="57">
        <v>0.0156237</v>
      </c>
      <c r="N16" s="59"/>
    </row>
    <row r="17">
      <c r="A17" s="56" t="s">
        <v>5250</v>
      </c>
      <c r="C17" s="56" t="s">
        <v>5251</v>
      </c>
      <c r="E17" s="56" t="s">
        <v>5226</v>
      </c>
      <c r="F17" s="56" t="s">
        <v>5212</v>
      </c>
      <c r="G17" s="60" t="s">
        <v>96</v>
      </c>
      <c r="H17" s="57">
        <v>0.0116161</v>
      </c>
      <c r="N17" s="59"/>
    </row>
    <row r="18">
      <c r="A18" s="56" t="s">
        <v>4346</v>
      </c>
      <c r="C18" s="56" t="s">
        <v>5252</v>
      </c>
      <c r="E18" s="56" t="s">
        <v>5253</v>
      </c>
      <c r="F18" s="56" t="s">
        <v>5212</v>
      </c>
      <c r="G18" s="60" t="s">
        <v>96</v>
      </c>
      <c r="H18" s="57">
        <v>0.0114726</v>
      </c>
      <c r="N18" s="59"/>
    </row>
    <row r="19">
      <c r="A19" s="56" t="s">
        <v>5254</v>
      </c>
      <c r="C19" s="56" t="s">
        <v>5255</v>
      </c>
      <c r="E19" s="56" t="s">
        <v>5238</v>
      </c>
      <c r="F19" s="56" t="s">
        <v>5212</v>
      </c>
      <c r="G19" s="60" t="s">
        <v>96</v>
      </c>
      <c r="H19" s="57">
        <v>0.0108138</v>
      </c>
      <c r="N19" s="59"/>
    </row>
    <row r="20">
      <c r="A20" s="56" t="s">
        <v>5256</v>
      </c>
      <c r="C20" s="56" t="s">
        <v>5257</v>
      </c>
      <c r="E20" s="56" t="s">
        <v>5258</v>
      </c>
      <c r="F20" s="56" t="s">
        <v>5212</v>
      </c>
      <c r="G20" s="60" t="s">
        <v>96</v>
      </c>
      <c r="H20" s="57">
        <v>0.0104668</v>
      </c>
      <c r="N20" s="59"/>
    </row>
    <row r="21">
      <c r="A21" s="56" t="s">
        <v>5259</v>
      </c>
      <c r="C21" s="56" t="s">
        <v>5260</v>
      </c>
      <c r="E21" s="56" t="s">
        <v>5261</v>
      </c>
      <c r="F21" s="56" t="s">
        <v>5212</v>
      </c>
      <c r="G21" s="60" t="s">
        <v>96</v>
      </c>
      <c r="H21" s="57">
        <v>0.0104562</v>
      </c>
      <c r="N21" s="59"/>
    </row>
    <row r="22">
      <c r="A22" s="56" t="s">
        <v>5262</v>
      </c>
      <c r="C22" s="56" t="s">
        <v>5263</v>
      </c>
      <c r="E22" s="56" t="s">
        <v>5264</v>
      </c>
      <c r="F22" s="56" t="s">
        <v>5212</v>
      </c>
      <c r="G22" s="60" t="s">
        <v>96</v>
      </c>
      <c r="H22" s="57">
        <v>0.0086891</v>
      </c>
      <c r="N22" s="59"/>
    </row>
    <row r="23">
      <c r="A23" s="56" t="s">
        <v>5265</v>
      </c>
      <c r="C23" s="56" t="s">
        <v>5266</v>
      </c>
      <c r="E23" s="56" t="s">
        <v>5267</v>
      </c>
      <c r="F23" s="56" t="s">
        <v>5268</v>
      </c>
      <c r="G23" s="60" t="s">
        <v>96</v>
      </c>
      <c r="H23" s="57">
        <v>0.0085569</v>
      </c>
      <c r="N23" s="59"/>
    </row>
    <row r="24">
      <c r="A24" s="56" t="s">
        <v>5269</v>
      </c>
      <c r="C24" s="56" t="s">
        <v>5270</v>
      </c>
      <c r="E24" s="56" t="s">
        <v>5271</v>
      </c>
      <c r="F24" s="56" t="s">
        <v>5212</v>
      </c>
      <c r="G24" s="60" t="s">
        <v>96</v>
      </c>
      <c r="H24" s="57">
        <v>0.0080325</v>
      </c>
      <c r="N24" s="59"/>
    </row>
    <row r="25">
      <c r="A25" s="56" t="s">
        <v>5272</v>
      </c>
      <c r="C25" s="56" t="s">
        <v>5273</v>
      </c>
      <c r="E25" s="56" t="s">
        <v>5211</v>
      </c>
      <c r="F25" s="56" t="s">
        <v>5212</v>
      </c>
      <c r="G25" s="60" t="s">
        <v>96</v>
      </c>
      <c r="H25" s="57">
        <v>0.0078937</v>
      </c>
      <c r="N25" s="59"/>
    </row>
    <row r="26">
      <c r="A26" s="56" t="s">
        <v>5274</v>
      </c>
      <c r="C26" s="56" t="s">
        <v>5275</v>
      </c>
      <c r="E26" s="56" t="s">
        <v>5276</v>
      </c>
      <c r="F26" s="56" t="s">
        <v>5277</v>
      </c>
      <c r="G26" s="60" t="s">
        <v>96</v>
      </c>
      <c r="H26" s="57">
        <v>0.0076538</v>
      </c>
      <c r="N26" s="59"/>
    </row>
    <row r="27">
      <c r="A27" s="56" t="s">
        <v>5278</v>
      </c>
      <c r="C27" s="56" t="s">
        <v>5279</v>
      </c>
      <c r="E27" s="56" t="s">
        <v>5280</v>
      </c>
      <c r="F27" s="56" t="s">
        <v>5212</v>
      </c>
      <c r="G27" s="60" t="s">
        <v>96</v>
      </c>
      <c r="H27" s="57">
        <v>0.0073392</v>
      </c>
      <c r="N27" s="59"/>
    </row>
    <row r="28">
      <c r="A28" s="56" t="s">
        <v>5281</v>
      </c>
      <c r="C28" s="56" t="s">
        <v>5282</v>
      </c>
      <c r="E28" s="56" t="s">
        <v>5283</v>
      </c>
      <c r="F28" s="56" t="s">
        <v>5212</v>
      </c>
      <c r="G28" s="60" t="s">
        <v>96</v>
      </c>
      <c r="H28" s="57">
        <v>0.0070166</v>
      </c>
      <c r="N28" s="59"/>
    </row>
    <row r="29">
      <c r="A29" s="56" t="s">
        <v>5284</v>
      </c>
      <c r="C29" s="56" t="s">
        <v>5285</v>
      </c>
      <c r="E29" s="56" t="s">
        <v>5276</v>
      </c>
      <c r="F29" s="56" t="s">
        <v>5212</v>
      </c>
      <c r="G29" s="60" t="s">
        <v>96</v>
      </c>
      <c r="H29" s="57">
        <v>0.0067012</v>
      </c>
      <c r="N29" s="59"/>
    </row>
    <row r="30">
      <c r="A30" s="56" t="s">
        <v>5286</v>
      </c>
      <c r="C30" s="56" t="s">
        <v>5287</v>
      </c>
      <c r="E30" s="56" t="s">
        <v>5288</v>
      </c>
      <c r="F30" s="56" t="s">
        <v>5212</v>
      </c>
      <c r="G30" s="60" t="s">
        <v>96</v>
      </c>
      <c r="H30" s="57">
        <v>0.0064865</v>
      </c>
      <c r="N30" s="59"/>
    </row>
    <row r="31">
      <c r="A31" s="56" t="s">
        <v>5289</v>
      </c>
      <c r="C31" s="56" t="s">
        <v>5290</v>
      </c>
      <c r="E31" s="56" t="s">
        <v>5291</v>
      </c>
      <c r="F31" s="56" t="s">
        <v>5212</v>
      </c>
      <c r="G31" s="60" t="s">
        <v>96</v>
      </c>
      <c r="H31" s="57">
        <v>0.006477</v>
      </c>
      <c r="N31" s="59"/>
    </row>
    <row r="32">
      <c r="A32" s="56" t="s">
        <v>5292</v>
      </c>
      <c r="C32" s="56" t="s">
        <v>5293</v>
      </c>
      <c r="E32" s="56" t="s">
        <v>5261</v>
      </c>
      <c r="F32" s="56" t="s">
        <v>5212</v>
      </c>
      <c r="G32" s="60" t="s">
        <v>96</v>
      </c>
      <c r="H32" s="57">
        <v>0.0064636</v>
      </c>
      <c r="N32" s="59"/>
    </row>
    <row r="33">
      <c r="A33" s="56" t="s">
        <v>5294</v>
      </c>
      <c r="C33" s="56" t="s">
        <v>5295</v>
      </c>
      <c r="E33" s="56" t="s">
        <v>5296</v>
      </c>
      <c r="F33" s="56" t="s">
        <v>5212</v>
      </c>
      <c r="G33" s="60" t="s">
        <v>96</v>
      </c>
      <c r="H33" s="57">
        <v>0.0063802</v>
      </c>
      <c r="N33" s="59"/>
    </row>
    <row r="34">
      <c r="A34" s="56" t="s">
        <v>5297</v>
      </c>
      <c r="C34" s="56" t="s">
        <v>5298</v>
      </c>
      <c r="E34" s="56" t="s">
        <v>5258</v>
      </c>
      <c r="F34" s="56" t="s">
        <v>5212</v>
      </c>
      <c r="G34" s="60" t="s">
        <v>96</v>
      </c>
      <c r="H34" s="57">
        <v>0.0058664</v>
      </c>
      <c r="N34" s="59"/>
    </row>
    <row r="35">
      <c r="A35" s="56" t="s">
        <v>4411</v>
      </c>
      <c r="C35" s="56" t="s">
        <v>5299</v>
      </c>
      <c r="E35" s="56" t="s">
        <v>5283</v>
      </c>
      <c r="F35" s="56" t="s">
        <v>5300</v>
      </c>
      <c r="G35" s="60" t="s">
        <v>96</v>
      </c>
      <c r="H35" s="57">
        <v>0.0058455</v>
      </c>
      <c r="N35" s="59"/>
    </row>
    <row r="36">
      <c r="A36" s="56" t="s">
        <v>5301</v>
      </c>
      <c r="C36" s="56" t="s">
        <v>5302</v>
      </c>
      <c r="E36" s="56" t="s">
        <v>5211</v>
      </c>
      <c r="F36" s="56" t="s">
        <v>5212</v>
      </c>
      <c r="G36" s="60" t="s">
        <v>96</v>
      </c>
      <c r="H36" s="57">
        <v>0.0056236</v>
      </c>
      <c r="N36" s="59"/>
    </row>
    <row r="37">
      <c r="A37" s="56" t="s">
        <v>5303</v>
      </c>
      <c r="C37" s="56" t="s">
        <v>5304</v>
      </c>
      <c r="E37" s="56" t="s">
        <v>5211</v>
      </c>
      <c r="F37" s="56" t="s">
        <v>5212</v>
      </c>
      <c r="G37" s="60" t="s">
        <v>96</v>
      </c>
      <c r="H37" s="57">
        <v>0.0054419</v>
      </c>
      <c r="N37" s="59"/>
    </row>
    <row r="38">
      <c r="A38" s="56" t="s">
        <v>5305</v>
      </c>
      <c r="C38" s="56" t="s">
        <v>5306</v>
      </c>
      <c r="E38" s="56" t="s">
        <v>5229</v>
      </c>
      <c r="F38" s="56" t="s">
        <v>5212</v>
      </c>
      <c r="G38" s="60" t="s">
        <v>96</v>
      </c>
      <c r="H38" s="57">
        <v>0.0053355</v>
      </c>
      <c r="N38" s="59"/>
    </row>
    <row r="39">
      <c r="A39" s="56" t="s">
        <v>5307</v>
      </c>
      <c r="C39" s="56" t="s">
        <v>5308</v>
      </c>
      <c r="E39" s="56" t="s">
        <v>5309</v>
      </c>
      <c r="F39" s="56" t="s">
        <v>5212</v>
      </c>
      <c r="G39" s="60" t="s">
        <v>96</v>
      </c>
      <c r="H39" s="57">
        <v>0.0052694</v>
      </c>
      <c r="N39" s="59"/>
    </row>
    <row r="40">
      <c r="A40" s="56" t="s">
        <v>4566</v>
      </c>
      <c r="C40" s="56" t="s">
        <v>5310</v>
      </c>
      <c r="E40" s="56" t="s">
        <v>5311</v>
      </c>
      <c r="F40" s="56" t="s">
        <v>5212</v>
      </c>
      <c r="G40" s="60" t="s">
        <v>96</v>
      </c>
      <c r="H40" s="57">
        <v>0.0052304</v>
      </c>
      <c r="N40" s="59"/>
    </row>
    <row r="41">
      <c r="A41" s="56" t="s">
        <v>5312</v>
      </c>
      <c r="C41" s="56" t="s">
        <v>5313</v>
      </c>
      <c r="E41" s="56" t="s">
        <v>5253</v>
      </c>
      <c r="F41" s="56" t="s">
        <v>5212</v>
      </c>
      <c r="G41" s="60" t="s">
        <v>96</v>
      </c>
      <c r="H41" s="57">
        <v>0.0051283</v>
      </c>
      <c r="N41" s="59"/>
    </row>
    <row r="42">
      <c r="A42" s="56" t="s">
        <v>5314</v>
      </c>
      <c r="C42" s="56" t="s">
        <v>5315</v>
      </c>
      <c r="E42" s="56" t="s">
        <v>5316</v>
      </c>
      <c r="F42" s="56" t="s">
        <v>5212</v>
      </c>
      <c r="G42" s="60" t="s">
        <v>96</v>
      </c>
      <c r="H42" s="57">
        <v>0.0048481</v>
      </c>
      <c r="N42" s="59"/>
    </row>
    <row r="43">
      <c r="A43" s="56" t="s">
        <v>5317</v>
      </c>
      <c r="C43" s="56" t="s">
        <v>5318</v>
      </c>
      <c r="E43" s="56" t="s">
        <v>5246</v>
      </c>
      <c r="F43" s="56" t="s">
        <v>5212</v>
      </c>
      <c r="G43" s="60" t="s">
        <v>96</v>
      </c>
      <c r="H43" s="57">
        <v>0.0044868</v>
      </c>
      <c r="N43" s="59"/>
    </row>
    <row r="44">
      <c r="A44" s="56" t="s">
        <v>5319</v>
      </c>
      <c r="C44" s="56" t="s">
        <v>5320</v>
      </c>
      <c r="E44" s="56" t="s">
        <v>5321</v>
      </c>
      <c r="F44" s="56" t="s">
        <v>5212</v>
      </c>
      <c r="G44" s="60" t="s">
        <v>96</v>
      </c>
      <c r="H44" s="57">
        <v>0.0044577</v>
      </c>
      <c r="N44" s="59"/>
    </row>
    <row r="45">
      <c r="A45" s="56" t="s">
        <v>5322</v>
      </c>
      <c r="C45" s="56" t="s">
        <v>5323</v>
      </c>
      <c r="E45" s="56" t="s">
        <v>5271</v>
      </c>
      <c r="F45" s="56" t="s">
        <v>5212</v>
      </c>
      <c r="G45" s="60" t="s">
        <v>96</v>
      </c>
      <c r="H45" s="57">
        <v>0.004294</v>
      </c>
      <c r="N45" s="59"/>
    </row>
    <row r="46">
      <c r="A46" s="56" t="s">
        <v>5324</v>
      </c>
      <c r="C46" s="56" t="s">
        <v>5325</v>
      </c>
      <c r="E46" s="56" t="s">
        <v>5326</v>
      </c>
      <c r="F46" s="56" t="s">
        <v>5212</v>
      </c>
      <c r="G46" s="60" t="s">
        <v>96</v>
      </c>
      <c r="H46" s="57">
        <v>0.0041631</v>
      </c>
      <c r="N46" s="59"/>
    </row>
    <row r="47">
      <c r="A47" s="56" t="s">
        <v>5327</v>
      </c>
      <c r="C47" s="56" t="s">
        <v>5328</v>
      </c>
      <c r="E47" s="56" t="s">
        <v>5264</v>
      </c>
      <c r="F47" s="56" t="s">
        <v>5329</v>
      </c>
      <c r="G47" s="60" t="s">
        <v>96</v>
      </c>
      <c r="H47" s="57">
        <v>0.0041292</v>
      </c>
      <c r="N47" s="59"/>
    </row>
    <row r="48">
      <c r="A48" s="56" t="s">
        <v>5330</v>
      </c>
      <c r="C48" s="56" t="s">
        <v>5331</v>
      </c>
      <c r="E48" s="56" t="s">
        <v>5211</v>
      </c>
      <c r="F48" s="56" t="s">
        <v>5212</v>
      </c>
      <c r="G48" s="60" t="s">
        <v>96</v>
      </c>
      <c r="H48" s="57">
        <v>0.004126</v>
      </c>
      <c r="N48" s="59"/>
    </row>
    <row r="49">
      <c r="A49" s="56" t="s">
        <v>5332</v>
      </c>
      <c r="C49" s="56" t="s">
        <v>5333</v>
      </c>
      <c r="E49" s="56" t="s">
        <v>5249</v>
      </c>
      <c r="F49" s="56" t="s">
        <v>5212</v>
      </c>
      <c r="G49" s="60" t="s">
        <v>96</v>
      </c>
      <c r="H49" s="57">
        <v>0.0040954</v>
      </c>
      <c r="N49" s="59"/>
    </row>
    <row r="50">
      <c r="A50" s="56" t="s">
        <v>1741</v>
      </c>
      <c r="C50" s="56" t="s">
        <v>5334</v>
      </c>
      <c r="E50" s="56" t="s">
        <v>5335</v>
      </c>
      <c r="F50" s="56" t="s">
        <v>5212</v>
      </c>
      <c r="G50" s="60" t="s">
        <v>96</v>
      </c>
      <c r="H50" s="57">
        <v>0.0039691</v>
      </c>
      <c r="N50" s="59"/>
    </row>
    <row r="51">
      <c r="A51" s="56" t="s">
        <v>5336</v>
      </c>
      <c r="C51" s="56" t="s">
        <v>5337</v>
      </c>
      <c r="E51" s="56" t="s">
        <v>5338</v>
      </c>
      <c r="F51" s="56" t="s">
        <v>5212</v>
      </c>
      <c r="G51" s="60" t="s">
        <v>96</v>
      </c>
      <c r="H51" s="57">
        <v>0.0039372</v>
      </c>
      <c r="N51" s="59"/>
    </row>
    <row r="52">
      <c r="A52" s="56" t="s">
        <v>5339</v>
      </c>
      <c r="C52" s="56" t="s">
        <v>5340</v>
      </c>
      <c r="E52" s="56" t="s">
        <v>5341</v>
      </c>
      <c r="F52" s="56" t="s">
        <v>5212</v>
      </c>
      <c r="G52" s="60" t="s">
        <v>96</v>
      </c>
      <c r="H52" s="57">
        <v>0.0039347</v>
      </c>
      <c r="N52" s="59"/>
    </row>
    <row r="53">
      <c r="A53" s="56" t="s">
        <v>5342</v>
      </c>
      <c r="C53" s="56" t="s">
        <v>5343</v>
      </c>
      <c r="E53" s="56" t="s">
        <v>5249</v>
      </c>
      <c r="F53" s="56" t="s">
        <v>5212</v>
      </c>
      <c r="G53" s="60" t="s">
        <v>96</v>
      </c>
      <c r="H53" s="57">
        <v>0.0036916</v>
      </c>
      <c r="N53" s="59"/>
    </row>
    <row r="54">
      <c r="A54" s="56" t="s">
        <v>5344</v>
      </c>
      <c r="C54" s="56" t="s">
        <v>5345</v>
      </c>
      <c r="E54" s="56" t="s">
        <v>5238</v>
      </c>
      <c r="F54" s="56" t="s">
        <v>5212</v>
      </c>
      <c r="G54" s="60" t="s">
        <v>96</v>
      </c>
      <c r="H54" s="57">
        <v>0.003691</v>
      </c>
      <c r="N54" s="59"/>
    </row>
    <row r="55">
      <c r="A55" s="56" t="s">
        <v>5346</v>
      </c>
      <c r="C55" s="56" t="s">
        <v>5347</v>
      </c>
      <c r="E55" s="56" t="s">
        <v>5348</v>
      </c>
      <c r="F55" s="56" t="s">
        <v>5212</v>
      </c>
      <c r="G55" s="60" t="s">
        <v>96</v>
      </c>
      <c r="H55" s="57">
        <v>0.0036345</v>
      </c>
      <c r="N55" s="59"/>
    </row>
    <row r="56">
      <c r="A56" s="56" t="s">
        <v>5349</v>
      </c>
      <c r="C56" s="56" t="s">
        <v>5350</v>
      </c>
      <c r="E56" s="56" t="s">
        <v>5351</v>
      </c>
      <c r="F56" s="56" t="s">
        <v>5212</v>
      </c>
      <c r="G56" s="60" t="s">
        <v>96</v>
      </c>
      <c r="H56" s="57">
        <v>0.0036054</v>
      </c>
      <c r="N56" s="59"/>
    </row>
    <row r="57">
      <c r="A57" s="56" t="s">
        <v>5352</v>
      </c>
      <c r="C57" s="56" t="s">
        <v>5353</v>
      </c>
      <c r="E57" s="56" t="s">
        <v>5354</v>
      </c>
      <c r="F57" s="56" t="s">
        <v>5212</v>
      </c>
      <c r="G57" s="60" t="s">
        <v>96</v>
      </c>
      <c r="H57" s="57">
        <v>0.003597</v>
      </c>
      <c r="N57" s="59"/>
    </row>
    <row r="58">
      <c r="A58" s="56" t="s">
        <v>5355</v>
      </c>
      <c r="C58" s="56" t="s">
        <v>5356</v>
      </c>
      <c r="E58" s="56" t="s">
        <v>5357</v>
      </c>
      <c r="F58" s="56" t="s">
        <v>5212</v>
      </c>
      <c r="G58" s="60" t="s">
        <v>96</v>
      </c>
      <c r="H58" s="57">
        <v>0.0034594</v>
      </c>
      <c r="N58" s="59"/>
    </row>
    <row r="59">
      <c r="A59" s="56" t="s">
        <v>5358</v>
      </c>
      <c r="C59" s="56" t="s">
        <v>5359</v>
      </c>
      <c r="E59" s="56" t="s">
        <v>5291</v>
      </c>
      <c r="F59" s="56" t="s">
        <v>5212</v>
      </c>
      <c r="G59" s="60" t="s">
        <v>96</v>
      </c>
      <c r="H59" s="57">
        <v>0.0034044</v>
      </c>
      <c r="N59" s="59"/>
    </row>
    <row r="60">
      <c r="A60" s="56" t="s">
        <v>5360</v>
      </c>
      <c r="C60" s="56" t="s">
        <v>5361</v>
      </c>
      <c r="E60" s="56" t="s">
        <v>5241</v>
      </c>
      <c r="F60" s="56" t="s">
        <v>5212</v>
      </c>
      <c r="G60" s="60" t="s">
        <v>96</v>
      </c>
      <c r="H60" s="57">
        <v>0.0033849</v>
      </c>
      <c r="N60" s="59"/>
    </row>
    <row r="61">
      <c r="A61" s="56" t="s">
        <v>5362</v>
      </c>
      <c r="C61" s="56" t="s">
        <v>5363</v>
      </c>
      <c r="E61" s="56" t="s">
        <v>5288</v>
      </c>
      <c r="F61" s="56" t="s">
        <v>5212</v>
      </c>
      <c r="G61" s="60" t="s">
        <v>96</v>
      </c>
      <c r="H61" s="57">
        <v>0.0032439</v>
      </c>
      <c r="N61" s="59"/>
    </row>
    <row r="62">
      <c r="A62" s="56" t="s">
        <v>5364</v>
      </c>
      <c r="C62" s="56" t="s">
        <v>5365</v>
      </c>
      <c r="E62" s="56" t="s">
        <v>5366</v>
      </c>
      <c r="F62" s="56" t="s">
        <v>5212</v>
      </c>
      <c r="G62" s="60" t="s">
        <v>96</v>
      </c>
      <c r="H62" s="57">
        <v>0.0031661</v>
      </c>
      <c r="N62" s="59"/>
    </row>
    <row r="63">
      <c r="A63" s="56" t="s">
        <v>5367</v>
      </c>
      <c r="C63" s="56" t="s">
        <v>5368</v>
      </c>
      <c r="E63" s="56" t="s">
        <v>5369</v>
      </c>
      <c r="F63" s="56" t="s">
        <v>5212</v>
      </c>
      <c r="G63" s="60" t="s">
        <v>96</v>
      </c>
      <c r="H63" s="57">
        <v>0.0031112</v>
      </c>
      <c r="N63" s="59"/>
    </row>
    <row r="64">
      <c r="A64" s="56" t="s">
        <v>5370</v>
      </c>
      <c r="C64" s="56" t="s">
        <v>5371</v>
      </c>
      <c r="E64" s="56" t="s">
        <v>5258</v>
      </c>
      <c r="F64" s="56" t="s">
        <v>5212</v>
      </c>
      <c r="G64" s="60" t="s">
        <v>96</v>
      </c>
      <c r="H64" s="57">
        <v>0.0030157</v>
      </c>
      <c r="N64" s="59"/>
    </row>
    <row r="65">
      <c r="A65" s="56" t="s">
        <v>5372</v>
      </c>
      <c r="C65" s="56" t="s">
        <v>5373</v>
      </c>
      <c r="E65" s="56" t="s">
        <v>5374</v>
      </c>
      <c r="F65" s="56" t="s">
        <v>5212</v>
      </c>
      <c r="G65" s="60" t="s">
        <v>96</v>
      </c>
      <c r="H65" s="57">
        <v>0.0029146</v>
      </c>
      <c r="N65" s="59"/>
    </row>
    <row r="66">
      <c r="A66" s="56" t="s">
        <v>5375</v>
      </c>
      <c r="C66" s="56" t="s">
        <v>5376</v>
      </c>
      <c r="E66" s="56" t="s">
        <v>5377</v>
      </c>
      <c r="F66" s="56" t="s">
        <v>5212</v>
      </c>
      <c r="G66" s="60" t="s">
        <v>96</v>
      </c>
      <c r="H66" s="57">
        <v>0.0028766</v>
      </c>
      <c r="N66" s="59"/>
    </row>
    <row r="67">
      <c r="A67" s="56" t="s">
        <v>5378</v>
      </c>
      <c r="C67" s="56" t="s">
        <v>5379</v>
      </c>
      <c r="E67" s="56" t="s">
        <v>5211</v>
      </c>
      <c r="F67" s="56" t="s">
        <v>5212</v>
      </c>
      <c r="G67" s="60" t="s">
        <v>96</v>
      </c>
      <c r="H67" s="57">
        <v>0.0027902</v>
      </c>
      <c r="N67" s="59"/>
    </row>
    <row r="68">
      <c r="A68" s="56" t="s">
        <v>5380</v>
      </c>
      <c r="C68" s="56" t="s">
        <v>5381</v>
      </c>
      <c r="E68" s="56" t="s">
        <v>5382</v>
      </c>
      <c r="F68" s="56" t="s">
        <v>5212</v>
      </c>
      <c r="G68" s="60" t="s">
        <v>96</v>
      </c>
      <c r="H68" s="57">
        <v>0.0027594</v>
      </c>
      <c r="N68" s="59"/>
    </row>
    <row r="69">
      <c r="A69" s="56" t="s">
        <v>5383</v>
      </c>
      <c r="C69" s="56" t="s">
        <v>5384</v>
      </c>
      <c r="E69" s="56" t="s">
        <v>5354</v>
      </c>
      <c r="F69" s="56" t="s">
        <v>5212</v>
      </c>
      <c r="G69" s="60" t="s">
        <v>96</v>
      </c>
      <c r="H69" s="57">
        <v>0.0026978</v>
      </c>
      <c r="N69" s="59"/>
    </row>
    <row r="70">
      <c r="A70" s="56" t="s">
        <v>5385</v>
      </c>
      <c r="C70" s="56" t="s">
        <v>5386</v>
      </c>
      <c r="E70" s="56" t="s">
        <v>5387</v>
      </c>
      <c r="F70" s="56" t="s">
        <v>5212</v>
      </c>
      <c r="G70" s="60" t="s">
        <v>96</v>
      </c>
      <c r="H70" s="57">
        <v>0.00268</v>
      </c>
      <c r="N70" s="59"/>
    </row>
    <row r="71">
      <c r="A71" s="56" t="s">
        <v>5388</v>
      </c>
      <c r="C71" s="56" t="s">
        <v>5389</v>
      </c>
      <c r="E71" s="56" t="s">
        <v>5390</v>
      </c>
      <c r="F71" s="56" t="s">
        <v>5212</v>
      </c>
      <c r="G71" s="60" t="s">
        <v>96</v>
      </c>
      <c r="H71" s="57">
        <v>0.0026448</v>
      </c>
      <c r="N71" s="59"/>
    </row>
    <row r="72">
      <c r="A72" s="56" t="s">
        <v>5391</v>
      </c>
      <c r="C72" s="56" t="s">
        <v>5392</v>
      </c>
      <c r="E72" s="56" t="s">
        <v>5366</v>
      </c>
      <c r="F72" s="56" t="s">
        <v>5212</v>
      </c>
      <c r="G72" s="60" t="s">
        <v>96</v>
      </c>
      <c r="H72" s="57">
        <v>0.0025988</v>
      </c>
      <c r="N72" s="59"/>
    </row>
    <row r="73">
      <c r="A73" s="56" t="s">
        <v>5393</v>
      </c>
      <c r="C73" s="56" t="s">
        <v>5394</v>
      </c>
      <c r="E73" s="56" t="s">
        <v>5395</v>
      </c>
      <c r="F73" s="56" t="s">
        <v>5212</v>
      </c>
      <c r="G73" s="60" t="s">
        <v>96</v>
      </c>
      <c r="H73" s="57">
        <v>0.0025231</v>
      </c>
      <c r="N73" s="59"/>
    </row>
    <row r="74">
      <c r="A74" s="56" t="s">
        <v>4689</v>
      </c>
      <c r="C74" s="56" t="s">
        <v>5396</v>
      </c>
      <c r="E74" s="56" t="s">
        <v>5215</v>
      </c>
      <c r="F74" s="56" t="s">
        <v>5212</v>
      </c>
      <c r="G74" s="60" t="s">
        <v>96</v>
      </c>
      <c r="H74" s="57">
        <v>0.002402</v>
      </c>
      <c r="N74" s="59"/>
    </row>
    <row r="75">
      <c r="A75" s="56" t="s">
        <v>5397</v>
      </c>
      <c r="C75" s="56" t="s">
        <v>5398</v>
      </c>
      <c r="E75" s="56" t="s">
        <v>5249</v>
      </c>
      <c r="F75" s="56" t="s">
        <v>5212</v>
      </c>
      <c r="G75" s="60" t="s">
        <v>96</v>
      </c>
      <c r="H75" s="57">
        <v>0.0023969</v>
      </c>
      <c r="N75" s="59"/>
    </row>
    <row r="76">
      <c r="A76" s="56" t="s">
        <v>5399</v>
      </c>
      <c r="C76" s="56" t="s">
        <v>5400</v>
      </c>
      <c r="E76" s="56" t="s">
        <v>5401</v>
      </c>
      <c r="F76" s="56" t="s">
        <v>5212</v>
      </c>
      <c r="G76" s="60" t="s">
        <v>96</v>
      </c>
      <c r="H76" s="57">
        <v>0.0023068</v>
      </c>
      <c r="N76" s="59"/>
    </row>
    <row r="77">
      <c r="A77" s="56" t="s">
        <v>5402</v>
      </c>
      <c r="C77" s="56" t="s">
        <v>5403</v>
      </c>
      <c r="E77" s="56" t="s">
        <v>5404</v>
      </c>
      <c r="F77" s="56" t="s">
        <v>5212</v>
      </c>
      <c r="G77" s="60" t="s">
        <v>96</v>
      </c>
      <c r="H77" s="57">
        <v>0.0023041</v>
      </c>
      <c r="N77" s="59"/>
    </row>
    <row r="78">
      <c r="A78" s="56" t="s">
        <v>5405</v>
      </c>
      <c r="C78" s="56" t="s">
        <v>5406</v>
      </c>
      <c r="E78" s="56" t="s">
        <v>5407</v>
      </c>
      <c r="F78" s="56" t="s">
        <v>5212</v>
      </c>
      <c r="G78" s="60" t="s">
        <v>96</v>
      </c>
      <c r="H78" s="57">
        <v>0.0022332</v>
      </c>
      <c r="N78" s="59"/>
    </row>
    <row r="79">
      <c r="A79" s="56" t="s">
        <v>5408</v>
      </c>
      <c r="C79" s="56" t="s">
        <v>5409</v>
      </c>
      <c r="E79" s="56" t="s">
        <v>5211</v>
      </c>
      <c r="F79" s="56" t="s">
        <v>5212</v>
      </c>
      <c r="G79" s="60" t="s">
        <v>96</v>
      </c>
      <c r="H79" s="57">
        <v>0.0022316</v>
      </c>
      <c r="N79" s="59"/>
    </row>
    <row r="80">
      <c r="A80" s="56" t="s">
        <v>5410</v>
      </c>
      <c r="C80" s="56" t="s">
        <v>5411</v>
      </c>
      <c r="E80" s="56" t="s">
        <v>5276</v>
      </c>
      <c r="F80" s="56" t="s">
        <v>5212</v>
      </c>
      <c r="G80" s="60" t="s">
        <v>96</v>
      </c>
      <c r="H80" s="57">
        <v>0.0020771</v>
      </c>
      <c r="N80" s="59"/>
    </row>
    <row r="81">
      <c r="A81" s="56" t="s">
        <v>5412</v>
      </c>
      <c r="C81" s="56" t="s">
        <v>5413</v>
      </c>
      <c r="E81" s="56" t="s">
        <v>5276</v>
      </c>
      <c r="F81" s="56" t="s">
        <v>5212</v>
      </c>
      <c r="G81" s="60" t="s">
        <v>96</v>
      </c>
      <c r="H81" s="57">
        <v>0.0019557</v>
      </c>
      <c r="N81" s="59"/>
    </row>
    <row r="82">
      <c r="A82" s="56" t="s">
        <v>5414</v>
      </c>
      <c r="C82" s="56" t="s">
        <v>5415</v>
      </c>
      <c r="E82" s="56" t="s">
        <v>5211</v>
      </c>
      <c r="F82" s="56" t="s">
        <v>5212</v>
      </c>
      <c r="G82" s="60" t="s">
        <v>96</v>
      </c>
      <c r="H82" s="57">
        <v>0.0019276</v>
      </c>
      <c r="N82" s="59"/>
    </row>
    <row r="83">
      <c r="A83" s="56" t="s">
        <v>5416</v>
      </c>
      <c r="C83" s="56" t="s">
        <v>5417</v>
      </c>
      <c r="E83" s="56" t="s">
        <v>5404</v>
      </c>
      <c r="F83" s="56" t="s">
        <v>5212</v>
      </c>
      <c r="G83" s="60" t="s">
        <v>96</v>
      </c>
      <c r="H83" s="57">
        <v>0.001894</v>
      </c>
      <c r="N83" s="59"/>
    </row>
    <row r="84">
      <c r="A84" s="56" t="s">
        <v>5418</v>
      </c>
      <c r="C84" s="56" t="s">
        <v>5419</v>
      </c>
      <c r="E84" s="56" t="s">
        <v>5271</v>
      </c>
      <c r="F84" s="56" t="s">
        <v>5212</v>
      </c>
      <c r="G84" s="60" t="s">
        <v>96</v>
      </c>
      <c r="H84" s="57">
        <v>0.0018764</v>
      </c>
      <c r="N84" s="59"/>
    </row>
    <row r="85">
      <c r="A85" s="56" t="s">
        <v>5420</v>
      </c>
      <c r="C85" s="56" t="s">
        <v>5421</v>
      </c>
      <c r="E85" s="56" t="s">
        <v>5422</v>
      </c>
      <c r="F85" s="56" t="s">
        <v>5212</v>
      </c>
      <c r="G85" s="60" t="s">
        <v>96</v>
      </c>
      <c r="H85" s="57">
        <v>0.0018201</v>
      </c>
      <c r="N85" s="59"/>
    </row>
    <row r="86">
      <c r="A86" s="56" t="s">
        <v>5423</v>
      </c>
      <c r="C86" s="56" t="s">
        <v>5424</v>
      </c>
      <c r="E86" s="56" t="s">
        <v>5215</v>
      </c>
      <c r="F86" s="56" t="s">
        <v>5425</v>
      </c>
      <c r="G86" s="60" t="s">
        <v>96</v>
      </c>
      <c r="H86" s="57">
        <v>0.0018093</v>
      </c>
      <c r="N86" s="59"/>
    </row>
    <row r="87">
      <c r="A87" s="56" t="s">
        <v>5426</v>
      </c>
      <c r="C87" s="56" t="s">
        <v>5427</v>
      </c>
      <c r="E87" s="56" t="s">
        <v>5215</v>
      </c>
      <c r="F87" s="56" t="s">
        <v>5212</v>
      </c>
      <c r="G87" s="60" t="s">
        <v>96</v>
      </c>
      <c r="H87" s="57">
        <v>0.0017788</v>
      </c>
      <c r="N87" s="59"/>
    </row>
    <row r="88">
      <c r="A88" s="56" t="s">
        <v>5428</v>
      </c>
      <c r="C88" s="56" t="s">
        <v>5429</v>
      </c>
      <c r="E88" s="56" t="s">
        <v>5271</v>
      </c>
      <c r="F88" s="56" t="s">
        <v>5212</v>
      </c>
      <c r="G88" s="60" t="s">
        <v>96</v>
      </c>
      <c r="H88" s="57">
        <v>0.0017788</v>
      </c>
      <c r="N88" s="59"/>
    </row>
    <row r="89">
      <c r="A89" s="56" t="s">
        <v>4449</v>
      </c>
      <c r="C89" s="56" t="s">
        <v>5430</v>
      </c>
      <c r="E89" s="56" t="s">
        <v>5431</v>
      </c>
      <c r="F89" s="56" t="s">
        <v>5212</v>
      </c>
      <c r="G89" s="60" t="s">
        <v>96</v>
      </c>
      <c r="H89" s="57">
        <v>0.0017666</v>
      </c>
      <c r="N89" s="59"/>
    </row>
    <row r="90">
      <c r="A90" s="56" t="s">
        <v>5432</v>
      </c>
      <c r="C90" s="56" t="s">
        <v>5433</v>
      </c>
      <c r="E90" s="56" t="s">
        <v>5434</v>
      </c>
      <c r="F90" s="56" t="s">
        <v>5277</v>
      </c>
      <c r="G90" s="60" t="s">
        <v>96</v>
      </c>
      <c r="H90" s="57">
        <v>0.0016457</v>
      </c>
      <c r="N90" s="59"/>
    </row>
    <row r="91">
      <c r="A91" s="56" t="s">
        <v>5435</v>
      </c>
      <c r="C91" s="56" t="s">
        <v>5436</v>
      </c>
      <c r="E91" s="56" t="s">
        <v>5283</v>
      </c>
      <c r="F91" s="56" t="s">
        <v>5277</v>
      </c>
      <c r="G91" s="60" t="s">
        <v>96</v>
      </c>
      <c r="H91" s="57">
        <v>0.0016238</v>
      </c>
      <c r="N91" s="59"/>
    </row>
    <row r="92">
      <c r="A92" s="56" t="s">
        <v>5437</v>
      </c>
      <c r="C92" s="56" t="s">
        <v>5438</v>
      </c>
      <c r="E92" s="56" t="s">
        <v>5235</v>
      </c>
      <c r="F92" s="56" t="s">
        <v>5277</v>
      </c>
      <c r="G92" s="60" t="s">
        <v>96</v>
      </c>
      <c r="H92" s="57">
        <v>0.0015669</v>
      </c>
      <c r="N92" s="59"/>
    </row>
    <row r="93">
      <c r="A93" s="56" t="s">
        <v>5439</v>
      </c>
      <c r="C93" s="56" t="s">
        <v>5440</v>
      </c>
      <c r="E93" s="56" t="s">
        <v>5276</v>
      </c>
      <c r="F93" s="56" t="s">
        <v>5212</v>
      </c>
      <c r="G93" s="60" t="s">
        <v>96</v>
      </c>
      <c r="H93" s="57">
        <v>0.0015566</v>
      </c>
      <c r="N93" s="59"/>
    </row>
    <row r="94">
      <c r="A94" s="56" t="s">
        <v>5441</v>
      </c>
      <c r="C94" s="56" t="s">
        <v>5442</v>
      </c>
      <c r="E94" s="56" t="s">
        <v>5238</v>
      </c>
      <c r="F94" s="56" t="s">
        <v>5212</v>
      </c>
      <c r="G94" s="60" t="s">
        <v>96</v>
      </c>
      <c r="H94" s="57">
        <v>0.0015446</v>
      </c>
      <c r="N94" s="59"/>
    </row>
    <row r="95">
      <c r="A95" s="56" t="s">
        <v>5443</v>
      </c>
      <c r="C95" s="56" t="s">
        <v>5444</v>
      </c>
      <c r="E95" s="56" t="s">
        <v>5445</v>
      </c>
      <c r="F95" s="56" t="s">
        <v>5300</v>
      </c>
      <c r="G95" s="60" t="s">
        <v>96</v>
      </c>
      <c r="H95" s="57">
        <v>0.0015119</v>
      </c>
      <c r="N95" s="59"/>
    </row>
    <row r="96">
      <c r="A96" s="56" t="s">
        <v>5446</v>
      </c>
      <c r="C96" s="56" t="s">
        <v>5447</v>
      </c>
      <c r="E96" s="56" t="s">
        <v>5448</v>
      </c>
      <c r="F96" s="56" t="s">
        <v>5212</v>
      </c>
      <c r="G96" s="60" t="s">
        <v>96</v>
      </c>
      <c r="H96" s="57">
        <v>0.0014978</v>
      </c>
      <c r="N96" s="59"/>
    </row>
    <row r="97">
      <c r="A97" s="56" t="s">
        <v>4304</v>
      </c>
      <c r="C97" s="56" t="s">
        <v>5449</v>
      </c>
      <c r="E97" s="56" t="s">
        <v>5450</v>
      </c>
      <c r="F97" s="56" t="s">
        <v>5212</v>
      </c>
      <c r="G97" s="60" t="s">
        <v>96</v>
      </c>
      <c r="H97" s="57">
        <v>0.0014926</v>
      </c>
      <c r="N97" s="59"/>
    </row>
    <row r="98">
      <c r="A98" s="56" t="s">
        <v>5451</v>
      </c>
      <c r="C98" s="56" t="s">
        <v>5452</v>
      </c>
      <c r="E98" s="56" t="s">
        <v>5453</v>
      </c>
      <c r="F98" s="56" t="s">
        <v>5212</v>
      </c>
      <c r="G98" s="60" t="s">
        <v>96</v>
      </c>
      <c r="H98" s="57">
        <v>0.001467</v>
      </c>
      <c r="N98" s="59"/>
    </row>
    <row r="99">
      <c r="A99" s="56" t="s">
        <v>5454</v>
      </c>
      <c r="C99" s="56" t="s">
        <v>5455</v>
      </c>
      <c r="E99" s="56" t="s">
        <v>5456</v>
      </c>
      <c r="F99" s="56" t="s">
        <v>5212</v>
      </c>
      <c r="G99" s="60" t="s">
        <v>96</v>
      </c>
      <c r="H99" s="57">
        <v>0.0014227</v>
      </c>
      <c r="N99" s="59"/>
    </row>
    <row r="100">
      <c r="A100" s="56" t="s">
        <v>5457</v>
      </c>
      <c r="C100" s="56" t="s">
        <v>5458</v>
      </c>
      <c r="E100" s="56" t="s">
        <v>5459</v>
      </c>
      <c r="F100" s="56" t="s">
        <v>5212</v>
      </c>
      <c r="G100" s="60" t="s">
        <v>96</v>
      </c>
      <c r="H100" s="57">
        <v>0.0013842</v>
      </c>
      <c r="N100" s="59"/>
    </row>
    <row r="101">
      <c r="A101" s="56" t="s">
        <v>5460</v>
      </c>
      <c r="C101" s="56" t="s">
        <v>5461</v>
      </c>
      <c r="E101" s="56" t="s">
        <v>5462</v>
      </c>
      <c r="F101" s="56" t="s">
        <v>5212</v>
      </c>
      <c r="G101" s="60" t="s">
        <v>96</v>
      </c>
      <c r="H101" s="57">
        <v>0.0013778</v>
      </c>
      <c r="N101" s="59"/>
    </row>
    <row r="102">
      <c r="A102" s="56" t="s">
        <v>5463</v>
      </c>
      <c r="C102" s="56" t="s">
        <v>5464</v>
      </c>
      <c r="E102" s="56" t="s">
        <v>5431</v>
      </c>
      <c r="F102" s="56" t="s">
        <v>5212</v>
      </c>
      <c r="G102" s="60" t="s">
        <v>96</v>
      </c>
      <c r="H102" s="57">
        <v>0.0013523</v>
      </c>
      <c r="N102" s="59"/>
    </row>
    <row r="103">
      <c r="A103" s="56" t="s">
        <v>5465</v>
      </c>
      <c r="C103" s="56" t="s">
        <v>5466</v>
      </c>
      <c r="E103" s="56" t="s">
        <v>5467</v>
      </c>
      <c r="F103" s="56" t="s">
        <v>5212</v>
      </c>
      <c r="G103" s="60" t="s">
        <v>96</v>
      </c>
      <c r="H103" s="57">
        <v>0.0013491</v>
      </c>
      <c r="N103" s="59"/>
    </row>
    <row r="104">
      <c r="A104" s="56" t="s">
        <v>5468</v>
      </c>
      <c r="C104" s="56" t="s">
        <v>5469</v>
      </c>
      <c r="E104" s="56" t="s">
        <v>5264</v>
      </c>
      <c r="F104" s="56" t="s">
        <v>5212</v>
      </c>
      <c r="G104" s="60" t="s">
        <v>96</v>
      </c>
      <c r="H104" s="57">
        <v>0.0013388</v>
      </c>
      <c r="N104" s="59"/>
    </row>
    <row r="105">
      <c r="A105" s="56" t="s">
        <v>4288</v>
      </c>
      <c r="C105" s="56" t="s">
        <v>5470</v>
      </c>
      <c r="E105" s="56" t="s">
        <v>5377</v>
      </c>
      <c r="F105" s="56" t="s">
        <v>5212</v>
      </c>
      <c r="G105" s="60" t="s">
        <v>96</v>
      </c>
      <c r="H105" s="57">
        <v>0.0013176</v>
      </c>
      <c r="N105" s="59"/>
    </row>
    <row r="106">
      <c r="A106" s="56" t="s">
        <v>5471</v>
      </c>
      <c r="C106" s="56" t="s">
        <v>5472</v>
      </c>
      <c r="E106" s="56" t="s">
        <v>5473</v>
      </c>
      <c r="F106" s="56" t="s">
        <v>5212</v>
      </c>
      <c r="G106" s="60" t="s">
        <v>96</v>
      </c>
      <c r="H106" s="57">
        <v>0.0012701</v>
      </c>
      <c r="N106" s="59"/>
    </row>
    <row r="107">
      <c r="A107" s="56" t="s">
        <v>5474</v>
      </c>
      <c r="C107" s="56" t="s">
        <v>5475</v>
      </c>
      <c r="E107" s="56" t="s">
        <v>5354</v>
      </c>
      <c r="F107" s="56" t="s">
        <v>5212</v>
      </c>
      <c r="G107" s="60" t="s">
        <v>96</v>
      </c>
      <c r="H107" s="57">
        <v>0.0012561</v>
      </c>
      <c r="N107" s="59"/>
    </row>
    <row r="108">
      <c r="A108" s="56" t="s">
        <v>5476</v>
      </c>
      <c r="C108" s="56" t="s">
        <v>5477</v>
      </c>
      <c r="E108" s="56" t="s">
        <v>5478</v>
      </c>
      <c r="F108" s="56" t="s">
        <v>5212</v>
      </c>
      <c r="G108" s="60" t="s">
        <v>96</v>
      </c>
      <c r="H108" s="57">
        <v>0.0012503</v>
      </c>
      <c r="N108" s="59"/>
    </row>
    <row r="109">
      <c r="A109" s="56" t="s">
        <v>5479</v>
      </c>
      <c r="C109" s="56" t="s">
        <v>5480</v>
      </c>
      <c r="E109" s="56" t="s">
        <v>5291</v>
      </c>
      <c r="F109" s="56" t="s">
        <v>5212</v>
      </c>
      <c r="G109" s="60" t="s">
        <v>96</v>
      </c>
      <c r="H109" s="57">
        <v>0.0012407</v>
      </c>
      <c r="N109" s="59"/>
    </row>
    <row r="110">
      <c r="A110" s="56" t="s">
        <v>5481</v>
      </c>
      <c r="C110" s="56" t="s">
        <v>5482</v>
      </c>
      <c r="E110" s="56" t="s">
        <v>5267</v>
      </c>
      <c r="F110" s="56" t="s">
        <v>5212</v>
      </c>
      <c r="G110" s="60" t="s">
        <v>96</v>
      </c>
      <c r="H110" s="57">
        <v>0.0012171</v>
      </c>
      <c r="N110" s="59"/>
    </row>
    <row r="111">
      <c r="A111" s="56" t="s">
        <v>5483</v>
      </c>
      <c r="C111" s="56" t="s">
        <v>5484</v>
      </c>
      <c r="E111" s="56" t="s">
        <v>5431</v>
      </c>
      <c r="F111" s="56" t="s">
        <v>5212</v>
      </c>
      <c r="G111" s="60" t="s">
        <v>96</v>
      </c>
      <c r="H111" s="57">
        <v>0.0012006</v>
      </c>
      <c r="N111" s="59"/>
    </row>
    <row r="112">
      <c r="A112" s="56" t="s">
        <v>5485</v>
      </c>
      <c r="C112" s="56" t="s">
        <v>5486</v>
      </c>
      <c r="E112" s="56" t="s">
        <v>5450</v>
      </c>
      <c r="F112" s="56" t="s">
        <v>5212</v>
      </c>
      <c r="G112" s="60" t="s">
        <v>96</v>
      </c>
      <c r="H112" s="57">
        <v>0.0011823</v>
      </c>
      <c r="N112" s="59"/>
    </row>
    <row r="113">
      <c r="A113" s="56" t="s">
        <v>5487</v>
      </c>
      <c r="C113" s="56" t="s">
        <v>5488</v>
      </c>
      <c r="E113" s="56" t="s">
        <v>5249</v>
      </c>
      <c r="F113" s="56" t="s">
        <v>5212</v>
      </c>
      <c r="G113" s="60" t="s">
        <v>96</v>
      </c>
      <c r="H113" s="57">
        <v>0.0011758</v>
      </c>
      <c r="N113" s="59"/>
    </row>
    <row r="114">
      <c r="A114" s="56" t="s">
        <v>5489</v>
      </c>
      <c r="C114" s="56" t="s">
        <v>5490</v>
      </c>
      <c r="E114" s="56" t="s">
        <v>5387</v>
      </c>
      <c r="F114" s="56" t="s">
        <v>5212</v>
      </c>
      <c r="G114" s="60" t="s">
        <v>96</v>
      </c>
      <c r="H114" s="57">
        <v>0.0011728</v>
      </c>
      <c r="N114" s="59"/>
    </row>
    <row r="115">
      <c r="A115" s="56" t="s">
        <v>5491</v>
      </c>
      <c r="C115" s="56" t="s">
        <v>5492</v>
      </c>
      <c r="E115" s="56" t="s">
        <v>5226</v>
      </c>
      <c r="F115" s="56" t="s">
        <v>5212</v>
      </c>
      <c r="G115" s="60" t="s">
        <v>96</v>
      </c>
      <c r="H115" s="57">
        <v>0.0011595</v>
      </c>
      <c r="N115" s="59"/>
    </row>
    <row r="116">
      <c r="A116" s="56" t="s">
        <v>5493</v>
      </c>
      <c r="C116" s="56" t="s">
        <v>5494</v>
      </c>
      <c r="E116" s="56" t="s">
        <v>5407</v>
      </c>
      <c r="F116" s="56" t="s">
        <v>5212</v>
      </c>
      <c r="G116" s="60" t="s">
        <v>96</v>
      </c>
      <c r="H116" s="57">
        <v>0.0011194</v>
      </c>
      <c r="N116" s="59"/>
    </row>
    <row r="117">
      <c r="A117" s="56" t="s">
        <v>5495</v>
      </c>
      <c r="C117" s="56" t="s">
        <v>5496</v>
      </c>
      <c r="E117" s="56" t="s">
        <v>5382</v>
      </c>
      <c r="F117" s="56" t="s">
        <v>5212</v>
      </c>
      <c r="G117" s="60" t="s">
        <v>96</v>
      </c>
      <c r="H117" s="57">
        <v>0.0010852</v>
      </c>
      <c r="N117" s="59"/>
    </row>
    <row r="118">
      <c r="A118" s="56" t="s">
        <v>5497</v>
      </c>
      <c r="C118" s="56" t="s">
        <v>5498</v>
      </c>
      <c r="E118" s="56" t="s">
        <v>5253</v>
      </c>
      <c r="F118" s="56" t="s">
        <v>5212</v>
      </c>
      <c r="G118" s="60" t="s">
        <v>96</v>
      </c>
      <c r="H118" s="57">
        <v>0.0010781</v>
      </c>
      <c r="N118" s="59"/>
    </row>
    <row r="119">
      <c r="A119" s="56" t="s">
        <v>5499</v>
      </c>
      <c r="C119" s="56" t="s">
        <v>5500</v>
      </c>
      <c r="E119" s="56" t="s">
        <v>5501</v>
      </c>
      <c r="F119" s="56" t="s">
        <v>5212</v>
      </c>
      <c r="G119" s="60" t="s">
        <v>96</v>
      </c>
      <c r="H119" s="57">
        <v>0.001075</v>
      </c>
      <c r="N119" s="59"/>
    </row>
    <row r="120">
      <c r="A120" s="56" t="s">
        <v>5502</v>
      </c>
      <c r="C120" s="56" t="s">
        <v>5503</v>
      </c>
      <c r="E120" s="56" t="s">
        <v>5232</v>
      </c>
      <c r="F120" s="56" t="s">
        <v>5212</v>
      </c>
      <c r="G120" s="60" t="s">
        <v>96</v>
      </c>
      <c r="H120" s="57">
        <v>0.001072</v>
      </c>
      <c r="N120" s="59"/>
    </row>
    <row r="121">
      <c r="A121" s="56" t="s">
        <v>4298</v>
      </c>
      <c r="C121" s="56" t="s">
        <v>5504</v>
      </c>
      <c r="E121" s="56" t="s">
        <v>5258</v>
      </c>
      <c r="F121" s="56" t="s">
        <v>5212</v>
      </c>
      <c r="G121" s="60" t="s">
        <v>96</v>
      </c>
      <c r="H121" s="57">
        <v>0.001058</v>
      </c>
      <c r="N121" s="59"/>
    </row>
    <row r="122">
      <c r="A122" s="56" t="s">
        <v>5505</v>
      </c>
      <c r="C122" s="56" t="s">
        <v>5506</v>
      </c>
      <c r="E122" s="56" t="s">
        <v>5246</v>
      </c>
      <c r="F122" s="56" t="s">
        <v>5212</v>
      </c>
      <c r="G122" s="60" t="s">
        <v>96</v>
      </c>
      <c r="H122" s="57">
        <v>0.0010288</v>
      </c>
      <c r="N122" s="59"/>
    </row>
    <row r="123">
      <c r="A123" s="56" t="s">
        <v>5507</v>
      </c>
      <c r="C123" s="56" t="s">
        <v>5508</v>
      </c>
      <c r="E123" s="56" t="s">
        <v>5267</v>
      </c>
      <c r="F123" s="56" t="s">
        <v>5212</v>
      </c>
      <c r="G123" s="60" t="s">
        <v>96</v>
      </c>
      <c r="H123" s="57">
        <v>0.0010016</v>
      </c>
      <c r="N123" s="59"/>
    </row>
    <row r="124">
      <c r="A124" s="56" t="s">
        <v>5509</v>
      </c>
      <c r="C124" s="56" t="s">
        <v>5510</v>
      </c>
      <c r="E124" s="56" t="s">
        <v>5229</v>
      </c>
      <c r="F124" s="56" t="s">
        <v>5212</v>
      </c>
      <c r="G124" s="60" t="s">
        <v>96</v>
      </c>
      <c r="H124" s="57">
        <v>9.902E-4</v>
      </c>
      <c r="N124" s="59"/>
    </row>
    <row r="125">
      <c r="A125" s="56" t="s">
        <v>5511</v>
      </c>
      <c r="C125" s="56" t="s">
        <v>5512</v>
      </c>
      <c r="E125" s="56" t="s">
        <v>5513</v>
      </c>
      <c r="F125" s="56" t="s">
        <v>5212</v>
      </c>
      <c r="G125" s="60" t="s">
        <v>96</v>
      </c>
      <c r="H125" s="57">
        <v>9.834E-4</v>
      </c>
      <c r="N125" s="59"/>
    </row>
    <row r="126">
      <c r="A126" s="56" t="s">
        <v>5514</v>
      </c>
      <c r="C126" s="56" t="s">
        <v>5515</v>
      </c>
      <c r="E126" s="56" t="s">
        <v>5516</v>
      </c>
      <c r="F126" s="56" t="s">
        <v>5212</v>
      </c>
      <c r="G126" s="60" t="s">
        <v>96</v>
      </c>
      <c r="H126" s="57">
        <v>9.664E-4</v>
      </c>
      <c r="N126" s="59"/>
    </row>
    <row r="127">
      <c r="A127" s="56" t="s">
        <v>5517</v>
      </c>
      <c r="C127" s="56" t="s">
        <v>5518</v>
      </c>
      <c r="E127" s="56" t="s">
        <v>5357</v>
      </c>
      <c r="F127" s="56" t="s">
        <v>5212</v>
      </c>
      <c r="G127" s="60" t="s">
        <v>96</v>
      </c>
      <c r="H127" s="57">
        <v>9.562E-4</v>
      </c>
      <c r="N127" s="59"/>
    </row>
    <row r="128">
      <c r="A128" s="56" t="s">
        <v>5519</v>
      </c>
      <c r="C128" s="56" t="s">
        <v>5520</v>
      </c>
      <c r="E128" s="56" t="s">
        <v>5235</v>
      </c>
      <c r="F128" s="56" t="s">
        <v>5212</v>
      </c>
      <c r="G128" s="60" t="s">
        <v>96</v>
      </c>
      <c r="H128" s="57">
        <v>9.41E-4</v>
      </c>
      <c r="N128" s="59"/>
    </row>
    <row r="129">
      <c r="A129" s="56" t="s">
        <v>5521</v>
      </c>
      <c r="C129" s="56" t="s">
        <v>5522</v>
      </c>
      <c r="E129" s="56" t="s">
        <v>5501</v>
      </c>
      <c r="F129" s="56" t="s">
        <v>5212</v>
      </c>
      <c r="G129" s="60" t="s">
        <v>96</v>
      </c>
      <c r="H129" s="57">
        <v>9.344E-4</v>
      </c>
      <c r="N129" s="59"/>
    </row>
    <row r="130">
      <c r="A130" s="56" t="s">
        <v>5523</v>
      </c>
      <c r="C130" s="56" t="s">
        <v>5524</v>
      </c>
      <c r="E130" s="56" t="s">
        <v>5525</v>
      </c>
      <c r="F130" s="56" t="s">
        <v>5212</v>
      </c>
      <c r="G130" s="60" t="s">
        <v>96</v>
      </c>
      <c r="H130" s="57">
        <v>8.985E-4</v>
      </c>
      <c r="N130" s="59"/>
    </row>
    <row r="131">
      <c r="A131" s="56" t="s">
        <v>5526</v>
      </c>
      <c r="C131" s="56" t="s">
        <v>5527</v>
      </c>
      <c r="E131" s="56" t="s">
        <v>5211</v>
      </c>
      <c r="F131" s="56" t="s">
        <v>5212</v>
      </c>
      <c r="G131" s="60" t="s">
        <v>96</v>
      </c>
      <c r="H131" s="57">
        <v>8.9E-4</v>
      </c>
      <c r="N131" s="59"/>
    </row>
    <row r="132">
      <c r="A132" s="56" t="s">
        <v>5528</v>
      </c>
      <c r="C132" s="56" t="s">
        <v>5529</v>
      </c>
      <c r="E132" s="56" t="s">
        <v>5211</v>
      </c>
      <c r="F132" s="56" t="s">
        <v>5212</v>
      </c>
      <c r="G132" s="60" t="s">
        <v>96</v>
      </c>
      <c r="H132" s="57">
        <v>8.828E-4</v>
      </c>
      <c r="N132" s="59"/>
    </row>
    <row r="133">
      <c r="A133" s="56" t="s">
        <v>5530</v>
      </c>
      <c r="C133" s="56" t="s">
        <v>5531</v>
      </c>
      <c r="E133" s="56" t="s">
        <v>5258</v>
      </c>
      <c r="F133" s="56" t="s">
        <v>5212</v>
      </c>
      <c r="G133" s="60" t="s">
        <v>96</v>
      </c>
      <c r="H133" s="57">
        <v>8.823E-4</v>
      </c>
      <c r="N133" s="59"/>
    </row>
    <row r="134">
      <c r="A134" s="56" t="s">
        <v>5532</v>
      </c>
      <c r="C134" s="56" t="s">
        <v>5533</v>
      </c>
      <c r="E134" s="56" t="s">
        <v>5450</v>
      </c>
      <c r="F134" s="56" t="s">
        <v>5212</v>
      </c>
      <c r="G134" s="60" t="s">
        <v>96</v>
      </c>
      <c r="H134" s="57">
        <v>8.673E-4</v>
      </c>
      <c r="N134" s="59"/>
    </row>
    <row r="135">
      <c r="A135" s="56" t="s">
        <v>5534</v>
      </c>
      <c r="C135" s="56" t="s">
        <v>5535</v>
      </c>
      <c r="E135" s="56" t="s">
        <v>5407</v>
      </c>
      <c r="F135" s="56" t="s">
        <v>5212</v>
      </c>
      <c r="G135" s="60" t="s">
        <v>96</v>
      </c>
      <c r="H135" s="57">
        <v>8.637E-4</v>
      </c>
      <c r="N135" s="59"/>
    </row>
    <row r="136">
      <c r="A136" s="56" t="s">
        <v>5536</v>
      </c>
      <c r="C136" s="56" t="s">
        <v>5537</v>
      </c>
      <c r="E136" s="56" t="s">
        <v>5291</v>
      </c>
      <c r="F136" s="56" t="s">
        <v>5212</v>
      </c>
      <c r="G136" s="60" t="s">
        <v>96</v>
      </c>
      <c r="H136" s="57">
        <v>8.574E-4</v>
      </c>
      <c r="N136" s="59"/>
    </row>
    <row r="137">
      <c r="A137" s="56" t="s">
        <v>5538</v>
      </c>
      <c r="C137" s="56" t="s">
        <v>5539</v>
      </c>
      <c r="E137" s="56" t="s">
        <v>5276</v>
      </c>
      <c r="F137" s="56" t="s">
        <v>5212</v>
      </c>
      <c r="G137" s="60" t="s">
        <v>96</v>
      </c>
      <c r="H137" s="57">
        <v>8.524E-4</v>
      </c>
      <c r="N137" s="59"/>
    </row>
    <row r="138">
      <c r="A138" s="56" t="s">
        <v>5540</v>
      </c>
      <c r="C138" s="56" t="s">
        <v>5541</v>
      </c>
      <c r="E138" s="56" t="s">
        <v>5291</v>
      </c>
      <c r="F138" s="56" t="s">
        <v>5212</v>
      </c>
      <c r="G138" s="60" t="s">
        <v>96</v>
      </c>
      <c r="H138" s="57">
        <v>8.204E-4</v>
      </c>
      <c r="N138" s="59"/>
    </row>
    <row r="139">
      <c r="A139" s="56" t="s">
        <v>5542</v>
      </c>
      <c r="C139" s="56" t="s">
        <v>5543</v>
      </c>
      <c r="E139" s="56" t="s">
        <v>5291</v>
      </c>
      <c r="F139" s="56" t="s">
        <v>5212</v>
      </c>
      <c r="G139" s="60" t="s">
        <v>96</v>
      </c>
      <c r="H139" s="57">
        <v>8.106E-4</v>
      </c>
      <c r="N139" s="59"/>
    </row>
    <row r="140">
      <c r="A140" s="56" t="s">
        <v>5544</v>
      </c>
      <c r="C140" s="56" t="s">
        <v>5545</v>
      </c>
      <c r="E140" s="56" t="s">
        <v>5395</v>
      </c>
      <c r="F140" s="56" t="s">
        <v>5212</v>
      </c>
      <c r="G140" s="60" t="s">
        <v>96</v>
      </c>
      <c r="H140" s="57">
        <v>8.1E-4</v>
      </c>
      <c r="N140" s="59"/>
    </row>
    <row r="141">
      <c r="A141" s="56" t="s">
        <v>5546</v>
      </c>
      <c r="C141" s="56" t="s">
        <v>5547</v>
      </c>
      <c r="E141" s="56" t="s">
        <v>5241</v>
      </c>
      <c r="F141" s="56" t="s">
        <v>5277</v>
      </c>
      <c r="G141" s="60" t="s">
        <v>96</v>
      </c>
      <c r="H141" s="57">
        <v>8.081E-4</v>
      </c>
      <c r="N141" s="59"/>
    </row>
    <row r="142">
      <c r="A142" s="56" t="s">
        <v>5548</v>
      </c>
      <c r="C142" s="56" t="s">
        <v>5549</v>
      </c>
      <c r="E142" s="56" t="s">
        <v>5550</v>
      </c>
      <c r="F142" s="56" t="s">
        <v>5212</v>
      </c>
      <c r="G142" s="60" t="s">
        <v>96</v>
      </c>
      <c r="H142" s="57">
        <v>8.032E-4</v>
      </c>
      <c r="N142" s="59"/>
    </row>
    <row r="143">
      <c r="A143" s="56" t="s">
        <v>5551</v>
      </c>
      <c r="C143" s="56" t="s">
        <v>5552</v>
      </c>
      <c r="E143" s="56" t="s">
        <v>5258</v>
      </c>
      <c r="F143" s="56" t="s">
        <v>5212</v>
      </c>
      <c r="G143" s="60" t="s">
        <v>96</v>
      </c>
      <c r="H143" s="57">
        <v>7.842E-4</v>
      </c>
      <c r="N143" s="59"/>
    </row>
    <row r="144">
      <c r="A144" s="56" t="s">
        <v>5553</v>
      </c>
      <c r="C144" s="56" t="s">
        <v>5554</v>
      </c>
      <c r="E144" s="56" t="s">
        <v>5291</v>
      </c>
      <c r="F144" s="56" t="s">
        <v>5212</v>
      </c>
      <c r="G144" s="60" t="s">
        <v>96</v>
      </c>
      <c r="H144" s="57">
        <v>7.753E-4</v>
      </c>
      <c r="N144" s="59"/>
    </row>
    <row r="145">
      <c r="A145" s="56" t="s">
        <v>5555</v>
      </c>
      <c r="C145" s="56" t="s">
        <v>5556</v>
      </c>
      <c r="E145" s="56" t="s">
        <v>5258</v>
      </c>
      <c r="F145" s="56" t="s">
        <v>5212</v>
      </c>
      <c r="G145" s="60" t="s">
        <v>96</v>
      </c>
      <c r="H145" s="57">
        <v>7.569E-4</v>
      </c>
      <c r="N145" s="59"/>
    </row>
    <row r="146">
      <c r="A146" s="56" t="s">
        <v>5557</v>
      </c>
      <c r="C146" s="56" t="s">
        <v>5558</v>
      </c>
      <c r="E146" s="56" t="s">
        <v>5211</v>
      </c>
      <c r="F146" s="56" t="s">
        <v>5212</v>
      </c>
      <c r="G146" s="60" t="s">
        <v>96</v>
      </c>
      <c r="H146" s="57">
        <v>7.565E-4</v>
      </c>
      <c r="N146" s="59"/>
    </row>
    <row r="147">
      <c r="A147" s="56" t="s">
        <v>5559</v>
      </c>
      <c r="C147" s="56" t="s">
        <v>5560</v>
      </c>
      <c r="E147" s="56" t="s">
        <v>5561</v>
      </c>
      <c r="F147" s="56" t="s">
        <v>5212</v>
      </c>
      <c r="G147" s="60" t="s">
        <v>96</v>
      </c>
      <c r="H147" s="57">
        <v>7.518E-4</v>
      </c>
      <c r="N147" s="59"/>
    </row>
    <row r="148">
      <c r="A148" s="56" t="s">
        <v>5562</v>
      </c>
      <c r="C148" s="56" t="s">
        <v>5563</v>
      </c>
      <c r="E148" s="56" t="s">
        <v>5564</v>
      </c>
      <c r="F148" s="56" t="s">
        <v>5212</v>
      </c>
      <c r="G148" s="60" t="s">
        <v>96</v>
      </c>
      <c r="H148" s="57">
        <v>7.5E-4</v>
      </c>
      <c r="N148" s="59"/>
    </row>
    <row r="149">
      <c r="A149" s="56" t="s">
        <v>5565</v>
      </c>
      <c r="C149" s="56" t="s">
        <v>5566</v>
      </c>
      <c r="E149" s="56" t="s">
        <v>5478</v>
      </c>
      <c r="F149" s="56" t="s">
        <v>5277</v>
      </c>
      <c r="G149" s="60" t="s">
        <v>96</v>
      </c>
      <c r="H149" s="57">
        <v>7.473E-4</v>
      </c>
      <c r="N149" s="59"/>
    </row>
    <row r="150">
      <c r="A150" s="56" t="s">
        <v>5567</v>
      </c>
      <c r="C150" s="56" t="s">
        <v>5568</v>
      </c>
      <c r="E150" s="56" t="s">
        <v>5450</v>
      </c>
      <c r="F150" s="56" t="s">
        <v>5212</v>
      </c>
      <c r="G150" s="60" t="s">
        <v>96</v>
      </c>
      <c r="H150" s="57">
        <v>7.455E-4</v>
      </c>
      <c r="N150" s="59"/>
    </row>
    <row r="151">
      <c r="A151" s="56" t="s">
        <v>5569</v>
      </c>
      <c r="C151" s="56" t="s">
        <v>5570</v>
      </c>
      <c r="E151" s="56" t="s">
        <v>5316</v>
      </c>
      <c r="F151" s="56" t="s">
        <v>5212</v>
      </c>
      <c r="G151" s="60" t="s">
        <v>96</v>
      </c>
      <c r="H151" s="57">
        <v>7.407E-4</v>
      </c>
      <c r="N151" s="59"/>
    </row>
    <row r="152">
      <c r="A152" s="56" t="s">
        <v>5571</v>
      </c>
      <c r="C152" s="56" t="s">
        <v>5572</v>
      </c>
      <c r="E152" s="56" t="s">
        <v>5573</v>
      </c>
      <c r="F152" s="56" t="s">
        <v>5212</v>
      </c>
      <c r="G152" s="60" t="s">
        <v>96</v>
      </c>
      <c r="H152" s="57">
        <v>7.31E-4</v>
      </c>
      <c r="N152" s="59"/>
    </row>
    <row r="153">
      <c r="A153" s="56" t="s">
        <v>5574</v>
      </c>
      <c r="C153" s="56" t="s">
        <v>5575</v>
      </c>
      <c r="E153" s="56" t="s">
        <v>5377</v>
      </c>
      <c r="F153" s="56" t="s">
        <v>5212</v>
      </c>
      <c r="G153" s="60" t="s">
        <v>96</v>
      </c>
      <c r="H153" s="57">
        <v>7.257E-4</v>
      </c>
      <c r="N153" s="59"/>
    </row>
    <row r="154">
      <c r="A154" s="56" t="s">
        <v>5576</v>
      </c>
      <c r="C154" s="56" t="s">
        <v>5577</v>
      </c>
      <c r="E154" s="56" t="s">
        <v>5578</v>
      </c>
      <c r="F154" s="56" t="s">
        <v>5212</v>
      </c>
      <c r="G154" s="60" t="s">
        <v>96</v>
      </c>
      <c r="H154" s="57">
        <v>7.212E-4</v>
      </c>
      <c r="N154" s="59"/>
    </row>
    <row r="155">
      <c r="A155" s="56" t="s">
        <v>5579</v>
      </c>
      <c r="C155" s="56" t="s">
        <v>5580</v>
      </c>
      <c r="E155" s="56" t="s">
        <v>5258</v>
      </c>
      <c r="F155" s="56" t="s">
        <v>5212</v>
      </c>
      <c r="G155" s="60" t="s">
        <v>96</v>
      </c>
      <c r="H155" s="57">
        <v>7.191E-4</v>
      </c>
      <c r="N155" s="59"/>
    </row>
    <row r="156">
      <c r="A156" s="56" t="s">
        <v>5581</v>
      </c>
      <c r="C156" s="56" t="s">
        <v>5582</v>
      </c>
      <c r="E156" s="56" t="s">
        <v>5326</v>
      </c>
      <c r="F156" s="56" t="s">
        <v>5212</v>
      </c>
      <c r="G156" s="60" t="s">
        <v>96</v>
      </c>
      <c r="H156" s="57">
        <v>6.971E-4</v>
      </c>
      <c r="N156" s="59"/>
    </row>
    <row r="157">
      <c r="A157" s="56" t="s">
        <v>5583</v>
      </c>
      <c r="C157" s="56" t="s">
        <v>5584</v>
      </c>
      <c r="E157" s="56" t="s">
        <v>5258</v>
      </c>
      <c r="F157" s="56" t="s">
        <v>5212</v>
      </c>
      <c r="G157" s="60" t="s">
        <v>96</v>
      </c>
      <c r="H157" s="57">
        <v>6.871E-4</v>
      </c>
      <c r="N157" s="59"/>
    </row>
    <row r="158">
      <c r="A158" s="56" t="s">
        <v>5585</v>
      </c>
      <c r="C158" s="56" t="s">
        <v>5586</v>
      </c>
      <c r="E158" s="56" t="s">
        <v>5326</v>
      </c>
      <c r="F158" s="56" t="s">
        <v>5212</v>
      </c>
      <c r="G158" s="60" t="s">
        <v>96</v>
      </c>
      <c r="H158" s="57">
        <v>6.732E-4</v>
      </c>
      <c r="N158" s="59"/>
    </row>
    <row r="159">
      <c r="A159" s="56" t="s">
        <v>5587</v>
      </c>
      <c r="C159" s="56" t="s">
        <v>5588</v>
      </c>
      <c r="E159" s="56" t="s">
        <v>5589</v>
      </c>
      <c r="F159" s="56" t="s">
        <v>5212</v>
      </c>
      <c r="G159" s="60" t="s">
        <v>96</v>
      </c>
      <c r="H159" s="57">
        <v>6.726E-4</v>
      </c>
      <c r="N159" s="59"/>
    </row>
    <row r="160">
      <c r="A160" s="56">
        <v>360.0</v>
      </c>
      <c r="C160" s="56" t="s">
        <v>5590</v>
      </c>
      <c r="E160" s="56" t="s">
        <v>5276</v>
      </c>
      <c r="F160" s="56" t="s">
        <v>5300</v>
      </c>
      <c r="G160" s="60" t="s">
        <v>96</v>
      </c>
      <c r="H160" s="57">
        <v>6.696E-4</v>
      </c>
      <c r="N160" s="59"/>
    </row>
    <row r="161">
      <c r="A161" s="56" t="s">
        <v>5591</v>
      </c>
      <c r="C161" s="56" t="s">
        <v>5592</v>
      </c>
      <c r="E161" s="56" t="s">
        <v>5561</v>
      </c>
      <c r="F161" s="56" t="s">
        <v>5212</v>
      </c>
      <c r="G161" s="60" t="s">
        <v>96</v>
      </c>
      <c r="H161" s="57">
        <v>6.585E-4</v>
      </c>
      <c r="N161" s="59"/>
    </row>
    <row r="162">
      <c r="A162" s="56" t="s">
        <v>5593</v>
      </c>
      <c r="C162" s="56" t="s">
        <v>5594</v>
      </c>
      <c r="E162" s="56" t="s">
        <v>5431</v>
      </c>
      <c r="F162" s="56" t="s">
        <v>5212</v>
      </c>
      <c r="G162" s="60" t="s">
        <v>96</v>
      </c>
      <c r="H162" s="57">
        <v>6.486E-4</v>
      </c>
      <c r="N162" s="59"/>
    </row>
    <row r="163">
      <c r="A163" s="56" t="s">
        <v>5595</v>
      </c>
      <c r="C163" s="56" t="s">
        <v>5596</v>
      </c>
      <c r="E163" s="56" t="s">
        <v>5267</v>
      </c>
      <c r="F163" s="56" t="s">
        <v>5212</v>
      </c>
      <c r="G163" s="60" t="s">
        <v>96</v>
      </c>
      <c r="H163" s="57">
        <v>6.378E-4</v>
      </c>
      <c r="N163" s="59"/>
    </row>
    <row r="164">
      <c r="A164" s="56" t="s">
        <v>5597</v>
      </c>
      <c r="C164" s="56" t="s">
        <v>5598</v>
      </c>
      <c r="E164" s="56" t="s">
        <v>5253</v>
      </c>
      <c r="F164" s="56" t="s">
        <v>5212</v>
      </c>
      <c r="G164" s="60" t="s">
        <v>96</v>
      </c>
      <c r="H164" s="57">
        <v>6.312E-4</v>
      </c>
      <c r="N164" s="59"/>
    </row>
    <row r="165">
      <c r="A165" s="56" t="s">
        <v>5599</v>
      </c>
      <c r="C165" s="56" t="s">
        <v>5600</v>
      </c>
      <c r="E165" s="56" t="s">
        <v>5516</v>
      </c>
      <c r="F165" s="56" t="s">
        <v>5212</v>
      </c>
      <c r="G165" s="60" t="s">
        <v>96</v>
      </c>
      <c r="H165" s="57">
        <v>6.286E-4</v>
      </c>
      <c r="N165" s="59"/>
    </row>
    <row r="166">
      <c r="A166" s="56" t="s">
        <v>5601</v>
      </c>
      <c r="C166" s="56" t="s">
        <v>5602</v>
      </c>
      <c r="E166" s="56" t="s">
        <v>5513</v>
      </c>
      <c r="F166" s="56" t="s">
        <v>5212</v>
      </c>
      <c r="G166" s="60" t="s">
        <v>96</v>
      </c>
      <c r="H166" s="57">
        <v>6.165E-4</v>
      </c>
      <c r="N166" s="59"/>
    </row>
    <row r="167">
      <c r="A167" s="56" t="s">
        <v>5603</v>
      </c>
      <c r="C167" s="56" t="s">
        <v>5604</v>
      </c>
      <c r="E167" s="56" t="s">
        <v>5354</v>
      </c>
      <c r="F167" s="56" t="s">
        <v>5300</v>
      </c>
      <c r="G167" s="60" t="s">
        <v>96</v>
      </c>
      <c r="H167" s="57">
        <v>6.129E-4</v>
      </c>
      <c r="N167" s="59"/>
    </row>
    <row r="168">
      <c r="A168" s="56" t="s">
        <v>5605</v>
      </c>
      <c r="C168" s="56" t="s">
        <v>5606</v>
      </c>
      <c r="E168" s="56" t="s">
        <v>5450</v>
      </c>
      <c r="F168" s="56" t="s">
        <v>5212</v>
      </c>
      <c r="G168" s="60" t="s">
        <v>96</v>
      </c>
      <c r="H168" s="57">
        <v>5.901E-4</v>
      </c>
      <c r="N168" s="59"/>
    </row>
    <row r="169">
      <c r="A169" s="56" t="s">
        <v>5607</v>
      </c>
      <c r="C169" s="56" t="s">
        <v>5608</v>
      </c>
      <c r="E169" s="56" t="s">
        <v>5609</v>
      </c>
      <c r="F169" s="56" t="s">
        <v>5212</v>
      </c>
      <c r="G169" s="60" t="s">
        <v>96</v>
      </c>
      <c r="H169" s="57">
        <v>5.88E-4</v>
      </c>
      <c r="N169" s="59"/>
    </row>
    <row r="170">
      <c r="A170" s="56" t="s">
        <v>5610</v>
      </c>
      <c r="C170" s="56" t="s">
        <v>5611</v>
      </c>
      <c r="E170" s="56" t="s">
        <v>5589</v>
      </c>
      <c r="F170" s="56" t="s">
        <v>5212</v>
      </c>
      <c r="G170" s="60" t="s">
        <v>96</v>
      </c>
      <c r="H170" s="57">
        <v>5.85E-4</v>
      </c>
      <c r="N170" s="59"/>
    </row>
    <row r="171">
      <c r="A171" s="56" t="s">
        <v>5612</v>
      </c>
      <c r="C171" s="56" t="s">
        <v>5613</v>
      </c>
      <c r="E171" s="56" t="s">
        <v>5377</v>
      </c>
      <c r="F171" s="56" t="s">
        <v>5212</v>
      </c>
      <c r="G171" s="60" t="s">
        <v>96</v>
      </c>
      <c r="H171" s="57">
        <v>5.728E-4</v>
      </c>
      <c r="N171" s="59"/>
    </row>
    <row r="172">
      <c r="A172" s="56" t="s">
        <v>5614</v>
      </c>
      <c r="C172" s="56" t="s">
        <v>5615</v>
      </c>
      <c r="E172" s="56" t="s">
        <v>5267</v>
      </c>
      <c r="F172" s="56" t="s">
        <v>5277</v>
      </c>
      <c r="G172" s="60" t="s">
        <v>96</v>
      </c>
      <c r="H172" s="57">
        <v>5.714E-4</v>
      </c>
      <c r="N172" s="59"/>
    </row>
    <row r="173">
      <c r="A173" s="56" t="s">
        <v>5616</v>
      </c>
      <c r="C173" s="56" t="s">
        <v>5617</v>
      </c>
      <c r="E173" s="56" t="s">
        <v>5258</v>
      </c>
      <c r="F173" s="56" t="s">
        <v>5212</v>
      </c>
      <c r="G173" s="60" t="s">
        <v>96</v>
      </c>
      <c r="H173" s="57">
        <v>5.68E-4</v>
      </c>
      <c r="N173" s="59"/>
    </row>
    <row r="174">
      <c r="A174" s="56" t="s">
        <v>5618</v>
      </c>
      <c r="C174" s="56" t="s">
        <v>5619</v>
      </c>
      <c r="E174" s="56" t="s">
        <v>5296</v>
      </c>
      <c r="F174" s="56" t="s">
        <v>5212</v>
      </c>
      <c r="G174" s="60" t="s">
        <v>96</v>
      </c>
      <c r="H174" s="57">
        <v>5.667E-4</v>
      </c>
      <c r="N174" s="59"/>
    </row>
    <row r="175">
      <c r="A175" s="56" t="s">
        <v>5620</v>
      </c>
      <c r="C175" s="56" t="s">
        <v>5621</v>
      </c>
      <c r="E175" s="56" t="s">
        <v>5283</v>
      </c>
      <c r="F175" s="56" t="s">
        <v>5212</v>
      </c>
      <c r="G175" s="60" t="s">
        <v>96</v>
      </c>
      <c r="H175" s="57">
        <v>5.633E-4</v>
      </c>
      <c r="N175" s="59"/>
    </row>
    <row r="176">
      <c r="A176" s="56" t="s">
        <v>5622</v>
      </c>
      <c r="C176" s="56" t="s">
        <v>5623</v>
      </c>
      <c r="E176" s="56" t="s">
        <v>5624</v>
      </c>
      <c r="F176" s="56" t="s">
        <v>5212</v>
      </c>
      <c r="G176" s="60" t="s">
        <v>96</v>
      </c>
      <c r="H176" s="57">
        <v>5.613E-4</v>
      </c>
      <c r="N176" s="59"/>
    </row>
    <row r="177">
      <c r="A177" s="56" t="s">
        <v>5625</v>
      </c>
      <c r="C177" s="56" t="s">
        <v>5626</v>
      </c>
      <c r="E177" s="56" t="s">
        <v>5226</v>
      </c>
      <c r="F177" s="56" t="s">
        <v>5212</v>
      </c>
      <c r="G177" s="60" t="s">
        <v>96</v>
      </c>
      <c r="H177" s="57">
        <v>5.607E-4</v>
      </c>
      <c r="N177" s="59"/>
    </row>
    <row r="178">
      <c r="A178" s="56" t="s">
        <v>5627</v>
      </c>
      <c r="C178" s="56" t="s">
        <v>5628</v>
      </c>
      <c r="E178" s="56" t="s">
        <v>5296</v>
      </c>
      <c r="F178" s="56" t="s">
        <v>5212</v>
      </c>
      <c r="G178" s="60" t="s">
        <v>96</v>
      </c>
      <c r="H178" s="57">
        <v>5.561E-4</v>
      </c>
      <c r="N178" s="59"/>
    </row>
    <row r="179">
      <c r="A179" s="56" t="s">
        <v>5629</v>
      </c>
      <c r="C179" s="56" t="s">
        <v>5630</v>
      </c>
      <c r="E179" s="56" t="s">
        <v>5211</v>
      </c>
      <c r="F179" s="56" t="s">
        <v>5212</v>
      </c>
      <c r="G179" s="60" t="s">
        <v>96</v>
      </c>
      <c r="H179" s="57">
        <v>5.503E-4</v>
      </c>
      <c r="N179" s="59"/>
    </row>
    <row r="180">
      <c r="A180" s="56" t="s">
        <v>5631</v>
      </c>
      <c r="C180" s="56" t="s">
        <v>5632</v>
      </c>
      <c r="E180" s="56" t="s">
        <v>5258</v>
      </c>
      <c r="F180" s="56" t="s">
        <v>5212</v>
      </c>
      <c r="G180" s="60" t="s">
        <v>96</v>
      </c>
      <c r="H180" s="57">
        <v>5.446E-4</v>
      </c>
      <c r="N180" s="59"/>
    </row>
    <row r="181">
      <c r="A181" s="56" t="s">
        <v>5633</v>
      </c>
      <c r="C181" s="56" t="s">
        <v>5634</v>
      </c>
      <c r="E181" s="56" t="s">
        <v>5561</v>
      </c>
      <c r="F181" s="56" t="s">
        <v>5212</v>
      </c>
      <c r="G181" s="60" t="s">
        <v>96</v>
      </c>
      <c r="H181" s="57">
        <v>5.4E-4</v>
      </c>
      <c r="N181" s="59"/>
    </row>
    <row r="182">
      <c r="A182" s="56" t="s">
        <v>5635</v>
      </c>
      <c r="C182" s="56" t="s">
        <v>5636</v>
      </c>
      <c r="E182" s="56" t="s">
        <v>5395</v>
      </c>
      <c r="F182" s="56" t="s">
        <v>5212</v>
      </c>
      <c r="G182" s="60" t="s">
        <v>96</v>
      </c>
      <c r="H182" s="57">
        <v>5.314E-4</v>
      </c>
      <c r="N182" s="59"/>
    </row>
    <row r="183">
      <c r="A183" s="56" t="s">
        <v>5637</v>
      </c>
      <c r="C183" s="56" t="s">
        <v>5638</v>
      </c>
      <c r="E183" s="56" t="s">
        <v>5450</v>
      </c>
      <c r="F183" s="56" t="s">
        <v>5212</v>
      </c>
      <c r="G183" s="60" t="s">
        <v>96</v>
      </c>
      <c r="H183" s="57">
        <v>5.299E-4</v>
      </c>
      <c r="N183" s="59"/>
    </row>
    <row r="184">
      <c r="A184" s="56" t="s">
        <v>5639</v>
      </c>
      <c r="C184" s="56" t="s">
        <v>5640</v>
      </c>
      <c r="E184" s="56" t="s">
        <v>5641</v>
      </c>
      <c r="F184" s="56" t="s">
        <v>5212</v>
      </c>
      <c r="G184" s="60" t="s">
        <v>96</v>
      </c>
      <c r="H184" s="57">
        <v>5.27E-4</v>
      </c>
      <c r="N184" s="59"/>
    </row>
    <row r="185">
      <c r="A185" s="56" t="s">
        <v>5642</v>
      </c>
      <c r="C185" s="56" t="s">
        <v>5643</v>
      </c>
      <c r="E185" s="56" t="s">
        <v>5211</v>
      </c>
      <c r="F185" s="56" t="s">
        <v>5212</v>
      </c>
      <c r="G185" s="60" t="s">
        <v>96</v>
      </c>
      <c r="H185" s="57">
        <v>5.254E-4</v>
      </c>
      <c r="N185" s="59"/>
    </row>
    <row r="186">
      <c r="A186" s="56" t="s">
        <v>4573</v>
      </c>
      <c r="C186" s="56" t="s">
        <v>5644</v>
      </c>
      <c r="E186" s="56" t="s">
        <v>5226</v>
      </c>
      <c r="F186" s="56" t="s">
        <v>5212</v>
      </c>
      <c r="G186" s="60" t="s">
        <v>96</v>
      </c>
      <c r="H186" s="57">
        <v>5.131E-4</v>
      </c>
      <c r="N186" s="59"/>
    </row>
    <row r="187">
      <c r="A187" s="56" t="s">
        <v>5645</v>
      </c>
      <c r="C187" s="56" t="s">
        <v>5646</v>
      </c>
      <c r="E187" s="56" t="s">
        <v>5647</v>
      </c>
      <c r="F187" s="56" t="s">
        <v>5212</v>
      </c>
      <c r="G187" s="60" t="s">
        <v>96</v>
      </c>
      <c r="H187" s="57">
        <v>5.113E-4</v>
      </c>
      <c r="N187" s="59"/>
    </row>
    <row r="188">
      <c r="A188" s="56" t="s">
        <v>5648</v>
      </c>
      <c r="C188" s="56" t="s">
        <v>5649</v>
      </c>
      <c r="E188" s="56" t="s">
        <v>5650</v>
      </c>
      <c r="F188" s="56" t="s">
        <v>5212</v>
      </c>
      <c r="G188" s="60" t="s">
        <v>96</v>
      </c>
      <c r="H188" s="57">
        <v>5.075E-4</v>
      </c>
      <c r="N188" s="59"/>
    </row>
    <row r="189">
      <c r="A189" s="56" t="s">
        <v>5651</v>
      </c>
      <c r="C189" s="56" t="s">
        <v>5652</v>
      </c>
      <c r="E189" s="56" t="s">
        <v>5276</v>
      </c>
      <c r="F189" s="56" t="s">
        <v>5212</v>
      </c>
      <c r="G189" s="60" t="s">
        <v>96</v>
      </c>
      <c r="H189" s="57">
        <v>5.057E-4</v>
      </c>
      <c r="N189" s="59"/>
    </row>
    <row r="190">
      <c r="A190" s="56" t="s">
        <v>5653</v>
      </c>
      <c r="C190" s="56" t="s">
        <v>5654</v>
      </c>
      <c r="E190" s="56" t="s">
        <v>5589</v>
      </c>
      <c r="F190" s="56" t="s">
        <v>5212</v>
      </c>
      <c r="G190" s="60" t="s">
        <v>96</v>
      </c>
      <c r="H190" s="57">
        <v>4.984E-4</v>
      </c>
      <c r="N190" s="59"/>
    </row>
    <row r="191">
      <c r="A191" s="56" t="s">
        <v>5655</v>
      </c>
      <c r="C191" s="56" t="s">
        <v>5656</v>
      </c>
      <c r="E191" s="56" t="s">
        <v>5235</v>
      </c>
      <c r="F191" s="56" t="s">
        <v>5277</v>
      </c>
      <c r="G191" s="60" t="s">
        <v>96</v>
      </c>
      <c r="H191" s="57">
        <v>4.943E-4</v>
      </c>
      <c r="N191" s="59"/>
    </row>
    <row r="192">
      <c r="A192" s="56" t="s">
        <v>5657</v>
      </c>
      <c r="C192" s="56" t="s">
        <v>5658</v>
      </c>
      <c r="E192" s="56" t="s">
        <v>5249</v>
      </c>
      <c r="F192" s="56" t="s">
        <v>5212</v>
      </c>
      <c r="G192" s="60" t="s">
        <v>96</v>
      </c>
      <c r="H192" s="57">
        <v>4.937E-4</v>
      </c>
      <c r="N192" s="59"/>
    </row>
    <row r="193">
      <c r="A193" s="56" t="s">
        <v>5659</v>
      </c>
      <c r="C193" s="56" t="s">
        <v>5660</v>
      </c>
      <c r="E193" s="56" t="s">
        <v>5211</v>
      </c>
      <c r="F193" s="56" t="s">
        <v>5212</v>
      </c>
      <c r="G193" s="60" t="s">
        <v>96</v>
      </c>
      <c r="H193" s="57">
        <v>4.925E-4</v>
      </c>
      <c r="N193" s="59"/>
    </row>
    <row r="194">
      <c r="A194" s="56" t="s">
        <v>5661</v>
      </c>
      <c r="C194" s="56" t="s">
        <v>5662</v>
      </c>
      <c r="E194" s="56" t="s">
        <v>5467</v>
      </c>
      <c r="F194" s="56" t="s">
        <v>5212</v>
      </c>
      <c r="G194" s="60" t="s">
        <v>96</v>
      </c>
      <c r="H194" s="57">
        <v>4.872E-4</v>
      </c>
      <c r="N194" s="59"/>
    </row>
    <row r="195">
      <c r="A195" s="56" t="s">
        <v>5663</v>
      </c>
      <c r="C195" s="56" t="s">
        <v>5664</v>
      </c>
      <c r="E195" s="56" t="s">
        <v>5456</v>
      </c>
      <c r="F195" s="56" t="s">
        <v>5212</v>
      </c>
      <c r="G195" s="60" t="s">
        <v>96</v>
      </c>
      <c r="H195" s="57">
        <v>4.87E-4</v>
      </c>
      <c r="N195" s="59"/>
    </row>
    <row r="196">
      <c r="A196" s="56" t="s">
        <v>5665</v>
      </c>
      <c r="C196" s="56" t="s">
        <v>5666</v>
      </c>
      <c r="E196" s="56" t="s">
        <v>5589</v>
      </c>
      <c r="F196" s="56" t="s">
        <v>5212</v>
      </c>
      <c r="G196" s="60" t="s">
        <v>96</v>
      </c>
      <c r="H196" s="57">
        <v>4.832E-4</v>
      </c>
      <c r="N196" s="59"/>
    </row>
    <row r="197">
      <c r="A197" s="56" t="s">
        <v>5667</v>
      </c>
      <c r="C197" s="56" t="s">
        <v>5668</v>
      </c>
      <c r="E197" s="56" t="s">
        <v>5326</v>
      </c>
      <c r="F197" s="56" t="s">
        <v>5212</v>
      </c>
      <c r="G197" s="60" t="s">
        <v>96</v>
      </c>
      <c r="H197" s="57">
        <v>4.709E-4</v>
      </c>
      <c r="N197" s="59"/>
    </row>
    <row r="198">
      <c r="A198" s="56" t="s">
        <v>4725</v>
      </c>
      <c r="C198" s="56" t="s">
        <v>5669</v>
      </c>
      <c r="E198" s="56" t="s">
        <v>5670</v>
      </c>
      <c r="F198" s="56" t="s">
        <v>5300</v>
      </c>
      <c r="G198" s="60" t="s">
        <v>96</v>
      </c>
      <c r="H198" s="57">
        <v>4.494E-4</v>
      </c>
      <c r="N198" s="59"/>
    </row>
    <row r="199">
      <c r="A199" s="56" t="s">
        <v>5671</v>
      </c>
      <c r="C199" s="56" t="s">
        <v>5672</v>
      </c>
      <c r="E199" s="56" t="s">
        <v>5338</v>
      </c>
      <c r="F199" s="56" t="s">
        <v>5212</v>
      </c>
      <c r="G199" s="60" t="s">
        <v>96</v>
      </c>
      <c r="H199" s="57">
        <v>4.467E-4</v>
      </c>
      <c r="N199" s="59"/>
    </row>
    <row r="200">
      <c r="A200" s="56" t="s">
        <v>5673</v>
      </c>
      <c r="C200" s="56" t="s">
        <v>5674</v>
      </c>
      <c r="E200" s="56" t="s">
        <v>5675</v>
      </c>
      <c r="F200" s="56" t="s">
        <v>5212</v>
      </c>
      <c r="G200" s="60" t="s">
        <v>96</v>
      </c>
      <c r="H200" s="57">
        <v>4.419E-4</v>
      </c>
      <c r="N200" s="59"/>
    </row>
    <row r="201">
      <c r="A201" s="56" t="s">
        <v>5676</v>
      </c>
      <c r="C201" s="56" t="s">
        <v>5677</v>
      </c>
      <c r="E201" s="56" t="s">
        <v>5434</v>
      </c>
      <c r="F201" s="56" t="s">
        <v>5212</v>
      </c>
      <c r="G201" s="60" t="s">
        <v>96</v>
      </c>
      <c r="H201" s="57">
        <v>4.302E-4</v>
      </c>
      <c r="N201" s="59"/>
    </row>
    <row r="202">
      <c r="A202" s="56" t="s">
        <v>5678</v>
      </c>
      <c r="C202" s="56" t="s">
        <v>5679</v>
      </c>
      <c r="E202" s="56" t="s">
        <v>5211</v>
      </c>
      <c r="F202" s="56" t="s">
        <v>5212</v>
      </c>
      <c r="G202" s="60" t="s">
        <v>96</v>
      </c>
      <c r="H202" s="57">
        <v>4.296E-4</v>
      </c>
      <c r="N202" s="59"/>
    </row>
    <row r="203">
      <c r="A203" s="56" t="s">
        <v>5680</v>
      </c>
      <c r="C203" s="56" t="s">
        <v>5681</v>
      </c>
      <c r="E203" s="56" t="s">
        <v>5682</v>
      </c>
      <c r="F203" s="56" t="s">
        <v>5212</v>
      </c>
      <c r="G203" s="60" t="s">
        <v>96</v>
      </c>
      <c r="H203" s="57">
        <v>4.206E-4</v>
      </c>
      <c r="N203" s="59"/>
    </row>
    <row r="204">
      <c r="A204" s="56" t="s">
        <v>5683</v>
      </c>
      <c r="C204" s="56" t="s">
        <v>5684</v>
      </c>
      <c r="E204" s="56" t="s">
        <v>5390</v>
      </c>
      <c r="F204" s="56" t="s">
        <v>5212</v>
      </c>
      <c r="G204" s="60" t="s">
        <v>96</v>
      </c>
      <c r="H204" s="57">
        <v>4.125E-4</v>
      </c>
      <c r="N204" s="59"/>
    </row>
    <row r="205">
      <c r="A205" s="56" t="s">
        <v>5685</v>
      </c>
      <c r="C205" s="56" t="s">
        <v>5686</v>
      </c>
      <c r="E205" s="56" t="s">
        <v>5401</v>
      </c>
      <c r="F205" s="56" t="s">
        <v>5212</v>
      </c>
      <c r="G205" s="60" t="s">
        <v>96</v>
      </c>
      <c r="H205" s="57">
        <v>4.062E-4</v>
      </c>
      <c r="N205" s="59"/>
    </row>
    <row r="206">
      <c r="A206" s="56" t="s">
        <v>5687</v>
      </c>
      <c r="C206" s="56" t="s">
        <v>5688</v>
      </c>
      <c r="E206" s="56" t="s">
        <v>5258</v>
      </c>
      <c r="F206" s="56" t="s">
        <v>5212</v>
      </c>
      <c r="G206" s="60" t="s">
        <v>96</v>
      </c>
      <c r="H206" s="57">
        <v>4.053E-4</v>
      </c>
      <c r="N206" s="59"/>
    </row>
    <row r="207">
      <c r="A207" s="56" t="s">
        <v>5689</v>
      </c>
      <c r="C207" s="56" t="s">
        <v>5690</v>
      </c>
      <c r="E207" s="56" t="s">
        <v>5691</v>
      </c>
      <c r="F207" s="56" t="s">
        <v>5212</v>
      </c>
      <c r="G207" s="60" t="s">
        <v>96</v>
      </c>
      <c r="H207" s="57">
        <v>3.949E-4</v>
      </c>
      <c r="N207" s="59"/>
    </row>
    <row r="208">
      <c r="A208" s="56" t="s">
        <v>5692</v>
      </c>
      <c r="C208" s="56" t="s">
        <v>5693</v>
      </c>
      <c r="E208" s="56" t="s">
        <v>5478</v>
      </c>
      <c r="F208" s="56" t="s">
        <v>5212</v>
      </c>
      <c r="G208" s="60" t="s">
        <v>96</v>
      </c>
      <c r="H208" s="57">
        <v>3.899E-4</v>
      </c>
      <c r="N208" s="59"/>
    </row>
    <row r="209">
      <c r="A209" s="56" t="s">
        <v>5694</v>
      </c>
      <c r="C209" s="56" t="s">
        <v>5695</v>
      </c>
      <c r="E209" s="56" t="s">
        <v>5341</v>
      </c>
      <c r="F209" s="56" t="s">
        <v>5212</v>
      </c>
      <c r="G209" s="60" t="s">
        <v>96</v>
      </c>
      <c r="H209" s="57">
        <v>3.898E-4</v>
      </c>
      <c r="N209" s="59"/>
    </row>
    <row r="210">
      <c r="A210" s="56" t="s">
        <v>5696</v>
      </c>
      <c r="C210" s="56" t="s">
        <v>5697</v>
      </c>
      <c r="E210" s="56" t="s">
        <v>5276</v>
      </c>
      <c r="F210" s="56" t="s">
        <v>5212</v>
      </c>
      <c r="G210" s="60" t="s">
        <v>96</v>
      </c>
      <c r="H210" s="57">
        <v>3.869E-4</v>
      </c>
      <c r="N210" s="59"/>
    </row>
    <row r="211">
      <c r="A211" s="56" t="s">
        <v>5698</v>
      </c>
      <c r="C211" s="56" t="s">
        <v>5699</v>
      </c>
      <c r="E211" s="56" t="s">
        <v>5374</v>
      </c>
      <c r="F211" s="56" t="s">
        <v>5212</v>
      </c>
      <c r="G211" s="60" t="s">
        <v>96</v>
      </c>
      <c r="H211" s="57">
        <v>3.794E-4</v>
      </c>
      <c r="N211" s="59"/>
    </row>
    <row r="212">
      <c r="A212" s="56" t="s">
        <v>5700</v>
      </c>
      <c r="C212" s="56" t="s">
        <v>5701</v>
      </c>
      <c r="E212" s="56" t="s">
        <v>5211</v>
      </c>
      <c r="F212" s="56" t="s">
        <v>5425</v>
      </c>
      <c r="G212" s="60" t="s">
        <v>96</v>
      </c>
      <c r="H212" s="57">
        <v>3.742E-4</v>
      </c>
      <c r="N212" s="59"/>
    </row>
    <row r="213">
      <c r="A213" s="56" t="s">
        <v>5702</v>
      </c>
      <c r="C213" s="56" t="s">
        <v>5703</v>
      </c>
      <c r="E213" s="56" t="s">
        <v>5704</v>
      </c>
      <c r="F213" s="56" t="s">
        <v>5212</v>
      </c>
      <c r="G213" s="60" t="s">
        <v>96</v>
      </c>
      <c r="H213" s="57">
        <v>3.728E-4</v>
      </c>
      <c r="N213" s="59"/>
    </row>
    <row r="214">
      <c r="A214" s="56" t="s">
        <v>5705</v>
      </c>
      <c r="C214" s="56" t="s">
        <v>5706</v>
      </c>
      <c r="E214" s="56" t="s">
        <v>5258</v>
      </c>
      <c r="F214" s="56" t="s">
        <v>5212</v>
      </c>
      <c r="G214" s="60" t="s">
        <v>96</v>
      </c>
      <c r="H214" s="57">
        <v>3.657E-4</v>
      </c>
      <c r="N214" s="59"/>
    </row>
    <row r="215">
      <c r="A215" s="56" t="s">
        <v>5707</v>
      </c>
      <c r="C215" s="56" t="s">
        <v>5708</v>
      </c>
      <c r="E215" s="56" t="s">
        <v>5478</v>
      </c>
      <c r="F215" s="56" t="s">
        <v>5212</v>
      </c>
      <c r="G215" s="60" t="s">
        <v>96</v>
      </c>
      <c r="H215" s="57">
        <v>3.649E-4</v>
      </c>
      <c r="N215" s="59"/>
    </row>
    <row r="216">
      <c r="A216" s="56" t="s">
        <v>5709</v>
      </c>
      <c r="C216" s="56" t="s">
        <v>5710</v>
      </c>
      <c r="E216" s="56" t="s">
        <v>5211</v>
      </c>
      <c r="F216" s="56" t="s">
        <v>5212</v>
      </c>
      <c r="G216" s="60" t="s">
        <v>96</v>
      </c>
      <c r="H216" s="57">
        <v>3.603E-4</v>
      </c>
      <c r="N216" s="59"/>
    </row>
    <row r="217">
      <c r="A217" s="56" t="s">
        <v>5711</v>
      </c>
      <c r="C217" s="56" t="s">
        <v>5712</v>
      </c>
      <c r="E217" s="56" t="s">
        <v>5253</v>
      </c>
      <c r="F217" s="56" t="s">
        <v>5212</v>
      </c>
      <c r="G217" s="60" t="s">
        <v>96</v>
      </c>
      <c r="H217" s="57">
        <v>3.593E-4</v>
      </c>
      <c r="N217" s="59"/>
    </row>
    <row r="218">
      <c r="A218" s="56" t="s">
        <v>5713</v>
      </c>
      <c r="C218" s="56" t="s">
        <v>5714</v>
      </c>
      <c r="E218" s="56" t="s">
        <v>5715</v>
      </c>
      <c r="F218" s="56" t="s">
        <v>5212</v>
      </c>
      <c r="G218" s="60" t="s">
        <v>96</v>
      </c>
      <c r="H218" s="57">
        <v>3.586E-4</v>
      </c>
      <c r="N218" s="59"/>
    </row>
    <row r="219">
      <c r="A219" s="56" t="s">
        <v>5716</v>
      </c>
      <c r="C219" s="56" t="s">
        <v>5717</v>
      </c>
      <c r="E219" s="56" t="s">
        <v>5296</v>
      </c>
      <c r="F219" s="56" t="s">
        <v>5212</v>
      </c>
      <c r="G219" s="60" t="s">
        <v>96</v>
      </c>
      <c r="H219" s="57">
        <v>3.537E-4</v>
      </c>
      <c r="N219" s="59"/>
    </row>
    <row r="220">
      <c r="A220" s="56" t="s">
        <v>5718</v>
      </c>
      <c r="C220" s="56" t="s">
        <v>5719</v>
      </c>
      <c r="E220" s="56" t="s">
        <v>5341</v>
      </c>
      <c r="F220" s="56" t="s">
        <v>5212</v>
      </c>
      <c r="G220" s="60" t="s">
        <v>96</v>
      </c>
      <c r="H220" s="57">
        <v>3.489E-4</v>
      </c>
      <c r="N220" s="59"/>
    </row>
    <row r="221">
      <c r="A221" s="56" t="s">
        <v>5720</v>
      </c>
      <c r="C221" s="56" t="s">
        <v>5721</v>
      </c>
      <c r="E221" s="56" t="s">
        <v>5258</v>
      </c>
      <c r="F221" s="56" t="s">
        <v>5212</v>
      </c>
      <c r="G221" s="60" t="s">
        <v>96</v>
      </c>
      <c r="H221" s="57">
        <v>3.441E-4</v>
      </c>
      <c r="N221" s="59"/>
    </row>
    <row r="222">
      <c r="A222" s="56" t="s">
        <v>5722</v>
      </c>
      <c r="C222" s="56" t="s">
        <v>5723</v>
      </c>
      <c r="E222" s="56" t="s">
        <v>5395</v>
      </c>
      <c r="F222" s="56" t="s">
        <v>5212</v>
      </c>
      <c r="G222" s="60" t="s">
        <v>96</v>
      </c>
      <c r="H222" s="57">
        <v>3.411E-4</v>
      </c>
      <c r="N222" s="59"/>
    </row>
    <row r="223">
      <c r="A223" s="56" t="s">
        <v>4339</v>
      </c>
      <c r="C223" s="56" t="s">
        <v>5724</v>
      </c>
      <c r="E223" s="56" t="s">
        <v>5258</v>
      </c>
      <c r="F223" s="56" t="s">
        <v>5212</v>
      </c>
      <c r="G223" s="60" t="s">
        <v>96</v>
      </c>
      <c r="H223" s="57">
        <v>3.358E-4</v>
      </c>
      <c r="N223" s="59"/>
    </row>
    <row r="224">
      <c r="A224" s="56" t="s">
        <v>5725</v>
      </c>
      <c r="C224" s="56" t="s">
        <v>5726</v>
      </c>
      <c r="E224" s="56" t="s">
        <v>5675</v>
      </c>
      <c r="F224" s="56" t="s">
        <v>5212</v>
      </c>
      <c r="G224" s="60" t="s">
        <v>96</v>
      </c>
      <c r="H224" s="57">
        <v>3.283E-4</v>
      </c>
      <c r="N224" s="59"/>
    </row>
    <row r="225">
      <c r="A225" s="56" t="s">
        <v>5727</v>
      </c>
      <c r="C225" s="56" t="s">
        <v>5728</v>
      </c>
      <c r="E225" s="56" t="s">
        <v>5641</v>
      </c>
      <c r="F225" s="56" t="s">
        <v>5212</v>
      </c>
      <c r="G225" s="60" t="s">
        <v>96</v>
      </c>
      <c r="H225" s="57">
        <v>3.229E-4</v>
      </c>
      <c r="N225" s="59"/>
    </row>
    <row r="226">
      <c r="A226" s="56" t="s">
        <v>5729</v>
      </c>
      <c r="C226" s="56" t="s">
        <v>5730</v>
      </c>
      <c r="E226" s="56" t="s">
        <v>5501</v>
      </c>
      <c r="F226" s="56" t="s">
        <v>5212</v>
      </c>
      <c r="G226" s="60" t="s">
        <v>96</v>
      </c>
      <c r="H226" s="57">
        <v>3.222E-4</v>
      </c>
      <c r="N226" s="59"/>
    </row>
    <row r="227">
      <c r="A227" s="56" t="s">
        <v>5731</v>
      </c>
      <c r="C227" s="56" t="s">
        <v>5732</v>
      </c>
      <c r="E227" s="56" t="s">
        <v>5253</v>
      </c>
      <c r="F227" s="56" t="s">
        <v>5277</v>
      </c>
      <c r="G227" s="60" t="s">
        <v>96</v>
      </c>
      <c r="H227" s="57">
        <v>3.209E-4</v>
      </c>
      <c r="N227" s="59"/>
    </row>
    <row r="228">
      <c r="A228" s="56" t="s">
        <v>5733</v>
      </c>
      <c r="C228" s="56" t="s">
        <v>5734</v>
      </c>
      <c r="E228" s="56" t="s">
        <v>5735</v>
      </c>
      <c r="F228" s="56" t="s">
        <v>5212</v>
      </c>
      <c r="G228" s="60" t="s">
        <v>96</v>
      </c>
      <c r="H228" s="57">
        <v>3.205E-4</v>
      </c>
      <c r="N228" s="59"/>
    </row>
    <row r="229">
      <c r="A229" s="56" t="s">
        <v>5736</v>
      </c>
      <c r="C229" s="56" t="s">
        <v>5737</v>
      </c>
      <c r="E229" s="56" t="s">
        <v>5516</v>
      </c>
      <c r="F229" s="56" t="s">
        <v>5212</v>
      </c>
      <c r="G229" s="60" t="s">
        <v>96</v>
      </c>
      <c r="H229" s="57">
        <v>3.186E-4</v>
      </c>
      <c r="N229" s="59"/>
    </row>
    <row r="230">
      <c r="A230" s="56" t="s">
        <v>5738</v>
      </c>
      <c r="C230" s="56" t="s">
        <v>5739</v>
      </c>
      <c r="E230" s="56" t="s">
        <v>5478</v>
      </c>
      <c r="F230" s="56" t="s">
        <v>5212</v>
      </c>
      <c r="G230" s="60" t="s">
        <v>96</v>
      </c>
      <c r="H230" s="57">
        <v>3.147E-4</v>
      </c>
      <c r="N230" s="59"/>
    </row>
    <row r="231">
      <c r="A231" s="56" t="s">
        <v>5740</v>
      </c>
      <c r="C231" s="56" t="s">
        <v>5741</v>
      </c>
      <c r="E231" s="56" t="s">
        <v>5742</v>
      </c>
      <c r="F231" s="56" t="s">
        <v>5212</v>
      </c>
      <c r="G231" s="60" t="s">
        <v>96</v>
      </c>
      <c r="H231" s="57">
        <v>3.079E-4</v>
      </c>
      <c r="N231" s="59"/>
    </row>
    <row r="232">
      <c r="A232" s="56" t="s">
        <v>5743</v>
      </c>
      <c r="C232" s="56" t="s">
        <v>5744</v>
      </c>
      <c r="E232" s="56" t="s">
        <v>5296</v>
      </c>
      <c r="F232" s="56" t="s">
        <v>5212</v>
      </c>
      <c r="G232" s="60" t="s">
        <v>96</v>
      </c>
      <c r="H232" s="57">
        <v>3.072E-4</v>
      </c>
      <c r="N232" s="59"/>
    </row>
    <row r="233">
      <c r="A233" s="56" t="s">
        <v>5745</v>
      </c>
      <c r="C233" s="56" t="s">
        <v>5746</v>
      </c>
      <c r="E233" s="56" t="s">
        <v>5291</v>
      </c>
      <c r="F233" s="56" t="s">
        <v>5747</v>
      </c>
      <c r="G233" s="60" t="s">
        <v>96</v>
      </c>
      <c r="H233" s="57">
        <v>3.059E-4</v>
      </c>
      <c r="N233" s="59"/>
    </row>
    <row r="234">
      <c r="A234" s="56" t="s">
        <v>5748</v>
      </c>
      <c r="C234" s="56" t="s">
        <v>5749</v>
      </c>
      <c r="E234" s="56" t="s">
        <v>5467</v>
      </c>
      <c r="F234" s="56" t="s">
        <v>5277</v>
      </c>
      <c r="G234" s="60" t="s">
        <v>96</v>
      </c>
      <c r="H234" s="57">
        <v>3.045E-4</v>
      </c>
      <c r="N234" s="59"/>
    </row>
    <row r="235">
      <c r="A235" s="56" t="s">
        <v>5750</v>
      </c>
      <c r="C235" s="56" t="s">
        <v>5751</v>
      </c>
      <c r="E235" s="56" t="s">
        <v>5241</v>
      </c>
      <c r="F235" s="56" t="s">
        <v>5212</v>
      </c>
      <c r="G235" s="60" t="s">
        <v>96</v>
      </c>
      <c r="H235" s="57">
        <v>3.03E-4</v>
      </c>
      <c r="N235" s="59"/>
    </row>
    <row r="236">
      <c r="A236" s="56" t="s">
        <v>5752</v>
      </c>
      <c r="C236" s="56" t="s">
        <v>5753</v>
      </c>
      <c r="E236" s="56" t="s">
        <v>5450</v>
      </c>
      <c r="F236" s="56" t="s">
        <v>5212</v>
      </c>
      <c r="G236" s="60" t="s">
        <v>96</v>
      </c>
      <c r="H236" s="57">
        <v>2.986E-4</v>
      </c>
      <c r="N236" s="59"/>
    </row>
    <row r="237">
      <c r="A237" s="56" t="s">
        <v>5754</v>
      </c>
      <c r="C237" s="56" t="s">
        <v>5755</v>
      </c>
      <c r="E237" s="56" t="s">
        <v>5756</v>
      </c>
      <c r="F237" s="56" t="s">
        <v>5212</v>
      </c>
      <c r="G237" s="60" t="s">
        <v>96</v>
      </c>
      <c r="H237" s="57">
        <v>2.983E-4</v>
      </c>
      <c r="N237" s="59"/>
    </row>
    <row r="238">
      <c r="A238" s="56" t="s">
        <v>5757</v>
      </c>
      <c r="C238" s="56" t="s">
        <v>5758</v>
      </c>
      <c r="E238" s="56" t="s">
        <v>5759</v>
      </c>
      <c r="F238" s="56" t="s">
        <v>5212</v>
      </c>
      <c r="G238" s="60" t="s">
        <v>96</v>
      </c>
      <c r="H238" s="57">
        <v>2.982E-4</v>
      </c>
      <c r="N238" s="59"/>
    </row>
    <row r="239">
      <c r="A239" s="56" t="s">
        <v>5760</v>
      </c>
      <c r="C239" s="56" t="s">
        <v>5761</v>
      </c>
      <c r="E239" s="56" t="s">
        <v>5374</v>
      </c>
      <c r="F239" s="56" t="s">
        <v>5212</v>
      </c>
      <c r="G239" s="60" t="s">
        <v>96</v>
      </c>
      <c r="H239" s="57">
        <v>2.936E-4</v>
      </c>
      <c r="N239" s="59"/>
    </row>
    <row r="240">
      <c r="A240" s="56" t="s">
        <v>5762</v>
      </c>
      <c r="C240" s="56" t="s">
        <v>5763</v>
      </c>
      <c r="E240" s="56" t="s">
        <v>5276</v>
      </c>
      <c r="F240" s="56" t="s">
        <v>5212</v>
      </c>
      <c r="G240" s="60" t="s">
        <v>96</v>
      </c>
      <c r="H240" s="57">
        <v>2.924E-4</v>
      </c>
      <c r="N240" s="59"/>
    </row>
    <row r="241">
      <c r="A241" s="56" t="s">
        <v>5764</v>
      </c>
      <c r="C241" s="56" t="s">
        <v>5765</v>
      </c>
      <c r="E241" s="56" t="s">
        <v>5316</v>
      </c>
      <c r="F241" s="56" t="s">
        <v>5212</v>
      </c>
      <c r="G241" s="60" t="s">
        <v>96</v>
      </c>
      <c r="H241" s="57">
        <v>2.859E-4</v>
      </c>
      <c r="N241" s="59"/>
    </row>
    <row r="242">
      <c r="A242" s="56" t="s">
        <v>5766</v>
      </c>
      <c r="C242" s="56" t="s">
        <v>5767</v>
      </c>
      <c r="E242" s="56" t="s">
        <v>5478</v>
      </c>
      <c r="F242" s="56" t="s">
        <v>5212</v>
      </c>
      <c r="G242" s="60" t="s">
        <v>96</v>
      </c>
      <c r="H242" s="57">
        <v>2.801E-4</v>
      </c>
      <c r="N242" s="59"/>
    </row>
    <row r="243">
      <c r="A243" s="56" t="s">
        <v>5768</v>
      </c>
      <c r="C243" s="56" t="s">
        <v>5769</v>
      </c>
      <c r="E243" s="56" t="s">
        <v>5258</v>
      </c>
      <c r="F243" s="56" t="s">
        <v>5212</v>
      </c>
      <c r="G243" s="60" t="s">
        <v>96</v>
      </c>
      <c r="H243" s="57">
        <v>2.788E-4</v>
      </c>
      <c r="N243" s="59"/>
    </row>
    <row r="244">
      <c r="A244" s="56" t="s">
        <v>4276</v>
      </c>
      <c r="C244" s="56" t="s">
        <v>5770</v>
      </c>
      <c r="E244" s="56" t="s">
        <v>5341</v>
      </c>
      <c r="F244" s="56" t="s">
        <v>5212</v>
      </c>
      <c r="G244" s="60" t="s">
        <v>96</v>
      </c>
      <c r="H244" s="57">
        <v>2.772E-4</v>
      </c>
      <c r="N244" s="59"/>
    </row>
    <row r="245">
      <c r="A245" s="56" t="s">
        <v>5771</v>
      </c>
      <c r="C245" s="56" t="s">
        <v>5772</v>
      </c>
      <c r="E245" s="56" t="s">
        <v>5445</v>
      </c>
      <c r="F245" s="56" t="s">
        <v>5212</v>
      </c>
      <c r="G245" s="60" t="s">
        <v>96</v>
      </c>
      <c r="H245" s="57">
        <v>2.725E-4</v>
      </c>
      <c r="N245" s="59"/>
    </row>
    <row r="246">
      <c r="A246" s="56" t="s">
        <v>5773</v>
      </c>
      <c r="C246" s="56" t="s">
        <v>5774</v>
      </c>
      <c r="E246" s="56" t="s">
        <v>5775</v>
      </c>
      <c r="F246" s="56" t="s">
        <v>5212</v>
      </c>
      <c r="G246" s="60" t="s">
        <v>96</v>
      </c>
      <c r="H246" s="57">
        <v>2.697E-4</v>
      </c>
      <c r="N246" s="59"/>
    </row>
    <row r="247">
      <c r="A247" s="56" t="s">
        <v>5776</v>
      </c>
      <c r="C247" s="56" t="s">
        <v>5777</v>
      </c>
      <c r="E247" s="56" t="s">
        <v>5211</v>
      </c>
      <c r="F247" s="56" t="s">
        <v>5212</v>
      </c>
      <c r="G247" s="60" t="s">
        <v>96</v>
      </c>
      <c r="H247" s="57">
        <v>2.665E-4</v>
      </c>
      <c r="N247" s="59"/>
    </row>
    <row r="248">
      <c r="A248" s="56" t="s">
        <v>5778</v>
      </c>
      <c r="C248" s="56" t="s">
        <v>5779</v>
      </c>
      <c r="E248" s="56" t="s">
        <v>5235</v>
      </c>
      <c r="F248" s="56" t="s">
        <v>5212</v>
      </c>
      <c r="G248" s="60" t="s">
        <v>96</v>
      </c>
      <c r="H248" s="57">
        <v>2.581E-4</v>
      </c>
      <c r="N248" s="59"/>
    </row>
    <row r="249">
      <c r="A249" s="56" t="s">
        <v>5780</v>
      </c>
      <c r="C249" s="56" t="s">
        <v>5781</v>
      </c>
      <c r="E249" s="56" t="s">
        <v>5675</v>
      </c>
      <c r="F249" s="56" t="s">
        <v>5212</v>
      </c>
      <c r="G249" s="60" t="s">
        <v>96</v>
      </c>
      <c r="H249" s="57">
        <v>2.53E-4</v>
      </c>
      <c r="N249" s="59"/>
    </row>
    <row r="250">
      <c r="A250" s="56" t="s">
        <v>5782</v>
      </c>
      <c r="C250" s="56" t="s">
        <v>5783</v>
      </c>
      <c r="E250" s="56" t="s">
        <v>5341</v>
      </c>
      <c r="F250" s="56" t="s">
        <v>5212</v>
      </c>
      <c r="G250" s="60" t="s">
        <v>96</v>
      </c>
      <c r="H250" s="57">
        <v>2.477E-4</v>
      </c>
      <c r="N250" s="59"/>
    </row>
    <row r="251">
      <c r="A251" s="56" t="s">
        <v>5784</v>
      </c>
      <c r="C251" s="56" t="s">
        <v>5785</v>
      </c>
      <c r="E251" s="56" t="s">
        <v>5232</v>
      </c>
      <c r="F251" s="56" t="s">
        <v>5212</v>
      </c>
      <c r="G251" s="60" t="s">
        <v>96</v>
      </c>
      <c r="H251" s="57">
        <v>2.428E-4</v>
      </c>
      <c r="N251" s="59"/>
    </row>
    <row r="252">
      <c r="A252" s="56" t="s">
        <v>5786</v>
      </c>
      <c r="C252" s="56" t="s">
        <v>5787</v>
      </c>
      <c r="E252" s="56" t="s">
        <v>5450</v>
      </c>
      <c r="F252" s="56" t="s">
        <v>5329</v>
      </c>
      <c r="G252" s="60" t="s">
        <v>96</v>
      </c>
      <c r="H252" s="57">
        <v>2.394E-4</v>
      </c>
      <c r="N252" s="59"/>
    </row>
    <row r="253">
      <c r="A253" s="56" t="s">
        <v>5788</v>
      </c>
      <c r="C253" s="56" t="s">
        <v>5789</v>
      </c>
      <c r="E253" s="56" t="s">
        <v>5211</v>
      </c>
      <c r="F253" s="56" t="s">
        <v>5212</v>
      </c>
      <c r="G253" s="60" t="s">
        <v>96</v>
      </c>
      <c r="H253" s="57">
        <v>2.38E-4</v>
      </c>
      <c r="N253" s="59"/>
    </row>
    <row r="254">
      <c r="A254" s="56" t="s">
        <v>5790</v>
      </c>
      <c r="C254" s="56" t="s">
        <v>5791</v>
      </c>
      <c r="E254" s="56" t="s">
        <v>5395</v>
      </c>
      <c r="F254" s="56" t="s">
        <v>5212</v>
      </c>
      <c r="G254" s="60" t="s">
        <v>96</v>
      </c>
      <c r="H254" s="57">
        <v>2.361E-4</v>
      </c>
      <c r="N254" s="59"/>
    </row>
    <row r="255">
      <c r="A255" s="56" t="s">
        <v>5792</v>
      </c>
      <c r="C255" s="56" t="s">
        <v>5793</v>
      </c>
      <c r="E255" s="56" t="s">
        <v>5374</v>
      </c>
      <c r="F255" s="56" t="s">
        <v>5212</v>
      </c>
      <c r="G255" s="60" t="s">
        <v>96</v>
      </c>
      <c r="H255" s="57">
        <v>2.335E-4</v>
      </c>
      <c r="N255" s="59"/>
    </row>
    <row r="256">
      <c r="A256" s="56" t="s">
        <v>5794</v>
      </c>
      <c r="C256" s="56" t="s">
        <v>5795</v>
      </c>
      <c r="E256" s="56" t="s">
        <v>5211</v>
      </c>
      <c r="F256" s="56" t="s">
        <v>5212</v>
      </c>
      <c r="G256" s="60" t="s">
        <v>96</v>
      </c>
      <c r="H256" s="57">
        <v>2.334E-4</v>
      </c>
      <c r="N256" s="59"/>
    </row>
    <row r="257">
      <c r="A257" s="56" t="s">
        <v>5796</v>
      </c>
      <c r="C257" s="56" t="s">
        <v>5797</v>
      </c>
      <c r="E257" s="56" t="s">
        <v>5211</v>
      </c>
      <c r="F257" s="56" t="s">
        <v>5212</v>
      </c>
      <c r="G257" s="60" t="s">
        <v>96</v>
      </c>
      <c r="H257" s="57">
        <v>2.242E-4</v>
      </c>
      <c r="N257" s="59"/>
    </row>
    <row r="258">
      <c r="A258" s="56" t="s">
        <v>5798</v>
      </c>
      <c r="C258" s="56" t="s">
        <v>5799</v>
      </c>
      <c r="E258" s="56" t="s">
        <v>5235</v>
      </c>
      <c r="F258" s="56" t="s">
        <v>5212</v>
      </c>
      <c r="G258" s="60" t="s">
        <v>96</v>
      </c>
      <c r="H258" s="57">
        <v>2.239E-4</v>
      </c>
      <c r="N258" s="59"/>
    </row>
    <row r="259">
      <c r="A259" s="56" t="s">
        <v>5800</v>
      </c>
      <c r="C259" s="56" t="s">
        <v>5801</v>
      </c>
      <c r="E259" s="56" t="s">
        <v>5589</v>
      </c>
      <c r="F259" s="56" t="s">
        <v>5212</v>
      </c>
      <c r="G259" s="60" t="s">
        <v>96</v>
      </c>
      <c r="H259" s="57">
        <v>2.204E-4</v>
      </c>
      <c r="N259" s="59"/>
    </row>
    <row r="260">
      <c r="A260" s="56" t="s">
        <v>5802</v>
      </c>
      <c r="C260" s="56" t="s">
        <v>5803</v>
      </c>
      <c r="E260" s="56" t="s">
        <v>5445</v>
      </c>
      <c r="F260" s="56" t="s">
        <v>5212</v>
      </c>
      <c r="G260" s="60" t="s">
        <v>96</v>
      </c>
      <c r="H260" s="57">
        <v>2.169E-4</v>
      </c>
      <c r="N260" s="59"/>
    </row>
    <row r="261">
      <c r="A261" s="56" t="s">
        <v>5804</v>
      </c>
      <c r="C261" s="56" t="s">
        <v>5805</v>
      </c>
      <c r="E261" s="56" t="s">
        <v>5267</v>
      </c>
      <c r="F261" s="56" t="s">
        <v>5212</v>
      </c>
      <c r="G261" s="60" t="s">
        <v>96</v>
      </c>
      <c r="H261" s="57">
        <v>2.157E-4</v>
      </c>
      <c r="N261" s="59"/>
    </row>
    <row r="262">
      <c r="A262" s="56" t="s">
        <v>5806</v>
      </c>
      <c r="C262" s="56" t="s">
        <v>5807</v>
      </c>
      <c r="E262" s="56" t="s">
        <v>5808</v>
      </c>
      <c r="F262" s="56" t="s">
        <v>5212</v>
      </c>
      <c r="G262" s="60" t="s">
        <v>96</v>
      </c>
      <c r="H262" s="57">
        <v>2.122E-4</v>
      </c>
      <c r="N262" s="59"/>
    </row>
    <row r="263">
      <c r="A263" s="56" t="s">
        <v>5809</v>
      </c>
      <c r="C263" s="56" t="s">
        <v>5810</v>
      </c>
      <c r="E263" s="56" t="s">
        <v>5811</v>
      </c>
      <c r="F263" s="56" t="s">
        <v>5212</v>
      </c>
      <c r="G263" s="60" t="s">
        <v>96</v>
      </c>
      <c r="H263" s="57">
        <v>2.122E-4</v>
      </c>
      <c r="N263" s="59"/>
    </row>
    <row r="264">
      <c r="A264" s="56" t="s">
        <v>5812</v>
      </c>
      <c r="C264" s="56" t="s">
        <v>5813</v>
      </c>
      <c r="E264" s="56" t="s">
        <v>5589</v>
      </c>
      <c r="F264" s="56" t="s">
        <v>5212</v>
      </c>
      <c r="G264" s="60" t="s">
        <v>96</v>
      </c>
      <c r="H264" s="57">
        <v>2.038E-4</v>
      </c>
      <c r="N264" s="59"/>
    </row>
    <row r="265">
      <c r="A265" s="56" t="s">
        <v>5814</v>
      </c>
      <c r="C265" s="56" t="s">
        <v>5815</v>
      </c>
      <c r="E265" s="56" t="s">
        <v>5589</v>
      </c>
      <c r="F265" s="56" t="s">
        <v>5212</v>
      </c>
      <c r="G265" s="60" t="s">
        <v>96</v>
      </c>
      <c r="H265" s="57">
        <v>2.013E-4</v>
      </c>
      <c r="N265" s="59"/>
    </row>
    <row r="266">
      <c r="A266" s="56" t="s">
        <v>5816</v>
      </c>
      <c r="C266" s="56" t="s">
        <v>5817</v>
      </c>
      <c r="E266" s="56" t="s">
        <v>5211</v>
      </c>
      <c r="F266" s="56" t="s">
        <v>5212</v>
      </c>
      <c r="G266" s="60" t="s">
        <v>96</v>
      </c>
      <c r="H266" s="57">
        <v>1.987E-4</v>
      </c>
      <c r="N266" s="59"/>
    </row>
    <row r="267">
      <c r="A267" s="56" t="s">
        <v>5818</v>
      </c>
      <c r="C267" s="56" t="s">
        <v>5819</v>
      </c>
      <c r="E267" s="56" t="s">
        <v>5258</v>
      </c>
      <c r="F267" s="56" t="s">
        <v>5212</v>
      </c>
      <c r="G267" s="60" t="s">
        <v>96</v>
      </c>
      <c r="H267" s="57">
        <v>1.981E-4</v>
      </c>
      <c r="N267" s="59"/>
    </row>
    <row r="268">
      <c r="A268" s="56" t="s">
        <v>5820</v>
      </c>
      <c r="C268" s="56" t="s">
        <v>5821</v>
      </c>
      <c r="E268" s="56" t="s">
        <v>5450</v>
      </c>
      <c r="F268" s="56" t="s">
        <v>5212</v>
      </c>
      <c r="G268" s="60" t="s">
        <v>96</v>
      </c>
      <c r="H268" s="57">
        <v>1.98E-4</v>
      </c>
      <c r="N268" s="59"/>
    </row>
    <row r="269">
      <c r="A269" s="56" t="s">
        <v>5822</v>
      </c>
      <c r="C269" s="56" t="s">
        <v>5823</v>
      </c>
      <c r="E269" s="56" t="s">
        <v>5229</v>
      </c>
      <c r="F269" s="56" t="s">
        <v>5212</v>
      </c>
      <c r="G269" s="60" t="s">
        <v>96</v>
      </c>
      <c r="H269" s="57">
        <v>1.966E-4</v>
      </c>
      <c r="N269" s="59"/>
    </row>
    <row r="270">
      <c r="A270" s="56" t="s">
        <v>5824</v>
      </c>
      <c r="C270" s="56" t="s">
        <v>5825</v>
      </c>
      <c r="E270" s="56" t="s">
        <v>5211</v>
      </c>
      <c r="F270" s="56" t="s">
        <v>5212</v>
      </c>
      <c r="G270" s="60" t="s">
        <v>96</v>
      </c>
      <c r="H270" s="57">
        <v>1.93E-4</v>
      </c>
      <c r="N270" s="59"/>
    </row>
    <row r="271">
      <c r="A271" s="56" t="s">
        <v>5826</v>
      </c>
      <c r="C271" s="56" t="s">
        <v>5827</v>
      </c>
      <c r="E271" s="56" t="s">
        <v>5338</v>
      </c>
      <c r="F271" s="56" t="s">
        <v>5212</v>
      </c>
      <c r="G271" s="60" t="s">
        <v>96</v>
      </c>
      <c r="H271" s="57">
        <v>1.926E-4</v>
      </c>
      <c r="N271" s="59"/>
    </row>
    <row r="272">
      <c r="A272" s="56" t="s">
        <v>5828</v>
      </c>
      <c r="C272" s="56" t="s">
        <v>5829</v>
      </c>
      <c r="E272" s="56" t="s">
        <v>5211</v>
      </c>
      <c r="F272" s="56" t="s">
        <v>5212</v>
      </c>
      <c r="G272" s="60" t="s">
        <v>96</v>
      </c>
      <c r="H272" s="57">
        <v>1.859E-4</v>
      </c>
      <c r="N272" s="59"/>
    </row>
    <row r="273">
      <c r="A273" s="56" t="s">
        <v>5830</v>
      </c>
      <c r="C273" s="56" t="s">
        <v>5831</v>
      </c>
      <c r="E273" s="56" t="s">
        <v>5253</v>
      </c>
      <c r="F273" s="56" t="s">
        <v>5212</v>
      </c>
      <c r="G273" s="60" t="s">
        <v>96</v>
      </c>
      <c r="H273" s="57">
        <v>1.802E-4</v>
      </c>
      <c r="N273" s="59"/>
    </row>
    <row r="274">
      <c r="A274" s="56" t="s">
        <v>5832</v>
      </c>
      <c r="C274" s="56" t="s">
        <v>5833</v>
      </c>
      <c r="E274" s="56" t="s">
        <v>5641</v>
      </c>
      <c r="F274" s="56" t="s">
        <v>5212</v>
      </c>
      <c r="G274" s="60" t="s">
        <v>96</v>
      </c>
      <c r="H274" s="57">
        <v>1.762E-4</v>
      </c>
      <c r="N274" s="59"/>
    </row>
    <row r="275">
      <c r="A275" s="56" t="s">
        <v>5834</v>
      </c>
      <c r="C275" s="56" t="s">
        <v>5835</v>
      </c>
      <c r="E275" s="56" t="s">
        <v>5258</v>
      </c>
      <c r="F275" s="56" t="s">
        <v>5836</v>
      </c>
      <c r="G275" s="60" t="s">
        <v>96</v>
      </c>
      <c r="H275" s="57">
        <v>1.745E-4</v>
      </c>
      <c r="N275" s="59"/>
    </row>
    <row r="276">
      <c r="A276" s="56" t="s">
        <v>5837</v>
      </c>
      <c r="C276" s="56" t="s">
        <v>5838</v>
      </c>
      <c r="E276" s="56" t="s">
        <v>5226</v>
      </c>
      <c r="F276" s="56" t="s">
        <v>5212</v>
      </c>
      <c r="G276" s="60" t="s">
        <v>96</v>
      </c>
      <c r="H276" s="57">
        <v>1.67E-4</v>
      </c>
      <c r="N276" s="59"/>
    </row>
    <row r="277">
      <c r="A277" s="56" t="s">
        <v>5839</v>
      </c>
      <c r="C277" s="56" t="s">
        <v>5840</v>
      </c>
      <c r="E277" s="56" t="s">
        <v>5341</v>
      </c>
      <c r="F277" s="56" t="s">
        <v>5212</v>
      </c>
      <c r="G277" s="60" t="s">
        <v>96</v>
      </c>
      <c r="H277" s="57">
        <v>1.667E-4</v>
      </c>
      <c r="N277" s="59"/>
    </row>
    <row r="278">
      <c r="A278" s="56" t="s">
        <v>5841</v>
      </c>
      <c r="C278" s="56" t="s">
        <v>5842</v>
      </c>
      <c r="E278" s="56" t="s">
        <v>5377</v>
      </c>
      <c r="F278" s="56" t="s">
        <v>5212</v>
      </c>
      <c r="G278" s="60" t="s">
        <v>96</v>
      </c>
      <c r="H278" s="57">
        <v>1.656E-4</v>
      </c>
      <c r="N278" s="59"/>
    </row>
    <row r="279">
      <c r="A279" s="56" t="s">
        <v>5843</v>
      </c>
      <c r="C279" s="56" t="s">
        <v>5844</v>
      </c>
      <c r="E279" s="56" t="s">
        <v>5296</v>
      </c>
      <c r="F279" s="56" t="s">
        <v>5212</v>
      </c>
      <c r="G279" s="60" t="s">
        <v>96</v>
      </c>
      <c r="H279" s="57">
        <v>1.617E-4</v>
      </c>
      <c r="N279" s="59"/>
    </row>
    <row r="280">
      <c r="A280" s="56" t="s">
        <v>5845</v>
      </c>
      <c r="C280" s="56" t="s">
        <v>5846</v>
      </c>
      <c r="E280" s="56" t="s">
        <v>5218</v>
      </c>
      <c r="F280" s="56" t="s">
        <v>5212</v>
      </c>
      <c r="G280" s="60" t="s">
        <v>96</v>
      </c>
      <c r="H280" s="57">
        <v>1.548E-4</v>
      </c>
      <c r="N280" s="59"/>
    </row>
    <row r="281">
      <c r="A281" s="56" t="s">
        <v>5847</v>
      </c>
      <c r="C281" s="56" t="s">
        <v>5848</v>
      </c>
      <c r="E281" s="56" t="s">
        <v>5459</v>
      </c>
      <c r="F281" s="56" t="s">
        <v>5212</v>
      </c>
      <c r="G281" s="60" t="s">
        <v>96</v>
      </c>
      <c r="H281" s="57">
        <v>1.532E-4</v>
      </c>
      <c r="N281" s="59"/>
    </row>
    <row r="282">
      <c r="A282" s="56" t="s">
        <v>5849</v>
      </c>
      <c r="C282" s="56" t="s">
        <v>5850</v>
      </c>
      <c r="E282" s="56" t="s">
        <v>5280</v>
      </c>
      <c r="F282" s="56" t="s">
        <v>5212</v>
      </c>
      <c r="G282" s="60" t="s">
        <v>96</v>
      </c>
      <c r="H282" s="57">
        <v>1.525E-4</v>
      </c>
      <c r="N282" s="59"/>
    </row>
    <row r="283">
      <c r="A283" s="56" t="s">
        <v>5851</v>
      </c>
      <c r="C283" s="56" t="s">
        <v>5852</v>
      </c>
      <c r="E283" s="56" t="s">
        <v>5578</v>
      </c>
      <c r="F283" s="56" t="s">
        <v>5212</v>
      </c>
      <c r="G283" s="60" t="s">
        <v>96</v>
      </c>
      <c r="H283" s="57">
        <v>1.509E-4</v>
      </c>
      <c r="N283" s="59"/>
    </row>
    <row r="284">
      <c r="A284" s="56" t="s">
        <v>5853</v>
      </c>
      <c r="C284" s="56" t="s">
        <v>5854</v>
      </c>
      <c r="E284" s="56" t="s">
        <v>5855</v>
      </c>
      <c r="F284" s="56" t="s">
        <v>5212</v>
      </c>
      <c r="G284" s="60" t="s">
        <v>96</v>
      </c>
      <c r="H284" s="57">
        <v>1.466E-4</v>
      </c>
      <c r="N284" s="59"/>
    </row>
    <row r="285">
      <c r="A285" s="56" t="s">
        <v>5856</v>
      </c>
      <c r="C285" s="56" t="s">
        <v>5857</v>
      </c>
      <c r="E285" s="56" t="s">
        <v>5211</v>
      </c>
      <c r="F285" s="56" t="s">
        <v>5212</v>
      </c>
      <c r="G285" s="60" t="s">
        <v>96</v>
      </c>
      <c r="H285" s="57">
        <v>1.408E-4</v>
      </c>
      <c r="N285" s="59"/>
    </row>
    <row r="286">
      <c r="A286" s="56" t="s">
        <v>5858</v>
      </c>
      <c r="C286" s="56" t="s">
        <v>5859</v>
      </c>
      <c r="E286" s="56" t="s">
        <v>5445</v>
      </c>
      <c r="F286" s="56" t="s">
        <v>5212</v>
      </c>
      <c r="G286" s="60" t="s">
        <v>96</v>
      </c>
      <c r="H286" s="57">
        <v>1.364E-4</v>
      </c>
      <c r="N286" s="59"/>
    </row>
    <row r="287">
      <c r="A287" s="56" t="s">
        <v>5860</v>
      </c>
      <c r="C287" s="56" t="s">
        <v>5861</v>
      </c>
      <c r="E287" s="56" t="s">
        <v>5258</v>
      </c>
      <c r="F287" s="56" t="s">
        <v>5212</v>
      </c>
      <c r="G287" s="60" t="s">
        <v>96</v>
      </c>
      <c r="H287" s="57">
        <v>1.338E-4</v>
      </c>
      <c r="N287" s="59"/>
    </row>
    <row r="288">
      <c r="A288" s="56" t="s">
        <v>5862</v>
      </c>
      <c r="C288" s="56" t="s">
        <v>5863</v>
      </c>
      <c r="E288" s="56" t="s">
        <v>5374</v>
      </c>
      <c r="F288" s="56" t="s">
        <v>5212</v>
      </c>
      <c r="G288" s="60" t="s">
        <v>96</v>
      </c>
      <c r="H288" s="57">
        <v>1.31E-4</v>
      </c>
      <c r="N288" s="59"/>
    </row>
    <row r="289">
      <c r="A289" s="56" t="s">
        <v>5864</v>
      </c>
      <c r="C289" s="56" t="s">
        <v>5865</v>
      </c>
      <c r="E289" s="56" t="s">
        <v>5211</v>
      </c>
      <c r="F289" s="56" t="s">
        <v>5212</v>
      </c>
      <c r="G289" s="60" t="s">
        <v>96</v>
      </c>
      <c r="H289" s="57">
        <v>1.26E-4</v>
      </c>
      <c r="N289" s="59"/>
    </row>
    <row r="290">
      <c r="A290" s="56" t="s">
        <v>5866</v>
      </c>
      <c r="C290" s="56" t="s">
        <v>5867</v>
      </c>
      <c r="E290" s="56" t="s">
        <v>5868</v>
      </c>
      <c r="F290" s="56" t="s">
        <v>5212</v>
      </c>
      <c r="G290" s="60" t="s">
        <v>96</v>
      </c>
      <c r="H290" s="57">
        <v>1.238E-4</v>
      </c>
      <c r="N290" s="59"/>
    </row>
    <row r="291">
      <c r="A291" s="56" t="s">
        <v>4522</v>
      </c>
      <c r="C291" s="56" t="s">
        <v>5869</v>
      </c>
      <c r="E291" s="56" t="s">
        <v>5354</v>
      </c>
      <c r="F291" s="56" t="s">
        <v>5212</v>
      </c>
      <c r="G291" s="60" t="s">
        <v>96</v>
      </c>
      <c r="H291" s="57">
        <v>1.14E-4</v>
      </c>
      <c r="N291" s="59"/>
    </row>
    <row r="292">
      <c r="A292" s="56" t="s">
        <v>5870</v>
      </c>
      <c r="C292" s="56" t="s">
        <v>5871</v>
      </c>
      <c r="E292" s="56" t="s">
        <v>5211</v>
      </c>
      <c r="F292" s="56" t="s">
        <v>5212</v>
      </c>
      <c r="G292" s="60" t="s">
        <v>96</v>
      </c>
      <c r="H292" s="57">
        <v>1.096E-4</v>
      </c>
      <c r="N292" s="59"/>
    </row>
    <row r="293">
      <c r="A293" s="56" t="s">
        <v>5872</v>
      </c>
      <c r="C293" s="56" t="s">
        <v>5873</v>
      </c>
      <c r="E293" s="56" t="s">
        <v>5407</v>
      </c>
      <c r="F293" s="56" t="s">
        <v>5212</v>
      </c>
      <c r="G293" s="60" t="s">
        <v>96</v>
      </c>
      <c r="H293" s="57">
        <v>9.73E-5</v>
      </c>
      <c r="N293" s="59"/>
    </row>
    <row r="294">
      <c r="A294" s="56" t="s">
        <v>5874</v>
      </c>
      <c r="C294" s="56" t="s">
        <v>5875</v>
      </c>
      <c r="E294" s="56" t="s">
        <v>5258</v>
      </c>
      <c r="F294" s="56" t="s">
        <v>5212</v>
      </c>
      <c r="G294" s="60" t="s">
        <v>96</v>
      </c>
      <c r="H294" s="57">
        <v>8.72E-5</v>
      </c>
      <c r="N294" s="59"/>
    </row>
    <row r="295">
      <c r="A295" s="56" t="s">
        <v>5876</v>
      </c>
      <c r="C295" s="56" t="s">
        <v>5877</v>
      </c>
      <c r="E295" s="56" t="s">
        <v>5211</v>
      </c>
      <c r="F295" s="56" t="s">
        <v>5212</v>
      </c>
      <c r="G295" s="60" t="s">
        <v>96</v>
      </c>
      <c r="H295" s="57">
        <v>8.25E-5</v>
      </c>
      <c r="N295" s="59"/>
    </row>
    <row r="296">
      <c r="A296" s="56" t="s">
        <v>5878</v>
      </c>
      <c r="C296" s="56" t="s">
        <v>5879</v>
      </c>
      <c r="E296" s="56" t="s">
        <v>5354</v>
      </c>
      <c r="F296" s="56" t="s">
        <v>5212</v>
      </c>
      <c r="G296" s="60" t="s">
        <v>96</v>
      </c>
      <c r="H296" s="57">
        <v>6.99E-5</v>
      </c>
      <c r="N296" s="59"/>
    </row>
    <row r="297">
      <c r="A297" s="56" t="s">
        <v>5880</v>
      </c>
      <c r="C297" s="56" t="s">
        <v>5881</v>
      </c>
      <c r="E297" s="56" t="s">
        <v>5258</v>
      </c>
      <c r="F297" s="56" t="s">
        <v>5212</v>
      </c>
      <c r="G297" s="60" t="s">
        <v>96</v>
      </c>
      <c r="H297" s="57">
        <v>6.91E-5</v>
      </c>
      <c r="N297" s="59"/>
    </row>
    <row r="298">
      <c r="A298" s="56" t="s">
        <v>4651</v>
      </c>
      <c r="C298" s="56" t="s">
        <v>5882</v>
      </c>
      <c r="E298" s="56" t="s">
        <v>5338</v>
      </c>
      <c r="F298" s="56" t="s">
        <v>5212</v>
      </c>
      <c r="G298" s="60" t="s">
        <v>96</v>
      </c>
      <c r="H298" s="57">
        <v>6.71E-5</v>
      </c>
      <c r="N298" s="59"/>
    </row>
    <row r="299">
      <c r="A299" s="56" t="s">
        <v>5883</v>
      </c>
      <c r="C299" s="56" t="s">
        <v>5884</v>
      </c>
      <c r="E299" s="56" t="s">
        <v>5218</v>
      </c>
      <c r="F299" s="56" t="s">
        <v>5212</v>
      </c>
      <c r="G299" s="60" t="s">
        <v>96</v>
      </c>
      <c r="H299" s="57">
        <v>6.22E-5</v>
      </c>
      <c r="N299" s="59"/>
    </row>
    <row r="300">
      <c r="A300" s="56" t="s">
        <v>5885</v>
      </c>
      <c r="C300" s="56" t="s">
        <v>5886</v>
      </c>
      <c r="E300" s="56" t="s">
        <v>5211</v>
      </c>
      <c r="F300" s="56" t="s">
        <v>5300</v>
      </c>
      <c r="G300" s="60" t="s">
        <v>96</v>
      </c>
      <c r="H300" s="57">
        <v>4.97E-5</v>
      </c>
      <c r="N300" s="59"/>
    </row>
    <row r="301">
      <c r="A301" s="56" t="s">
        <v>5887</v>
      </c>
      <c r="C301" s="56" t="s">
        <v>5888</v>
      </c>
      <c r="E301" s="56" t="s">
        <v>5473</v>
      </c>
      <c r="F301" s="56" t="s">
        <v>5212</v>
      </c>
      <c r="G301" s="60" t="s">
        <v>96</v>
      </c>
      <c r="H301" s="57">
        <v>4.69E-5</v>
      </c>
      <c r="N301" s="59"/>
    </row>
    <row r="302">
      <c r="A302" s="56" t="s">
        <v>5889</v>
      </c>
      <c r="C302" s="56" t="s">
        <v>5890</v>
      </c>
      <c r="E302" s="56" t="s">
        <v>5211</v>
      </c>
      <c r="F302" s="56" t="s">
        <v>5212</v>
      </c>
      <c r="G302" s="60" t="s">
        <v>96</v>
      </c>
      <c r="H302" s="57">
        <v>2.86E-5</v>
      </c>
      <c r="N302" s="59"/>
    </row>
    <row r="303">
      <c r="A303" s="59"/>
      <c r="C303" s="59"/>
      <c r="E303" s="59"/>
      <c r="F303" s="59"/>
      <c r="N303" s="59"/>
    </row>
    <row r="304">
      <c r="A304" s="59"/>
      <c r="C304" s="59"/>
      <c r="E304" s="59"/>
      <c r="F304" s="59"/>
      <c r="N304" s="59"/>
    </row>
    <row r="305">
      <c r="A305" s="59"/>
      <c r="C305" s="59"/>
      <c r="E305" s="59"/>
      <c r="F305" s="59"/>
      <c r="N305" s="59"/>
    </row>
    <row r="306">
      <c r="A306" s="59"/>
      <c r="C306" s="59"/>
      <c r="E306" s="59"/>
      <c r="F306" s="59"/>
      <c r="N306" s="59"/>
    </row>
    <row r="307">
      <c r="A307" s="59"/>
      <c r="C307" s="59"/>
      <c r="E307" s="59"/>
      <c r="F307" s="59"/>
      <c r="N307" s="59"/>
    </row>
    <row r="308">
      <c r="A308" s="59"/>
      <c r="C308" s="59"/>
      <c r="E308" s="59"/>
      <c r="F308" s="59"/>
      <c r="N308" s="59"/>
    </row>
    <row r="309">
      <c r="A309" s="59"/>
      <c r="C309" s="59"/>
      <c r="E309" s="59"/>
      <c r="F309" s="59"/>
      <c r="N309" s="59"/>
    </row>
    <row r="310">
      <c r="A310" s="59"/>
      <c r="C310" s="59"/>
      <c r="E310" s="59"/>
      <c r="F310" s="59"/>
      <c r="N310" s="59"/>
    </row>
    <row r="311">
      <c r="A311" s="59"/>
      <c r="C311" s="59"/>
      <c r="E311" s="59"/>
      <c r="F311" s="59"/>
      <c r="N311" s="59"/>
    </row>
    <row r="312">
      <c r="A312" s="59"/>
      <c r="C312" s="59"/>
      <c r="E312" s="59"/>
      <c r="F312" s="59"/>
      <c r="N312" s="59"/>
    </row>
    <row r="313">
      <c r="A313" s="59"/>
      <c r="C313" s="59"/>
      <c r="E313" s="59"/>
      <c r="F313" s="59"/>
      <c r="N313" s="59"/>
    </row>
    <row r="314">
      <c r="A314" s="59"/>
      <c r="C314" s="59"/>
      <c r="E314" s="59"/>
      <c r="F314" s="59"/>
      <c r="N314" s="59"/>
    </row>
    <row r="315">
      <c r="A315" s="59"/>
      <c r="C315" s="59"/>
      <c r="E315" s="59"/>
      <c r="F315" s="59"/>
      <c r="N315" s="59"/>
    </row>
    <row r="316">
      <c r="A316" s="59"/>
      <c r="C316" s="59"/>
      <c r="E316" s="59"/>
      <c r="F316" s="59"/>
      <c r="N316" s="59"/>
    </row>
    <row r="317">
      <c r="A317" s="59"/>
      <c r="C317" s="59"/>
      <c r="E317" s="59"/>
      <c r="F317" s="59"/>
      <c r="N317" s="59"/>
    </row>
    <row r="318">
      <c r="A318" s="59"/>
      <c r="C318" s="59"/>
      <c r="E318" s="59"/>
      <c r="F318" s="59"/>
      <c r="N318" s="59"/>
    </row>
    <row r="319">
      <c r="A319" s="59"/>
      <c r="C319" s="59"/>
      <c r="E319" s="59"/>
      <c r="F319" s="59"/>
      <c r="N319" s="59"/>
    </row>
    <row r="320">
      <c r="A320" s="59"/>
      <c r="C320" s="59"/>
      <c r="E320" s="59"/>
      <c r="F320" s="59"/>
      <c r="N320" s="59"/>
    </row>
    <row r="321">
      <c r="A321" s="59"/>
      <c r="C321" s="59"/>
      <c r="E321" s="59"/>
      <c r="F321" s="59"/>
      <c r="N321" s="59"/>
    </row>
    <row r="322">
      <c r="A322" s="59"/>
      <c r="C322" s="59"/>
      <c r="E322" s="59"/>
      <c r="F322" s="59"/>
      <c r="N322" s="59"/>
    </row>
    <row r="323">
      <c r="A323" s="59"/>
      <c r="C323" s="59"/>
      <c r="E323" s="59"/>
      <c r="F323" s="59"/>
      <c r="N323" s="59"/>
    </row>
    <row r="324">
      <c r="A324" s="59"/>
      <c r="C324" s="59"/>
      <c r="E324" s="59"/>
      <c r="F324" s="59"/>
      <c r="N324" s="59"/>
    </row>
    <row r="325">
      <c r="A325" s="59"/>
      <c r="C325" s="59"/>
      <c r="E325" s="59"/>
      <c r="F325" s="59"/>
      <c r="N325" s="59"/>
    </row>
    <row r="326">
      <c r="A326" s="59"/>
      <c r="C326" s="59"/>
      <c r="E326" s="59"/>
      <c r="F326" s="59"/>
      <c r="N326" s="59"/>
    </row>
    <row r="327">
      <c r="A327" s="59"/>
      <c r="C327" s="59"/>
      <c r="E327" s="59"/>
      <c r="F327" s="59"/>
      <c r="N327" s="59"/>
    </row>
    <row r="328">
      <c r="A328" s="59"/>
      <c r="C328" s="59"/>
      <c r="E328" s="59"/>
      <c r="F328" s="59"/>
      <c r="N328" s="59"/>
    </row>
    <row r="329">
      <c r="A329" s="59"/>
      <c r="C329" s="59"/>
      <c r="E329" s="59"/>
      <c r="F329" s="59"/>
      <c r="N329" s="59"/>
    </row>
    <row r="330">
      <c r="A330" s="59"/>
      <c r="C330" s="59"/>
      <c r="E330" s="59"/>
      <c r="F330" s="59"/>
      <c r="N330" s="59"/>
    </row>
    <row r="331">
      <c r="A331" s="59"/>
      <c r="C331" s="59"/>
      <c r="E331" s="59"/>
      <c r="F331" s="59"/>
      <c r="N331" s="59"/>
    </row>
    <row r="332">
      <c r="A332" s="59"/>
      <c r="C332" s="59"/>
      <c r="E332" s="59"/>
      <c r="F332" s="59"/>
      <c r="N332" s="59"/>
    </row>
    <row r="333">
      <c r="A333" s="59"/>
      <c r="C333" s="59"/>
      <c r="E333" s="59"/>
      <c r="F333" s="59"/>
      <c r="N333" s="59"/>
    </row>
    <row r="334">
      <c r="A334" s="59"/>
      <c r="C334" s="59"/>
      <c r="E334" s="59"/>
      <c r="F334" s="59"/>
      <c r="N334" s="59"/>
    </row>
    <row r="335">
      <c r="A335" s="59"/>
      <c r="C335" s="59"/>
      <c r="E335" s="59"/>
      <c r="F335" s="59"/>
      <c r="N335" s="59"/>
    </row>
    <row r="336">
      <c r="A336" s="59"/>
      <c r="C336" s="59"/>
      <c r="E336" s="59"/>
      <c r="F336" s="59"/>
      <c r="N336" s="59"/>
    </row>
    <row r="337">
      <c r="A337" s="59"/>
      <c r="C337" s="59"/>
      <c r="E337" s="59"/>
      <c r="F337" s="59"/>
      <c r="N337" s="59"/>
    </row>
    <row r="338">
      <c r="A338" s="59"/>
      <c r="C338" s="59"/>
      <c r="E338" s="59"/>
      <c r="F338" s="59"/>
      <c r="N338" s="59"/>
    </row>
    <row r="339">
      <c r="A339" s="59"/>
      <c r="C339" s="59"/>
      <c r="E339" s="59"/>
      <c r="F339" s="59"/>
      <c r="N339" s="59"/>
    </row>
    <row r="340">
      <c r="A340" s="59"/>
      <c r="C340" s="59"/>
      <c r="E340" s="59"/>
      <c r="F340" s="59"/>
      <c r="N340" s="59"/>
    </row>
    <row r="341">
      <c r="A341" s="59"/>
      <c r="C341" s="59"/>
      <c r="E341" s="59"/>
      <c r="F341" s="59"/>
      <c r="N341" s="59"/>
    </row>
    <row r="342">
      <c r="A342" s="59"/>
      <c r="C342" s="59"/>
      <c r="E342" s="59"/>
      <c r="F342" s="59"/>
      <c r="N342" s="59"/>
    </row>
    <row r="343">
      <c r="A343" s="59"/>
      <c r="C343" s="59"/>
      <c r="E343" s="59"/>
      <c r="F343" s="59"/>
      <c r="N343" s="59"/>
    </row>
    <row r="344">
      <c r="A344" s="59"/>
      <c r="C344" s="59"/>
      <c r="E344" s="59"/>
      <c r="F344" s="59"/>
      <c r="N344" s="59"/>
    </row>
    <row r="345">
      <c r="A345" s="59"/>
      <c r="C345" s="59"/>
      <c r="E345" s="59"/>
      <c r="F345" s="59"/>
      <c r="N345" s="59"/>
    </row>
    <row r="346">
      <c r="A346" s="59"/>
      <c r="C346" s="59"/>
      <c r="E346" s="59"/>
      <c r="F346" s="59"/>
      <c r="N346" s="59"/>
    </row>
    <row r="347">
      <c r="A347" s="59"/>
      <c r="C347" s="59"/>
      <c r="E347" s="59"/>
      <c r="F347" s="59"/>
      <c r="N347" s="59"/>
    </row>
    <row r="348">
      <c r="A348" s="59"/>
      <c r="C348" s="59"/>
      <c r="E348" s="59"/>
      <c r="F348" s="59"/>
      <c r="N348" s="59"/>
    </row>
    <row r="349">
      <c r="A349" s="59"/>
      <c r="C349" s="59"/>
      <c r="E349" s="59"/>
      <c r="F349" s="59"/>
      <c r="N349" s="59"/>
    </row>
    <row r="350">
      <c r="A350" s="59"/>
      <c r="C350" s="59"/>
      <c r="E350" s="59"/>
      <c r="F350" s="59"/>
      <c r="N350" s="59"/>
    </row>
    <row r="351">
      <c r="A351" s="59"/>
      <c r="C351" s="59"/>
      <c r="E351" s="59"/>
      <c r="F351" s="59"/>
      <c r="N351" s="59"/>
    </row>
    <row r="352">
      <c r="A352" s="59"/>
      <c r="C352" s="59"/>
      <c r="E352" s="59"/>
      <c r="F352" s="59"/>
      <c r="N352" s="59"/>
    </row>
    <row r="353">
      <c r="A353" s="59"/>
      <c r="C353" s="59"/>
      <c r="E353" s="59"/>
      <c r="F353" s="59"/>
      <c r="N353" s="59"/>
    </row>
    <row r="354">
      <c r="A354" s="59"/>
      <c r="C354" s="59"/>
      <c r="E354" s="59"/>
      <c r="F354" s="59"/>
      <c r="N354" s="59"/>
    </row>
    <row r="355">
      <c r="A355" s="59"/>
      <c r="C355" s="59"/>
      <c r="E355" s="59"/>
      <c r="F355" s="59"/>
      <c r="N355" s="59"/>
    </row>
    <row r="356">
      <c r="A356" s="59"/>
      <c r="C356" s="59"/>
      <c r="E356" s="59"/>
      <c r="F356" s="59"/>
      <c r="N356" s="59"/>
    </row>
    <row r="357">
      <c r="A357" s="59"/>
      <c r="C357" s="59"/>
      <c r="E357" s="59"/>
      <c r="F357" s="59"/>
      <c r="N357" s="59"/>
    </row>
    <row r="358">
      <c r="A358" s="59"/>
      <c r="C358" s="59"/>
      <c r="E358" s="59"/>
      <c r="F358" s="59"/>
      <c r="N358" s="59"/>
    </row>
    <row r="359">
      <c r="A359" s="59"/>
      <c r="C359" s="59"/>
      <c r="E359" s="59"/>
      <c r="F359" s="59"/>
      <c r="N359" s="59"/>
    </row>
    <row r="360">
      <c r="A360" s="59"/>
      <c r="C360" s="59"/>
      <c r="E360" s="59"/>
      <c r="F360" s="59"/>
      <c r="N360" s="59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.75"/>
    <col customWidth="1" min="2" max="2" width="5.5"/>
    <col customWidth="1" min="3" max="3" width="33.0"/>
    <col customWidth="1" min="4" max="4" width="8.0"/>
    <col customWidth="1" min="5" max="5" width="4.88"/>
    <col customWidth="1" min="6" max="6" width="5.63"/>
    <col customWidth="1" min="7" max="7" width="6.38"/>
    <col customWidth="1" min="8" max="8" width="7.63"/>
    <col customWidth="1" min="9" max="9" width="10.63"/>
  </cols>
  <sheetData>
    <row r="1">
      <c r="A1" s="35" t="s">
        <v>80</v>
      </c>
      <c r="B1" s="35" t="s">
        <v>81</v>
      </c>
      <c r="C1" s="35" t="s">
        <v>82</v>
      </c>
      <c r="D1" s="35" t="s">
        <v>83</v>
      </c>
      <c r="E1" s="35" t="s">
        <v>84</v>
      </c>
      <c r="F1" s="35" t="s">
        <v>85</v>
      </c>
      <c r="G1" s="35" t="s">
        <v>86</v>
      </c>
      <c r="H1" s="37" t="s">
        <v>87</v>
      </c>
      <c r="I1" s="37" t="s">
        <v>88</v>
      </c>
      <c r="J1" s="37" t="s">
        <v>89</v>
      </c>
      <c r="K1" s="35" t="s">
        <v>90</v>
      </c>
    </row>
    <row r="2">
      <c r="A2" s="61" t="s">
        <v>44</v>
      </c>
      <c r="C2" s="62" t="s">
        <v>5891</v>
      </c>
      <c r="D2" s="63"/>
      <c r="E2" s="48"/>
      <c r="F2" s="64"/>
      <c r="G2" s="60"/>
      <c r="H2" s="65">
        <v>3.01</v>
      </c>
      <c r="I2" s="49"/>
      <c r="J2" s="49"/>
      <c r="K2" s="44"/>
    </row>
    <row r="3">
      <c r="A3" s="66" t="s">
        <v>48</v>
      </c>
      <c r="C3" s="62" t="s">
        <v>5892</v>
      </c>
      <c r="D3" s="63"/>
      <c r="E3" s="38"/>
      <c r="F3" s="38"/>
      <c r="G3" s="38"/>
      <c r="H3" s="65">
        <v>35.14</v>
      </c>
    </row>
    <row r="4">
      <c r="A4" s="61" t="s">
        <v>51</v>
      </c>
      <c r="C4" s="62" t="s">
        <v>5893</v>
      </c>
      <c r="D4" s="63"/>
      <c r="E4" s="38"/>
      <c r="F4" s="38"/>
      <c r="G4" s="38"/>
      <c r="H4" s="65">
        <v>7.1</v>
      </c>
    </row>
    <row r="5">
      <c r="A5" s="66" t="s">
        <v>55</v>
      </c>
      <c r="C5" s="62" t="s">
        <v>5894</v>
      </c>
      <c r="D5" s="63"/>
      <c r="E5" s="38"/>
      <c r="F5" s="38"/>
      <c r="G5" s="38"/>
      <c r="H5" s="65">
        <v>4.93</v>
      </c>
    </row>
    <row r="6">
      <c r="A6" s="66" t="s">
        <v>62</v>
      </c>
      <c r="C6" s="62" t="s">
        <v>5895</v>
      </c>
      <c r="D6" s="63"/>
      <c r="E6" s="38"/>
      <c r="F6" s="38"/>
      <c r="G6" s="38"/>
      <c r="H6" s="65">
        <v>16.03</v>
      </c>
    </row>
    <row r="7">
      <c r="A7" s="66" t="s">
        <v>66</v>
      </c>
      <c r="C7" s="62" t="s">
        <v>5896</v>
      </c>
      <c r="D7" s="63"/>
      <c r="E7" s="38"/>
      <c r="F7" s="38"/>
      <c r="G7" s="38"/>
      <c r="H7" s="65">
        <v>27.34</v>
      </c>
    </row>
    <row r="8">
      <c r="A8" s="66" t="s">
        <v>68</v>
      </c>
      <c r="C8" s="62" t="s">
        <v>5897</v>
      </c>
      <c r="D8" s="63"/>
      <c r="E8" s="38"/>
      <c r="F8" s="38"/>
      <c r="G8" s="38"/>
      <c r="H8" s="65">
        <v>6.45</v>
      </c>
    </row>
    <row r="9">
      <c r="A9" s="38"/>
      <c r="B9" s="38"/>
      <c r="C9" s="38"/>
      <c r="D9" s="67"/>
      <c r="E9" s="38"/>
      <c r="F9" s="38"/>
      <c r="G9" s="38"/>
    </row>
    <row r="10">
      <c r="A10" s="48"/>
      <c r="B10" s="48"/>
      <c r="C10" s="48"/>
      <c r="D10" s="67"/>
      <c r="E10" s="38"/>
      <c r="F10" s="38"/>
      <c r="G10" s="38"/>
    </row>
    <row r="11">
      <c r="A11" s="38"/>
      <c r="B11" s="38"/>
      <c r="C11" s="48"/>
      <c r="D11" s="38"/>
      <c r="E11" s="38"/>
      <c r="F11" s="38"/>
      <c r="G11" s="38"/>
    </row>
    <row r="12">
      <c r="A12" s="48"/>
      <c r="B12" s="48"/>
      <c r="C12" s="48"/>
      <c r="D12" s="38"/>
      <c r="E12" s="38"/>
      <c r="F12" s="38"/>
      <c r="G12" s="38"/>
    </row>
    <row r="13">
      <c r="A13" s="38"/>
      <c r="B13" s="38"/>
      <c r="C13" s="48"/>
      <c r="D13" s="38"/>
      <c r="E13" s="38"/>
      <c r="F13" s="38"/>
      <c r="G13" s="38"/>
    </row>
    <row r="14">
      <c r="A14" s="38"/>
      <c r="B14" s="38"/>
      <c r="C14" s="48"/>
      <c r="D14" s="38"/>
      <c r="E14" s="38"/>
      <c r="F14" s="38"/>
      <c r="G14" s="38"/>
    </row>
    <row r="15">
      <c r="A15" s="38"/>
      <c r="B15" s="38"/>
      <c r="C15" s="48"/>
      <c r="D15" s="38"/>
      <c r="E15" s="38"/>
      <c r="F15" s="38"/>
      <c r="G15" s="38"/>
    </row>
    <row r="16">
      <c r="A16" s="38"/>
      <c r="B16" s="38"/>
      <c r="C16" s="48"/>
      <c r="D16" s="38"/>
      <c r="E16" s="38"/>
      <c r="F16" s="38"/>
      <c r="G16" s="38"/>
    </row>
    <row r="17">
      <c r="A17" s="38"/>
      <c r="B17" s="38"/>
      <c r="C17" s="48"/>
      <c r="D17" s="38"/>
      <c r="E17" s="38"/>
      <c r="F17" s="38"/>
      <c r="G17" s="38"/>
    </row>
    <row r="18">
      <c r="A18" s="38"/>
      <c r="B18" s="38"/>
      <c r="C18" s="48"/>
      <c r="D18" s="38"/>
      <c r="E18" s="38"/>
      <c r="F18" s="38"/>
      <c r="G18" s="38"/>
    </row>
    <row r="19">
      <c r="C19" s="48"/>
    </row>
    <row r="20">
      <c r="C20" s="48"/>
    </row>
    <row r="21">
      <c r="C21" s="48"/>
    </row>
    <row r="22">
      <c r="C22" s="48"/>
    </row>
    <row r="23">
      <c r="C23" s="48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9.0"/>
    <col customWidth="1" min="4" max="4" width="30.25"/>
    <col customWidth="1" min="5" max="5" width="62.75"/>
  </cols>
  <sheetData>
    <row r="1">
      <c r="A1" s="44"/>
      <c r="B1" s="45"/>
      <c r="C1" s="68" t="s">
        <v>5898</v>
      </c>
      <c r="D1" s="69" t="s">
        <v>5898</v>
      </c>
      <c r="E1" s="55"/>
      <c r="F1" s="44"/>
    </row>
    <row r="2">
      <c r="A2" s="70" t="s">
        <v>5899</v>
      </c>
      <c r="B2" s="70" t="s">
        <v>5900</v>
      </c>
      <c r="C2" s="70" t="s">
        <v>5901</v>
      </c>
      <c r="D2" s="71" t="s">
        <v>5902</v>
      </c>
      <c r="E2" s="70" t="s">
        <v>5903</v>
      </c>
      <c r="F2" s="44"/>
    </row>
    <row r="3">
      <c r="A3" s="61" t="s">
        <v>44</v>
      </c>
      <c r="B3" s="72" t="s">
        <v>5904</v>
      </c>
      <c r="C3" s="73">
        <v>0.0301</v>
      </c>
      <c r="D3" s="74" t="s">
        <v>5905</v>
      </c>
      <c r="E3" s="44"/>
      <c r="F3" s="44"/>
    </row>
    <row r="4">
      <c r="A4" s="66" t="s">
        <v>48</v>
      </c>
      <c r="B4" s="72" t="s">
        <v>5906</v>
      </c>
      <c r="C4" s="73">
        <v>0.3514</v>
      </c>
      <c r="D4" s="74" t="s">
        <v>5907</v>
      </c>
      <c r="E4" s="75" t="s">
        <v>5908</v>
      </c>
      <c r="F4" s="44"/>
    </row>
    <row r="5">
      <c r="A5" s="61" t="s">
        <v>51</v>
      </c>
      <c r="B5" s="72" t="s">
        <v>5909</v>
      </c>
      <c r="C5" s="73">
        <v>0.071</v>
      </c>
      <c r="D5" s="74" t="s">
        <v>5910</v>
      </c>
      <c r="E5" s="44"/>
      <c r="F5" s="44"/>
    </row>
    <row r="6">
      <c r="A6" s="66" t="s">
        <v>55</v>
      </c>
      <c r="B6" s="72" t="s">
        <v>5911</v>
      </c>
      <c r="C6" s="73">
        <v>0.0493</v>
      </c>
      <c r="D6" s="76" t="s">
        <v>5912</v>
      </c>
      <c r="E6" s="44"/>
      <c r="F6" s="44"/>
    </row>
    <row r="7">
      <c r="A7" s="66" t="s">
        <v>62</v>
      </c>
      <c r="B7" s="72" t="s">
        <v>5913</v>
      </c>
      <c r="C7" s="73">
        <v>0.1603</v>
      </c>
      <c r="D7" s="76" t="s">
        <v>5914</v>
      </c>
      <c r="E7" s="44"/>
      <c r="F7" s="44"/>
    </row>
    <row r="8">
      <c r="A8" s="66" t="s">
        <v>66</v>
      </c>
      <c r="B8" s="72" t="s">
        <v>5915</v>
      </c>
      <c r="C8" s="73">
        <v>0.2734</v>
      </c>
      <c r="D8" s="74" t="s">
        <v>67</v>
      </c>
      <c r="E8" s="44"/>
      <c r="F8" s="44"/>
    </row>
    <row r="9">
      <c r="A9" s="66" t="s">
        <v>68</v>
      </c>
      <c r="B9" s="72" t="s">
        <v>5916</v>
      </c>
      <c r="C9" s="73">
        <v>0.0645</v>
      </c>
      <c r="D9" s="74" t="s">
        <v>5917</v>
      </c>
      <c r="E9" s="44"/>
      <c r="F9" s="44"/>
    </row>
    <row r="10">
      <c r="A10" s="44"/>
      <c r="B10" s="44"/>
      <c r="C10" s="44"/>
      <c r="D10" s="77"/>
      <c r="E10" s="44"/>
      <c r="F10" s="44"/>
    </row>
    <row r="11">
      <c r="A11" s="44"/>
      <c r="B11" s="44"/>
      <c r="C11" s="44"/>
      <c r="D11" s="77"/>
      <c r="E11" s="55" t="s">
        <v>5918</v>
      </c>
      <c r="F11" s="44"/>
    </row>
    <row r="12">
      <c r="A12" s="44"/>
      <c r="B12" s="44"/>
      <c r="C12" s="44"/>
      <c r="D12" s="77"/>
      <c r="E12" s="55" t="s">
        <v>5919</v>
      </c>
      <c r="F12" s="44"/>
    </row>
    <row r="13">
      <c r="A13" s="44"/>
      <c r="B13" s="44"/>
      <c r="C13" s="44"/>
      <c r="D13" s="77"/>
      <c r="E13" s="55" t="s">
        <v>5920</v>
      </c>
      <c r="F13" s="44"/>
    </row>
    <row r="14">
      <c r="A14" s="44"/>
      <c r="B14" s="44"/>
      <c r="C14" s="44"/>
      <c r="D14" s="77"/>
      <c r="E14" s="55" t="s">
        <v>5921</v>
      </c>
      <c r="F14" s="44"/>
    </row>
    <row r="15">
      <c r="A15" s="44"/>
      <c r="B15" s="44"/>
      <c r="C15" s="44"/>
      <c r="D15" s="77"/>
      <c r="E15" s="44"/>
      <c r="F15" s="44"/>
    </row>
    <row r="16">
      <c r="A16" s="44"/>
      <c r="B16" s="44"/>
      <c r="C16" s="44"/>
      <c r="D16" s="77"/>
      <c r="E16" s="44"/>
      <c r="F16" s="44"/>
    </row>
    <row r="17">
      <c r="A17" s="44"/>
      <c r="B17" s="44"/>
      <c r="C17" s="44"/>
      <c r="D17" s="77"/>
      <c r="E17" s="44"/>
      <c r="F17" s="44"/>
    </row>
    <row r="18">
      <c r="A18" s="45"/>
      <c r="B18" s="45"/>
      <c r="C18" s="45"/>
      <c r="D18" s="78"/>
      <c r="E18" s="45"/>
      <c r="F18" s="45"/>
    </row>
    <row r="19">
      <c r="A19" s="45"/>
      <c r="B19" s="45"/>
      <c r="C19" s="45"/>
      <c r="D19" s="78"/>
      <c r="E19" s="45"/>
      <c r="F19" s="45"/>
    </row>
    <row r="20">
      <c r="A20" s="45"/>
      <c r="B20" s="45"/>
      <c r="C20" s="45"/>
      <c r="D20" s="78"/>
      <c r="E20" s="45"/>
      <c r="F20" s="45"/>
    </row>
    <row r="21">
      <c r="A21" s="45"/>
      <c r="B21" s="45"/>
      <c r="C21" s="45"/>
      <c r="D21" s="78"/>
      <c r="E21" s="45"/>
      <c r="F21" s="45"/>
    </row>
    <row r="22">
      <c r="A22" s="45"/>
      <c r="B22" s="45"/>
      <c r="C22" s="45"/>
      <c r="D22" s="78"/>
      <c r="E22" s="45"/>
      <c r="F22" s="45"/>
    </row>
    <row r="23">
      <c r="A23" s="45"/>
      <c r="B23" s="45"/>
      <c r="C23" s="45"/>
      <c r="D23" s="78"/>
      <c r="E23" s="45"/>
      <c r="F23" s="45"/>
    </row>
    <row r="24">
      <c r="A24" s="45"/>
      <c r="B24" s="45"/>
      <c r="C24" s="45"/>
      <c r="D24" s="78"/>
      <c r="E24" s="45"/>
      <c r="F24" s="45"/>
    </row>
    <row r="25">
      <c r="A25" s="45"/>
      <c r="B25" s="45"/>
      <c r="C25" s="45"/>
      <c r="D25" s="78"/>
      <c r="E25" s="45"/>
      <c r="F25" s="45"/>
    </row>
    <row r="26">
      <c r="A26" s="45"/>
      <c r="B26" s="45"/>
      <c r="C26" s="45"/>
      <c r="D26" s="78"/>
      <c r="E26" s="45"/>
      <c r="F26" s="45"/>
    </row>
    <row r="27">
      <c r="A27" s="45"/>
      <c r="B27" s="45"/>
      <c r="C27" s="45"/>
      <c r="D27" s="78"/>
      <c r="E27" s="45"/>
      <c r="F27" s="45"/>
    </row>
    <row r="28">
      <c r="A28" s="45"/>
      <c r="B28" s="45"/>
      <c r="C28" s="45"/>
      <c r="D28" s="78"/>
      <c r="E28" s="45"/>
      <c r="F28" s="45"/>
    </row>
    <row r="29">
      <c r="A29" s="45"/>
      <c r="B29" s="45"/>
      <c r="C29" s="45"/>
      <c r="D29" s="78"/>
      <c r="E29" s="45"/>
      <c r="F29" s="45"/>
    </row>
    <row r="30">
      <c r="A30" s="45"/>
      <c r="B30" s="45"/>
      <c r="C30" s="45"/>
      <c r="D30" s="78"/>
      <c r="E30" s="45"/>
      <c r="F30" s="45"/>
    </row>
    <row r="31">
      <c r="A31" s="45"/>
      <c r="B31" s="45"/>
      <c r="C31" s="45"/>
      <c r="D31" s="78"/>
      <c r="E31" s="45"/>
      <c r="F31" s="45"/>
    </row>
    <row r="32">
      <c r="A32" s="45"/>
      <c r="B32" s="45"/>
      <c r="C32" s="45"/>
      <c r="D32" s="78"/>
      <c r="E32" s="45"/>
      <c r="F32" s="45"/>
    </row>
    <row r="33">
      <c r="A33" s="45"/>
      <c r="B33" s="45"/>
      <c r="C33" s="45"/>
      <c r="D33" s="78"/>
      <c r="E33" s="45"/>
      <c r="F33" s="45"/>
    </row>
    <row r="34">
      <c r="A34" s="45"/>
      <c r="B34" s="45"/>
      <c r="C34" s="45"/>
      <c r="D34" s="78"/>
      <c r="E34" s="45"/>
      <c r="F34" s="45"/>
    </row>
    <row r="35">
      <c r="A35" s="45"/>
      <c r="B35" s="45"/>
      <c r="C35" s="45"/>
      <c r="D35" s="78"/>
      <c r="E35" s="45"/>
      <c r="F35" s="45"/>
    </row>
    <row r="36">
      <c r="A36" s="45"/>
      <c r="B36" s="45"/>
      <c r="C36" s="45"/>
      <c r="D36" s="78"/>
      <c r="E36" s="45"/>
      <c r="F36" s="45"/>
    </row>
    <row r="37">
      <c r="A37" s="45"/>
      <c r="B37" s="45"/>
      <c r="C37" s="45"/>
      <c r="D37" s="78"/>
      <c r="E37" s="45"/>
      <c r="F37" s="45"/>
    </row>
    <row r="38">
      <c r="A38" s="45"/>
      <c r="B38" s="45"/>
      <c r="C38" s="45"/>
      <c r="D38" s="78"/>
      <c r="E38" s="45"/>
      <c r="F38" s="45"/>
    </row>
    <row r="39">
      <c r="A39" s="45"/>
      <c r="B39" s="45"/>
      <c r="C39" s="45"/>
      <c r="D39" s="78"/>
      <c r="E39" s="45"/>
      <c r="F39" s="45"/>
    </row>
    <row r="40">
      <c r="A40" s="45"/>
      <c r="B40" s="45"/>
      <c r="C40" s="45"/>
      <c r="D40" s="78"/>
      <c r="E40" s="45"/>
      <c r="F40" s="45"/>
    </row>
    <row r="41">
      <c r="A41" s="45"/>
      <c r="B41" s="45"/>
      <c r="C41" s="45"/>
      <c r="D41" s="78"/>
      <c r="E41" s="45"/>
      <c r="F41" s="45"/>
    </row>
    <row r="42">
      <c r="A42" s="45"/>
      <c r="B42" s="45"/>
      <c r="C42" s="45"/>
      <c r="D42" s="78"/>
      <c r="E42" s="45"/>
      <c r="F42" s="45"/>
    </row>
    <row r="43">
      <c r="A43" s="45"/>
      <c r="B43" s="45"/>
      <c r="C43" s="45"/>
      <c r="D43" s="78"/>
      <c r="E43" s="45"/>
      <c r="F43" s="45"/>
    </row>
    <row r="44">
      <c r="A44" s="45"/>
      <c r="B44" s="45"/>
      <c r="C44" s="45"/>
      <c r="D44" s="78"/>
      <c r="E44" s="45"/>
      <c r="F44" s="45"/>
    </row>
    <row r="45">
      <c r="A45" s="45"/>
      <c r="B45" s="45"/>
      <c r="C45" s="45"/>
      <c r="D45" s="78"/>
      <c r="E45" s="45"/>
      <c r="F45" s="45"/>
    </row>
    <row r="46">
      <c r="A46" s="45"/>
      <c r="B46" s="45"/>
      <c r="C46" s="45"/>
      <c r="D46" s="78"/>
      <c r="E46" s="45"/>
      <c r="F46" s="45"/>
    </row>
    <row r="47">
      <c r="A47" s="45"/>
      <c r="B47" s="45"/>
      <c r="C47" s="45"/>
      <c r="D47" s="78"/>
      <c r="E47" s="45"/>
      <c r="F47" s="45"/>
    </row>
    <row r="48">
      <c r="A48" s="45"/>
      <c r="B48" s="45"/>
      <c r="C48" s="45"/>
      <c r="D48" s="78"/>
      <c r="E48" s="45"/>
      <c r="F48" s="45"/>
    </row>
    <row r="49">
      <c r="A49" s="45"/>
      <c r="B49" s="45"/>
      <c r="C49" s="45"/>
      <c r="D49" s="78"/>
      <c r="E49" s="45"/>
      <c r="F49" s="45"/>
    </row>
    <row r="50">
      <c r="A50" s="45"/>
      <c r="B50" s="45"/>
      <c r="C50" s="45"/>
      <c r="D50" s="78"/>
      <c r="E50" s="45"/>
      <c r="F50" s="45"/>
    </row>
    <row r="51">
      <c r="A51" s="45"/>
      <c r="B51" s="45"/>
      <c r="C51" s="45"/>
      <c r="D51" s="78"/>
      <c r="E51" s="45"/>
      <c r="F51" s="45"/>
    </row>
    <row r="52">
      <c r="A52" s="45"/>
      <c r="B52" s="45"/>
      <c r="C52" s="45"/>
      <c r="D52" s="78"/>
      <c r="E52" s="45"/>
      <c r="F52" s="45"/>
    </row>
    <row r="53">
      <c r="A53" s="45"/>
      <c r="B53" s="45"/>
      <c r="C53" s="45"/>
      <c r="D53" s="78"/>
      <c r="E53" s="45"/>
      <c r="F53" s="45"/>
    </row>
    <row r="54">
      <c r="A54" s="45"/>
      <c r="B54" s="45"/>
      <c r="C54" s="45"/>
      <c r="D54" s="78"/>
      <c r="E54" s="45"/>
      <c r="F54" s="45"/>
    </row>
    <row r="55">
      <c r="A55" s="45"/>
      <c r="B55" s="45"/>
      <c r="C55" s="45"/>
      <c r="D55" s="78"/>
      <c r="E55" s="45"/>
      <c r="F55" s="45"/>
    </row>
    <row r="56">
      <c r="A56" s="45"/>
      <c r="B56" s="45"/>
      <c r="C56" s="45"/>
      <c r="D56" s="78"/>
      <c r="E56" s="45"/>
      <c r="F56" s="45"/>
    </row>
    <row r="57">
      <c r="A57" s="45"/>
      <c r="B57" s="45"/>
      <c r="C57" s="45"/>
      <c r="D57" s="78"/>
      <c r="E57" s="45"/>
      <c r="F57" s="45"/>
    </row>
    <row r="58">
      <c r="A58" s="45"/>
      <c r="B58" s="45"/>
      <c r="C58" s="45"/>
      <c r="D58" s="78"/>
      <c r="E58" s="45"/>
      <c r="F58" s="45"/>
    </row>
    <row r="59">
      <c r="A59" s="45"/>
      <c r="B59" s="45"/>
      <c r="C59" s="45"/>
      <c r="D59" s="78"/>
      <c r="E59" s="45"/>
      <c r="F59" s="45"/>
    </row>
    <row r="60">
      <c r="A60" s="45"/>
      <c r="B60" s="45"/>
      <c r="C60" s="45"/>
      <c r="D60" s="78"/>
      <c r="E60" s="45"/>
      <c r="F60" s="45"/>
    </row>
    <row r="61">
      <c r="A61" s="45"/>
      <c r="B61" s="45"/>
      <c r="C61" s="45"/>
      <c r="D61" s="78"/>
      <c r="E61" s="45"/>
      <c r="F61" s="45"/>
    </row>
    <row r="62">
      <c r="A62" s="45"/>
      <c r="B62" s="45"/>
      <c r="C62" s="45"/>
      <c r="D62" s="78"/>
      <c r="E62" s="45"/>
      <c r="F62" s="45"/>
    </row>
    <row r="63">
      <c r="A63" s="45"/>
      <c r="B63" s="45"/>
      <c r="C63" s="45"/>
      <c r="D63" s="78"/>
      <c r="E63" s="45"/>
      <c r="F63" s="45"/>
    </row>
    <row r="64">
      <c r="A64" s="45"/>
      <c r="B64" s="45"/>
      <c r="C64" s="45"/>
      <c r="D64" s="78"/>
      <c r="E64" s="45"/>
      <c r="F64" s="45"/>
    </row>
    <row r="65">
      <c r="A65" s="45"/>
      <c r="B65" s="45"/>
      <c r="C65" s="45"/>
      <c r="D65" s="78"/>
      <c r="E65" s="45"/>
      <c r="F65" s="45"/>
    </row>
    <row r="66">
      <c r="A66" s="45"/>
      <c r="B66" s="45"/>
      <c r="C66" s="45"/>
      <c r="D66" s="78"/>
      <c r="E66" s="45"/>
      <c r="F66" s="45"/>
    </row>
    <row r="67">
      <c r="A67" s="45"/>
      <c r="B67" s="45"/>
      <c r="C67" s="45"/>
      <c r="D67" s="78"/>
      <c r="E67" s="45"/>
      <c r="F67" s="45"/>
    </row>
    <row r="68">
      <c r="A68" s="45"/>
      <c r="B68" s="45"/>
      <c r="C68" s="45"/>
      <c r="D68" s="78"/>
      <c r="E68" s="45"/>
      <c r="F68" s="45"/>
    </row>
    <row r="69">
      <c r="A69" s="45"/>
      <c r="B69" s="45"/>
      <c r="C69" s="45"/>
      <c r="D69" s="78"/>
      <c r="E69" s="45"/>
      <c r="F69" s="45"/>
    </row>
    <row r="70">
      <c r="A70" s="45"/>
      <c r="B70" s="45"/>
      <c r="C70" s="45"/>
      <c r="D70" s="78"/>
      <c r="E70" s="45"/>
      <c r="F70" s="45"/>
    </row>
    <row r="71">
      <c r="A71" s="45"/>
      <c r="B71" s="45"/>
      <c r="C71" s="45"/>
      <c r="D71" s="78"/>
      <c r="E71" s="45"/>
      <c r="F71" s="45"/>
    </row>
    <row r="72">
      <c r="A72" s="45"/>
      <c r="B72" s="45"/>
      <c r="C72" s="45"/>
      <c r="D72" s="78"/>
      <c r="E72" s="45"/>
      <c r="F72" s="45"/>
    </row>
    <row r="73">
      <c r="A73" s="45"/>
      <c r="B73" s="45"/>
      <c r="C73" s="45"/>
      <c r="D73" s="78"/>
      <c r="E73" s="45"/>
      <c r="F73" s="45"/>
    </row>
    <row r="74">
      <c r="A74" s="45"/>
      <c r="B74" s="45"/>
      <c r="C74" s="45"/>
      <c r="D74" s="78"/>
      <c r="E74" s="45"/>
      <c r="F74" s="45"/>
    </row>
    <row r="75">
      <c r="A75" s="45"/>
      <c r="B75" s="45"/>
      <c r="C75" s="45"/>
      <c r="D75" s="78"/>
      <c r="E75" s="45"/>
      <c r="F75" s="45"/>
    </row>
    <row r="76">
      <c r="A76" s="45"/>
      <c r="B76" s="45"/>
      <c r="C76" s="45"/>
      <c r="D76" s="78"/>
      <c r="E76" s="45"/>
      <c r="F76" s="45"/>
    </row>
    <row r="77">
      <c r="A77" s="45"/>
      <c r="B77" s="45"/>
      <c r="C77" s="45"/>
      <c r="D77" s="78"/>
      <c r="E77" s="45"/>
      <c r="F77" s="45"/>
    </row>
    <row r="78">
      <c r="A78" s="45"/>
      <c r="B78" s="45"/>
      <c r="C78" s="45"/>
      <c r="D78" s="78"/>
      <c r="E78" s="45"/>
      <c r="F78" s="45"/>
    </row>
    <row r="79">
      <c r="A79" s="45"/>
      <c r="B79" s="45"/>
      <c r="C79" s="45"/>
      <c r="D79" s="78"/>
      <c r="E79" s="45"/>
      <c r="F79" s="45"/>
    </row>
    <row r="80">
      <c r="A80" s="45"/>
      <c r="B80" s="45"/>
      <c r="C80" s="45"/>
      <c r="D80" s="78"/>
      <c r="E80" s="45"/>
      <c r="F80" s="45"/>
    </row>
    <row r="81">
      <c r="A81" s="45"/>
      <c r="B81" s="45"/>
      <c r="C81" s="45"/>
      <c r="D81" s="78"/>
      <c r="E81" s="45"/>
      <c r="F81" s="45"/>
    </row>
    <row r="82">
      <c r="A82" s="45"/>
      <c r="B82" s="45"/>
      <c r="C82" s="45"/>
      <c r="D82" s="78"/>
      <c r="E82" s="45"/>
      <c r="F82" s="45"/>
    </row>
    <row r="83">
      <c r="A83" s="45"/>
      <c r="B83" s="45"/>
      <c r="C83" s="45"/>
      <c r="D83" s="78"/>
      <c r="E83" s="45"/>
      <c r="F83" s="45"/>
    </row>
    <row r="84">
      <c r="A84" s="45"/>
      <c r="B84" s="45"/>
      <c r="C84" s="45"/>
      <c r="D84" s="78"/>
      <c r="E84" s="45"/>
      <c r="F84" s="45"/>
    </row>
    <row r="85">
      <c r="A85" s="45"/>
      <c r="B85" s="45"/>
      <c r="C85" s="45"/>
      <c r="D85" s="78"/>
      <c r="E85" s="45"/>
      <c r="F85" s="45"/>
    </row>
    <row r="86">
      <c r="A86" s="45"/>
      <c r="B86" s="45"/>
      <c r="C86" s="45"/>
      <c r="D86" s="78"/>
      <c r="E86" s="45"/>
      <c r="F86" s="45"/>
    </row>
    <row r="87">
      <c r="A87" s="45"/>
      <c r="B87" s="45"/>
      <c r="C87" s="45"/>
      <c r="D87" s="78"/>
      <c r="E87" s="45"/>
      <c r="F87" s="45"/>
    </row>
    <row r="88">
      <c r="A88" s="45"/>
      <c r="B88" s="45"/>
      <c r="C88" s="45"/>
      <c r="D88" s="78"/>
      <c r="E88" s="45"/>
      <c r="F88" s="45"/>
    </row>
    <row r="89">
      <c r="A89" s="45"/>
      <c r="B89" s="45"/>
      <c r="C89" s="45"/>
      <c r="D89" s="78"/>
      <c r="E89" s="45"/>
      <c r="F89" s="45"/>
    </row>
    <row r="90">
      <c r="A90" s="45"/>
      <c r="B90" s="45"/>
      <c r="C90" s="45"/>
      <c r="D90" s="78"/>
      <c r="E90" s="45"/>
      <c r="F90" s="45"/>
    </row>
    <row r="91">
      <c r="A91" s="45"/>
      <c r="B91" s="45"/>
      <c r="C91" s="45"/>
      <c r="D91" s="78"/>
      <c r="E91" s="45"/>
      <c r="F91" s="45"/>
    </row>
    <row r="92">
      <c r="A92" s="45"/>
      <c r="B92" s="45"/>
      <c r="C92" s="45"/>
      <c r="D92" s="78"/>
      <c r="E92" s="45"/>
      <c r="F92" s="45"/>
    </row>
    <row r="93">
      <c r="A93" s="45"/>
      <c r="B93" s="45"/>
      <c r="C93" s="45"/>
      <c r="D93" s="78"/>
      <c r="E93" s="45"/>
      <c r="F93" s="45"/>
    </row>
    <row r="94">
      <c r="A94" s="45"/>
      <c r="B94" s="45"/>
      <c r="C94" s="45"/>
      <c r="D94" s="78"/>
      <c r="E94" s="45"/>
      <c r="F94" s="45"/>
    </row>
    <row r="95">
      <c r="A95" s="45"/>
      <c r="B95" s="45"/>
      <c r="C95" s="45"/>
      <c r="D95" s="78"/>
      <c r="E95" s="45"/>
      <c r="F95" s="45"/>
    </row>
    <row r="96">
      <c r="A96" s="45"/>
      <c r="B96" s="45"/>
      <c r="C96" s="45"/>
      <c r="D96" s="78"/>
      <c r="E96" s="45"/>
      <c r="F96" s="45"/>
    </row>
    <row r="97">
      <c r="A97" s="45"/>
      <c r="B97" s="45"/>
      <c r="C97" s="45"/>
      <c r="D97" s="78"/>
      <c r="E97" s="45"/>
      <c r="F97" s="45"/>
    </row>
    <row r="98">
      <c r="A98" s="45"/>
      <c r="B98" s="45"/>
      <c r="C98" s="45"/>
      <c r="D98" s="78"/>
      <c r="E98" s="45"/>
      <c r="F98" s="45"/>
    </row>
    <row r="99">
      <c r="A99" s="45"/>
      <c r="B99" s="45"/>
      <c r="C99" s="45"/>
      <c r="D99" s="78"/>
      <c r="E99" s="45"/>
      <c r="F99" s="45"/>
    </row>
    <row r="100">
      <c r="A100" s="45"/>
      <c r="B100" s="45"/>
      <c r="C100" s="45"/>
      <c r="D100" s="78"/>
      <c r="E100" s="45"/>
      <c r="F100" s="45"/>
    </row>
    <row r="101">
      <c r="A101" s="45"/>
      <c r="B101" s="45"/>
      <c r="C101" s="45"/>
      <c r="D101" s="78"/>
      <c r="E101" s="45"/>
      <c r="F101" s="45"/>
    </row>
    <row r="102">
      <c r="A102" s="45"/>
      <c r="B102" s="45"/>
      <c r="C102" s="45"/>
      <c r="D102" s="78"/>
      <c r="E102" s="45"/>
      <c r="F102" s="45"/>
    </row>
    <row r="103">
      <c r="A103" s="45"/>
      <c r="B103" s="45"/>
      <c r="C103" s="45"/>
      <c r="D103" s="78"/>
      <c r="E103" s="45"/>
      <c r="F103" s="45"/>
    </row>
    <row r="104">
      <c r="A104" s="45"/>
      <c r="B104" s="45"/>
      <c r="C104" s="45"/>
      <c r="D104" s="78"/>
      <c r="E104" s="45"/>
      <c r="F104" s="45"/>
    </row>
    <row r="105">
      <c r="A105" s="45"/>
      <c r="B105" s="45"/>
      <c r="C105" s="45"/>
      <c r="D105" s="78"/>
      <c r="E105" s="45"/>
      <c r="F105" s="45"/>
    </row>
    <row r="106">
      <c r="A106" s="45"/>
      <c r="B106" s="45"/>
      <c r="C106" s="45"/>
      <c r="D106" s="78"/>
      <c r="E106" s="45"/>
      <c r="F106" s="45"/>
    </row>
    <row r="107">
      <c r="A107" s="45"/>
      <c r="B107" s="45"/>
      <c r="C107" s="45"/>
      <c r="D107" s="78"/>
      <c r="E107" s="45"/>
      <c r="F107" s="45"/>
    </row>
    <row r="108">
      <c r="A108" s="45"/>
      <c r="B108" s="45"/>
      <c r="C108" s="45"/>
      <c r="D108" s="78"/>
      <c r="E108" s="45"/>
      <c r="F108" s="45"/>
    </row>
    <row r="109">
      <c r="A109" s="45"/>
      <c r="B109" s="45"/>
      <c r="C109" s="45"/>
      <c r="D109" s="78"/>
      <c r="E109" s="45"/>
      <c r="F109" s="45"/>
    </row>
    <row r="110">
      <c r="A110" s="45"/>
      <c r="B110" s="45"/>
      <c r="C110" s="45"/>
      <c r="D110" s="78"/>
      <c r="E110" s="45"/>
      <c r="F110" s="45"/>
    </row>
    <row r="111">
      <c r="A111" s="45"/>
      <c r="B111" s="45"/>
      <c r="C111" s="45"/>
      <c r="D111" s="78"/>
      <c r="E111" s="45"/>
      <c r="F111" s="45"/>
    </row>
    <row r="112">
      <c r="A112" s="45"/>
      <c r="B112" s="45"/>
      <c r="C112" s="45"/>
      <c r="D112" s="78"/>
      <c r="E112" s="45"/>
      <c r="F112" s="45"/>
    </row>
    <row r="113">
      <c r="A113" s="45"/>
      <c r="B113" s="45"/>
      <c r="C113" s="45"/>
      <c r="D113" s="78"/>
      <c r="E113" s="45"/>
      <c r="F113" s="45"/>
    </row>
    <row r="114">
      <c r="A114" s="45"/>
      <c r="B114" s="45"/>
      <c r="C114" s="45"/>
      <c r="D114" s="78"/>
      <c r="E114" s="45"/>
      <c r="F114" s="45"/>
    </row>
    <row r="115">
      <c r="A115" s="45"/>
      <c r="B115" s="45"/>
      <c r="C115" s="45"/>
      <c r="D115" s="78"/>
      <c r="E115" s="45"/>
      <c r="F115" s="45"/>
    </row>
    <row r="116">
      <c r="A116" s="45"/>
      <c r="B116" s="45"/>
      <c r="C116" s="45"/>
      <c r="D116" s="78"/>
      <c r="E116" s="45"/>
      <c r="F116" s="45"/>
    </row>
    <row r="117">
      <c r="A117" s="45"/>
      <c r="B117" s="45"/>
      <c r="C117" s="45"/>
      <c r="D117" s="78"/>
      <c r="E117" s="45"/>
      <c r="F117" s="45"/>
    </row>
    <row r="118">
      <c r="A118" s="45"/>
      <c r="B118" s="45"/>
      <c r="C118" s="45"/>
      <c r="D118" s="78"/>
      <c r="E118" s="45"/>
      <c r="F118" s="45"/>
    </row>
    <row r="119">
      <c r="A119" s="45"/>
      <c r="B119" s="45"/>
      <c r="C119" s="45"/>
      <c r="D119" s="78"/>
      <c r="E119" s="45"/>
      <c r="F119" s="45"/>
    </row>
    <row r="120">
      <c r="A120" s="45"/>
      <c r="B120" s="45"/>
      <c r="C120" s="45"/>
      <c r="D120" s="78"/>
      <c r="E120" s="45"/>
      <c r="F120" s="45"/>
    </row>
    <row r="121">
      <c r="A121" s="45"/>
      <c r="B121" s="45"/>
      <c r="C121" s="45"/>
      <c r="D121" s="78"/>
      <c r="E121" s="45"/>
      <c r="F121" s="45"/>
    </row>
    <row r="122">
      <c r="A122" s="45"/>
      <c r="B122" s="45"/>
      <c r="C122" s="45"/>
      <c r="D122" s="78"/>
      <c r="E122" s="45"/>
      <c r="F122" s="45"/>
    </row>
    <row r="123">
      <c r="A123" s="45"/>
      <c r="B123" s="45"/>
      <c r="C123" s="45"/>
      <c r="D123" s="78"/>
      <c r="E123" s="45"/>
      <c r="F123" s="45"/>
    </row>
    <row r="124">
      <c r="A124" s="45"/>
      <c r="B124" s="45"/>
      <c r="C124" s="45"/>
      <c r="D124" s="78"/>
      <c r="E124" s="45"/>
      <c r="F124" s="45"/>
    </row>
    <row r="125">
      <c r="A125" s="45"/>
      <c r="B125" s="45"/>
      <c r="C125" s="45"/>
      <c r="D125" s="78"/>
      <c r="E125" s="45"/>
      <c r="F125" s="45"/>
    </row>
    <row r="126">
      <c r="A126" s="45"/>
      <c r="B126" s="45"/>
      <c r="C126" s="45"/>
      <c r="D126" s="78"/>
      <c r="E126" s="45"/>
      <c r="F126" s="45"/>
    </row>
    <row r="127">
      <c r="A127" s="45"/>
      <c r="B127" s="45"/>
      <c r="C127" s="45"/>
      <c r="D127" s="78"/>
      <c r="E127" s="45"/>
      <c r="F127" s="45"/>
    </row>
    <row r="128">
      <c r="A128" s="45"/>
      <c r="B128" s="45"/>
      <c r="C128" s="45"/>
      <c r="D128" s="78"/>
      <c r="E128" s="45"/>
      <c r="F128" s="45"/>
    </row>
    <row r="129">
      <c r="A129" s="45"/>
      <c r="B129" s="45"/>
      <c r="C129" s="45"/>
      <c r="D129" s="78"/>
      <c r="E129" s="45"/>
      <c r="F129" s="45"/>
    </row>
    <row r="130">
      <c r="A130" s="45"/>
      <c r="B130" s="45"/>
      <c r="C130" s="45"/>
      <c r="D130" s="78"/>
      <c r="E130" s="45"/>
      <c r="F130" s="45"/>
    </row>
    <row r="131">
      <c r="A131" s="45"/>
      <c r="B131" s="45"/>
      <c r="C131" s="45"/>
      <c r="D131" s="78"/>
      <c r="E131" s="45"/>
      <c r="F131" s="45"/>
    </row>
    <row r="132">
      <c r="A132" s="45"/>
      <c r="B132" s="45"/>
      <c r="C132" s="45"/>
      <c r="D132" s="78"/>
      <c r="E132" s="45"/>
      <c r="F132" s="45"/>
    </row>
    <row r="133">
      <c r="A133" s="45"/>
      <c r="B133" s="45"/>
      <c r="C133" s="45"/>
      <c r="D133" s="78"/>
      <c r="E133" s="45"/>
      <c r="F133" s="45"/>
    </row>
    <row r="134">
      <c r="A134" s="45"/>
      <c r="B134" s="45"/>
      <c r="C134" s="45"/>
      <c r="D134" s="78"/>
      <c r="E134" s="45"/>
      <c r="F134" s="45"/>
    </row>
    <row r="135">
      <c r="A135" s="45"/>
      <c r="B135" s="45"/>
      <c r="C135" s="45"/>
      <c r="D135" s="78"/>
      <c r="E135" s="45"/>
      <c r="F135" s="45"/>
    </row>
    <row r="136">
      <c r="A136" s="45"/>
      <c r="B136" s="45"/>
      <c r="C136" s="45"/>
      <c r="D136" s="78"/>
      <c r="E136" s="45"/>
      <c r="F136" s="45"/>
    </row>
    <row r="137">
      <c r="A137" s="45"/>
      <c r="B137" s="45"/>
      <c r="C137" s="45"/>
      <c r="D137" s="78"/>
      <c r="E137" s="45"/>
      <c r="F137" s="45"/>
    </row>
    <row r="138">
      <c r="A138" s="45"/>
      <c r="B138" s="45"/>
      <c r="C138" s="45"/>
      <c r="D138" s="78"/>
      <c r="E138" s="45"/>
      <c r="F138" s="45"/>
    </row>
    <row r="139">
      <c r="A139" s="45"/>
      <c r="B139" s="45"/>
      <c r="C139" s="45"/>
      <c r="D139" s="78"/>
      <c r="E139" s="45"/>
      <c r="F139" s="45"/>
    </row>
    <row r="140">
      <c r="A140" s="45"/>
      <c r="B140" s="45"/>
      <c r="C140" s="45"/>
      <c r="D140" s="78"/>
      <c r="E140" s="45"/>
      <c r="F140" s="45"/>
    </row>
    <row r="141">
      <c r="A141" s="45"/>
      <c r="B141" s="45"/>
      <c r="C141" s="45"/>
      <c r="D141" s="78"/>
      <c r="E141" s="45"/>
      <c r="F141" s="45"/>
    </row>
    <row r="142">
      <c r="A142" s="45"/>
      <c r="B142" s="45"/>
      <c r="C142" s="45"/>
      <c r="D142" s="78"/>
      <c r="E142" s="45"/>
      <c r="F142" s="45"/>
    </row>
    <row r="143">
      <c r="A143" s="45"/>
      <c r="B143" s="45"/>
      <c r="C143" s="45"/>
      <c r="D143" s="78"/>
      <c r="E143" s="45"/>
      <c r="F143" s="45"/>
    </row>
    <row r="144">
      <c r="A144" s="45"/>
      <c r="B144" s="45"/>
      <c r="C144" s="45"/>
      <c r="D144" s="78"/>
      <c r="E144" s="45"/>
      <c r="F144" s="45"/>
    </row>
    <row r="145">
      <c r="A145" s="45"/>
      <c r="B145" s="45"/>
      <c r="C145" s="45"/>
      <c r="D145" s="78"/>
      <c r="E145" s="45"/>
      <c r="F145" s="45"/>
    </row>
    <row r="146">
      <c r="A146" s="45"/>
      <c r="B146" s="45"/>
      <c r="C146" s="45"/>
      <c r="D146" s="78"/>
      <c r="E146" s="45"/>
      <c r="F146" s="45"/>
    </row>
    <row r="147">
      <c r="A147" s="45"/>
      <c r="B147" s="45"/>
      <c r="C147" s="45"/>
      <c r="D147" s="78"/>
      <c r="E147" s="45"/>
      <c r="F147" s="45"/>
    </row>
    <row r="148">
      <c r="A148" s="45"/>
      <c r="B148" s="45"/>
      <c r="C148" s="45"/>
      <c r="D148" s="78"/>
      <c r="E148" s="45"/>
      <c r="F148" s="45"/>
    </row>
    <row r="149">
      <c r="A149" s="45"/>
      <c r="B149" s="45"/>
      <c r="C149" s="45"/>
      <c r="D149" s="78"/>
      <c r="E149" s="45"/>
      <c r="F149" s="45"/>
    </row>
    <row r="150">
      <c r="A150" s="45"/>
      <c r="B150" s="45"/>
      <c r="C150" s="45"/>
      <c r="D150" s="78"/>
      <c r="E150" s="45"/>
      <c r="F150" s="45"/>
    </row>
    <row r="151">
      <c r="A151" s="45"/>
      <c r="B151" s="45"/>
      <c r="C151" s="45"/>
      <c r="D151" s="78"/>
      <c r="E151" s="45"/>
      <c r="F151" s="45"/>
    </row>
    <row r="152">
      <c r="A152" s="45"/>
      <c r="B152" s="45"/>
      <c r="C152" s="45"/>
      <c r="D152" s="78"/>
      <c r="E152" s="45"/>
      <c r="F152" s="45"/>
    </row>
    <row r="153">
      <c r="A153" s="45"/>
      <c r="B153" s="45"/>
      <c r="C153" s="45"/>
      <c r="D153" s="78"/>
      <c r="E153" s="45"/>
      <c r="F153" s="45"/>
    </row>
    <row r="154">
      <c r="A154" s="45"/>
      <c r="B154" s="45"/>
      <c r="C154" s="45"/>
      <c r="D154" s="78"/>
      <c r="E154" s="45"/>
      <c r="F154" s="45"/>
    </row>
    <row r="155">
      <c r="A155" s="45"/>
      <c r="B155" s="45"/>
      <c r="C155" s="45"/>
      <c r="D155" s="78"/>
      <c r="E155" s="45"/>
      <c r="F155" s="45"/>
    </row>
    <row r="156">
      <c r="A156" s="45"/>
      <c r="B156" s="45"/>
      <c r="C156" s="45"/>
      <c r="D156" s="78"/>
      <c r="E156" s="45"/>
      <c r="F156" s="45"/>
    </row>
    <row r="157">
      <c r="A157" s="45"/>
      <c r="B157" s="45"/>
      <c r="C157" s="45"/>
      <c r="D157" s="78"/>
      <c r="E157" s="45"/>
      <c r="F157" s="45"/>
    </row>
    <row r="158">
      <c r="A158" s="45"/>
      <c r="B158" s="45"/>
      <c r="C158" s="45"/>
      <c r="D158" s="78"/>
      <c r="E158" s="45"/>
      <c r="F158" s="45"/>
    </row>
    <row r="159">
      <c r="A159" s="45"/>
      <c r="B159" s="45"/>
      <c r="C159" s="45"/>
      <c r="D159" s="78"/>
      <c r="E159" s="45"/>
      <c r="F159" s="45"/>
    </row>
    <row r="160">
      <c r="A160" s="45"/>
      <c r="B160" s="45"/>
      <c r="C160" s="45"/>
      <c r="D160" s="78"/>
      <c r="E160" s="45"/>
      <c r="F160" s="45"/>
    </row>
    <row r="161">
      <c r="A161" s="45"/>
      <c r="B161" s="45"/>
      <c r="C161" s="45"/>
      <c r="D161" s="78"/>
      <c r="E161" s="45"/>
      <c r="F161" s="45"/>
    </row>
    <row r="162">
      <c r="A162" s="45"/>
      <c r="B162" s="45"/>
      <c r="C162" s="45"/>
      <c r="D162" s="78"/>
      <c r="E162" s="45"/>
      <c r="F162" s="45"/>
    </row>
    <row r="163">
      <c r="A163" s="45"/>
      <c r="B163" s="45"/>
      <c r="C163" s="45"/>
      <c r="D163" s="78"/>
      <c r="E163" s="45"/>
      <c r="F163" s="45"/>
    </row>
    <row r="164">
      <c r="A164" s="45"/>
      <c r="B164" s="45"/>
      <c r="C164" s="45"/>
      <c r="D164" s="78"/>
      <c r="E164" s="45"/>
      <c r="F164" s="45"/>
    </row>
    <row r="165">
      <c r="A165" s="45"/>
      <c r="B165" s="45"/>
      <c r="C165" s="45"/>
      <c r="D165" s="78"/>
      <c r="E165" s="45"/>
      <c r="F165" s="45"/>
    </row>
    <row r="166">
      <c r="A166" s="45"/>
      <c r="B166" s="45"/>
      <c r="C166" s="45"/>
      <c r="D166" s="78"/>
      <c r="E166" s="45"/>
      <c r="F166" s="45"/>
    </row>
    <row r="167">
      <c r="A167" s="45"/>
      <c r="B167" s="45"/>
      <c r="C167" s="45"/>
      <c r="D167" s="78"/>
      <c r="E167" s="45"/>
      <c r="F167" s="45"/>
    </row>
    <row r="168">
      <c r="A168" s="45"/>
      <c r="B168" s="45"/>
      <c r="C168" s="45"/>
      <c r="D168" s="78"/>
      <c r="E168" s="45"/>
      <c r="F168" s="45"/>
    </row>
    <row r="169">
      <c r="A169" s="45"/>
      <c r="B169" s="45"/>
      <c r="C169" s="45"/>
      <c r="D169" s="78"/>
      <c r="E169" s="45"/>
      <c r="F169" s="45"/>
    </row>
    <row r="170">
      <c r="A170" s="45"/>
      <c r="B170" s="45"/>
      <c r="C170" s="45"/>
      <c r="D170" s="78"/>
      <c r="E170" s="45"/>
      <c r="F170" s="45"/>
    </row>
    <row r="171">
      <c r="A171" s="45"/>
      <c r="B171" s="45"/>
      <c r="C171" s="45"/>
      <c r="D171" s="78"/>
      <c r="E171" s="45"/>
      <c r="F171" s="45"/>
    </row>
    <row r="172">
      <c r="A172" s="45"/>
      <c r="B172" s="45"/>
      <c r="C172" s="45"/>
      <c r="D172" s="78"/>
      <c r="E172" s="45"/>
      <c r="F172" s="45"/>
    </row>
    <row r="173">
      <c r="A173" s="45"/>
      <c r="B173" s="45"/>
      <c r="C173" s="45"/>
      <c r="D173" s="78"/>
      <c r="E173" s="45"/>
      <c r="F173" s="45"/>
    </row>
    <row r="174">
      <c r="A174" s="45"/>
      <c r="B174" s="45"/>
      <c r="C174" s="45"/>
      <c r="D174" s="78"/>
      <c r="E174" s="45"/>
      <c r="F174" s="45"/>
    </row>
    <row r="175">
      <c r="A175" s="45"/>
      <c r="B175" s="45"/>
      <c r="C175" s="45"/>
      <c r="D175" s="78"/>
      <c r="E175" s="45"/>
      <c r="F175" s="45"/>
    </row>
    <row r="176">
      <c r="A176" s="45"/>
      <c r="B176" s="45"/>
      <c r="C176" s="45"/>
      <c r="D176" s="78"/>
      <c r="E176" s="45"/>
      <c r="F176" s="45"/>
    </row>
    <row r="177">
      <c r="A177" s="45"/>
      <c r="B177" s="45"/>
      <c r="C177" s="45"/>
      <c r="D177" s="78"/>
      <c r="E177" s="45"/>
      <c r="F177" s="45"/>
    </row>
    <row r="178">
      <c r="A178" s="45"/>
      <c r="B178" s="45"/>
      <c r="C178" s="45"/>
      <c r="D178" s="78"/>
      <c r="E178" s="45"/>
      <c r="F178" s="45"/>
    </row>
    <row r="179">
      <c r="A179" s="45"/>
      <c r="B179" s="45"/>
      <c r="C179" s="45"/>
      <c r="D179" s="78"/>
      <c r="E179" s="45"/>
      <c r="F179" s="45"/>
    </row>
    <row r="180">
      <c r="A180" s="45"/>
      <c r="B180" s="45"/>
      <c r="C180" s="45"/>
      <c r="D180" s="78"/>
      <c r="E180" s="45"/>
      <c r="F180" s="45"/>
    </row>
    <row r="181">
      <c r="A181" s="45"/>
      <c r="B181" s="45"/>
      <c r="C181" s="45"/>
      <c r="D181" s="78"/>
      <c r="E181" s="45"/>
      <c r="F181" s="45"/>
    </row>
    <row r="182">
      <c r="A182" s="45"/>
      <c r="B182" s="45"/>
      <c r="C182" s="45"/>
      <c r="D182" s="78"/>
      <c r="E182" s="45"/>
      <c r="F182" s="45"/>
    </row>
    <row r="183">
      <c r="A183" s="45"/>
      <c r="B183" s="45"/>
      <c r="C183" s="45"/>
      <c r="D183" s="78"/>
      <c r="E183" s="45"/>
      <c r="F183" s="45"/>
    </row>
    <row r="184">
      <c r="A184" s="45"/>
      <c r="B184" s="45"/>
      <c r="C184" s="45"/>
      <c r="D184" s="78"/>
      <c r="E184" s="45"/>
      <c r="F184" s="45"/>
    </row>
    <row r="185">
      <c r="A185" s="45"/>
      <c r="B185" s="45"/>
      <c r="C185" s="45"/>
      <c r="D185" s="78"/>
      <c r="E185" s="45"/>
      <c r="F185" s="45"/>
    </row>
    <row r="186">
      <c r="A186" s="45"/>
      <c r="B186" s="45"/>
      <c r="C186" s="45"/>
      <c r="D186" s="78"/>
      <c r="E186" s="45"/>
      <c r="F186" s="45"/>
    </row>
    <row r="187">
      <c r="A187" s="45"/>
      <c r="B187" s="45"/>
      <c r="C187" s="45"/>
      <c r="D187" s="78"/>
      <c r="E187" s="45"/>
      <c r="F187" s="45"/>
    </row>
    <row r="188">
      <c r="A188" s="45"/>
      <c r="B188" s="45"/>
      <c r="C188" s="45"/>
      <c r="D188" s="78"/>
      <c r="E188" s="45"/>
      <c r="F188" s="45"/>
    </row>
    <row r="189">
      <c r="A189" s="45"/>
      <c r="B189" s="45"/>
      <c r="C189" s="45"/>
      <c r="D189" s="78"/>
      <c r="E189" s="45"/>
      <c r="F189" s="45"/>
    </row>
    <row r="190">
      <c r="A190" s="45"/>
      <c r="B190" s="45"/>
      <c r="C190" s="45"/>
      <c r="D190" s="78"/>
      <c r="E190" s="45"/>
      <c r="F190" s="45"/>
    </row>
    <row r="191">
      <c r="A191" s="45"/>
      <c r="B191" s="45"/>
      <c r="C191" s="45"/>
      <c r="D191" s="78"/>
      <c r="E191" s="45"/>
      <c r="F191" s="45"/>
    </row>
    <row r="192">
      <c r="A192" s="45"/>
      <c r="B192" s="45"/>
      <c r="C192" s="45"/>
      <c r="D192" s="78"/>
      <c r="E192" s="45"/>
      <c r="F192" s="45"/>
    </row>
    <row r="193">
      <c r="A193" s="45"/>
      <c r="B193" s="45"/>
      <c r="C193" s="45"/>
      <c r="D193" s="78"/>
      <c r="E193" s="45"/>
      <c r="F193" s="45"/>
    </row>
    <row r="194">
      <c r="A194" s="45"/>
      <c r="B194" s="45"/>
      <c r="C194" s="45"/>
      <c r="D194" s="78"/>
      <c r="E194" s="45"/>
      <c r="F194" s="45"/>
    </row>
    <row r="195">
      <c r="A195" s="45"/>
      <c r="B195" s="45"/>
      <c r="C195" s="45"/>
      <c r="D195" s="78"/>
      <c r="E195" s="45"/>
      <c r="F195" s="45"/>
    </row>
    <row r="196">
      <c r="A196" s="45"/>
      <c r="B196" s="45"/>
      <c r="C196" s="45"/>
      <c r="D196" s="78"/>
      <c r="E196" s="45"/>
      <c r="F196" s="45"/>
    </row>
    <row r="197">
      <c r="A197" s="45"/>
      <c r="B197" s="45"/>
      <c r="C197" s="45"/>
      <c r="D197" s="78"/>
      <c r="E197" s="45"/>
      <c r="F197" s="45"/>
    </row>
    <row r="198">
      <c r="A198" s="45"/>
      <c r="B198" s="45"/>
      <c r="C198" s="45"/>
      <c r="D198" s="78"/>
      <c r="E198" s="45"/>
      <c r="F198" s="45"/>
    </row>
    <row r="199">
      <c r="A199" s="45"/>
      <c r="B199" s="45"/>
      <c r="C199" s="45"/>
      <c r="D199" s="78"/>
      <c r="E199" s="45"/>
      <c r="F199" s="45"/>
    </row>
    <row r="200">
      <c r="A200" s="45"/>
      <c r="B200" s="45"/>
      <c r="C200" s="45"/>
      <c r="D200" s="78"/>
      <c r="E200" s="45"/>
      <c r="F200" s="45"/>
    </row>
    <row r="201">
      <c r="A201" s="45"/>
      <c r="B201" s="45"/>
      <c r="C201" s="45"/>
      <c r="D201" s="78"/>
      <c r="E201" s="45"/>
      <c r="F201" s="45"/>
    </row>
    <row r="202">
      <c r="A202" s="45"/>
      <c r="B202" s="45"/>
      <c r="C202" s="45"/>
      <c r="D202" s="78"/>
      <c r="E202" s="45"/>
      <c r="F202" s="45"/>
    </row>
    <row r="203">
      <c r="A203" s="45"/>
      <c r="B203" s="45"/>
      <c r="C203" s="45"/>
      <c r="D203" s="78"/>
      <c r="E203" s="45"/>
      <c r="F203" s="45"/>
    </row>
    <row r="204">
      <c r="A204" s="45"/>
      <c r="B204" s="45"/>
      <c r="C204" s="45"/>
      <c r="D204" s="78"/>
      <c r="E204" s="45"/>
      <c r="F204" s="45"/>
    </row>
    <row r="205">
      <c r="A205" s="45"/>
      <c r="B205" s="45"/>
      <c r="C205" s="45"/>
      <c r="D205" s="78"/>
      <c r="E205" s="45"/>
      <c r="F205" s="45"/>
    </row>
    <row r="206">
      <c r="A206" s="45"/>
      <c r="B206" s="45"/>
      <c r="C206" s="45"/>
      <c r="D206" s="78"/>
      <c r="E206" s="45"/>
      <c r="F206" s="45"/>
    </row>
    <row r="207">
      <c r="A207" s="45"/>
      <c r="B207" s="45"/>
      <c r="C207" s="45"/>
      <c r="D207" s="78"/>
      <c r="E207" s="45"/>
      <c r="F207" s="45"/>
    </row>
    <row r="208">
      <c r="A208" s="45"/>
      <c r="B208" s="45"/>
      <c r="C208" s="45"/>
      <c r="D208" s="78"/>
      <c r="E208" s="45"/>
      <c r="F208" s="45"/>
    </row>
    <row r="209">
      <c r="A209" s="45"/>
      <c r="B209" s="45"/>
      <c r="C209" s="45"/>
      <c r="D209" s="78"/>
      <c r="E209" s="45"/>
      <c r="F209" s="45"/>
    </row>
    <row r="210">
      <c r="A210" s="45"/>
      <c r="B210" s="45"/>
      <c r="C210" s="45"/>
      <c r="D210" s="78"/>
      <c r="E210" s="45"/>
      <c r="F210" s="45"/>
    </row>
    <row r="211">
      <c r="A211" s="45"/>
      <c r="B211" s="45"/>
      <c r="C211" s="45"/>
      <c r="D211" s="78"/>
      <c r="E211" s="45"/>
      <c r="F211" s="45"/>
    </row>
    <row r="212">
      <c r="A212" s="45"/>
      <c r="B212" s="45"/>
      <c r="C212" s="45"/>
      <c r="D212" s="78"/>
      <c r="E212" s="45"/>
      <c r="F212" s="45"/>
    </row>
    <row r="213">
      <c r="A213" s="45"/>
      <c r="B213" s="45"/>
      <c r="C213" s="45"/>
      <c r="D213" s="78"/>
      <c r="E213" s="45"/>
      <c r="F213" s="45"/>
    </row>
    <row r="214">
      <c r="A214" s="45"/>
      <c r="B214" s="45"/>
      <c r="C214" s="45"/>
      <c r="D214" s="78"/>
      <c r="E214" s="45"/>
      <c r="F214" s="45"/>
    </row>
    <row r="215">
      <c r="A215" s="45"/>
      <c r="B215" s="45"/>
      <c r="C215" s="45"/>
      <c r="D215" s="78"/>
      <c r="E215" s="45"/>
      <c r="F215" s="45"/>
    </row>
    <row r="216">
      <c r="A216" s="45"/>
      <c r="B216" s="45"/>
      <c r="C216" s="45"/>
      <c r="D216" s="78"/>
      <c r="E216" s="45"/>
      <c r="F216" s="45"/>
    </row>
    <row r="217">
      <c r="A217" s="45"/>
      <c r="B217" s="45"/>
      <c r="C217" s="45"/>
      <c r="D217" s="78"/>
      <c r="E217" s="45"/>
      <c r="F217" s="45"/>
    </row>
    <row r="218">
      <c r="A218" s="45"/>
      <c r="B218" s="45"/>
      <c r="C218" s="45"/>
      <c r="D218" s="78"/>
      <c r="E218" s="45"/>
      <c r="F218" s="45"/>
    </row>
    <row r="219">
      <c r="A219" s="45"/>
      <c r="B219" s="45"/>
      <c r="C219" s="45"/>
      <c r="D219" s="78"/>
      <c r="E219" s="45"/>
      <c r="F219" s="45"/>
    </row>
    <row r="220">
      <c r="A220" s="45"/>
      <c r="B220" s="45"/>
      <c r="C220" s="45"/>
      <c r="D220" s="78"/>
      <c r="E220" s="45"/>
      <c r="F220" s="45"/>
    </row>
    <row r="221">
      <c r="A221" s="45"/>
      <c r="B221" s="45"/>
      <c r="C221" s="45"/>
      <c r="D221" s="78"/>
      <c r="E221" s="45"/>
      <c r="F221" s="45"/>
    </row>
    <row r="222">
      <c r="A222" s="45"/>
      <c r="B222" s="45"/>
      <c r="C222" s="45"/>
      <c r="D222" s="78"/>
      <c r="E222" s="45"/>
      <c r="F222" s="45"/>
    </row>
    <row r="223">
      <c r="A223" s="45"/>
      <c r="B223" s="45"/>
      <c r="C223" s="45"/>
      <c r="D223" s="78"/>
      <c r="E223" s="45"/>
      <c r="F223" s="45"/>
    </row>
    <row r="224">
      <c r="A224" s="45"/>
      <c r="B224" s="45"/>
      <c r="C224" s="45"/>
      <c r="D224" s="78"/>
      <c r="E224" s="45"/>
      <c r="F224" s="45"/>
    </row>
    <row r="225">
      <c r="A225" s="45"/>
      <c r="B225" s="45"/>
      <c r="C225" s="45"/>
      <c r="D225" s="78"/>
      <c r="E225" s="45"/>
      <c r="F225" s="45"/>
    </row>
    <row r="226">
      <c r="A226" s="45"/>
      <c r="B226" s="45"/>
      <c r="C226" s="45"/>
      <c r="D226" s="78"/>
      <c r="E226" s="45"/>
      <c r="F226" s="45"/>
    </row>
    <row r="227">
      <c r="A227" s="45"/>
      <c r="B227" s="45"/>
      <c r="C227" s="45"/>
      <c r="D227" s="78"/>
      <c r="E227" s="45"/>
      <c r="F227" s="45"/>
    </row>
    <row r="228">
      <c r="A228" s="45"/>
      <c r="B228" s="45"/>
      <c r="C228" s="45"/>
      <c r="D228" s="78"/>
      <c r="E228" s="45"/>
      <c r="F228" s="45"/>
    </row>
    <row r="229">
      <c r="A229" s="45"/>
      <c r="B229" s="45"/>
      <c r="C229" s="45"/>
      <c r="D229" s="78"/>
      <c r="E229" s="45"/>
      <c r="F229" s="45"/>
    </row>
    <row r="230">
      <c r="A230" s="45"/>
      <c r="B230" s="45"/>
      <c r="C230" s="45"/>
      <c r="D230" s="78"/>
      <c r="E230" s="45"/>
      <c r="F230" s="45"/>
    </row>
    <row r="231">
      <c r="A231" s="45"/>
      <c r="B231" s="45"/>
      <c r="C231" s="45"/>
      <c r="D231" s="78"/>
      <c r="E231" s="45"/>
      <c r="F231" s="45"/>
    </row>
    <row r="232">
      <c r="A232" s="45"/>
      <c r="B232" s="45"/>
      <c r="C232" s="45"/>
      <c r="D232" s="78"/>
      <c r="E232" s="45"/>
      <c r="F232" s="45"/>
    </row>
    <row r="233">
      <c r="A233" s="45"/>
      <c r="B233" s="45"/>
      <c r="C233" s="45"/>
      <c r="D233" s="78"/>
      <c r="E233" s="45"/>
      <c r="F233" s="45"/>
    </row>
    <row r="234">
      <c r="A234" s="45"/>
      <c r="B234" s="45"/>
      <c r="C234" s="45"/>
      <c r="D234" s="78"/>
      <c r="E234" s="45"/>
      <c r="F234" s="45"/>
    </row>
    <row r="235">
      <c r="A235" s="45"/>
      <c r="B235" s="45"/>
      <c r="C235" s="45"/>
      <c r="D235" s="78"/>
      <c r="E235" s="45"/>
      <c r="F235" s="45"/>
    </row>
    <row r="236">
      <c r="A236" s="45"/>
      <c r="B236" s="45"/>
      <c r="C236" s="45"/>
      <c r="D236" s="78"/>
      <c r="E236" s="45"/>
      <c r="F236" s="45"/>
    </row>
    <row r="237">
      <c r="A237" s="45"/>
      <c r="B237" s="45"/>
      <c r="C237" s="45"/>
      <c r="D237" s="78"/>
      <c r="E237" s="45"/>
      <c r="F237" s="45"/>
    </row>
    <row r="238">
      <c r="A238" s="45"/>
      <c r="B238" s="45"/>
      <c r="C238" s="45"/>
      <c r="D238" s="78"/>
      <c r="E238" s="45"/>
      <c r="F238" s="45"/>
    </row>
    <row r="239">
      <c r="A239" s="45"/>
      <c r="B239" s="45"/>
      <c r="C239" s="45"/>
      <c r="D239" s="78"/>
      <c r="E239" s="45"/>
      <c r="F239" s="45"/>
    </row>
    <row r="240">
      <c r="A240" s="45"/>
      <c r="B240" s="45"/>
      <c r="C240" s="45"/>
      <c r="D240" s="78"/>
      <c r="E240" s="45"/>
      <c r="F240" s="45"/>
    </row>
    <row r="241">
      <c r="A241" s="45"/>
      <c r="B241" s="45"/>
      <c r="C241" s="45"/>
      <c r="D241" s="78"/>
      <c r="E241" s="45"/>
      <c r="F241" s="45"/>
    </row>
    <row r="242">
      <c r="A242" s="45"/>
      <c r="B242" s="45"/>
      <c r="C242" s="45"/>
      <c r="D242" s="78"/>
      <c r="E242" s="45"/>
      <c r="F242" s="45"/>
    </row>
    <row r="243">
      <c r="A243" s="45"/>
      <c r="B243" s="45"/>
      <c r="C243" s="45"/>
      <c r="D243" s="78"/>
      <c r="E243" s="45"/>
      <c r="F243" s="45"/>
    </row>
    <row r="244">
      <c r="A244" s="45"/>
      <c r="B244" s="45"/>
      <c r="C244" s="45"/>
      <c r="D244" s="78"/>
      <c r="E244" s="45"/>
      <c r="F244" s="45"/>
    </row>
    <row r="245">
      <c r="A245" s="45"/>
      <c r="B245" s="45"/>
      <c r="C245" s="45"/>
      <c r="D245" s="78"/>
      <c r="E245" s="45"/>
      <c r="F245" s="45"/>
    </row>
    <row r="246">
      <c r="A246" s="45"/>
      <c r="B246" s="45"/>
      <c r="C246" s="45"/>
      <c r="D246" s="78"/>
      <c r="E246" s="45"/>
      <c r="F246" s="45"/>
    </row>
    <row r="247">
      <c r="A247" s="45"/>
      <c r="B247" s="45"/>
      <c r="C247" s="45"/>
      <c r="D247" s="78"/>
      <c r="E247" s="45"/>
      <c r="F247" s="45"/>
    </row>
    <row r="248">
      <c r="A248" s="45"/>
      <c r="B248" s="45"/>
      <c r="C248" s="45"/>
      <c r="D248" s="78"/>
      <c r="E248" s="45"/>
      <c r="F248" s="45"/>
    </row>
    <row r="249">
      <c r="A249" s="45"/>
      <c r="B249" s="45"/>
      <c r="C249" s="45"/>
      <c r="D249" s="78"/>
      <c r="E249" s="45"/>
      <c r="F249" s="45"/>
    </row>
    <row r="250">
      <c r="A250" s="45"/>
      <c r="B250" s="45"/>
      <c r="C250" s="45"/>
      <c r="D250" s="78"/>
      <c r="E250" s="45"/>
      <c r="F250" s="45"/>
    </row>
    <row r="251">
      <c r="A251" s="45"/>
      <c r="B251" s="45"/>
      <c r="C251" s="45"/>
      <c r="D251" s="78"/>
      <c r="E251" s="45"/>
      <c r="F251" s="45"/>
    </row>
    <row r="252">
      <c r="A252" s="45"/>
      <c r="B252" s="45"/>
      <c r="C252" s="45"/>
      <c r="D252" s="78"/>
      <c r="E252" s="45"/>
      <c r="F252" s="45"/>
    </row>
    <row r="253">
      <c r="A253" s="45"/>
      <c r="B253" s="45"/>
      <c r="C253" s="45"/>
      <c r="D253" s="78"/>
      <c r="E253" s="45"/>
      <c r="F253" s="45"/>
    </row>
    <row r="254">
      <c r="A254" s="45"/>
      <c r="B254" s="45"/>
      <c r="C254" s="45"/>
      <c r="D254" s="78"/>
      <c r="E254" s="45"/>
      <c r="F254" s="45"/>
    </row>
    <row r="255">
      <c r="A255" s="45"/>
      <c r="B255" s="45"/>
      <c r="C255" s="45"/>
      <c r="D255" s="78"/>
      <c r="E255" s="45"/>
      <c r="F255" s="45"/>
    </row>
    <row r="256">
      <c r="A256" s="45"/>
      <c r="B256" s="45"/>
      <c r="C256" s="45"/>
      <c r="D256" s="78"/>
      <c r="E256" s="45"/>
      <c r="F256" s="45"/>
    </row>
    <row r="257">
      <c r="A257" s="45"/>
      <c r="B257" s="45"/>
      <c r="C257" s="45"/>
      <c r="D257" s="78"/>
      <c r="E257" s="45"/>
      <c r="F257" s="45"/>
    </row>
    <row r="258">
      <c r="A258" s="45"/>
      <c r="B258" s="45"/>
      <c r="C258" s="45"/>
      <c r="D258" s="78"/>
      <c r="E258" s="45"/>
      <c r="F258" s="45"/>
    </row>
    <row r="259">
      <c r="A259" s="45"/>
      <c r="B259" s="45"/>
      <c r="C259" s="45"/>
      <c r="D259" s="78"/>
      <c r="E259" s="45"/>
      <c r="F259" s="45"/>
    </row>
    <row r="260">
      <c r="A260" s="45"/>
      <c r="B260" s="45"/>
      <c r="C260" s="45"/>
      <c r="D260" s="78"/>
      <c r="E260" s="45"/>
      <c r="F260" s="45"/>
    </row>
    <row r="261">
      <c r="A261" s="45"/>
      <c r="B261" s="45"/>
      <c r="C261" s="45"/>
      <c r="D261" s="78"/>
      <c r="E261" s="45"/>
      <c r="F261" s="45"/>
    </row>
    <row r="262">
      <c r="A262" s="45"/>
      <c r="B262" s="45"/>
      <c r="C262" s="45"/>
      <c r="D262" s="78"/>
      <c r="E262" s="45"/>
      <c r="F262" s="45"/>
    </row>
    <row r="263">
      <c r="A263" s="45"/>
      <c r="B263" s="45"/>
      <c r="C263" s="45"/>
      <c r="D263" s="78"/>
      <c r="E263" s="45"/>
      <c r="F263" s="45"/>
    </row>
    <row r="264">
      <c r="A264" s="45"/>
      <c r="B264" s="45"/>
      <c r="C264" s="45"/>
      <c r="D264" s="78"/>
      <c r="E264" s="45"/>
      <c r="F264" s="45"/>
    </row>
    <row r="265">
      <c r="A265" s="45"/>
      <c r="B265" s="45"/>
      <c r="C265" s="45"/>
      <c r="D265" s="78"/>
      <c r="E265" s="45"/>
      <c r="F265" s="45"/>
    </row>
    <row r="266">
      <c r="A266" s="45"/>
      <c r="B266" s="45"/>
      <c r="C266" s="45"/>
      <c r="D266" s="78"/>
      <c r="E266" s="45"/>
      <c r="F266" s="45"/>
    </row>
    <row r="267">
      <c r="A267" s="45"/>
      <c r="B267" s="45"/>
      <c r="C267" s="45"/>
      <c r="D267" s="78"/>
      <c r="E267" s="45"/>
      <c r="F267" s="45"/>
    </row>
    <row r="268">
      <c r="A268" s="45"/>
      <c r="B268" s="45"/>
      <c r="C268" s="45"/>
      <c r="D268" s="78"/>
      <c r="E268" s="45"/>
      <c r="F268" s="45"/>
    </row>
    <row r="269">
      <c r="A269" s="45"/>
      <c r="B269" s="45"/>
      <c r="C269" s="45"/>
      <c r="D269" s="78"/>
      <c r="E269" s="45"/>
      <c r="F269" s="45"/>
    </row>
    <row r="270">
      <c r="A270" s="45"/>
      <c r="B270" s="45"/>
      <c r="C270" s="45"/>
      <c r="D270" s="78"/>
      <c r="E270" s="45"/>
      <c r="F270" s="45"/>
    </row>
    <row r="271">
      <c r="A271" s="45"/>
      <c r="B271" s="45"/>
      <c r="C271" s="45"/>
      <c r="D271" s="78"/>
      <c r="E271" s="45"/>
      <c r="F271" s="45"/>
    </row>
    <row r="272">
      <c r="A272" s="45"/>
      <c r="B272" s="45"/>
      <c r="C272" s="45"/>
      <c r="D272" s="78"/>
      <c r="E272" s="45"/>
      <c r="F272" s="45"/>
    </row>
    <row r="273">
      <c r="A273" s="45"/>
      <c r="B273" s="45"/>
      <c r="C273" s="45"/>
      <c r="D273" s="78"/>
      <c r="E273" s="45"/>
      <c r="F273" s="45"/>
    </row>
    <row r="274">
      <c r="A274" s="45"/>
      <c r="B274" s="45"/>
      <c r="C274" s="45"/>
      <c r="D274" s="78"/>
      <c r="E274" s="45"/>
      <c r="F274" s="45"/>
    </row>
    <row r="275">
      <c r="A275" s="45"/>
      <c r="B275" s="45"/>
      <c r="C275" s="45"/>
      <c r="D275" s="78"/>
      <c r="E275" s="45"/>
      <c r="F275" s="45"/>
    </row>
    <row r="276">
      <c r="A276" s="45"/>
      <c r="B276" s="45"/>
      <c r="C276" s="45"/>
      <c r="D276" s="78"/>
      <c r="E276" s="45"/>
      <c r="F276" s="45"/>
    </row>
    <row r="277">
      <c r="A277" s="45"/>
      <c r="B277" s="45"/>
      <c r="C277" s="45"/>
      <c r="D277" s="78"/>
      <c r="E277" s="45"/>
      <c r="F277" s="45"/>
    </row>
    <row r="278">
      <c r="A278" s="45"/>
      <c r="B278" s="45"/>
      <c r="C278" s="45"/>
      <c r="D278" s="78"/>
      <c r="E278" s="45"/>
      <c r="F278" s="45"/>
    </row>
    <row r="279">
      <c r="A279" s="45"/>
      <c r="B279" s="45"/>
      <c r="C279" s="45"/>
      <c r="D279" s="78"/>
      <c r="E279" s="45"/>
      <c r="F279" s="45"/>
    </row>
    <row r="280">
      <c r="A280" s="45"/>
      <c r="B280" s="45"/>
      <c r="C280" s="45"/>
      <c r="D280" s="78"/>
      <c r="E280" s="45"/>
      <c r="F280" s="45"/>
    </row>
    <row r="281">
      <c r="A281" s="45"/>
      <c r="B281" s="45"/>
      <c r="C281" s="45"/>
      <c r="D281" s="78"/>
      <c r="E281" s="45"/>
      <c r="F281" s="45"/>
    </row>
    <row r="282">
      <c r="A282" s="45"/>
      <c r="B282" s="45"/>
      <c r="C282" s="45"/>
      <c r="D282" s="78"/>
      <c r="E282" s="45"/>
      <c r="F282" s="45"/>
    </row>
    <row r="283">
      <c r="A283" s="45"/>
      <c r="B283" s="45"/>
      <c r="C283" s="45"/>
      <c r="D283" s="78"/>
      <c r="E283" s="45"/>
      <c r="F283" s="45"/>
    </row>
    <row r="284">
      <c r="A284" s="45"/>
      <c r="B284" s="45"/>
      <c r="C284" s="45"/>
      <c r="D284" s="78"/>
      <c r="E284" s="45"/>
      <c r="F284" s="45"/>
    </row>
    <row r="285">
      <c r="A285" s="45"/>
      <c r="B285" s="45"/>
      <c r="C285" s="45"/>
      <c r="D285" s="78"/>
      <c r="E285" s="45"/>
      <c r="F285" s="45"/>
    </row>
    <row r="286">
      <c r="A286" s="45"/>
      <c r="B286" s="45"/>
      <c r="C286" s="45"/>
      <c r="D286" s="78"/>
      <c r="E286" s="45"/>
      <c r="F286" s="45"/>
    </row>
    <row r="287">
      <c r="A287" s="45"/>
      <c r="B287" s="45"/>
      <c r="C287" s="45"/>
      <c r="D287" s="78"/>
      <c r="E287" s="45"/>
      <c r="F287" s="45"/>
    </row>
    <row r="288">
      <c r="A288" s="45"/>
      <c r="B288" s="45"/>
      <c r="C288" s="45"/>
      <c r="D288" s="78"/>
      <c r="E288" s="45"/>
      <c r="F288" s="45"/>
    </row>
    <row r="289">
      <c r="A289" s="45"/>
      <c r="B289" s="45"/>
      <c r="C289" s="45"/>
      <c r="D289" s="78"/>
      <c r="E289" s="45"/>
      <c r="F289" s="45"/>
    </row>
    <row r="290">
      <c r="A290" s="45"/>
      <c r="B290" s="45"/>
      <c r="C290" s="45"/>
      <c r="D290" s="78"/>
      <c r="E290" s="45"/>
      <c r="F290" s="45"/>
    </row>
    <row r="291">
      <c r="A291" s="45"/>
      <c r="B291" s="45"/>
      <c r="C291" s="45"/>
      <c r="D291" s="78"/>
      <c r="E291" s="45"/>
      <c r="F291" s="45"/>
    </row>
    <row r="292">
      <c r="A292" s="45"/>
      <c r="B292" s="45"/>
      <c r="C292" s="45"/>
      <c r="D292" s="78"/>
      <c r="E292" s="45"/>
      <c r="F292" s="45"/>
    </row>
    <row r="293">
      <c r="A293" s="45"/>
      <c r="B293" s="45"/>
      <c r="C293" s="45"/>
      <c r="D293" s="78"/>
      <c r="E293" s="45"/>
      <c r="F293" s="45"/>
    </row>
    <row r="294">
      <c r="A294" s="45"/>
      <c r="B294" s="45"/>
      <c r="C294" s="45"/>
      <c r="D294" s="78"/>
      <c r="E294" s="45"/>
      <c r="F294" s="45"/>
    </row>
    <row r="295">
      <c r="A295" s="45"/>
      <c r="B295" s="45"/>
      <c r="C295" s="45"/>
      <c r="D295" s="78"/>
      <c r="E295" s="45"/>
      <c r="F295" s="45"/>
    </row>
    <row r="296">
      <c r="A296" s="45"/>
      <c r="B296" s="45"/>
      <c r="C296" s="45"/>
      <c r="D296" s="78"/>
      <c r="E296" s="45"/>
      <c r="F296" s="45"/>
    </row>
    <row r="297">
      <c r="A297" s="45"/>
      <c r="B297" s="45"/>
      <c r="C297" s="45"/>
      <c r="D297" s="78"/>
      <c r="E297" s="45"/>
      <c r="F297" s="45"/>
    </row>
    <row r="298">
      <c r="A298" s="45"/>
      <c r="B298" s="45"/>
      <c r="C298" s="45"/>
      <c r="D298" s="78"/>
      <c r="E298" s="45"/>
      <c r="F298" s="45"/>
    </row>
    <row r="299">
      <c r="A299" s="45"/>
      <c r="B299" s="45"/>
      <c r="C299" s="45"/>
      <c r="D299" s="78"/>
      <c r="E299" s="45"/>
      <c r="F299" s="45"/>
    </row>
    <row r="300">
      <c r="A300" s="45"/>
      <c r="B300" s="45"/>
      <c r="C300" s="45"/>
      <c r="D300" s="78"/>
      <c r="E300" s="45"/>
      <c r="F300" s="45"/>
    </row>
    <row r="301">
      <c r="A301" s="45"/>
      <c r="B301" s="45"/>
      <c r="C301" s="45"/>
      <c r="D301" s="78"/>
      <c r="E301" s="45"/>
      <c r="F301" s="45"/>
    </row>
    <row r="302">
      <c r="A302" s="45"/>
      <c r="B302" s="45"/>
      <c r="C302" s="45"/>
      <c r="D302" s="78"/>
      <c r="E302" s="45"/>
      <c r="F302" s="45"/>
    </row>
    <row r="303">
      <c r="A303" s="45"/>
      <c r="B303" s="45"/>
      <c r="C303" s="45"/>
      <c r="D303" s="78"/>
      <c r="E303" s="45"/>
      <c r="F303" s="45"/>
    </row>
    <row r="304">
      <c r="A304" s="45"/>
      <c r="B304" s="45"/>
      <c r="C304" s="45"/>
      <c r="D304" s="78"/>
      <c r="E304" s="45"/>
      <c r="F304" s="45"/>
    </row>
    <row r="305">
      <c r="A305" s="45"/>
      <c r="B305" s="45"/>
      <c r="C305" s="45"/>
      <c r="D305" s="78"/>
      <c r="E305" s="45"/>
      <c r="F305" s="45"/>
    </row>
    <row r="306">
      <c r="A306" s="45"/>
      <c r="B306" s="45"/>
      <c r="C306" s="45"/>
      <c r="D306" s="78"/>
      <c r="E306" s="45"/>
      <c r="F306" s="45"/>
    </row>
    <row r="307">
      <c r="A307" s="45"/>
      <c r="B307" s="45"/>
      <c r="C307" s="45"/>
      <c r="D307" s="78"/>
      <c r="E307" s="45"/>
      <c r="F307" s="45"/>
    </row>
    <row r="308">
      <c r="A308" s="45"/>
      <c r="B308" s="45"/>
      <c r="C308" s="45"/>
      <c r="D308" s="78"/>
      <c r="E308" s="45"/>
      <c r="F308" s="45"/>
    </row>
    <row r="309">
      <c r="A309" s="45"/>
      <c r="B309" s="45"/>
      <c r="C309" s="45"/>
      <c r="D309" s="78"/>
      <c r="E309" s="45"/>
      <c r="F309" s="45"/>
    </row>
    <row r="310">
      <c r="A310" s="45"/>
      <c r="B310" s="45"/>
      <c r="C310" s="45"/>
      <c r="D310" s="78"/>
      <c r="E310" s="45"/>
      <c r="F310" s="45"/>
    </row>
    <row r="311">
      <c r="A311" s="45"/>
      <c r="B311" s="45"/>
      <c r="C311" s="45"/>
      <c r="D311" s="78"/>
      <c r="E311" s="45"/>
      <c r="F311" s="45"/>
    </row>
    <row r="312">
      <c r="A312" s="45"/>
      <c r="B312" s="45"/>
      <c r="C312" s="45"/>
      <c r="D312" s="78"/>
      <c r="E312" s="45"/>
      <c r="F312" s="45"/>
    </row>
    <row r="313">
      <c r="A313" s="45"/>
      <c r="B313" s="45"/>
      <c r="C313" s="45"/>
      <c r="D313" s="78"/>
      <c r="E313" s="45"/>
      <c r="F313" s="45"/>
    </row>
    <row r="314">
      <c r="A314" s="45"/>
      <c r="B314" s="45"/>
      <c r="C314" s="45"/>
      <c r="D314" s="78"/>
      <c r="E314" s="45"/>
      <c r="F314" s="45"/>
    </row>
    <row r="315">
      <c r="A315" s="45"/>
      <c r="B315" s="45"/>
      <c r="C315" s="45"/>
      <c r="D315" s="78"/>
      <c r="E315" s="45"/>
      <c r="F315" s="45"/>
    </row>
    <row r="316">
      <c r="A316" s="45"/>
      <c r="B316" s="45"/>
      <c r="C316" s="45"/>
      <c r="D316" s="78"/>
      <c r="E316" s="45"/>
      <c r="F316" s="45"/>
    </row>
    <row r="317">
      <c r="A317" s="45"/>
      <c r="B317" s="45"/>
      <c r="C317" s="45"/>
      <c r="D317" s="78"/>
      <c r="E317" s="45"/>
      <c r="F317" s="45"/>
    </row>
    <row r="318">
      <c r="A318" s="45"/>
      <c r="B318" s="45"/>
      <c r="C318" s="45"/>
      <c r="D318" s="78"/>
      <c r="E318" s="45"/>
      <c r="F318" s="45"/>
    </row>
    <row r="319">
      <c r="A319" s="45"/>
      <c r="B319" s="45"/>
      <c r="C319" s="45"/>
      <c r="D319" s="78"/>
      <c r="E319" s="45"/>
      <c r="F319" s="45"/>
    </row>
    <row r="320">
      <c r="A320" s="45"/>
      <c r="B320" s="45"/>
      <c r="C320" s="45"/>
      <c r="D320" s="78"/>
      <c r="E320" s="45"/>
      <c r="F320" s="45"/>
    </row>
    <row r="321">
      <c r="A321" s="45"/>
      <c r="B321" s="45"/>
      <c r="C321" s="45"/>
      <c r="D321" s="78"/>
      <c r="E321" s="45"/>
      <c r="F321" s="45"/>
    </row>
    <row r="322">
      <c r="A322" s="45"/>
      <c r="B322" s="45"/>
      <c r="C322" s="45"/>
      <c r="D322" s="78"/>
      <c r="E322" s="45"/>
      <c r="F322" s="45"/>
    </row>
    <row r="323">
      <c r="A323" s="45"/>
      <c r="B323" s="45"/>
      <c r="C323" s="45"/>
      <c r="D323" s="78"/>
      <c r="E323" s="45"/>
      <c r="F323" s="45"/>
    </row>
    <row r="324">
      <c r="A324" s="45"/>
      <c r="B324" s="45"/>
      <c r="C324" s="45"/>
      <c r="D324" s="78"/>
      <c r="E324" s="45"/>
      <c r="F324" s="45"/>
    </row>
    <row r="325">
      <c r="A325" s="45"/>
      <c r="B325" s="45"/>
      <c r="C325" s="45"/>
      <c r="D325" s="78"/>
      <c r="E325" s="45"/>
      <c r="F325" s="45"/>
    </row>
    <row r="326">
      <c r="A326" s="45"/>
      <c r="B326" s="45"/>
      <c r="C326" s="45"/>
      <c r="D326" s="78"/>
      <c r="E326" s="45"/>
      <c r="F326" s="45"/>
    </row>
    <row r="327">
      <c r="A327" s="45"/>
      <c r="B327" s="45"/>
      <c r="C327" s="45"/>
      <c r="D327" s="78"/>
      <c r="E327" s="45"/>
      <c r="F327" s="45"/>
    </row>
    <row r="328">
      <c r="A328" s="45"/>
      <c r="B328" s="45"/>
      <c r="C328" s="45"/>
      <c r="D328" s="78"/>
      <c r="E328" s="45"/>
      <c r="F328" s="45"/>
    </row>
    <row r="329">
      <c r="A329" s="45"/>
      <c r="B329" s="45"/>
      <c r="C329" s="45"/>
      <c r="D329" s="78"/>
      <c r="E329" s="45"/>
      <c r="F329" s="45"/>
    </row>
    <row r="330">
      <c r="A330" s="45"/>
      <c r="B330" s="45"/>
      <c r="C330" s="45"/>
      <c r="D330" s="78"/>
      <c r="E330" s="45"/>
      <c r="F330" s="45"/>
    </row>
    <row r="331">
      <c r="A331" s="45"/>
      <c r="B331" s="45"/>
      <c r="C331" s="45"/>
      <c r="D331" s="78"/>
      <c r="E331" s="45"/>
      <c r="F331" s="45"/>
    </row>
    <row r="332">
      <c r="A332" s="45"/>
      <c r="B332" s="45"/>
      <c r="C332" s="45"/>
      <c r="D332" s="78"/>
      <c r="E332" s="45"/>
      <c r="F332" s="45"/>
    </row>
    <row r="333">
      <c r="A333" s="45"/>
      <c r="B333" s="45"/>
      <c r="C333" s="45"/>
      <c r="D333" s="78"/>
      <c r="E333" s="45"/>
      <c r="F333" s="45"/>
    </row>
    <row r="334">
      <c r="A334" s="45"/>
      <c r="B334" s="45"/>
      <c r="C334" s="45"/>
      <c r="D334" s="78"/>
      <c r="E334" s="45"/>
      <c r="F334" s="45"/>
    </row>
    <row r="335">
      <c r="A335" s="45"/>
      <c r="B335" s="45"/>
      <c r="C335" s="45"/>
      <c r="D335" s="78"/>
      <c r="E335" s="45"/>
      <c r="F335" s="45"/>
    </row>
    <row r="336">
      <c r="A336" s="45"/>
      <c r="B336" s="45"/>
      <c r="C336" s="45"/>
      <c r="D336" s="78"/>
      <c r="E336" s="45"/>
      <c r="F336" s="45"/>
    </row>
    <row r="337">
      <c r="A337" s="45"/>
      <c r="B337" s="45"/>
      <c r="C337" s="45"/>
      <c r="D337" s="78"/>
      <c r="E337" s="45"/>
      <c r="F337" s="45"/>
    </row>
    <row r="338">
      <c r="A338" s="45"/>
      <c r="B338" s="45"/>
      <c r="C338" s="45"/>
      <c r="D338" s="78"/>
      <c r="E338" s="45"/>
      <c r="F338" s="45"/>
    </row>
    <row r="339">
      <c r="A339" s="45"/>
      <c r="B339" s="45"/>
      <c r="C339" s="45"/>
      <c r="D339" s="78"/>
      <c r="E339" s="45"/>
      <c r="F339" s="45"/>
    </row>
    <row r="340">
      <c r="A340" s="45"/>
      <c r="B340" s="45"/>
      <c r="C340" s="45"/>
      <c r="D340" s="78"/>
      <c r="E340" s="45"/>
      <c r="F340" s="45"/>
    </row>
    <row r="341">
      <c r="A341" s="45"/>
      <c r="B341" s="45"/>
      <c r="C341" s="45"/>
      <c r="D341" s="78"/>
      <c r="E341" s="45"/>
      <c r="F341" s="45"/>
    </row>
    <row r="342">
      <c r="A342" s="45"/>
      <c r="B342" s="45"/>
      <c r="C342" s="45"/>
      <c r="D342" s="78"/>
      <c r="E342" s="45"/>
      <c r="F342" s="45"/>
    </row>
    <row r="343">
      <c r="A343" s="45"/>
      <c r="B343" s="45"/>
      <c r="C343" s="45"/>
      <c r="D343" s="78"/>
      <c r="E343" s="45"/>
      <c r="F343" s="45"/>
    </row>
    <row r="344">
      <c r="A344" s="45"/>
      <c r="B344" s="45"/>
      <c r="C344" s="45"/>
      <c r="D344" s="78"/>
      <c r="E344" s="45"/>
      <c r="F344" s="45"/>
    </row>
    <row r="345">
      <c r="A345" s="45"/>
      <c r="B345" s="45"/>
      <c r="C345" s="45"/>
      <c r="D345" s="78"/>
      <c r="E345" s="45"/>
      <c r="F345" s="45"/>
    </row>
    <row r="346">
      <c r="A346" s="45"/>
      <c r="B346" s="45"/>
      <c r="C346" s="45"/>
      <c r="D346" s="78"/>
      <c r="E346" s="45"/>
      <c r="F346" s="45"/>
    </row>
    <row r="347">
      <c r="A347" s="45"/>
      <c r="B347" s="45"/>
      <c r="C347" s="45"/>
      <c r="D347" s="78"/>
      <c r="E347" s="45"/>
      <c r="F347" s="45"/>
    </row>
    <row r="348">
      <c r="A348" s="45"/>
      <c r="B348" s="45"/>
      <c r="C348" s="45"/>
      <c r="D348" s="78"/>
      <c r="E348" s="45"/>
      <c r="F348" s="45"/>
    </row>
    <row r="349">
      <c r="A349" s="45"/>
      <c r="B349" s="45"/>
      <c r="C349" s="45"/>
      <c r="D349" s="78"/>
      <c r="E349" s="45"/>
      <c r="F349" s="45"/>
    </row>
    <row r="350">
      <c r="A350" s="45"/>
      <c r="B350" s="45"/>
      <c r="C350" s="45"/>
      <c r="D350" s="78"/>
      <c r="E350" s="45"/>
      <c r="F350" s="45"/>
    </row>
    <row r="351">
      <c r="A351" s="45"/>
      <c r="B351" s="45"/>
      <c r="C351" s="45"/>
      <c r="D351" s="78"/>
      <c r="E351" s="45"/>
      <c r="F351" s="45"/>
    </row>
    <row r="352">
      <c r="A352" s="45"/>
      <c r="B352" s="45"/>
      <c r="C352" s="45"/>
      <c r="D352" s="78"/>
      <c r="E352" s="45"/>
      <c r="F352" s="45"/>
    </row>
    <row r="353">
      <c r="A353" s="45"/>
      <c r="B353" s="45"/>
      <c r="C353" s="45"/>
      <c r="D353" s="78"/>
      <c r="E353" s="45"/>
      <c r="F353" s="45"/>
    </row>
    <row r="354">
      <c r="A354" s="45"/>
      <c r="B354" s="45"/>
      <c r="C354" s="45"/>
      <c r="D354" s="78"/>
      <c r="E354" s="45"/>
      <c r="F354" s="45"/>
    </row>
    <row r="355">
      <c r="A355" s="45"/>
      <c r="B355" s="45"/>
      <c r="C355" s="45"/>
      <c r="D355" s="78"/>
      <c r="E355" s="45"/>
      <c r="F355" s="45"/>
    </row>
    <row r="356">
      <c r="A356" s="45"/>
      <c r="B356" s="45"/>
      <c r="C356" s="45"/>
      <c r="D356" s="78"/>
      <c r="E356" s="45"/>
      <c r="F356" s="45"/>
    </row>
    <row r="357">
      <c r="A357" s="45"/>
      <c r="B357" s="45"/>
      <c r="C357" s="45"/>
      <c r="D357" s="78"/>
      <c r="E357" s="45"/>
      <c r="F357" s="45"/>
    </row>
    <row r="358">
      <c r="A358" s="45"/>
      <c r="B358" s="45"/>
      <c r="C358" s="45"/>
      <c r="D358" s="78"/>
      <c r="E358" s="45"/>
      <c r="F358" s="45"/>
    </row>
    <row r="359">
      <c r="A359" s="45"/>
      <c r="B359" s="45"/>
      <c r="C359" s="45"/>
      <c r="D359" s="78"/>
      <c r="E359" s="45"/>
      <c r="F359" s="45"/>
    </row>
    <row r="360">
      <c r="A360" s="45"/>
      <c r="B360" s="45"/>
      <c r="C360" s="45"/>
      <c r="D360" s="78"/>
      <c r="E360" s="45"/>
      <c r="F360" s="45"/>
    </row>
    <row r="361">
      <c r="A361" s="45"/>
      <c r="B361" s="45"/>
      <c r="C361" s="45"/>
      <c r="D361" s="78"/>
      <c r="E361" s="45"/>
      <c r="F361" s="45"/>
    </row>
    <row r="362">
      <c r="A362" s="45"/>
      <c r="B362" s="45"/>
      <c r="C362" s="45"/>
      <c r="D362" s="78"/>
      <c r="E362" s="45"/>
      <c r="F362" s="45"/>
    </row>
    <row r="363">
      <c r="A363" s="45"/>
      <c r="B363" s="45"/>
      <c r="C363" s="45"/>
      <c r="D363" s="78"/>
      <c r="E363" s="45"/>
      <c r="F363" s="45"/>
    </row>
    <row r="364">
      <c r="A364" s="45"/>
      <c r="B364" s="45"/>
      <c r="C364" s="45"/>
      <c r="D364" s="78"/>
      <c r="E364" s="45"/>
      <c r="F364" s="45"/>
    </row>
    <row r="365">
      <c r="A365" s="45"/>
      <c r="B365" s="45"/>
      <c r="C365" s="45"/>
      <c r="D365" s="78"/>
      <c r="E365" s="45"/>
      <c r="F365" s="45"/>
    </row>
    <row r="366">
      <c r="A366" s="45"/>
      <c r="B366" s="45"/>
      <c r="C366" s="45"/>
      <c r="D366" s="78"/>
      <c r="E366" s="45"/>
      <c r="F366" s="45"/>
    </row>
    <row r="367">
      <c r="A367" s="45"/>
      <c r="B367" s="45"/>
      <c r="C367" s="45"/>
      <c r="D367" s="78"/>
      <c r="E367" s="45"/>
      <c r="F367" s="45"/>
    </row>
    <row r="368">
      <c r="A368" s="45"/>
      <c r="B368" s="45"/>
      <c r="C368" s="45"/>
      <c r="D368" s="78"/>
      <c r="E368" s="45"/>
      <c r="F368" s="45"/>
    </row>
    <row r="369">
      <c r="A369" s="45"/>
      <c r="B369" s="45"/>
      <c r="C369" s="45"/>
      <c r="D369" s="78"/>
      <c r="E369" s="45"/>
      <c r="F369" s="45"/>
    </row>
    <row r="370">
      <c r="A370" s="45"/>
      <c r="B370" s="45"/>
      <c r="C370" s="45"/>
      <c r="D370" s="78"/>
      <c r="E370" s="45"/>
      <c r="F370" s="45"/>
    </row>
    <row r="371">
      <c r="A371" s="45"/>
      <c r="B371" s="45"/>
      <c r="C371" s="45"/>
      <c r="D371" s="78"/>
      <c r="E371" s="45"/>
      <c r="F371" s="45"/>
    </row>
    <row r="372">
      <c r="A372" s="45"/>
      <c r="B372" s="45"/>
      <c r="C372" s="45"/>
      <c r="D372" s="78"/>
      <c r="E372" s="45"/>
      <c r="F372" s="45"/>
    </row>
    <row r="373">
      <c r="A373" s="45"/>
      <c r="B373" s="45"/>
      <c r="C373" s="45"/>
      <c r="D373" s="78"/>
      <c r="E373" s="45"/>
      <c r="F373" s="45"/>
    </row>
    <row r="374">
      <c r="A374" s="45"/>
      <c r="B374" s="45"/>
      <c r="C374" s="45"/>
      <c r="D374" s="78"/>
      <c r="E374" s="45"/>
      <c r="F374" s="45"/>
    </row>
    <row r="375">
      <c r="A375" s="45"/>
      <c r="B375" s="45"/>
      <c r="C375" s="45"/>
      <c r="D375" s="78"/>
      <c r="E375" s="45"/>
      <c r="F375" s="45"/>
    </row>
    <row r="376">
      <c r="A376" s="45"/>
      <c r="B376" s="45"/>
      <c r="C376" s="45"/>
      <c r="D376" s="78"/>
      <c r="E376" s="45"/>
      <c r="F376" s="45"/>
    </row>
    <row r="377">
      <c r="A377" s="45"/>
      <c r="B377" s="45"/>
      <c r="C377" s="45"/>
      <c r="D377" s="78"/>
      <c r="E377" s="45"/>
      <c r="F377" s="45"/>
    </row>
    <row r="378">
      <c r="A378" s="45"/>
      <c r="B378" s="45"/>
      <c r="C378" s="45"/>
      <c r="D378" s="78"/>
      <c r="E378" s="45"/>
      <c r="F378" s="45"/>
    </row>
    <row r="379">
      <c r="A379" s="45"/>
      <c r="B379" s="45"/>
      <c r="C379" s="45"/>
      <c r="D379" s="78"/>
      <c r="E379" s="45"/>
      <c r="F379" s="45"/>
    </row>
    <row r="380">
      <c r="A380" s="45"/>
      <c r="B380" s="45"/>
      <c r="C380" s="45"/>
      <c r="D380" s="78"/>
      <c r="E380" s="45"/>
      <c r="F380" s="45"/>
    </row>
    <row r="381">
      <c r="A381" s="45"/>
      <c r="B381" s="45"/>
      <c r="C381" s="45"/>
      <c r="D381" s="78"/>
      <c r="E381" s="45"/>
      <c r="F381" s="45"/>
    </row>
    <row r="382">
      <c r="A382" s="45"/>
      <c r="B382" s="45"/>
      <c r="C382" s="45"/>
      <c r="D382" s="78"/>
      <c r="E382" s="45"/>
      <c r="F382" s="45"/>
    </row>
    <row r="383">
      <c r="A383" s="45"/>
      <c r="B383" s="45"/>
      <c r="C383" s="45"/>
      <c r="D383" s="78"/>
      <c r="E383" s="45"/>
      <c r="F383" s="45"/>
    </row>
    <row r="384">
      <c r="A384" s="45"/>
      <c r="B384" s="45"/>
      <c r="C384" s="45"/>
      <c r="D384" s="78"/>
      <c r="E384" s="45"/>
      <c r="F384" s="45"/>
    </row>
    <row r="385">
      <c r="A385" s="45"/>
      <c r="B385" s="45"/>
      <c r="C385" s="45"/>
      <c r="D385" s="78"/>
      <c r="E385" s="45"/>
      <c r="F385" s="45"/>
    </row>
    <row r="386">
      <c r="A386" s="45"/>
      <c r="B386" s="45"/>
      <c r="C386" s="45"/>
      <c r="D386" s="78"/>
      <c r="E386" s="45"/>
      <c r="F386" s="45"/>
    </row>
    <row r="387">
      <c r="A387" s="45"/>
      <c r="B387" s="45"/>
      <c r="C387" s="45"/>
      <c r="D387" s="78"/>
      <c r="E387" s="45"/>
      <c r="F387" s="45"/>
    </row>
    <row r="388">
      <c r="A388" s="45"/>
      <c r="B388" s="45"/>
      <c r="C388" s="45"/>
      <c r="D388" s="78"/>
      <c r="E388" s="45"/>
      <c r="F388" s="45"/>
    </row>
    <row r="389">
      <c r="A389" s="45"/>
      <c r="B389" s="45"/>
      <c r="C389" s="45"/>
      <c r="D389" s="78"/>
      <c r="E389" s="45"/>
      <c r="F389" s="45"/>
    </row>
    <row r="390">
      <c r="A390" s="45"/>
      <c r="B390" s="45"/>
      <c r="C390" s="45"/>
      <c r="D390" s="78"/>
      <c r="E390" s="45"/>
      <c r="F390" s="45"/>
    </row>
    <row r="391">
      <c r="A391" s="45"/>
      <c r="B391" s="45"/>
      <c r="C391" s="45"/>
      <c r="D391" s="78"/>
      <c r="E391" s="45"/>
      <c r="F391" s="45"/>
    </row>
    <row r="392">
      <c r="A392" s="45"/>
      <c r="B392" s="45"/>
      <c r="C392" s="45"/>
      <c r="D392" s="78"/>
      <c r="E392" s="45"/>
      <c r="F392" s="45"/>
    </row>
    <row r="393">
      <c r="A393" s="45"/>
      <c r="B393" s="45"/>
      <c r="C393" s="45"/>
      <c r="D393" s="78"/>
      <c r="E393" s="45"/>
      <c r="F393" s="45"/>
    </row>
    <row r="394">
      <c r="A394" s="45"/>
      <c r="B394" s="45"/>
      <c r="C394" s="45"/>
      <c r="D394" s="78"/>
      <c r="E394" s="45"/>
      <c r="F394" s="45"/>
    </row>
    <row r="395">
      <c r="A395" s="45"/>
      <c r="B395" s="45"/>
      <c r="C395" s="45"/>
      <c r="D395" s="78"/>
      <c r="E395" s="45"/>
      <c r="F395" s="45"/>
    </row>
    <row r="396">
      <c r="A396" s="45"/>
      <c r="B396" s="45"/>
      <c r="C396" s="45"/>
      <c r="D396" s="78"/>
      <c r="E396" s="45"/>
      <c r="F396" s="45"/>
    </row>
    <row r="397">
      <c r="A397" s="45"/>
      <c r="B397" s="45"/>
      <c r="C397" s="45"/>
      <c r="D397" s="78"/>
      <c r="E397" s="45"/>
      <c r="F397" s="45"/>
    </row>
    <row r="398">
      <c r="A398" s="45"/>
      <c r="B398" s="45"/>
      <c r="C398" s="45"/>
      <c r="D398" s="78"/>
      <c r="E398" s="45"/>
      <c r="F398" s="45"/>
    </row>
    <row r="399">
      <c r="A399" s="45"/>
      <c r="B399" s="45"/>
      <c r="C399" s="45"/>
      <c r="D399" s="78"/>
      <c r="E399" s="45"/>
      <c r="F399" s="45"/>
    </row>
    <row r="400">
      <c r="A400" s="45"/>
      <c r="B400" s="45"/>
      <c r="C400" s="45"/>
      <c r="D400" s="78"/>
      <c r="E400" s="45"/>
      <c r="F400" s="45"/>
    </row>
    <row r="401">
      <c r="A401" s="45"/>
      <c r="B401" s="45"/>
      <c r="C401" s="45"/>
      <c r="D401" s="78"/>
      <c r="E401" s="45"/>
      <c r="F401" s="45"/>
    </row>
    <row r="402">
      <c r="A402" s="45"/>
      <c r="B402" s="45"/>
      <c r="C402" s="45"/>
      <c r="D402" s="78"/>
      <c r="E402" s="45"/>
      <c r="F402" s="45"/>
    </row>
    <row r="403">
      <c r="A403" s="45"/>
      <c r="B403" s="45"/>
      <c r="C403" s="45"/>
      <c r="D403" s="78"/>
      <c r="E403" s="45"/>
      <c r="F403" s="45"/>
    </row>
    <row r="404">
      <c r="A404" s="45"/>
      <c r="B404" s="45"/>
      <c r="C404" s="45"/>
      <c r="D404" s="78"/>
      <c r="E404" s="45"/>
      <c r="F404" s="45"/>
    </row>
    <row r="405">
      <c r="A405" s="45"/>
      <c r="B405" s="45"/>
      <c r="C405" s="45"/>
      <c r="D405" s="78"/>
      <c r="E405" s="45"/>
      <c r="F405" s="45"/>
    </row>
    <row r="406">
      <c r="A406" s="45"/>
      <c r="B406" s="45"/>
      <c r="C406" s="45"/>
      <c r="D406" s="78"/>
      <c r="E406" s="45"/>
      <c r="F406" s="45"/>
    </row>
    <row r="407">
      <c r="A407" s="45"/>
      <c r="B407" s="45"/>
      <c r="C407" s="45"/>
      <c r="D407" s="78"/>
      <c r="E407" s="45"/>
      <c r="F407" s="45"/>
    </row>
    <row r="408">
      <c r="A408" s="45"/>
      <c r="B408" s="45"/>
      <c r="C408" s="45"/>
      <c r="D408" s="78"/>
      <c r="E408" s="45"/>
      <c r="F408" s="45"/>
    </row>
    <row r="409">
      <c r="A409" s="45"/>
      <c r="B409" s="45"/>
      <c r="C409" s="45"/>
      <c r="D409" s="78"/>
      <c r="E409" s="45"/>
      <c r="F409" s="45"/>
    </row>
    <row r="410">
      <c r="A410" s="45"/>
      <c r="B410" s="45"/>
      <c r="C410" s="45"/>
      <c r="D410" s="78"/>
      <c r="E410" s="45"/>
      <c r="F410" s="45"/>
    </row>
    <row r="411">
      <c r="A411" s="45"/>
      <c r="B411" s="45"/>
      <c r="C411" s="45"/>
      <c r="D411" s="78"/>
      <c r="E411" s="45"/>
      <c r="F411" s="45"/>
    </row>
    <row r="412">
      <c r="A412" s="45"/>
      <c r="B412" s="45"/>
      <c r="C412" s="45"/>
      <c r="D412" s="78"/>
      <c r="E412" s="45"/>
      <c r="F412" s="45"/>
    </row>
    <row r="413">
      <c r="A413" s="45"/>
      <c r="B413" s="45"/>
      <c r="C413" s="45"/>
      <c r="D413" s="78"/>
      <c r="E413" s="45"/>
      <c r="F413" s="45"/>
    </row>
    <row r="414">
      <c r="A414" s="45"/>
      <c r="B414" s="45"/>
      <c r="C414" s="45"/>
      <c r="D414" s="78"/>
      <c r="E414" s="45"/>
      <c r="F414" s="45"/>
    </row>
    <row r="415">
      <c r="A415" s="45"/>
      <c r="B415" s="45"/>
      <c r="C415" s="45"/>
      <c r="D415" s="78"/>
      <c r="E415" s="45"/>
      <c r="F415" s="45"/>
    </row>
    <row r="416">
      <c r="A416" s="45"/>
      <c r="B416" s="45"/>
      <c r="C416" s="45"/>
      <c r="D416" s="78"/>
      <c r="E416" s="45"/>
      <c r="F416" s="45"/>
    </row>
    <row r="417">
      <c r="A417" s="45"/>
      <c r="B417" s="45"/>
      <c r="C417" s="45"/>
      <c r="D417" s="78"/>
      <c r="E417" s="45"/>
      <c r="F417" s="45"/>
    </row>
    <row r="418">
      <c r="A418" s="45"/>
      <c r="B418" s="45"/>
      <c r="C418" s="45"/>
      <c r="D418" s="78"/>
      <c r="E418" s="45"/>
      <c r="F418" s="45"/>
    </row>
    <row r="419">
      <c r="A419" s="45"/>
      <c r="B419" s="45"/>
      <c r="C419" s="45"/>
      <c r="D419" s="78"/>
      <c r="E419" s="45"/>
      <c r="F419" s="45"/>
    </row>
    <row r="420">
      <c r="A420" s="45"/>
      <c r="B420" s="45"/>
      <c r="C420" s="45"/>
      <c r="D420" s="78"/>
      <c r="E420" s="45"/>
      <c r="F420" s="45"/>
    </row>
    <row r="421">
      <c r="A421" s="45"/>
      <c r="B421" s="45"/>
      <c r="C421" s="45"/>
      <c r="D421" s="78"/>
      <c r="E421" s="45"/>
      <c r="F421" s="45"/>
    </row>
    <row r="422">
      <c r="A422" s="45"/>
      <c r="B422" s="45"/>
      <c r="C422" s="45"/>
      <c r="D422" s="78"/>
      <c r="E422" s="45"/>
      <c r="F422" s="45"/>
    </row>
    <row r="423">
      <c r="A423" s="45"/>
      <c r="B423" s="45"/>
      <c r="C423" s="45"/>
      <c r="D423" s="78"/>
      <c r="E423" s="45"/>
      <c r="F423" s="45"/>
    </row>
    <row r="424">
      <c r="A424" s="45"/>
      <c r="B424" s="45"/>
      <c r="C424" s="45"/>
      <c r="D424" s="78"/>
      <c r="E424" s="45"/>
      <c r="F424" s="45"/>
    </row>
    <row r="425">
      <c r="A425" s="45"/>
      <c r="B425" s="45"/>
      <c r="C425" s="45"/>
      <c r="D425" s="78"/>
      <c r="E425" s="45"/>
      <c r="F425" s="45"/>
    </row>
    <row r="426">
      <c r="A426" s="45"/>
      <c r="B426" s="45"/>
      <c r="C426" s="45"/>
      <c r="D426" s="78"/>
      <c r="E426" s="45"/>
      <c r="F426" s="45"/>
    </row>
    <row r="427">
      <c r="A427" s="45"/>
      <c r="B427" s="45"/>
      <c r="C427" s="45"/>
      <c r="D427" s="78"/>
      <c r="E427" s="45"/>
      <c r="F427" s="45"/>
    </row>
    <row r="428">
      <c r="A428" s="45"/>
      <c r="B428" s="45"/>
      <c r="C428" s="45"/>
      <c r="D428" s="78"/>
      <c r="E428" s="45"/>
      <c r="F428" s="45"/>
    </row>
    <row r="429">
      <c r="A429" s="45"/>
      <c r="B429" s="45"/>
      <c r="C429" s="45"/>
      <c r="D429" s="78"/>
      <c r="E429" s="45"/>
      <c r="F429" s="45"/>
    </row>
    <row r="430">
      <c r="A430" s="45"/>
      <c r="B430" s="45"/>
      <c r="C430" s="45"/>
      <c r="D430" s="78"/>
      <c r="E430" s="45"/>
      <c r="F430" s="45"/>
    </row>
    <row r="431">
      <c r="A431" s="45"/>
      <c r="B431" s="45"/>
      <c r="C431" s="45"/>
      <c r="D431" s="78"/>
      <c r="E431" s="45"/>
      <c r="F431" s="45"/>
    </row>
    <row r="432">
      <c r="A432" s="45"/>
      <c r="B432" s="45"/>
      <c r="C432" s="45"/>
      <c r="D432" s="78"/>
      <c r="E432" s="45"/>
      <c r="F432" s="45"/>
    </row>
    <row r="433">
      <c r="A433" s="45"/>
      <c r="B433" s="45"/>
      <c r="C433" s="45"/>
      <c r="D433" s="78"/>
      <c r="E433" s="45"/>
      <c r="F433" s="45"/>
    </row>
    <row r="434">
      <c r="A434" s="45"/>
      <c r="B434" s="45"/>
      <c r="C434" s="45"/>
      <c r="D434" s="78"/>
      <c r="E434" s="45"/>
      <c r="F434" s="45"/>
    </row>
    <row r="435">
      <c r="A435" s="45"/>
      <c r="B435" s="45"/>
      <c r="C435" s="45"/>
      <c r="D435" s="78"/>
      <c r="E435" s="45"/>
      <c r="F435" s="45"/>
    </row>
    <row r="436">
      <c r="A436" s="45"/>
      <c r="B436" s="45"/>
      <c r="C436" s="45"/>
      <c r="D436" s="78"/>
      <c r="E436" s="45"/>
      <c r="F436" s="45"/>
    </row>
    <row r="437">
      <c r="A437" s="45"/>
      <c r="B437" s="45"/>
      <c r="C437" s="45"/>
      <c r="D437" s="78"/>
      <c r="E437" s="45"/>
      <c r="F437" s="45"/>
    </row>
    <row r="438">
      <c r="A438" s="45"/>
      <c r="B438" s="45"/>
      <c r="C438" s="45"/>
      <c r="D438" s="78"/>
      <c r="E438" s="45"/>
      <c r="F438" s="45"/>
    </row>
    <row r="439">
      <c r="A439" s="45"/>
      <c r="B439" s="45"/>
      <c r="C439" s="45"/>
      <c r="D439" s="78"/>
      <c r="E439" s="45"/>
      <c r="F439" s="45"/>
    </row>
    <row r="440">
      <c r="A440" s="45"/>
      <c r="B440" s="45"/>
      <c r="C440" s="45"/>
      <c r="D440" s="78"/>
      <c r="E440" s="45"/>
      <c r="F440" s="45"/>
    </row>
    <row r="441">
      <c r="A441" s="45"/>
      <c r="B441" s="45"/>
      <c r="C441" s="45"/>
      <c r="D441" s="78"/>
      <c r="E441" s="45"/>
      <c r="F441" s="45"/>
    </row>
    <row r="442">
      <c r="A442" s="45"/>
      <c r="B442" s="45"/>
      <c r="C442" s="45"/>
      <c r="D442" s="78"/>
      <c r="E442" s="45"/>
      <c r="F442" s="45"/>
    </row>
    <row r="443">
      <c r="A443" s="45"/>
      <c r="B443" s="45"/>
      <c r="C443" s="45"/>
      <c r="D443" s="78"/>
      <c r="E443" s="45"/>
      <c r="F443" s="45"/>
    </row>
    <row r="444">
      <c r="A444" s="45"/>
      <c r="B444" s="45"/>
      <c r="C444" s="45"/>
      <c r="D444" s="78"/>
      <c r="E444" s="45"/>
      <c r="F444" s="45"/>
    </row>
    <row r="445">
      <c r="A445" s="45"/>
      <c r="B445" s="45"/>
      <c r="C445" s="45"/>
      <c r="D445" s="78"/>
      <c r="E445" s="45"/>
      <c r="F445" s="45"/>
    </row>
    <row r="446">
      <c r="A446" s="45"/>
      <c r="B446" s="45"/>
      <c r="C446" s="45"/>
      <c r="D446" s="78"/>
      <c r="E446" s="45"/>
      <c r="F446" s="45"/>
    </row>
    <row r="447">
      <c r="A447" s="45"/>
      <c r="B447" s="45"/>
      <c r="C447" s="45"/>
      <c r="D447" s="78"/>
      <c r="E447" s="45"/>
      <c r="F447" s="45"/>
    </row>
    <row r="448">
      <c r="A448" s="45"/>
      <c r="B448" s="45"/>
      <c r="C448" s="45"/>
      <c r="D448" s="78"/>
      <c r="E448" s="45"/>
      <c r="F448" s="45"/>
    </row>
    <row r="449">
      <c r="A449" s="45"/>
      <c r="B449" s="45"/>
      <c r="C449" s="45"/>
      <c r="D449" s="78"/>
      <c r="E449" s="45"/>
      <c r="F449" s="45"/>
    </row>
    <row r="450">
      <c r="A450" s="45"/>
      <c r="B450" s="45"/>
      <c r="C450" s="45"/>
      <c r="D450" s="78"/>
      <c r="E450" s="45"/>
      <c r="F450" s="45"/>
    </row>
    <row r="451">
      <c r="A451" s="45"/>
      <c r="B451" s="45"/>
      <c r="C451" s="45"/>
      <c r="D451" s="78"/>
      <c r="E451" s="45"/>
      <c r="F451" s="45"/>
    </row>
    <row r="452">
      <c r="A452" s="45"/>
      <c r="B452" s="45"/>
      <c r="C452" s="45"/>
      <c r="D452" s="78"/>
      <c r="E452" s="45"/>
      <c r="F452" s="45"/>
    </row>
    <row r="453">
      <c r="A453" s="45"/>
      <c r="B453" s="45"/>
      <c r="C453" s="45"/>
      <c r="D453" s="78"/>
      <c r="E453" s="45"/>
      <c r="F453" s="45"/>
    </row>
    <row r="454">
      <c r="A454" s="45"/>
      <c r="B454" s="45"/>
      <c r="C454" s="45"/>
      <c r="D454" s="78"/>
      <c r="E454" s="45"/>
      <c r="F454" s="45"/>
    </row>
    <row r="455">
      <c r="A455" s="45"/>
      <c r="B455" s="45"/>
      <c r="C455" s="45"/>
      <c r="D455" s="78"/>
      <c r="E455" s="45"/>
      <c r="F455" s="45"/>
    </row>
    <row r="456">
      <c r="A456" s="45"/>
      <c r="B456" s="45"/>
      <c r="C456" s="45"/>
      <c r="D456" s="78"/>
      <c r="E456" s="45"/>
      <c r="F456" s="45"/>
    </row>
    <row r="457">
      <c r="A457" s="45"/>
      <c r="B457" s="45"/>
      <c r="C457" s="45"/>
      <c r="D457" s="78"/>
      <c r="E457" s="45"/>
      <c r="F457" s="45"/>
    </row>
    <row r="458">
      <c r="A458" s="45"/>
      <c r="B458" s="45"/>
      <c r="C458" s="45"/>
      <c r="D458" s="78"/>
      <c r="E458" s="45"/>
      <c r="F458" s="45"/>
    </row>
    <row r="459">
      <c r="A459" s="45"/>
      <c r="B459" s="45"/>
      <c r="C459" s="45"/>
      <c r="D459" s="78"/>
      <c r="E459" s="45"/>
      <c r="F459" s="45"/>
    </row>
    <row r="460">
      <c r="A460" s="45"/>
      <c r="B460" s="45"/>
      <c r="C460" s="45"/>
      <c r="D460" s="78"/>
      <c r="E460" s="45"/>
      <c r="F460" s="45"/>
    </row>
    <row r="461">
      <c r="A461" s="45"/>
      <c r="B461" s="45"/>
      <c r="C461" s="45"/>
      <c r="D461" s="78"/>
      <c r="E461" s="45"/>
      <c r="F461" s="45"/>
    </row>
    <row r="462">
      <c r="A462" s="45"/>
      <c r="B462" s="45"/>
      <c r="C462" s="45"/>
      <c r="D462" s="78"/>
      <c r="E462" s="45"/>
      <c r="F462" s="45"/>
    </row>
    <row r="463">
      <c r="A463" s="45"/>
      <c r="B463" s="45"/>
      <c r="C463" s="45"/>
      <c r="D463" s="78"/>
      <c r="E463" s="45"/>
      <c r="F463" s="45"/>
    </row>
    <row r="464">
      <c r="A464" s="45"/>
      <c r="B464" s="45"/>
      <c r="C464" s="45"/>
      <c r="D464" s="78"/>
      <c r="E464" s="45"/>
      <c r="F464" s="45"/>
    </row>
    <row r="465">
      <c r="A465" s="45"/>
      <c r="B465" s="45"/>
      <c r="C465" s="45"/>
      <c r="D465" s="78"/>
      <c r="E465" s="45"/>
      <c r="F465" s="45"/>
    </row>
    <row r="466">
      <c r="A466" s="45"/>
      <c r="B466" s="45"/>
      <c r="C466" s="45"/>
      <c r="D466" s="78"/>
      <c r="E466" s="45"/>
      <c r="F466" s="45"/>
    </row>
    <row r="467">
      <c r="A467" s="45"/>
      <c r="B467" s="45"/>
      <c r="C467" s="45"/>
      <c r="D467" s="78"/>
      <c r="E467" s="45"/>
      <c r="F467" s="45"/>
    </row>
    <row r="468">
      <c r="A468" s="45"/>
      <c r="B468" s="45"/>
      <c r="C468" s="45"/>
      <c r="D468" s="78"/>
      <c r="E468" s="45"/>
      <c r="F468" s="45"/>
    </row>
    <row r="469">
      <c r="A469" s="45"/>
      <c r="B469" s="45"/>
      <c r="C469" s="45"/>
      <c r="D469" s="78"/>
      <c r="E469" s="45"/>
      <c r="F469" s="45"/>
    </row>
    <row r="470">
      <c r="A470" s="45"/>
      <c r="B470" s="45"/>
      <c r="C470" s="45"/>
      <c r="D470" s="78"/>
      <c r="E470" s="45"/>
      <c r="F470" s="45"/>
    </row>
    <row r="471">
      <c r="A471" s="45"/>
      <c r="B471" s="45"/>
      <c r="C471" s="45"/>
      <c r="D471" s="78"/>
      <c r="E471" s="45"/>
      <c r="F471" s="45"/>
    </row>
    <row r="472">
      <c r="A472" s="45"/>
      <c r="B472" s="45"/>
      <c r="C472" s="45"/>
      <c r="D472" s="78"/>
      <c r="E472" s="45"/>
      <c r="F472" s="45"/>
    </row>
    <row r="473">
      <c r="A473" s="45"/>
      <c r="B473" s="45"/>
      <c r="C473" s="45"/>
      <c r="D473" s="78"/>
      <c r="E473" s="45"/>
      <c r="F473" s="45"/>
    </row>
    <row r="474">
      <c r="A474" s="45"/>
      <c r="B474" s="45"/>
      <c r="C474" s="45"/>
      <c r="D474" s="78"/>
      <c r="E474" s="45"/>
      <c r="F474" s="45"/>
    </row>
    <row r="475">
      <c r="A475" s="45"/>
      <c r="B475" s="45"/>
      <c r="C475" s="45"/>
      <c r="D475" s="78"/>
      <c r="E475" s="45"/>
      <c r="F475" s="45"/>
    </row>
    <row r="476">
      <c r="A476" s="45"/>
      <c r="B476" s="45"/>
      <c r="C476" s="45"/>
      <c r="D476" s="78"/>
      <c r="E476" s="45"/>
      <c r="F476" s="45"/>
    </row>
    <row r="477">
      <c r="A477" s="45"/>
      <c r="B477" s="45"/>
      <c r="C477" s="45"/>
      <c r="D477" s="78"/>
      <c r="E477" s="45"/>
      <c r="F477" s="45"/>
    </row>
    <row r="478">
      <c r="A478" s="45"/>
      <c r="B478" s="45"/>
      <c r="C478" s="45"/>
      <c r="D478" s="78"/>
      <c r="E478" s="45"/>
      <c r="F478" s="45"/>
    </row>
    <row r="479">
      <c r="A479" s="45"/>
      <c r="B479" s="45"/>
      <c r="C479" s="45"/>
      <c r="D479" s="78"/>
      <c r="E479" s="45"/>
      <c r="F479" s="45"/>
    </row>
    <row r="480">
      <c r="A480" s="45"/>
      <c r="B480" s="45"/>
      <c r="C480" s="45"/>
      <c r="D480" s="78"/>
      <c r="E480" s="45"/>
      <c r="F480" s="45"/>
    </row>
    <row r="481">
      <c r="A481" s="45"/>
      <c r="B481" s="45"/>
      <c r="C481" s="45"/>
      <c r="D481" s="78"/>
      <c r="E481" s="45"/>
      <c r="F481" s="45"/>
    </row>
    <row r="482">
      <c r="A482" s="45"/>
      <c r="B482" s="45"/>
      <c r="C482" s="45"/>
      <c r="D482" s="78"/>
      <c r="E482" s="45"/>
      <c r="F482" s="45"/>
    </row>
    <row r="483">
      <c r="A483" s="45"/>
      <c r="B483" s="45"/>
      <c r="C483" s="45"/>
      <c r="D483" s="78"/>
      <c r="E483" s="45"/>
      <c r="F483" s="45"/>
    </row>
    <row r="484">
      <c r="A484" s="45"/>
      <c r="B484" s="45"/>
      <c r="C484" s="45"/>
      <c r="D484" s="78"/>
      <c r="E484" s="45"/>
      <c r="F484" s="45"/>
    </row>
    <row r="485">
      <c r="A485" s="45"/>
      <c r="B485" s="45"/>
      <c r="C485" s="45"/>
      <c r="D485" s="78"/>
      <c r="E485" s="45"/>
      <c r="F485" s="45"/>
    </row>
    <row r="486">
      <c r="A486" s="45"/>
      <c r="B486" s="45"/>
      <c r="C486" s="45"/>
      <c r="D486" s="78"/>
      <c r="E486" s="45"/>
      <c r="F486" s="45"/>
    </row>
    <row r="487">
      <c r="A487" s="45"/>
      <c r="B487" s="45"/>
      <c r="C487" s="45"/>
      <c r="D487" s="78"/>
      <c r="E487" s="45"/>
      <c r="F487" s="45"/>
    </row>
    <row r="488">
      <c r="A488" s="45"/>
      <c r="B488" s="45"/>
      <c r="C488" s="45"/>
      <c r="D488" s="78"/>
      <c r="E488" s="45"/>
      <c r="F488" s="45"/>
    </row>
    <row r="489">
      <c r="A489" s="45"/>
      <c r="B489" s="45"/>
      <c r="C489" s="45"/>
      <c r="D489" s="78"/>
      <c r="E489" s="45"/>
      <c r="F489" s="45"/>
    </row>
    <row r="490">
      <c r="A490" s="45"/>
      <c r="B490" s="45"/>
      <c r="C490" s="45"/>
      <c r="D490" s="78"/>
      <c r="E490" s="45"/>
      <c r="F490" s="45"/>
    </row>
    <row r="491">
      <c r="A491" s="45"/>
      <c r="B491" s="45"/>
      <c r="C491" s="45"/>
      <c r="D491" s="78"/>
      <c r="E491" s="45"/>
      <c r="F491" s="45"/>
    </row>
    <row r="492">
      <c r="A492" s="45"/>
      <c r="B492" s="45"/>
      <c r="C492" s="45"/>
      <c r="D492" s="78"/>
      <c r="E492" s="45"/>
      <c r="F492" s="45"/>
    </row>
    <row r="493">
      <c r="A493" s="45"/>
      <c r="B493" s="45"/>
      <c r="C493" s="45"/>
      <c r="D493" s="78"/>
      <c r="E493" s="45"/>
      <c r="F493" s="45"/>
    </row>
    <row r="494">
      <c r="A494" s="45"/>
      <c r="B494" s="45"/>
      <c r="C494" s="45"/>
      <c r="D494" s="78"/>
      <c r="E494" s="45"/>
      <c r="F494" s="45"/>
    </row>
    <row r="495">
      <c r="A495" s="45"/>
      <c r="B495" s="45"/>
      <c r="C495" s="45"/>
      <c r="D495" s="78"/>
      <c r="E495" s="45"/>
      <c r="F495" s="45"/>
    </row>
    <row r="496">
      <c r="A496" s="45"/>
      <c r="B496" s="45"/>
      <c r="C496" s="45"/>
      <c r="D496" s="78"/>
      <c r="E496" s="45"/>
      <c r="F496" s="45"/>
    </row>
    <row r="497">
      <c r="A497" s="45"/>
      <c r="B497" s="45"/>
      <c r="C497" s="45"/>
      <c r="D497" s="78"/>
      <c r="E497" s="45"/>
      <c r="F497" s="45"/>
    </row>
    <row r="498">
      <c r="A498" s="45"/>
      <c r="B498" s="45"/>
      <c r="C498" s="45"/>
      <c r="D498" s="78"/>
      <c r="E498" s="45"/>
      <c r="F498" s="45"/>
    </row>
    <row r="499">
      <c r="A499" s="45"/>
      <c r="B499" s="45"/>
      <c r="C499" s="45"/>
      <c r="D499" s="78"/>
      <c r="E499" s="45"/>
      <c r="F499" s="45"/>
    </row>
    <row r="500">
      <c r="A500" s="45"/>
      <c r="B500" s="45"/>
      <c r="C500" s="45"/>
      <c r="D500" s="78"/>
      <c r="E500" s="45"/>
      <c r="F500" s="45"/>
    </row>
    <row r="501">
      <c r="A501" s="45"/>
      <c r="B501" s="45"/>
      <c r="C501" s="45"/>
      <c r="D501" s="78"/>
      <c r="E501" s="45"/>
      <c r="F501" s="45"/>
    </row>
    <row r="502">
      <c r="A502" s="45"/>
      <c r="B502" s="45"/>
      <c r="C502" s="45"/>
      <c r="D502" s="78"/>
      <c r="E502" s="45"/>
      <c r="F502" s="45"/>
    </row>
    <row r="503">
      <c r="A503" s="45"/>
      <c r="B503" s="45"/>
      <c r="C503" s="45"/>
      <c r="D503" s="78"/>
      <c r="E503" s="45"/>
      <c r="F503" s="45"/>
    </row>
    <row r="504">
      <c r="A504" s="45"/>
      <c r="B504" s="45"/>
      <c r="C504" s="45"/>
      <c r="D504" s="78"/>
      <c r="E504" s="45"/>
      <c r="F504" s="45"/>
    </row>
    <row r="505">
      <c r="A505" s="45"/>
      <c r="B505" s="45"/>
      <c r="C505" s="45"/>
      <c r="D505" s="78"/>
      <c r="E505" s="45"/>
      <c r="F505" s="45"/>
    </row>
    <row r="506">
      <c r="A506" s="45"/>
      <c r="B506" s="45"/>
      <c r="C506" s="45"/>
      <c r="D506" s="78"/>
      <c r="E506" s="45"/>
      <c r="F506" s="45"/>
    </row>
    <row r="507">
      <c r="A507" s="45"/>
      <c r="B507" s="45"/>
      <c r="C507" s="45"/>
      <c r="D507" s="78"/>
      <c r="E507" s="45"/>
      <c r="F507" s="45"/>
    </row>
    <row r="508">
      <c r="A508" s="45"/>
      <c r="B508" s="45"/>
      <c r="C508" s="45"/>
      <c r="D508" s="78"/>
      <c r="E508" s="45"/>
      <c r="F508" s="45"/>
    </row>
    <row r="509">
      <c r="A509" s="45"/>
      <c r="B509" s="45"/>
      <c r="C509" s="45"/>
      <c r="D509" s="78"/>
      <c r="E509" s="45"/>
      <c r="F509" s="45"/>
    </row>
    <row r="510">
      <c r="A510" s="45"/>
      <c r="B510" s="45"/>
      <c r="C510" s="45"/>
      <c r="D510" s="78"/>
      <c r="E510" s="45"/>
      <c r="F510" s="45"/>
    </row>
    <row r="511">
      <c r="A511" s="45"/>
      <c r="B511" s="45"/>
      <c r="C511" s="45"/>
      <c r="D511" s="78"/>
      <c r="E511" s="45"/>
      <c r="F511" s="45"/>
    </row>
    <row r="512">
      <c r="A512" s="45"/>
      <c r="B512" s="45"/>
      <c r="C512" s="45"/>
      <c r="D512" s="78"/>
      <c r="E512" s="45"/>
      <c r="F512" s="45"/>
    </row>
    <row r="513">
      <c r="A513" s="45"/>
      <c r="B513" s="45"/>
      <c r="C513" s="45"/>
      <c r="D513" s="78"/>
      <c r="E513" s="45"/>
      <c r="F513" s="45"/>
    </row>
    <row r="514">
      <c r="A514" s="45"/>
      <c r="B514" s="45"/>
      <c r="C514" s="45"/>
      <c r="D514" s="78"/>
      <c r="E514" s="45"/>
      <c r="F514" s="45"/>
    </row>
    <row r="515">
      <c r="A515" s="45"/>
      <c r="B515" s="45"/>
      <c r="C515" s="45"/>
      <c r="D515" s="78"/>
      <c r="E515" s="45"/>
      <c r="F515" s="45"/>
    </row>
    <row r="516">
      <c r="A516" s="45"/>
      <c r="B516" s="45"/>
      <c r="C516" s="45"/>
      <c r="D516" s="78"/>
      <c r="E516" s="45"/>
      <c r="F516" s="45"/>
    </row>
    <row r="517">
      <c r="A517" s="45"/>
      <c r="B517" s="45"/>
      <c r="C517" s="45"/>
      <c r="D517" s="78"/>
      <c r="E517" s="45"/>
      <c r="F517" s="45"/>
    </row>
    <row r="518">
      <c r="A518" s="45"/>
      <c r="B518" s="45"/>
      <c r="C518" s="45"/>
      <c r="D518" s="78"/>
      <c r="E518" s="45"/>
      <c r="F518" s="45"/>
    </row>
    <row r="519">
      <c r="A519" s="45"/>
      <c r="B519" s="45"/>
      <c r="C519" s="45"/>
      <c r="D519" s="78"/>
      <c r="E519" s="45"/>
      <c r="F519" s="45"/>
    </row>
    <row r="520">
      <c r="A520" s="45"/>
      <c r="B520" s="45"/>
      <c r="C520" s="45"/>
      <c r="D520" s="78"/>
      <c r="E520" s="45"/>
      <c r="F520" s="45"/>
    </row>
    <row r="521">
      <c r="A521" s="45"/>
      <c r="B521" s="45"/>
      <c r="C521" s="45"/>
      <c r="D521" s="78"/>
      <c r="E521" s="45"/>
      <c r="F521" s="45"/>
    </row>
    <row r="522">
      <c r="A522" s="45"/>
      <c r="B522" s="45"/>
      <c r="C522" s="45"/>
      <c r="D522" s="78"/>
      <c r="E522" s="45"/>
      <c r="F522" s="45"/>
    </row>
    <row r="523">
      <c r="A523" s="45"/>
      <c r="B523" s="45"/>
      <c r="C523" s="45"/>
      <c r="D523" s="78"/>
      <c r="E523" s="45"/>
      <c r="F523" s="45"/>
    </row>
    <row r="524">
      <c r="A524" s="45"/>
      <c r="B524" s="45"/>
      <c r="C524" s="45"/>
      <c r="D524" s="78"/>
      <c r="E524" s="45"/>
      <c r="F524" s="45"/>
    </row>
    <row r="525">
      <c r="A525" s="45"/>
      <c r="B525" s="45"/>
      <c r="C525" s="45"/>
      <c r="D525" s="78"/>
      <c r="E525" s="45"/>
      <c r="F525" s="45"/>
    </row>
    <row r="526">
      <c r="A526" s="45"/>
      <c r="B526" s="45"/>
      <c r="C526" s="45"/>
      <c r="D526" s="78"/>
      <c r="E526" s="45"/>
      <c r="F526" s="45"/>
    </row>
    <row r="527">
      <c r="A527" s="45"/>
      <c r="B527" s="45"/>
      <c r="C527" s="45"/>
      <c r="D527" s="78"/>
      <c r="E527" s="45"/>
      <c r="F527" s="45"/>
    </row>
    <row r="528">
      <c r="A528" s="45"/>
      <c r="B528" s="45"/>
      <c r="C528" s="45"/>
      <c r="D528" s="78"/>
      <c r="E528" s="45"/>
      <c r="F528" s="45"/>
    </row>
    <row r="529">
      <c r="A529" s="45"/>
      <c r="B529" s="45"/>
      <c r="C529" s="45"/>
      <c r="D529" s="78"/>
      <c r="E529" s="45"/>
      <c r="F529" s="45"/>
    </row>
    <row r="530">
      <c r="A530" s="45"/>
      <c r="B530" s="45"/>
      <c r="C530" s="45"/>
      <c r="D530" s="78"/>
      <c r="E530" s="45"/>
      <c r="F530" s="45"/>
    </row>
    <row r="531">
      <c r="A531" s="45"/>
      <c r="B531" s="45"/>
      <c r="C531" s="45"/>
      <c r="D531" s="78"/>
      <c r="E531" s="45"/>
      <c r="F531" s="45"/>
    </row>
    <row r="532">
      <c r="A532" s="45"/>
      <c r="B532" s="45"/>
      <c r="C532" s="45"/>
      <c r="D532" s="78"/>
      <c r="E532" s="45"/>
      <c r="F532" s="45"/>
    </row>
    <row r="533">
      <c r="A533" s="45"/>
      <c r="B533" s="45"/>
      <c r="C533" s="45"/>
      <c r="D533" s="78"/>
      <c r="E533" s="45"/>
      <c r="F533" s="45"/>
    </row>
    <row r="534">
      <c r="A534" s="45"/>
      <c r="B534" s="45"/>
      <c r="C534" s="45"/>
      <c r="D534" s="78"/>
      <c r="E534" s="45"/>
      <c r="F534" s="45"/>
    </row>
    <row r="535">
      <c r="A535" s="45"/>
      <c r="B535" s="45"/>
      <c r="C535" s="45"/>
      <c r="D535" s="78"/>
      <c r="E535" s="45"/>
      <c r="F535" s="45"/>
    </row>
    <row r="536">
      <c r="A536" s="45"/>
      <c r="B536" s="45"/>
      <c r="C536" s="45"/>
      <c r="D536" s="78"/>
      <c r="E536" s="45"/>
      <c r="F536" s="45"/>
    </row>
    <row r="537">
      <c r="A537" s="45"/>
      <c r="B537" s="45"/>
      <c r="C537" s="45"/>
      <c r="D537" s="78"/>
      <c r="E537" s="45"/>
      <c r="F537" s="45"/>
    </row>
    <row r="538">
      <c r="A538" s="45"/>
      <c r="B538" s="45"/>
      <c r="C538" s="45"/>
      <c r="D538" s="78"/>
      <c r="E538" s="45"/>
      <c r="F538" s="45"/>
    </row>
    <row r="539">
      <c r="A539" s="45"/>
      <c r="B539" s="45"/>
      <c r="C539" s="45"/>
      <c r="D539" s="78"/>
      <c r="E539" s="45"/>
      <c r="F539" s="45"/>
    </row>
    <row r="540">
      <c r="A540" s="45"/>
      <c r="B540" s="45"/>
      <c r="C540" s="45"/>
      <c r="D540" s="78"/>
      <c r="E540" s="45"/>
      <c r="F540" s="45"/>
    </row>
    <row r="541">
      <c r="A541" s="45"/>
      <c r="B541" s="45"/>
      <c r="C541" s="45"/>
      <c r="D541" s="78"/>
      <c r="E541" s="45"/>
      <c r="F541" s="45"/>
    </row>
    <row r="542">
      <c r="A542" s="45"/>
      <c r="B542" s="45"/>
      <c r="C542" s="45"/>
      <c r="D542" s="78"/>
      <c r="E542" s="45"/>
      <c r="F542" s="45"/>
    </row>
    <row r="543">
      <c r="A543" s="45"/>
      <c r="B543" s="45"/>
      <c r="C543" s="45"/>
      <c r="D543" s="78"/>
      <c r="E543" s="45"/>
      <c r="F543" s="45"/>
    </row>
    <row r="544">
      <c r="A544" s="45"/>
      <c r="B544" s="45"/>
      <c r="C544" s="45"/>
      <c r="D544" s="78"/>
      <c r="E544" s="45"/>
      <c r="F544" s="45"/>
    </row>
    <row r="545">
      <c r="A545" s="45"/>
      <c r="B545" s="45"/>
      <c r="C545" s="45"/>
      <c r="D545" s="78"/>
      <c r="E545" s="45"/>
      <c r="F545" s="45"/>
    </row>
    <row r="546">
      <c r="A546" s="45"/>
      <c r="B546" s="45"/>
      <c r="C546" s="45"/>
      <c r="D546" s="78"/>
      <c r="E546" s="45"/>
      <c r="F546" s="45"/>
    </row>
    <row r="547">
      <c r="A547" s="45"/>
      <c r="B547" s="45"/>
      <c r="C547" s="45"/>
      <c r="D547" s="78"/>
      <c r="E547" s="45"/>
      <c r="F547" s="45"/>
    </row>
    <row r="548">
      <c r="A548" s="45"/>
      <c r="B548" s="45"/>
      <c r="C548" s="45"/>
      <c r="D548" s="78"/>
      <c r="E548" s="45"/>
      <c r="F548" s="45"/>
    </row>
    <row r="549">
      <c r="A549" s="45"/>
      <c r="B549" s="45"/>
      <c r="C549" s="45"/>
      <c r="D549" s="78"/>
      <c r="E549" s="45"/>
      <c r="F549" s="45"/>
    </row>
    <row r="550">
      <c r="A550" s="45"/>
      <c r="B550" s="45"/>
      <c r="C550" s="45"/>
      <c r="D550" s="78"/>
      <c r="E550" s="45"/>
      <c r="F550" s="45"/>
    </row>
    <row r="551">
      <c r="A551" s="45"/>
      <c r="B551" s="45"/>
      <c r="C551" s="45"/>
      <c r="D551" s="78"/>
      <c r="E551" s="45"/>
      <c r="F551" s="45"/>
    </row>
    <row r="552">
      <c r="A552" s="45"/>
      <c r="B552" s="45"/>
      <c r="C552" s="45"/>
      <c r="D552" s="78"/>
      <c r="E552" s="45"/>
      <c r="F552" s="45"/>
    </row>
    <row r="553">
      <c r="A553" s="45"/>
      <c r="B553" s="45"/>
      <c r="C553" s="45"/>
      <c r="D553" s="78"/>
      <c r="E553" s="45"/>
      <c r="F553" s="45"/>
    </row>
    <row r="554">
      <c r="A554" s="45"/>
      <c r="B554" s="45"/>
      <c r="C554" s="45"/>
      <c r="D554" s="78"/>
      <c r="E554" s="45"/>
      <c r="F554" s="45"/>
    </row>
    <row r="555">
      <c r="A555" s="45"/>
      <c r="B555" s="45"/>
      <c r="C555" s="45"/>
      <c r="D555" s="78"/>
      <c r="E555" s="45"/>
      <c r="F555" s="45"/>
    </row>
    <row r="556">
      <c r="A556" s="45"/>
      <c r="B556" s="45"/>
      <c r="C556" s="45"/>
      <c r="D556" s="78"/>
      <c r="E556" s="45"/>
      <c r="F556" s="45"/>
    </row>
    <row r="557">
      <c r="A557" s="45"/>
      <c r="B557" s="45"/>
      <c r="C557" s="45"/>
      <c r="D557" s="78"/>
      <c r="E557" s="45"/>
      <c r="F557" s="45"/>
    </row>
    <row r="558">
      <c r="A558" s="45"/>
      <c r="B558" s="45"/>
      <c r="C558" s="45"/>
      <c r="D558" s="78"/>
      <c r="E558" s="45"/>
      <c r="F558" s="45"/>
    </row>
    <row r="559">
      <c r="A559" s="45"/>
      <c r="B559" s="45"/>
      <c r="C559" s="45"/>
      <c r="D559" s="78"/>
      <c r="E559" s="45"/>
      <c r="F559" s="45"/>
    </row>
    <row r="560">
      <c r="A560" s="45"/>
      <c r="B560" s="45"/>
      <c r="C560" s="45"/>
      <c r="D560" s="78"/>
      <c r="E560" s="45"/>
      <c r="F560" s="45"/>
    </row>
    <row r="561">
      <c r="A561" s="45"/>
      <c r="B561" s="45"/>
      <c r="C561" s="45"/>
      <c r="D561" s="78"/>
      <c r="E561" s="45"/>
      <c r="F561" s="45"/>
    </row>
    <row r="562">
      <c r="A562" s="45"/>
      <c r="B562" s="45"/>
      <c r="C562" s="45"/>
      <c r="D562" s="78"/>
      <c r="E562" s="45"/>
      <c r="F562" s="45"/>
    </row>
    <row r="563">
      <c r="A563" s="45"/>
      <c r="B563" s="45"/>
      <c r="C563" s="45"/>
      <c r="D563" s="78"/>
      <c r="E563" s="45"/>
      <c r="F563" s="45"/>
    </row>
    <row r="564">
      <c r="A564" s="45"/>
      <c r="B564" s="45"/>
      <c r="C564" s="45"/>
      <c r="D564" s="78"/>
      <c r="E564" s="45"/>
      <c r="F564" s="45"/>
    </row>
    <row r="565">
      <c r="A565" s="45"/>
      <c r="B565" s="45"/>
      <c r="C565" s="45"/>
      <c r="D565" s="78"/>
      <c r="E565" s="45"/>
      <c r="F565" s="45"/>
    </row>
    <row r="566">
      <c r="A566" s="45"/>
      <c r="B566" s="45"/>
      <c r="C566" s="45"/>
      <c r="D566" s="78"/>
      <c r="E566" s="45"/>
      <c r="F566" s="45"/>
    </row>
    <row r="567">
      <c r="A567" s="45"/>
      <c r="B567" s="45"/>
      <c r="C567" s="45"/>
      <c r="D567" s="78"/>
      <c r="E567" s="45"/>
      <c r="F567" s="45"/>
    </row>
    <row r="568">
      <c r="A568" s="45"/>
      <c r="B568" s="45"/>
      <c r="C568" s="45"/>
      <c r="D568" s="78"/>
      <c r="E568" s="45"/>
      <c r="F568" s="45"/>
    </row>
    <row r="569">
      <c r="A569" s="45"/>
      <c r="B569" s="45"/>
      <c r="C569" s="45"/>
      <c r="D569" s="78"/>
      <c r="E569" s="45"/>
      <c r="F569" s="45"/>
    </row>
    <row r="570">
      <c r="A570" s="45"/>
      <c r="B570" s="45"/>
      <c r="C570" s="45"/>
      <c r="D570" s="78"/>
      <c r="E570" s="45"/>
      <c r="F570" s="45"/>
    </row>
    <row r="571">
      <c r="A571" s="45"/>
      <c r="B571" s="45"/>
      <c r="C571" s="45"/>
      <c r="D571" s="78"/>
      <c r="E571" s="45"/>
      <c r="F571" s="45"/>
    </row>
    <row r="572">
      <c r="A572" s="45"/>
      <c r="B572" s="45"/>
      <c r="C572" s="45"/>
      <c r="D572" s="78"/>
      <c r="E572" s="45"/>
      <c r="F572" s="45"/>
    </row>
    <row r="573">
      <c r="A573" s="45"/>
      <c r="B573" s="45"/>
      <c r="C573" s="45"/>
      <c r="D573" s="78"/>
      <c r="E573" s="45"/>
      <c r="F573" s="45"/>
    </row>
    <row r="574">
      <c r="A574" s="45"/>
      <c r="B574" s="45"/>
      <c r="C574" s="45"/>
      <c r="D574" s="78"/>
      <c r="E574" s="45"/>
      <c r="F574" s="45"/>
    </row>
    <row r="575">
      <c r="A575" s="45"/>
      <c r="B575" s="45"/>
      <c r="C575" s="45"/>
      <c r="D575" s="78"/>
      <c r="E575" s="45"/>
      <c r="F575" s="45"/>
    </row>
    <row r="576">
      <c r="A576" s="45"/>
      <c r="B576" s="45"/>
      <c r="C576" s="45"/>
      <c r="D576" s="78"/>
      <c r="E576" s="45"/>
      <c r="F576" s="45"/>
    </row>
    <row r="577">
      <c r="A577" s="45"/>
      <c r="B577" s="45"/>
      <c r="C577" s="45"/>
      <c r="D577" s="78"/>
      <c r="E577" s="45"/>
      <c r="F577" s="45"/>
    </row>
    <row r="578">
      <c r="A578" s="45"/>
      <c r="B578" s="45"/>
      <c r="C578" s="45"/>
      <c r="D578" s="78"/>
      <c r="E578" s="45"/>
      <c r="F578" s="45"/>
    </row>
    <row r="579">
      <c r="A579" s="45"/>
      <c r="B579" s="45"/>
      <c r="C579" s="45"/>
      <c r="D579" s="78"/>
      <c r="E579" s="45"/>
      <c r="F579" s="45"/>
    </row>
    <row r="580">
      <c r="A580" s="45"/>
      <c r="B580" s="45"/>
      <c r="C580" s="45"/>
      <c r="D580" s="78"/>
      <c r="E580" s="45"/>
      <c r="F580" s="45"/>
    </row>
    <row r="581">
      <c r="A581" s="45"/>
      <c r="B581" s="45"/>
      <c r="C581" s="45"/>
      <c r="D581" s="78"/>
      <c r="E581" s="45"/>
      <c r="F581" s="45"/>
    </row>
    <row r="582">
      <c r="A582" s="45"/>
      <c r="B582" s="45"/>
      <c r="C582" s="45"/>
      <c r="D582" s="78"/>
      <c r="E582" s="45"/>
      <c r="F582" s="45"/>
    </row>
    <row r="583">
      <c r="A583" s="45"/>
      <c r="B583" s="45"/>
      <c r="C583" s="45"/>
      <c r="D583" s="78"/>
      <c r="E583" s="45"/>
      <c r="F583" s="45"/>
    </row>
    <row r="584">
      <c r="A584" s="45"/>
      <c r="B584" s="45"/>
      <c r="C584" s="45"/>
      <c r="D584" s="78"/>
      <c r="E584" s="45"/>
      <c r="F584" s="45"/>
    </row>
    <row r="585">
      <c r="A585" s="45"/>
      <c r="B585" s="45"/>
      <c r="C585" s="45"/>
      <c r="D585" s="78"/>
      <c r="E585" s="45"/>
      <c r="F585" s="45"/>
    </row>
    <row r="586">
      <c r="A586" s="45"/>
      <c r="B586" s="45"/>
      <c r="C586" s="45"/>
      <c r="D586" s="78"/>
      <c r="E586" s="45"/>
      <c r="F586" s="45"/>
    </row>
    <row r="587">
      <c r="A587" s="45"/>
      <c r="B587" s="45"/>
      <c r="C587" s="45"/>
      <c r="D587" s="78"/>
      <c r="E587" s="45"/>
      <c r="F587" s="45"/>
    </row>
    <row r="588">
      <c r="A588" s="45"/>
      <c r="B588" s="45"/>
      <c r="C588" s="45"/>
      <c r="D588" s="78"/>
      <c r="E588" s="45"/>
      <c r="F588" s="45"/>
    </row>
    <row r="589">
      <c r="A589" s="45"/>
      <c r="B589" s="45"/>
      <c r="C589" s="45"/>
      <c r="D589" s="78"/>
      <c r="E589" s="45"/>
      <c r="F589" s="45"/>
    </row>
    <row r="590">
      <c r="A590" s="45"/>
      <c r="B590" s="45"/>
      <c r="C590" s="45"/>
      <c r="D590" s="78"/>
      <c r="E590" s="45"/>
      <c r="F590" s="45"/>
    </row>
    <row r="591">
      <c r="A591" s="45"/>
      <c r="B591" s="45"/>
      <c r="C591" s="45"/>
      <c r="D591" s="78"/>
      <c r="E591" s="45"/>
      <c r="F591" s="45"/>
    </row>
    <row r="592">
      <c r="A592" s="45"/>
      <c r="B592" s="45"/>
      <c r="C592" s="45"/>
      <c r="D592" s="78"/>
      <c r="E592" s="45"/>
      <c r="F592" s="45"/>
    </row>
    <row r="593">
      <c r="A593" s="45"/>
      <c r="B593" s="45"/>
      <c r="C593" s="45"/>
      <c r="D593" s="78"/>
      <c r="E593" s="45"/>
      <c r="F593" s="45"/>
    </row>
    <row r="594">
      <c r="A594" s="45"/>
      <c r="B594" s="45"/>
      <c r="C594" s="45"/>
      <c r="D594" s="78"/>
      <c r="E594" s="45"/>
      <c r="F594" s="45"/>
    </row>
    <row r="595">
      <c r="A595" s="45"/>
      <c r="B595" s="45"/>
      <c r="C595" s="45"/>
      <c r="D595" s="78"/>
      <c r="E595" s="45"/>
      <c r="F595" s="45"/>
    </row>
    <row r="596">
      <c r="A596" s="45"/>
      <c r="B596" s="45"/>
      <c r="C596" s="45"/>
      <c r="D596" s="78"/>
      <c r="E596" s="45"/>
      <c r="F596" s="45"/>
    </row>
    <row r="597">
      <c r="A597" s="45"/>
      <c r="B597" s="45"/>
      <c r="C597" s="45"/>
      <c r="D597" s="78"/>
      <c r="E597" s="45"/>
      <c r="F597" s="45"/>
    </row>
    <row r="598">
      <c r="A598" s="45"/>
      <c r="B598" s="45"/>
      <c r="C598" s="45"/>
      <c r="D598" s="78"/>
      <c r="E598" s="45"/>
      <c r="F598" s="45"/>
    </row>
    <row r="599">
      <c r="A599" s="45"/>
      <c r="B599" s="45"/>
      <c r="C599" s="45"/>
      <c r="D599" s="78"/>
      <c r="E599" s="45"/>
      <c r="F599" s="45"/>
    </row>
    <row r="600">
      <c r="A600" s="45"/>
      <c r="B600" s="45"/>
      <c r="C600" s="45"/>
      <c r="D600" s="78"/>
      <c r="E600" s="45"/>
      <c r="F600" s="45"/>
    </row>
    <row r="601">
      <c r="A601" s="45"/>
      <c r="B601" s="45"/>
      <c r="C601" s="45"/>
      <c r="D601" s="78"/>
      <c r="E601" s="45"/>
      <c r="F601" s="45"/>
    </row>
    <row r="602">
      <c r="A602" s="45"/>
      <c r="B602" s="45"/>
      <c r="C602" s="45"/>
      <c r="D602" s="78"/>
      <c r="E602" s="45"/>
      <c r="F602" s="45"/>
    </row>
    <row r="603">
      <c r="A603" s="45"/>
      <c r="B603" s="45"/>
      <c r="C603" s="45"/>
      <c r="D603" s="78"/>
      <c r="E603" s="45"/>
      <c r="F603" s="45"/>
    </row>
    <row r="604">
      <c r="A604" s="45"/>
      <c r="B604" s="45"/>
      <c r="C604" s="45"/>
      <c r="D604" s="78"/>
      <c r="E604" s="45"/>
      <c r="F604" s="45"/>
    </row>
    <row r="605">
      <c r="A605" s="45"/>
      <c r="B605" s="45"/>
      <c r="C605" s="45"/>
      <c r="D605" s="78"/>
      <c r="E605" s="45"/>
      <c r="F605" s="45"/>
    </row>
    <row r="606">
      <c r="A606" s="45"/>
      <c r="B606" s="45"/>
      <c r="C606" s="45"/>
      <c r="D606" s="78"/>
      <c r="E606" s="45"/>
      <c r="F606" s="45"/>
    </row>
    <row r="607">
      <c r="A607" s="45"/>
      <c r="B607" s="45"/>
      <c r="C607" s="45"/>
      <c r="D607" s="78"/>
      <c r="E607" s="45"/>
      <c r="F607" s="45"/>
    </row>
    <row r="608">
      <c r="A608" s="45"/>
      <c r="B608" s="45"/>
      <c r="C608" s="45"/>
      <c r="D608" s="78"/>
      <c r="E608" s="45"/>
      <c r="F608" s="45"/>
    </row>
    <row r="609">
      <c r="A609" s="45"/>
      <c r="B609" s="45"/>
      <c r="C609" s="45"/>
      <c r="D609" s="78"/>
      <c r="E609" s="45"/>
      <c r="F609" s="45"/>
    </row>
    <row r="610">
      <c r="A610" s="45"/>
      <c r="B610" s="45"/>
      <c r="C610" s="45"/>
      <c r="D610" s="78"/>
      <c r="E610" s="45"/>
      <c r="F610" s="45"/>
    </row>
    <row r="611">
      <c r="A611" s="45"/>
      <c r="B611" s="45"/>
      <c r="C611" s="45"/>
      <c r="D611" s="78"/>
      <c r="E611" s="45"/>
      <c r="F611" s="45"/>
    </row>
    <row r="612">
      <c r="A612" s="45"/>
      <c r="B612" s="45"/>
      <c r="C612" s="45"/>
      <c r="D612" s="78"/>
      <c r="E612" s="45"/>
      <c r="F612" s="45"/>
    </row>
    <row r="613">
      <c r="A613" s="45"/>
      <c r="B613" s="45"/>
      <c r="C613" s="45"/>
      <c r="D613" s="78"/>
      <c r="E613" s="45"/>
      <c r="F613" s="45"/>
    </row>
    <row r="614">
      <c r="A614" s="45"/>
      <c r="B614" s="45"/>
      <c r="C614" s="45"/>
      <c r="D614" s="78"/>
      <c r="E614" s="45"/>
      <c r="F614" s="45"/>
    </row>
    <row r="615">
      <c r="A615" s="45"/>
      <c r="B615" s="45"/>
      <c r="C615" s="45"/>
      <c r="D615" s="78"/>
      <c r="E615" s="45"/>
      <c r="F615" s="45"/>
    </row>
    <row r="616">
      <c r="A616" s="45"/>
      <c r="B616" s="45"/>
      <c r="C616" s="45"/>
      <c r="D616" s="78"/>
      <c r="E616" s="45"/>
      <c r="F616" s="45"/>
    </row>
    <row r="617">
      <c r="A617" s="45"/>
      <c r="B617" s="45"/>
      <c r="C617" s="45"/>
      <c r="D617" s="78"/>
      <c r="E617" s="45"/>
      <c r="F617" s="45"/>
    </row>
    <row r="618">
      <c r="A618" s="45"/>
      <c r="B618" s="45"/>
      <c r="C618" s="45"/>
      <c r="D618" s="78"/>
      <c r="E618" s="45"/>
      <c r="F618" s="45"/>
    </row>
    <row r="619">
      <c r="A619" s="45"/>
      <c r="B619" s="45"/>
      <c r="C619" s="45"/>
      <c r="D619" s="78"/>
      <c r="E619" s="45"/>
      <c r="F619" s="45"/>
    </row>
    <row r="620">
      <c r="A620" s="45"/>
      <c r="B620" s="45"/>
      <c r="C620" s="45"/>
      <c r="D620" s="78"/>
      <c r="E620" s="45"/>
      <c r="F620" s="45"/>
    </row>
    <row r="621">
      <c r="A621" s="45"/>
      <c r="B621" s="45"/>
      <c r="C621" s="45"/>
      <c r="D621" s="78"/>
      <c r="E621" s="45"/>
      <c r="F621" s="45"/>
    </row>
    <row r="622">
      <c r="A622" s="45"/>
      <c r="B622" s="45"/>
      <c r="C622" s="45"/>
      <c r="D622" s="78"/>
      <c r="E622" s="45"/>
      <c r="F622" s="45"/>
    </row>
    <row r="623">
      <c r="A623" s="45"/>
      <c r="B623" s="45"/>
      <c r="C623" s="45"/>
      <c r="D623" s="78"/>
      <c r="E623" s="45"/>
      <c r="F623" s="45"/>
    </row>
    <row r="624">
      <c r="A624" s="45"/>
      <c r="B624" s="45"/>
      <c r="C624" s="45"/>
      <c r="D624" s="78"/>
      <c r="E624" s="45"/>
      <c r="F624" s="45"/>
    </row>
    <row r="625">
      <c r="A625" s="45"/>
      <c r="B625" s="45"/>
      <c r="C625" s="45"/>
      <c r="D625" s="78"/>
      <c r="E625" s="45"/>
      <c r="F625" s="45"/>
    </row>
    <row r="626">
      <c r="A626" s="45"/>
      <c r="B626" s="45"/>
      <c r="C626" s="45"/>
      <c r="D626" s="78"/>
      <c r="E626" s="45"/>
      <c r="F626" s="45"/>
    </row>
    <row r="627">
      <c r="A627" s="45"/>
      <c r="B627" s="45"/>
      <c r="C627" s="45"/>
      <c r="D627" s="78"/>
      <c r="E627" s="45"/>
      <c r="F627" s="45"/>
    </row>
    <row r="628">
      <c r="A628" s="45"/>
      <c r="B628" s="45"/>
      <c r="C628" s="45"/>
      <c r="D628" s="78"/>
      <c r="E628" s="45"/>
      <c r="F628" s="45"/>
    </row>
    <row r="629">
      <c r="A629" s="45"/>
      <c r="B629" s="45"/>
      <c r="C629" s="45"/>
      <c r="D629" s="78"/>
      <c r="E629" s="45"/>
      <c r="F629" s="45"/>
    </row>
    <row r="630">
      <c r="A630" s="45"/>
      <c r="B630" s="45"/>
      <c r="C630" s="45"/>
      <c r="D630" s="78"/>
      <c r="E630" s="45"/>
      <c r="F630" s="45"/>
    </row>
    <row r="631">
      <c r="A631" s="45"/>
      <c r="B631" s="45"/>
      <c r="C631" s="45"/>
      <c r="D631" s="78"/>
      <c r="E631" s="45"/>
      <c r="F631" s="45"/>
    </row>
    <row r="632">
      <c r="A632" s="45"/>
      <c r="B632" s="45"/>
      <c r="C632" s="45"/>
      <c r="D632" s="78"/>
      <c r="E632" s="45"/>
      <c r="F632" s="45"/>
    </row>
    <row r="633">
      <c r="A633" s="45"/>
      <c r="B633" s="45"/>
      <c r="C633" s="45"/>
      <c r="D633" s="78"/>
      <c r="E633" s="45"/>
      <c r="F633" s="45"/>
    </row>
    <row r="634">
      <c r="A634" s="45"/>
      <c r="B634" s="45"/>
      <c r="C634" s="45"/>
      <c r="D634" s="78"/>
      <c r="E634" s="45"/>
      <c r="F634" s="45"/>
    </row>
    <row r="635">
      <c r="A635" s="45"/>
      <c r="B635" s="45"/>
      <c r="C635" s="45"/>
      <c r="D635" s="78"/>
      <c r="E635" s="45"/>
      <c r="F635" s="45"/>
    </row>
    <row r="636">
      <c r="A636" s="45"/>
      <c r="B636" s="45"/>
      <c r="C636" s="45"/>
      <c r="D636" s="78"/>
      <c r="E636" s="45"/>
      <c r="F636" s="45"/>
    </row>
    <row r="637">
      <c r="A637" s="45"/>
      <c r="B637" s="45"/>
      <c r="C637" s="45"/>
      <c r="D637" s="78"/>
      <c r="E637" s="45"/>
      <c r="F637" s="45"/>
    </row>
    <row r="638">
      <c r="A638" s="45"/>
      <c r="B638" s="45"/>
      <c r="C638" s="45"/>
      <c r="D638" s="78"/>
      <c r="E638" s="45"/>
      <c r="F638" s="45"/>
    </row>
    <row r="639">
      <c r="A639" s="45"/>
      <c r="B639" s="45"/>
      <c r="C639" s="45"/>
      <c r="D639" s="78"/>
      <c r="E639" s="45"/>
      <c r="F639" s="45"/>
    </row>
    <row r="640">
      <c r="A640" s="45"/>
      <c r="B640" s="45"/>
      <c r="C640" s="45"/>
      <c r="D640" s="78"/>
      <c r="E640" s="45"/>
      <c r="F640" s="45"/>
    </row>
    <row r="641">
      <c r="A641" s="45"/>
      <c r="B641" s="45"/>
      <c r="C641" s="45"/>
      <c r="D641" s="78"/>
      <c r="E641" s="45"/>
      <c r="F641" s="45"/>
    </row>
    <row r="642">
      <c r="A642" s="45"/>
      <c r="B642" s="45"/>
      <c r="C642" s="45"/>
      <c r="D642" s="78"/>
      <c r="E642" s="45"/>
      <c r="F642" s="45"/>
    </row>
    <row r="643">
      <c r="A643" s="45"/>
      <c r="B643" s="45"/>
      <c r="C643" s="45"/>
      <c r="D643" s="78"/>
      <c r="E643" s="45"/>
      <c r="F643" s="45"/>
    </row>
    <row r="644">
      <c r="A644" s="45"/>
      <c r="B644" s="45"/>
      <c r="C644" s="45"/>
      <c r="D644" s="78"/>
      <c r="E644" s="45"/>
      <c r="F644" s="45"/>
    </row>
    <row r="645">
      <c r="A645" s="45"/>
      <c r="B645" s="45"/>
      <c r="C645" s="45"/>
      <c r="D645" s="78"/>
      <c r="E645" s="45"/>
      <c r="F645" s="45"/>
    </row>
    <row r="646">
      <c r="A646" s="45"/>
      <c r="B646" s="45"/>
      <c r="C646" s="45"/>
      <c r="D646" s="78"/>
      <c r="E646" s="45"/>
      <c r="F646" s="45"/>
    </row>
    <row r="647">
      <c r="A647" s="45"/>
      <c r="B647" s="45"/>
      <c r="C647" s="45"/>
      <c r="D647" s="78"/>
      <c r="E647" s="45"/>
      <c r="F647" s="45"/>
    </row>
    <row r="648">
      <c r="A648" s="45"/>
      <c r="B648" s="45"/>
      <c r="C648" s="45"/>
      <c r="D648" s="78"/>
      <c r="E648" s="45"/>
      <c r="F648" s="45"/>
    </row>
    <row r="649">
      <c r="A649" s="45"/>
      <c r="B649" s="45"/>
      <c r="C649" s="45"/>
      <c r="D649" s="78"/>
      <c r="E649" s="45"/>
      <c r="F649" s="45"/>
    </row>
    <row r="650">
      <c r="A650" s="45"/>
      <c r="B650" s="45"/>
      <c r="C650" s="45"/>
      <c r="D650" s="78"/>
      <c r="E650" s="45"/>
      <c r="F650" s="45"/>
    </row>
    <row r="651">
      <c r="A651" s="45"/>
      <c r="B651" s="45"/>
      <c r="C651" s="45"/>
      <c r="D651" s="78"/>
      <c r="E651" s="45"/>
      <c r="F651" s="45"/>
    </row>
    <row r="652">
      <c r="A652" s="45"/>
      <c r="B652" s="45"/>
      <c r="C652" s="45"/>
      <c r="D652" s="78"/>
      <c r="E652" s="45"/>
      <c r="F652" s="45"/>
    </row>
    <row r="653">
      <c r="A653" s="45"/>
      <c r="B653" s="45"/>
      <c r="C653" s="45"/>
      <c r="D653" s="78"/>
      <c r="E653" s="45"/>
      <c r="F653" s="45"/>
    </row>
    <row r="654">
      <c r="A654" s="45"/>
      <c r="B654" s="45"/>
      <c r="C654" s="45"/>
      <c r="D654" s="78"/>
      <c r="E654" s="45"/>
      <c r="F654" s="45"/>
    </row>
    <row r="655">
      <c r="A655" s="45"/>
      <c r="B655" s="45"/>
      <c r="C655" s="45"/>
      <c r="D655" s="78"/>
      <c r="E655" s="45"/>
      <c r="F655" s="45"/>
    </row>
    <row r="656">
      <c r="A656" s="45"/>
      <c r="B656" s="45"/>
      <c r="C656" s="45"/>
      <c r="D656" s="78"/>
      <c r="E656" s="45"/>
      <c r="F656" s="45"/>
    </row>
    <row r="657">
      <c r="A657" s="45"/>
      <c r="B657" s="45"/>
      <c r="C657" s="45"/>
      <c r="D657" s="78"/>
      <c r="E657" s="45"/>
      <c r="F657" s="45"/>
    </row>
    <row r="658">
      <c r="A658" s="45"/>
      <c r="B658" s="45"/>
      <c r="C658" s="45"/>
      <c r="D658" s="78"/>
      <c r="E658" s="45"/>
      <c r="F658" s="45"/>
    </row>
    <row r="659">
      <c r="A659" s="45"/>
      <c r="B659" s="45"/>
      <c r="C659" s="45"/>
      <c r="D659" s="78"/>
      <c r="E659" s="45"/>
      <c r="F659" s="45"/>
    </row>
    <row r="660">
      <c r="A660" s="45"/>
      <c r="B660" s="45"/>
      <c r="C660" s="45"/>
      <c r="D660" s="78"/>
      <c r="E660" s="45"/>
      <c r="F660" s="45"/>
    </row>
    <row r="661">
      <c r="A661" s="45"/>
      <c r="B661" s="45"/>
      <c r="C661" s="45"/>
      <c r="D661" s="78"/>
      <c r="E661" s="45"/>
      <c r="F661" s="45"/>
    </row>
    <row r="662">
      <c r="A662" s="45"/>
      <c r="B662" s="45"/>
      <c r="C662" s="45"/>
      <c r="D662" s="78"/>
      <c r="E662" s="45"/>
      <c r="F662" s="45"/>
    </row>
    <row r="663">
      <c r="A663" s="45"/>
      <c r="B663" s="45"/>
      <c r="C663" s="45"/>
      <c r="D663" s="78"/>
      <c r="E663" s="45"/>
      <c r="F663" s="45"/>
    </row>
    <row r="664">
      <c r="A664" s="45"/>
      <c r="B664" s="45"/>
      <c r="C664" s="45"/>
      <c r="D664" s="78"/>
      <c r="E664" s="45"/>
      <c r="F664" s="45"/>
    </row>
    <row r="665">
      <c r="A665" s="45"/>
      <c r="B665" s="45"/>
      <c r="C665" s="45"/>
      <c r="D665" s="78"/>
      <c r="E665" s="45"/>
      <c r="F665" s="45"/>
    </row>
    <row r="666">
      <c r="A666" s="45"/>
      <c r="B666" s="45"/>
      <c r="C666" s="45"/>
      <c r="D666" s="78"/>
      <c r="E666" s="45"/>
      <c r="F666" s="45"/>
    </row>
    <row r="667">
      <c r="A667" s="45"/>
      <c r="B667" s="45"/>
      <c r="C667" s="45"/>
      <c r="D667" s="78"/>
      <c r="E667" s="45"/>
      <c r="F667" s="45"/>
    </row>
    <row r="668">
      <c r="A668" s="45"/>
      <c r="B668" s="45"/>
      <c r="C668" s="45"/>
      <c r="D668" s="78"/>
      <c r="E668" s="45"/>
      <c r="F668" s="45"/>
    </row>
    <row r="669">
      <c r="A669" s="45"/>
      <c r="B669" s="45"/>
      <c r="C669" s="45"/>
      <c r="D669" s="78"/>
      <c r="E669" s="45"/>
      <c r="F669" s="45"/>
    </row>
    <row r="670">
      <c r="A670" s="45"/>
      <c r="B670" s="45"/>
      <c r="C670" s="45"/>
      <c r="D670" s="78"/>
      <c r="E670" s="45"/>
      <c r="F670" s="45"/>
    </row>
    <row r="671">
      <c r="A671" s="45"/>
      <c r="B671" s="45"/>
      <c r="C671" s="45"/>
      <c r="D671" s="78"/>
      <c r="E671" s="45"/>
      <c r="F671" s="45"/>
    </row>
    <row r="672">
      <c r="A672" s="45"/>
      <c r="B672" s="45"/>
      <c r="C672" s="45"/>
      <c r="D672" s="78"/>
      <c r="E672" s="45"/>
      <c r="F672" s="45"/>
    </row>
    <row r="673">
      <c r="A673" s="45"/>
      <c r="B673" s="45"/>
      <c r="C673" s="45"/>
      <c r="D673" s="78"/>
      <c r="E673" s="45"/>
      <c r="F673" s="45"/>
    </row>
    <row r="674">
      <c r="A674" s="45"/>
      <c r="B674" s="45"/>
      <c r="C674" s="45"/>
      <c r="D674" s="78"/>
      <c r="E674" s="45"/>
      <c r="F674" s="45"/>
    </row>
    <row r="675">
      <c r="A675" s="45"/>
      <c r="B675" s="45"/>
      <c r="C675" s="45"/>
      <c r="D675" s="78"/>
      <c r="E675" s="45"/>
      <c r="F675" s="45"/>
    </row>
    <row r="676">
      <c r="A676" s="45"/>
      <c r="B676" s="45"/>
      <c r="C676" s="45"/>
      <c r="D676" s="78"/>
      <c r="E676" s="45"/>
      <c r="F676" s="45"/>
    </row>
    <row r="677">
      <c r="A677" s="45"/>
      <c r="B677" s="45"/>
      <c r="C677" s="45"/>
      <c r="D677" s="78"/>
      <c r="E677" s="45"/>
      <c r="F677" s="45"/>
    </row>
    <row r="678">
      <c r="A678" s="45"/>
      <c r="B678" s="45"/>
      <c r="C678" s="45"/>
      <c r="D678" s="78"/>
      <c r="E678" s="45"/>
      <c r="F678" s="45"/>
    </row>
    <row r="679">
      <c r="A679" s="45"/>
      <c r="B679" s="45"/>
      <c r="C679" s="45"/>
      <c r="D679" s="78"/>
      <c r="E679" s="45"/>
      <c r="F679" s="45"/>
    </row>
    <row r="680">
      <c r="A680" s="45"/>
      <c r="B680" s="45"/>
      <c r="C680" s="45"/>
      <c r="D680" s="78"/>
      <c r="E680" s="45"/>
      <c r="F680" s="45"/>
    </row>
    <row r="681">
      <c r="A681" s="45"/>
      <c r="B681" s="45"/>
      <c r="C681" s="45"/>
      <c r="D681" s="78"/>
      <c r="E681" s="45"/>
      <c r="F681" s="45"/>
    </row>
    <row r="682">
      <c r="A682" s="45"/>
      <c r="B682" s="45"/>
      <c r="C682" s="45"/>
      <c r="D682" s="78"/>
      <c r="E682" s="45"/>
      <c r="F682" s="45"/>
    </row>
    <row r="683">
      <c r="A683" s="45"/>
      <c r="B683" s="45"/>
      <c r="C683" s="45"/>
      <c r="D683" s="78"/>
      <c r="E683" s="45"/>
      <c r="F683" s="45"/>
    </row>
    <row r="684">
      <c r="A684" s="45"/>
      <c r="B684" s="45"/>
      <c r="C684" s="45"/>
      <c r="D684" s="78"/>
      <c r="E684" s="45"/>
      <c r="F684" s="45"/>
    </row>
    <row r="685">
      <c r="A685" s="45"/>
      <c r="B685" s="45"/>
      <c r="C685" s="45"/>
      <c r="D685" s="78"/>
      <c r="E685" s="45"/>
      <c r="F685" s="45"/>
    </row>
    <row r="686">
      <c r="A686" s="45"/>
      <c r="B686" s="45"/>
      <c r="C686" s="45"/>
      <c r="D686" s="78"/>
      <c r="E686" s="45"/>
      <c r="F686" s="45"/>
    </row>
    <row r="687">
      <c r="A687" s="45"/>
      <c r="B687" s="45"/>
      <c r="C687" s="45"/>
      <c r="D687" s="78"/>
      <c r="E687" s="45"/>
      <c r="F687" s="45"/>
    </row>
    <row r="688">
      <c r="A688" s="45"/>
      <c r="B688" s="45"/>
      <c r="C688" s="45"/>
      <c r="D688" s="78"/>
      <c r="E688" s="45"/>
      <c r="F688" s="45"/>
    </row>
    <row r="689">
      <c r="A689" s="45"/>
      <c r="B689" s="45"/>
      <c r="C689" s="45"/>
      <c r="D689" s="78"/>
      <c r="E689" s="45"/>
      <c r="F689" s="45"/>
    </row>
    <row r="690">
      <c r="A690" s="45"/>
      <c r="B690" s="45"/>
      <c r="C690" s="45"/>
      <c r="D690" s="78"/>
      <c r="E690" s="45"/>
      <c r="F690" s="45"/>
    </row>
    <row r="691">
      <c r="A691" s="45"/>
      <c r="B691" s="45"/>
      <c r="C691" s="45"/>
      <c r="D691" s="78"/>
      <c r="E691" s="45"/>
      <c r="F691" s="45"/>
    </row>
    <row r="692">
      <c r="A692" s="45"/>
      <c r="B692" s="45"/>
      <c r="C692" s="45"/>
      <c r="D692" s="78"/>
      <c r="E692" s="45"/>
      <c r="F692" s="45"/>
    </row>
    <row r="693">
      <c r="A693" s="45"/>
      <c r="B693" s="45"/>
      <c r="C693" s="45"/>
      <c r="D693" s="78"/>
      <c r="E693" s="45"/>
      <c r="F693" s="45"/>
    </row>
    <row r="694">
      <c r="A694" s="45"/>
      <c r="B694" s="45"/>
      <c r="C694" s="45"/>
      <c r="D694" s="78"/>
      <c r="E694" s="45"/>
      <c r="F694" s="45"/>
    </row>
    <row r="695">
      <c r="A695" s="45"/>
      <c r="B695" s="45"/>
      <c r="C695" s="45"/>
      <c r="D695" s="78"/>
      <c r="E695" s="45"/>
      <c r="F695" s="45"/>
    </row>
    <row r="696">
      <c r="A696" s="45"/>
      <c r="B696" s="45"/>
      <c r="C696" s="45"/>
      <c r="D696" s="78"/>
      <c r="E696" s="45"/>
      <c r="F696" s="45"/>
    </row>
    <row r="697">
      <c r="A697" s="45"/>
      <c r="B697" s="45"/>
      <c r="C697" s="45"/>
      <c r="D697" s="78"/>
      <c r="E697" s="45"/>
      <c r="F697" s="45"/>
    </row>
    <row r="698">
      <c r="A698" s="45"/>
      <c r="B698" s="45"/>
      <c r="C698" s="45"/>
      <c r="D698" s="78"/>
      <c r="E698" s="45"/>
      <c r="F698" s="45"/>
    </row>
    <row r="699">
      <c r="A699" s="45"/>
      <c r="B699" s="45"/>
      <c r="C699" s="45"/>
      <c r="D699" s="78"/>
      <c r="E699" s="45"/>
      <c r="F699" s="45"/>
    </row>
    <row r="700">
      <c r="A700" s="45"/>
      <c r="B700" s="45"/>
      <c r="C700" s="45"/>
      <c r="D700" s="78"/>
      <c r="E700" s="45"/>
      <c r="F700" s="45"/>
    </row>
    <row r="701">
      <c r="A701" s="45"/>
      <c r="B701" s="45"/>
      <c r="C701" s="45"/>
      <c r="D701" s="78"/>
      <c r="E701" s="45"/>
      <c r="F701" s="45"/>
    </row>
    <row r="702">
      <c r="A702" s="45"/>
      <c r="B702" s="45"/>
      <c r="C702" s="45"/>
      <c r="D702" s="78"/>
      <c r="E702" s="45"/>
      <c r="F702" s="45"/>
    </row>
    <row r="703">
      <c r="A703" s="45"/>
      <c r="B703" s="45"/>
      <c r="C703" s="45"/>
      <c r="D703" s="78"/>
      <c r="E703" s="45"/>
      <c r="F703" s="45"/>
    </row>
    <row r="704">
      <c r="A704" s="45"/>
      <c r="B704" s="45"/>
      <c r="C704" s="45"/>
      <c r="D704" s="78"/>
      <c r="E704" s="45"/>
      <c r="F704" s="45"/>
    </row>
    <row r="705">
      <c r="A705" s="45"/>
      <c r="B705" s="45"/>
      <c r="C705" s="45"/>
      <c r="D705" s="78"/>
      <c r="E705" s="45"/>
      <c r="F705" s="45"/>
    </row>
    <row r="706">
      <c r="A706" s="45"/>
      <c r="B706" s="45"/>
      <c r="C706" s="45"/>
      <c r="D706" s="78"/>
      <c r="E706" s="45"/>
      <c r="F706" s="45"/>
    </row>
    <row r="707">
      <c r="A707" s="45"/>
      <c r="B707" s="45"/>
      <c r="C707" s="45"/>
      <c r="D707" s="78"/>
      <c r="E707" s="45"/>
      <c r="F707" s="45"/>
    </row>
    <row r="708">
      <c r="A708" s="45"/>
      <c r="B708" s="45"/>
      <c r="C708" s="45"/>
      <c r="D708" s="78"/>
      <c r="E708" s="45"/>
      <c r="F708" s="45"/>
    </row>
    <row r="709">
      <c r="A709" s="45"/>
      <c r="B709" s="45"/>
      <c r="C709" s="45"/>
      <c r="D709" s="78"/>
      <c r="E709" s="45"/>
      <c r="F709" s="45"/>
    </row>
    <row r="710">
      <c r="A710" s="45"/>
      <c r="B710" s="45"/>
      <c r="C710" s="45"/>
      <c r="D710" s="78"/>
      <c r="E710" s="45"/>
      <c r="F710" s="45"/>
    </row>
    <row r="711">
      <c r="A711" s="45"/>
      <c r="B711" s="45"/>
      <c r="C711" s="45"/>
      <c r="D711" s="78"/>
      <c r="E711" s="45"/>
      <c r="F711" s="45"/>
    </row>
    <row r="712">
      <c r="A712" s="45"/>
      <c r="B712" s="45"/>
      <c r="C712" s="45"/>
      <c r="D712" s="78"/>
      <c r="E712" s="45"/>
      <c r="F712" s="45"/>
    </row>
    <row r="713">
      <c r="A713" s="45"/>
      <c r="B713" s="45"/>
      <c r="C713" s="45"/>
      <c r="D713" s="78"/>
      <c r="E713" s="45"/>
      <c r="F713" s="45"/>
    </row>
    <row r="714">
      <c r="A714" s="45"/>
      <c r="B714" s="45"/>
      <c r="C714" s="45"/>
      <c r="D714" s="78"/>
      <c r="E714" s="45"/>
      <c r="F714" s="45"/>
    </row>
    <row r="715">
      <c r="A715" s="45"/>
      <c r="B715" s="45"/>
      <c r="C715" s="45"/>
      <c r="D715" s="78"/>
      <c r="E715" s="45"/>
      <c r="F715" s="45"/>
    </row>
    <row r="716">
      <c r="A716" s="45"/>
      <c r="B716" s="45"/>
      <c r="C716" s="45"/>
      <c r="D716" s="78"/>
      <c r="E716" s="45"/>
      <c r="F716" s="45"/>
    </row>
    <row r="717">
      <c r="A717" s="45"/>
      <c r="B717" s="45"/>
      <c r="C717" s="45"/>
      <c r="D717" s="78"/>
      <c r="E717" s="45"/>
      <c r="F717" s="45"/>
    </row>
    <row r="718">
      <c r="A718" s="45"/>
      <c r="B718" s="45"/>
      <c r="C718" s="45"/>
      <c r="D718" s="78"/>
      <c r="E718" s="45"/>
      <c r="F718" s="45"/>
    </row>
    <row r="719">
      <c r="A719" s="45"/>
      <c r="B719" s="45"/>
      <c r="C719" s="45"/>
      <c r="D719" s="78"/>
      <c r="E719" s="45"/>
      <c r="F719" s="45"/>
    </row>
    <row r="720">
      <c r="A720" s="45"/>
      <c r="B720" s="45"/>
      <c r="C720" s="45"/>
      <c r="D720" s="78"/>
      <c r="E720" s="45"/>
      <c r="F720" s="45"/>
    </row>
    <row r="721">
      <c r="A721" s="45"/>
      <c r="B721" s="45"/>
      <c r="C721" s="45"/>
      <c r="D721" s="78"/>
      <c r="E721" s="45"/>
      <c r="F721" s="45"/>
    </row>
    <row r="722">
      <c r="A722" s="45"/>
      <c r="B722" s="45"/>
      <c r="C722" s="45"/>
      <c r="D722" s="78"/>
      <c r="E722" s="45"/>
      <c r="F722" s="45"/>
    </row>
    <row r="723">
      <c r="A723" s="45"/>
      <c r="B723" s="45"/>
      <c r="C723" s="45"/>
      <c r="D723" s="78"/>
      <c r="E723" s="45"/>
      <c r="F723" s="45"/>
    </row>
    <row r="724">
      <c r="A724" s="45"/>
      <c r="B724" s="45"/>
      <c r="C724" s="45"/>
      <c r="D724" s="78"/>
      <c r="E724" s="45"/>
      <c r="F724" s="45"/>
    </row>
    <row r="725">
      <c r="A725" s="45"/>
      <c r="B725" s="45"/>
      <c r="C725" s="45"/>
      <c r="D725" s="78"/>
      <c r="E725" s="45"/>
      <c r="F725" s="45"/>
    </row>
    <row r="726">
      <c r="A726" s="45"/>
      <c r="B726" s="45"/>
      <c r="C726" s="45"/>
      <c r="D726" s="78"/>
      <c r="E726" s="45"/>
      <c r="F726" s="45"/>
    </row>
    <row r="727">
      <c r="A727" s="45"/>
      <c r="B727" s="45"/>
      <c r="C727" s="45"/>
      <c r="D727" s="78"/>
      <c r="E727" s="45"/>
      <c r="F727" s="45"/>
    </row>
    <row r="728">
      <c r="A728" s="45"/>
      <c r="B728" s="45"/>
      <c r="C728" s="45"/>
      <c r="D728" s="78"/>
      <c r="E728" s="45"/>
      <c r="F728" s="45"/>
    </row>
    <row r="729">
      <c r="A729" s="45"/>
      <c r="B729" s="45"/>
      <c r="C729" s="45"/>
      <c r="D729" s="78"/>
      <c r="E729" s="45"/>
      <c r="F729" s="45"/>
    </row>
    <row r="730">
      <c r="A730" s="45"/>
      <c r="B730" s="45"/>
      <c r="C730" s="45"/>
      <c r="D730" s="78"/>
      <c r="E730" s="45"/>
      <c r="F730" s="45"/>
    </row>
    <row r="731">
      <c r="A731" s="45"/>
      <c r="B731" s="45"/>
      <c r="C731" s="45"/>
      <c r="D731" s="78"/>
      <c r="E731" s="45"/>
      <c r="F731" s="45"/>
    </row>
    <row r="732">
      <c r="A732" s="45"/>
      <c r="B732" s="45"/>
      <c r="C732" s="45"/>
      <c r="D732" s="78"/>
      <c r="E732" s="45"/>
      <c r="F732" s="45"/>
    </row>
    <row r="733">
      <c r="A733" s="45"/>
      <c r="B733" s="45"/>
      <c r="C733" s="45"/>
      <c r="D733" s="78"/>
      <c r="E733" s="45"/>
      <c r="F733" s="45"/>
    </row>
    <row r="734">
      <c r="A734" s="45"/>
      <c r="B734" s="45"/>
      <c r="C734" s="45"/>
      <c r="D734" s="78"/>
      <c r="E734" s="45"/>
      <c r="F734" s="45"/>
    </row>
    <row r="735">
      <c r="A735" s="45"/>
      <c r="B735" s="45"/>
      <c r="C735" s="45"/>
      <c r="D735" s="78"/>
      <c r="E735" s="45"/>
      <c r="F735" s="45"/>
    </row>
    <row r="736">
      <c r="A736" s="45"/>
      <c r="B736" s="45"/>
      <c r="C736" s="45"/>
      <c r="D736" s="78"/>
      <c r="E736" s="45"/>
      <c r="F736" s="45"/>
    </row>
    <row r="737">
      <c r="A737" s="45"/>
      <c r="B737" s="45"/>
      <c r="C737" s="45"/>
      <c r="D737" s="78"/>
      <c r="E737" s="45"/>
      <c r="F737" s="45"/>
    </row>
    <row r="738">
      <c r="A738" s="45"/>
      <c r="B738" s="45"/>
      <c r="C738" s="45"/>
      <c r="D738" s="78"/>
      <c r="E738" s="45"/>
      <c r="F738" s="45"/>
    </row>
    <row r="739">
      <c r="A739" s="45"/>
      <c r="B739" s="45"/>
      <c r="C739" s="45"/>
      <c r="D739" s="78"/>
      <c r="E739" s="45"/>
      <c r="F739" s="45"/>
    </row>
    <row r="740">
      <c r="A740" s="45"/>
      <c r="B740" s="45"/>
      <c r="C740" s="45"/>
      <c r="D740" s="78"/>
      <c r="E740" s="45"/>
      <c r="F740" s="45"/>
    </row>
    <row r="741">
      <c r="A741" s="45"/>
      <c r="B741" s="45"/>
      <c r="C741" s="45"/>
      <c r="D741" s="78"/>
      <c r="E741" s="45"/>
      <c r="F741" s="45"/>
    </row>
    <row r="742">
      <c r="A742" s="45"/>
      <c r="B742" s="45"/>
      <c r="C742" s="45"/>
      <c r="D742" s="78"/>
      <c r="E742" s="45"/>
      <c r="F742" s="45"/>
    </row>
    <row r="743">
      <c r="A743" s="45"/>
      <c r="B743" s="45"/>
      <c r="C743" s="45"/>
      <c r="D743" s="78"/>
      <c r="E743" s="45"/>
      <c r="F743" s="45"/>
    </row>
    <row r="744">
      <c r="A744" s="45"/>
      <c r="B744" s="45"/>
      <c r="C744" s="45"/>
      <c r="D744" s="78"/>
      <c r="E744" s="45"/>
      <c r="F744" s="45"/>
    </row>
    <row r="745">
      <c r="A745" s="45"/>
      <c r="B745" s="45"/>
      <c r="C745" s="45"/>
      <c r="D745" s="78"/>
      <c r="E745" s="45"/>
      <c r="F745" s="45"/>
    </row>
    <row r="746">
      <c r="A746" s="45"/>
      <c r="B746" s="45"/>
      <c r="C746" s="45"/>
      <c r="D746" s="78"/>
      <c r="E746" s="45"/>
      <c r="F746" s="45"/>
    </row>
    <row r="747">
      <c r="A747" s="45"/>
      <c r="B747" s="45"/>
      <c r="C747" s="45"/>
      <c r="D747" s="78"/>
      <c r="E747" s="45"/>
      <c r="F747" s="45"/>
    </row>
    <row r="748">
      <c r="A748" s="45"/>
      <c r="B748" s="45"/>
      <c r="C748" s="45"/>
      <c r="D748" s="78"/>
      <c r="E748" s="45"/>
      <c r="F748" s="45"/>
    </row>
    <row r="749">
      <c r="A749" s="45"/>
      <c r="B749" s="45"/>
      <c r="C749" s="45"/>
      <c r="D749" s="78"/>
      <c r="E749" s="45"/>
      <c r="F749" s="45"/>
    </row>
    <row r="750">
      <c r="A750" s="45"/>
      <c r="B750" s="45"/>
      <c r="C750" s="45"/>
      <c r="D750" s="78"/>
      <c r="E750" s="45"/>
      <c r="F750" s="45"/>
    </row>
    <row r="751">
      <c r="A751" s="45"/>
      <c r="B751" s="45"/>
      <c r="C751" s="45"/>
      <c r="D751" s="78"/>
      <c r="E751" s="45"/>
      <c r="F751" s="45"/>
    </row>
    <row r="752">
      <c r="A752" s="45"/>
      <c r="B752" s="45"/>
      <c r="C752" s="45"/>
      <c r="D752" s="78"/>
      <c r="E752" s="45"/>
      <c r="F752" s="45"/>
    </row>
    <row r="753">
      <c r="A753" s="45"/>
      <c r="B753" s="45"/>
      <c r="C753" s="45"/>
      <c r="D753" s="78"/>
      <c r="E753" s="45"/>
      <c r="F753" s="45"/>
    </row>
    <row r="754">
      <c r="A754" s="45"/>
      <c r="B754" s="45"/>
      <c r="C754" s="45"/>
      <c r="D754" s="78"/>
      <c r="E754" s="45"/>
      <c r="F754" s="45"/>
    </row>
    <row r="755">
      <c r="A755" s="45"/>
      <c r="B755" s="45"/>
      <c r="C755" s="45"/>
      <c r="D755" s="78"/>
      <c r="E755" s="45"/>
      <c r="F755" s="45"/>
    </row>
    <row r="756">
      <c r="A756" s="45"/>
      <c r="B756" s="45"/>
      <c r="C756" s="45"/>
      <c r="D756" s="78"/>
      <c r="E756" s="45"/>
      <c r="F756" s="45"/>
    </row>
    <row r="757">
      <c r="A757" s="45"/>
      <c r="B757" s="45"/>
      <c r="C757" s="45"/>
      <c r="D757" s="78"/>
      <c r="E757" s="45"/>
      <c r="F757" s="45"/>
    </row>
    <row r="758">
      <c r="A758" s="45"/>
      <c r="B758" s="45"/>
      <c r="C758" s="45"/>
      <c r="D758" s="78"/>
      <c r="E758" s="45"/>
      <c r="F758" s="45"/>
    </row>
    <row r="759">
      <c r="A759" s="45"/>
      <c r="B759" s="45"/>
      <c r="C759" s="45"/>
      <c r="D759" s="78"/>
      <c r="E759" s="45"/>
      <c r="F759" s="45"/>
    </row>
    <row r="760">
      <c r="A760" s="45"/>
      <c r="B760" s="45"/>
      <c r="C760" s="45"/>
      <c r="D760" s="78"/>
      <c r="E760" s="45"/>
      <c r="F760" s="45"/>
    </row>
    <row r="761">
      <c r="A761" s="45"/>
      <c r="B761" s="45"/>
      <c r="C761" s="45"/>
      <c r="D761" s="78"/>
      <c r="E761" s="45"/>
      <c r="F761" s="45"/>
    </row>
    <row r="762">
      <c r="A762" s="45"/>
      <c r="B762" s="45"/>
      <c r="C762" s="45"/>
      <c r="D762" s="78"/>
      <c r="E762" s="45"/>
      <c r="F762" s="45"/>
    </row>
    <row r="763">
      <c r="A763" s="45"/>
      <c r="B763" s="45"/>
      <c r="C763" s="45"/>
      <c r="D763" s="78"/>
      <c r="E763" s="45"/>
      <c r="F763" s="45"/>
    </row>
    <row r="764">
      <c r="A764" s="45"/>
      <c r="B764" s="45"/>
      <c r="C764" s="45"/>
      <c r="D764" s="78"/>
      <c r="E764" s="45"/>
      <c r="F764" s="45"/>
    </row>
    <row r="765">
      <c r="A765" s="45"/>
      <c r="B765" s="45"/>
      <c r="C765" s="45"/>
      <c r="D765" s="78"/>
      <c r="E765" s="45"/>
      <c r="F765" s="45"/>
    </row>
    <row r="766">
      <c r="A766" s="45"/>
      <c r="B766" s="45"/>
      <c r="C766" s="45"/>
      <c r="D766" s="78"/>
      <c r="E766" s="45"/>
      <c r="F766" s="45"/>
    </row>
    <row r="767">
      <c r="A767" s="45"/>
      <c r="B767" s="45"/>
      <c r="C767" s="45"/>
      <c r="D767" s="78"/>
      <c r="E767" s="45"/>
      <c r="F767" s="45"/>
    </row>
    <row r="768">
      <c r="A768" s="45"/>
      <c r="B768" s="45"/>
      <c r="C768" s="45"/>
      <c r="D768" s="78"/>
      <c r="E768" s="45"/>
      <c r="F768" s="45"/>
    </row>
    <row r="769">
      <c r="A769" s="45"/>
      <c r="B769" s="45"/>
      <c r="C769" s="45"/>
      <c r="D769" s="78"/>
      <c r="E769" s="45"/>
      <c r="F769" s="45"/>
    </row>
    <row r="770">
      <c r="A770" s="45"/>
      <c r="B770" s="45"/>
      <c r="C770" s="45"/>
      <c r="D770" s="78"/>
      <c r="E770" s="45"/>
      <c r="F770" s="45"/>
    </row>
    <row r="771">
      <c r="A771" s="45"/>
      <c r="B771" s="45"/>
      <c r="C771" s="45"/>
      <c r="D771" s="78"/>
      <c r="E771" s="45"/>
      <c r="F771" s="45"/>
    </row>
    <row r="772">
      <c r="A772" s="45"/>
      <c r="B772" s="45"/>
      <c r="C772" s="45"/>
      <c r="D772" s="78"/>
      <c r="E772" s="45"/>
      <c r="F772" s="45"/>
    </row>
    <row r="773">
      <c r="A773" s="45"/>
      <c r="B773" s="45"/>
      <c r="C773" s="45"/>
      <c r="D773" s="78"/>
      <c r="E773" s="45"/>
      <c r="F773" s="45"/>
    </row>
    <row r="774">
      <c r="A774" s="45"/>
      <c r="B774" s="45"/>
      <c r="C774" s="45"/>
      <c r="D774" s="78"/>
      <c r="E774" s="45"/>
      <c r="F774" s="45"/>
    </row>
    <row r="775">
      <c r="A775" s="45"/>
      <c r="B775" s="45"/>
      <c r="C775" s="45"/>
      <c r="D775" s="78"/>
      <c r="E775" s="45"/>
      <c r="F775" s="45"/>
    </row>
    <row r="776">
      <c r="A776" s="45"/>
      <c r="B776" s="45"/>
      <c r="C776" s="45"/>
      <c r="D776" s="78"/>
      <c r="E776" s="45"/>
      <c r="F776" s="45"/>
    </row>
    <row r="777">
      <c r="A777" s="45"/>
      <c r="B777" s="45"/>
      <c r="C777" s="45"/>
      <c r="D777" s="78"/>
      <c r="E777" s="45"/>
      <c r="F777" s="45"/>
    </row>
    <row r="778">
      <c r="A778" s="45"/>
      <c r="B778" s="45"/>
      <c r="C778" s="45"/>
      <c r="D778" s="78"/>
      <c r="E778" s="45"/>
      <c r="F778" s="45"/>
    </row>
    <row r="779">
      <c r="A779" s="45"/>
      <c r="B779" s="45"/>
      <c r="C779" s="45"/>
      <c r="D779" s="78"/>
      <c r="E779" s="45"/>
      <c r="F779" s="45"/>
    </row>
    <row r="780">
      <c r="A780" s="45"/>
      <c r="B780" s="45"/>
      <c r="C780" s="45"/>
      <c r="D780" s="78"/>
      <c r="E780" s="45"/>
      <c r="F780" s="45"/>
    </row>
    <row r="781">
      <c r="A781" s="45"/>
      <c r="B781" s="45"/>
      <c r="C781" s="45"/>
      <c r="D781" s="78"/>
      <c r="E781" s="45"/>
      <c r="F781" s="45"/>
    </row>
    <row r="782">
      <c r="A782" s="45"/>
      <c r="B782" s="45"/>
      <c r="C782" s="45"/>
      <c r="D782" s="78"/>
      <c r="E782" s="45"/>
      <c r="F782" s="45"/>
    </row>
    <row r="783">
      <c r="A783" s="45"/>
      <c r="B783" s="45"/>
      <c r="C783" s="45"/>
      <c r="D783" s="78"/>
      <c r="E783" s="45"/>
      <c r="F783" s="45"/>
    </row>
    <row r="784">
      <c r="A784" s="45"/>
      <c r="B784" s="45"/>
      <c r="C784" s="45"/>
      <c r="D784" s="78"/>
      <c r="E784" s="45"/>
      <c r="F784" s="45"/>
    </row>
    <row r="785">
      <c r="A785" s="45"/>
      <c r="B785" s="45"/>
      <c r="C785" s="45"/>
      <c r="D785" s="78"/>
      <c r="E785" s="45"/>
      <c r="F785" s="45"/>
    </row>
    <row r="786">
      <c r="A786" s="45"/>
      <c r="B786" s="45"/>
      <c r="C786" s="45"/>
      <c r="D786" s="78"/>
      <c r="E786" s="45"/>
      <c r="F786" s="45"/>
    </row>
    <row r="787">
      <c r="A787" s="45"/>
      <c r="B787" s="45"/>
      <c r="C787" s="45"/>
      <c r="D787" s="78"/>
      <c r="E787" s="45"/>
      <c r="F787" s="45"/>
    </row>
    <row r="788">
      <c r="A788" s="45"/>
      <c r="B788" s="45"/>
      <c r="C788" s="45"/>
      <c r="D788" s="78"/>
      <c r="E788" s="45"/>
      <c r="F788" s="45"/>
    </row>
    <row r="789">
      <c r="A789" s="45"/>
      <c r="B789" s="45"/>
      <c r="C789" s="45"/>
      <c r="D789" s="78"/>
      <c r="E789" s="45"/>
      <c r="F789" s="45"/>
    </row>
    <row r="790">
      <c r="A790" s="45"/>
      <c r="B790" s="45"/>
      <c r="C790" s="45"/>
      <c r="D790" s="78"/>
      <c r="E790" s="45"/>
      <c r="F790" s="45"/>
    </row>
    <row r="791">
      <c r="A791" s="45"/>
      <c r="B791" s="45"/>
      <c r="C791" s="45"/>
      <c r="D791" s="78"/>
      <c r="E791" s="45"/>
      <c r="F791" s="45"/>
    </row>
    <row r="792">
      <c r="A792" s="45"/>
      <c r="B792" s="45"/>
      <c r="C792" s="45"/>
      <c r="D792" s="78"/>
      <c r="E792" s="45"/>
      <c r="F792" s="45"/>
    </row>
    <row r="793">
      <c r="A793" s="45"/>
      <c r="B793" s="45"/>
      <c r="C793" s="45"/>
      <c r="D793" s="78"/>
      <c r="E793" s="45"/>
      <c r="F793" s="45"/>
    </row>
    <row r="794">
      <c r="A794" s="45"/>
      <c r="B794" s="45"/>
      <c r="C794" s="45"/>
      <c r="D794" s="78"/>
      <c r="E794" s="45"/>
      <c r="F794" s="45"/>
    </row>
    <row r="795">
      <c r="A795" s="45"/>
      <c r="B795" s="45"/>
      <c r="C795" s="45"/>
      <c r="D795" s="78"/>
      <c r="E795" s="45"/>
      <c r="F795" s="45"/>
    </row>
    <row r="796">
      <c r="A796" s="45"/>
      <c r="B796" s="45"/>
      <c r="C796" s="45"/>
      <c r="D796" s="78"/>
      <c r="E796" s="45"/>
      <c r="F796" s="45"/>
    </row>
    <row r="797">
      <c r="A797" s="45"/>
      <c r="B797" s="45"/>
      <c r="C797" s="45"/>
      <c r="D797" s="78"/>
      <c r="E797" s="45"/>
      <c r="F797" s="45"/>
    </row>
    <row r="798">
      <c r="A798" s="45"/>
      <c r="B798" s="45"/>
      <c r="C798" s="45"/>
      <c r="D798" s="78"/>
      <c r="E798" s="45"/>
      <c r="F798" s="45"/>
    </row>
    <row r="799">
      <c r="A799" s="45"/>
      <c r="B799" s="45"/>
      <c r="C799" s="45"/>
      <c r="D799" s="78"/>
      <c r="E799" s="45"/>
      <c r="F799" s="45"/>
    </row>
    <row r="800">
      <c r="A800" s="45"/>
      <c r="B800" s="45"/>
      <c r="C800" s="45"/>
      <c r="D800" s="78"/>
      <c r="E800" s="45"/>
      <c r="F800" s="45"/>
    </row>
    <row r="801">
      <c r="A801" s="45"/>
      <c r="B801" s="45"/>
      <c r="C801" s="45"/>
      <c r="D801" s="78"/>
      <c r="E801" s="45"/>
      <c r="F801" s="45"/>
    </row>
    <row r="802">
      <c r="A802" s="45"/>
      <c r="B802" s="45"/>
      <c r="C802" s="45"/>
      <c r="D802" s="78"/>
      <c r="E802" s="45"/>
      <c r="F802" s="45"/>
    </row>
    <row r="803">
      <c r="A803" s="45"/>
      <c r="B803" s="45"/>
      <c r="C803" s="45"/>
      <c r="D803" s="78"/>
      <c r="E803" s="45"/>
      <c r="F803" s="45"/>
    </row>
    <row r="804">
      <c r="A804" s="45"/>
      <c r="B804" s="45"/>
      <c r="C804" s="45"/>
      <c r="D804" s="78"/>
      <c r="E804" s="45"/>
      <c r="F804" s="45"/>
    </row>
    <row r="805">
      <c r="A805" s="45"/>
      <c r="B805" s="45"/>
      <c r="C805" s="45"/>
      <c r="D805" s="78"/>
      <c r="E805" s="45"/>
      <c r="F805" s="45"/>
    </row>
    <row r="806">
      <c r="A806" s="45"/>
      <c r="B806" s="45"/>
      <c r="C806" s="45"/>
      <c r="D806" s="78"/>
      <c r="E806" s="45"/>
      <c r="F806" s="45"/>
    </row>
    <row r="807">
      <c r="A807" s="45"/>
      <c r="B807" s="45"/>
      <c r="C807" s="45"/>
      <c r="D807" s="78"/>
      <c r="E807" s="45"/>
      <c r="F807" s="45"/>
    </row>
    <row r="808">
      <c r="A808" s="45"/>
      <c r="B808" s="45"/>
      <c r="C808" s="45"/>
      <c r="D808" s="78"/>
      <c r="E808" s="45"/>
      <c r="F808" s="45"/>
    </row>
    <row r="809">
      <c r="A809" s="45"/>
      <c r="B809" s="45"/>
      <c r="C809" s="45"/>
      <c r="D809" s="78"/>
      <c r="E809" s="45"/>
      <c r="F809" s="45"/>
    </row>
    <row r="810">
      <c r="A810" s="45"/>
      <c r="B810" s="45"/>
      <c r="C810" s="45"/>
      <c r="D810" s="78"/>
      <c r="E810" s="45"/>
      <c r="F810" s="45"/>
    </row>
    <row r="811">
      <c r="A811" s="45"/>
      <c r="B811" s="45"/>
      <c r="C811" s="45"/>
      <c r="D811" s="78"/>
      <c r="E811" s="45"/>
      <c r="F811" s="45"/>
    </row>
    <row r="812">
      <c r="A812" s="45"/>
      <c r="B812" s="45"/>
      <c r="C812" s="45"/>
      <c r="D812" s="78"/>
      <c r="E812" s="45"/>
      <c r="F812" s="45"/>
    </row>
    <row r="813">
      <c r="A813" s="45"/>
      <c r="B813" s="45"/>
      <c r="C813" s="45"/>
      <c r="D813" s="78"/>
      <c r="E813" s="45"/>
      <c r="F813" s="45"/>
    </row>
    <row r="814">
      <c r="A814" s="45"/>
      <c r="B814" s="45"/>
      <c r="C814" s="45"/>
      <c r="D814" s="78"/>
      <c r="E814" s="45"/>
      <c r="F814" s="45"/>
    </row>
    <row r="815">
      <c r="A815" s="45"/>
      <c r="B815" s="45"/>
      <c r="C815" s="45"/>
      <c r="D815" s="78"/>
      <c r="E815" s="45"/>
      <c r="F815" s="45"/>
    </row>
    <row r="816">
      <c r="A816" s="45"/>
      <c r="B816" s="45"/>
      <c r="C816" s="45"/>
      <c r="D816" s="78"/>
      <c r="E816" s="45"/>
      <c r="F816" s="45"/>
    </row>
    <row r="817">
      <c r="A817" s="45"/>
      <c r="B817" s="45"/>
      <c r="C817" s="45"/>
      <c r="D817" s="78"/>
      <c r="E817" s="45"/>
      <c r="F817" s="45"/>
    </row>
    <row r="818">
      <c r="A818" s="45"/>
      <c r="B818" s="45"/>
      <c r="C818" s="45"/>
      <c r="D818" s="78"/>
      <c r="E818" s="45"/>
      <c r="F818" s="45"/>
    </row>
    <row r="819">
      <c r="A819" s="45"/>
      <c r="B819" s="45"/>
      <c r="C819" s="45"/>
      <c r="D819" s="78"/>
      <c r="E819" s="45"/>
      <c r="F819" s="45"/>
    </row>
    <row r="820">
      <c r="A820" s="45"/>
      <c r="B820" s="45"/>
      <c r="C820" s="45"/>
      <c r="D820" s="78"/>
      <c r="E820" s="45"/>
      <c r="F820" s="45"/>
    </row>
    <row r="821">
      <c r="A821" s="45"/>
      <c r="B821" s="45"/>
      <c r="C821" s="45"/>
      <c r="D821" s="78"/>
      <c r="E821" s="45"/>
      <c r="F821" s="45"/>
    </row>
    <row r="822">
      <c r="A822" s="45"/>
      <c r="B822" s="45"/>
      <c r="C822" s="45"/>
      <c r="D822" s="78"/>
      <c r="E822" s="45"/>
      <c r="F822" s="45"/>
    </row>
    <row r="823">
      <c r="A823" s="45"/>
      <c r="B823" s="45"/>
      <c r="C823" s="45"/>
      <c r="D823" s="78"/>
      <c r="E823" s="45"/>
      <c r="F823" s="45"/>
    </row>
    <row r="824">
      <c r="A824" s="45"/>
      <c r="B824" s="45"/>
      <c r="C824" s="45"/>
      <c r="D824" s="78"/>
      <c r="E824" s="45"/>
      <c r="F824" s="45"/>
    </row>
    <row r="825">
      <c r="A825" s="45"/>
      <c r="B825" s="45"/>
      <c r="C825" s="45"/>
      <c r="D825" s="78"/>
      <c r="E825" s="45"/>
      <c r="F825" s="45"/>
    </row>
    <row r="826">
      <c r="A826" s="45"/>
      <c r="B826" s="45"/>
      <c r="C826" s="45"/>
      <c r="D826" s="78"/>
      <c r="E826" s="45"/>
      <c r="F826" s="45"/>
    </row>
    <row r="827">
      <c r="A827" s="45"/>
      <c r="B827" s="45"/>
      <c r="C827" s="45"/>
      <c r="D827" s="78"/>
      <c r="E827" s="45"/>
      <c r="F827" s="45"/>
    </row>
    <row r="828">
      <c r="A828" s="45"/>
      <c r="B828" s="45"/>
      <c r="C828" s="45"/>
      <c r="D828" s="78"/>
      <c r="E828" s="45"/>
      <c r="F828" s="45"/>
    </row>
    <row r="829">
      <c r="A829" s="45"/>
      <c r="B829" s="45"/>
      <c r="C829" s="45"/>
      <c r="D829" s="78"/>
      <c r="E829" s="45"/>
      <c r="F829" s="45"/>
    </row>
    <row r="830">
      <c r="A830" s="45"/>
      <c r="B830" s="45"/>
      <c r="C830" s="45"/>
      <c r="D830" s="78"/>
      <c r="E830" s="45"/>
      <c r="F830" s="45"/>
    </row>
    <row r="831">
      <c r="A831" s="45"/>
      <c r="B831" s="45"/>
      <c r="C831" s="45"/>
      <c r="D831" s="78"/>
      <c r="E831" s="45"/>
      <c r="F831" s="45"/>
    </row>
    <row r="832">
      <c r="A832" s="45"/>
      <c r="B832" s="45"/>
      <c r="C832" s="45"/>
      <c r="D832" s="78"/>
      <c r="E832" s="45"/>
      <c r="F832" s="45"/>
    </row>
    <row r="833">
      <c r="A833" s="45"/>
      <c r="B833" s="45"/>
      <c r="C833" s="45"/>
      <c r="D833" s="78"/>
      <c r="E833" s="45"/>
      <c r="F833" s="45"/>
    </row>
    <row r="834">
      <c r="A834" s="45"/>
      <c r="B834" s="45"/>
      <c r="C834" s="45"/>
      <c r="D834" s="78"/>
      <c r="E834" s="45"/>
      <c r="F834" s="45"/>
    </row>
    <row r="835">
      <c r="A835" s="45"/>
      <c r="B835" s="45"/>
      <c r="C835" s="45"/>
      <c r="D835" s="78"/>
      <c r="E835" s="45"/>
      <c r="F835" s="45"/>
    </row>
    <row r="836">
      <c r="A836" s="45"/>
      <c r="B836" s="45"/>
      <c r="C836" s="45"/>
      <c r="D836" s="78"/>
      <c r="E836" s="45"/>
      <c r="F836" s="45"/>
    </row>
    <row r="837">
      <c r="A837" s="45"/>
      <c r="B837" s="45"/>
      <c r="C837" s="45"/>
      <c r="D837" s="78"/>
      <c r="E837" s="45"/>
      <c r="F837" s="45"/>
    </row>
    <row r="838">
      <c r="A838" s="45"/>
      <c r="B838" s="45"/>
      <c r="C838" s="45"/>
      <c r="D838" s="78"/>
      <c r="E838" s="45"/>
      <c r="F838" s="45"/>
    </row>
    <row r="839">
      <c r="A839" s="45"/>
      <c r="B839" s="45"/>
      <c r="C839" s="45"/>
      <c r="D839" s="78"/>
      <c r="E839" s="45"/>
      <c r="F839" s="45"/>
    </row>
    <row r="840">
      <c r="A840" s="45"/>
      <c r="B840" s="45"/>
      <c r="C840" s="45"/>
      <c r="D840" s="78"/>
      <c r="E840" s="45"/>
      <c r="F840" s="45"/>
    </row>
    <row r="841">
      <c r="A841" s="45"/>
      <c r="B841" s="45"/>
      <c r="C841" s="45"/>
      <c r="D841" s="78"/>
      <c r="E841" s="45"/>
      <c r="F841" s="45"/>
    </row>
    <row r="842">
      <c r="A842" s="45"/>
      <c r="B842" s="45"/>
      <c r="C842" s="45"/>
      <c r="D842" s="78"/>
      <c r="E842" s="45"/>
      <c r="F842" s="45"/>
    </row>
    <row r="843">
      <c r="A843" s="45"/>
      <c r="B843" s="45"/>
      <c r="C843" s="45"/>
      <c r="D843" s="78"/>
      <c r="E843" s="45"/>
      <c r="F843" s="45"/>
    </row>
    <row r="844">
      <c r="A844" s="45"/>
      <c r="B844" s="45"/>
      <c r="C844" s="45"/>
      <c r="D844" s="78"/>
      <c r="E844" s="45"/>
      <c r="F844" s="45"/>
    </row>
    <row r="845">
      <c r="A845" s="45"/>
      <c r="B845" s="45"/>
      <c r="C845" s="45"/>
      <c r="D845" s="78"/>
      <c r="E845" s="45"/>
      <c r="F845" s="45"/>
    </row>
    <row r="846">
      <c r="A846" s="45"/>
      <c r="B846" s="45"/>
      <c r="C846" s="45"/>
      <c r="D846" s="78"/>
      <c r="E846" s="45"/>
      <c r="F846" s="45"/>
    </row>
    <row r="847">
      <c r="A847" s="45"/>
      <c r="B847" s="45"/>
      <c r="C847" s="45"/>
      <c r="D847" s="78"/>
      <c r="E847" s="45"/>
      <c r="F847" s="45"/>
    </row>
    <row r="848">
      <c r="A848" s="45"/>
      <c r="B848" s="45"/>
      <c r="C848" s="45"/>
      <c r="D848" s="78"/>
      <c r="E848" s="45"/>
      <c r="F848" s="45"/>
    </row>
    <row r="849">
      <c r="A849" s="45"/>
      <c r="B849" s="45"/>
      <c r="C849" s="45"/>
      <c r="D849" s="78"/>
      <c r="E849" s="45"/>
      <c r="F849" s="45"/>
    </row>
    <row r="850">
      <c r="A850" s="45"/>
      <c r="B850" s="45"/>
      <c r="C850" s="45"/>
      <c r="D850" s="78"/>
      <c r="E850" s="45"/>
      <c r="F850" s="45"/>
    </row>
    <row r="851">
      <c r="A851" s="45"/>
      <c r="B851" s="45"/>
      <c r="C851" s="45"/>
      <c r="D851" s="78"/>
      <c r="E851" s="45"/>
      <c r="F851" s="45"/>
    </row>
    <row r="852">
      <c r="A852" s="45"/>
      <c r="B852" s="45"/>
      <c r="C852" s="45"/>
      <c r="D852" s="78"/>
      <c r="E852" s="45"/>
      <c r="F852" s="45"/>
    </row>
    <row r="853">
      <c r="A853" s="45"/>
      <c r="B853" s="45"/>
      <c r="C853" s="45"/>
      <c r="D853" s="78"/>
      <c r="E853" s="45"/>
      <c r="F853" s="45"/>
    </row>
    <row r="854">
      <c r="A854" s="45"/>
      <c r="B854" s="45"/>
      <c r="C854" s="45"/>
      <c r="D854" s="78"/>
      <c r="E854" s="45"/>
      <c r="F854" s="45"/>
    </row>
    <row r="855">
      <c r="A855" s="45"/>
      <c r="B855" s="45"/>
      <c r="C855" s="45"/>
      <c r="D855" s="78"/>
      <c r="E855" s="45"/>
      <c r="F855" s="45"/>
    </row>
    <row r="856">
      <c r="A856" s="45"/>
      <c r="B856" s="45"/>
      <c r="C856" s="45"/>
      <c r="D856" s="78"/>
      <c r="E856" s="45"/>
      <c r="F856" s="45"/>
    </row>
    <row r="857">
      <c r="A857" s="45"/>
      <c r="B857" s="45"/>
      <c r="C857" s="45"/>
      <c r="D857" s="78"/>
      <c r="E857" s="45"/>
      <c r="F857" s="45"/>
    </row>
    <row r="858">
      <c r="A858" s="45"/>
      <c r="B858" s="45"/>
      <c r="C858" s="45"/>
      <c r="D858" s="78"/>
      <c r="E858" s="45"/>
      <c r="F858" s="45"/>
    </row>
    <row r="859">
      <c r="A859" s="45"/>
      <c r="B859" s="45"/>
      <c r="C859" s="45"/>
      <c r="D859" s="78"/>
      <c r="E859" s="45"/>
      <c r="F859" s="45"/>
    </row>
    <row r="860">
      <c r="A860" s="45"/>
      <c r="B860" s="45"/>
      <c r="C860" s="45"/>
      <c r="D860" s="78"/>
      <c r="E860" s="45"/>
      <c r="F860" s="45"/>
    </row>
    <row r="861">
      <c r="A861" s="45"/>
      <c r="B861" s="45"/>
      <c r="C861" s="45"/>
      <c r="D861" s="78"/>
      <c r="E861" s="45"/>
      <c r="F861" s="45"/>
    </row>
    <row r="862">
      <c r="A862" s="45"/>
      <c r="B862" s="45"/>
      <c r="C862" s="45"/>
      <c r="D862" s="78"/>
      <c r="E862" s="45"/>
      <c r="F862" s="45"/>
    </row>
    <row r="863">
      <c r="A863" s="45"/>
      <c r="B863" s="45"/>
      <c r="C863" s="45"/>
      <c r="D863" s="78"/>
      <c r="E863" s="45"/>
      <c r="F863" s="45"/>
    </row>
    <row r="864">
      <c r="A864" s="45"/>
      <c r="B864" s="45"/>
      <c r="C864" s="45"/>
      <c r="D864" s="78"/>
      <c r="E864" s="45"/>
      <c r="F864" s="45"/>
    </row>
    <row r="865">
      <c r="A865" s="45"/>
      <c r="B865" s="45"/>
      <c r="C865" s="45"/>
      <c r="D865" s="78"/>
      <c r="E865" s="45"/>
      <c r="F865" s="45"/>
    </row>
    <row r="866">
      <c r="A866" s="45"/>
      <c r="B866" s="45"/>
      <c r="C866" s="45"/>
      <c r="D866" s="78"/>
      <c r="E866" s="45"/>
      <c r="F866" s="45"/>
    </row>
    <row r="867">
      <c r="A867" s="45"/>
      <c r="B867" s="45"/>
      <c r="C867" s="45"/>
      <c r="D867" s="78"/>
      <c r="E867" s="45"/>
      <c r="F867" s="45"/>
    </row>
    <row r="868">
      <c r="A868" s="45"/>
      <c r="B868" s="45"/>
      <c r="C868" s="45"/>
      <c r="D868" s="78"/>
      <c r="E868" s="45"/>
      <c r="F868" s="45"/>
    </row>
    <row r="869">
      <c r="A869" s="45"/>
      <c r="B869" s="45"/>
      <c r="C869" s="45"/>
      <c r="D869" s="78"/>
      <c r="E869" s="45"/>
      <c r="F869" s="45"/>
    </row>
    <row r="870">
      <c r="A870" s="45"/>
      <c r="B870" s="45"/>
      <c r="C870" s="45"/>
      <c r="D870" s="78"/>
      <c r="E870" s="45"/>
      <c r="F870" s="45"/>
    </row>
    <row r="871">
      <c r="A871" s="45"/>
      <c r="B871" s="45"/>
      <c r="C871" s="45"/>
      <c r="D871" s="78"/>
      <c r="E871" s="45"/>
      <c r="F871" s="45"/>
    </row>
    <row r="872">
      <c r="A872" s="45"/>
      <c r="B872" s="45"/>
      <c r="C872" s="45"/>
      <c r="D872" s="78"/>
      <c r="E872" s="45"/>
      <c r="F872" s="45"/>
    </row>
    <row r="873">
      <c r="A873" s="45"/>
      <c r="B873" s="45"/>
      <c r="C873" s="45"/>
      <c r="D873" s="78"/>
      <c r="E873" s="45"/>
      <c r="F873" s="45"/>
    </row>
    <row r="874">
      <c r="A874" s="45"/>
      <c r="B874" s="45"/>
      <c r="C874" s="45"/>
      <c r="D874" s="78"/>
      <c r="E874" s="45"/>
      <c r="F874" s="45"/>
    </row>
    <row r="875">
      <c r="A875" s="45"/>
      <c r="B875" s="45"/>
      <c r="C875" s="45"/>
      <c r="D875" s="78"/>
      <c r="E875" s="45"/>
      <c r="F875" s="45"/>
    </row>
    <row r="876">
      <c r="A876" s="45"/>
      <c r="B876" s="45"/>
      <c r="C876" s="45"/>
      <c r="D876" s="78"/>
      <c r="E876" s="45"/>
      <c r="F876" s="45"/>
    </row>
    <row r="877">
      <c r="A877" s="45"/>
      <c r="B877" s="45"/>
      <c r="C877" s="45"/>
      <c r="D877" s="78"/>
      <c r="E877" s="45"/>
      <c r="F877" s="45"/>
    </row>
    <row r="878">
      <c r="A878" s="45"/>
      <c r="B878" s="45"/>
      <c r="C878" s="45"/>
      <c r="D878" s="78"/>
      <c r="E878" s="45"/>
      <c r="F878" s="45"/>
    </row>
    <row r="879">
      <c r="A879" s="45"/>
      <c r="B879" s="45"/>
      <c r="C879" s="45"/>
      <c r="D879" s="78"/>
      <c r="E879" s="45"/>
      <c r="F879" s="45"/>
    </row>
    <row r="880">
      <c r="A880" s="45"/>
      <c r="B880" s="45"/>
      <c r="C880" s="45"/>
      <c r="D880" s="78"/>
      <c r="E880" s="45"/>
      <c r="F880" s="45"/>
    </row>
    <row r="881">
      <c r="A881" s="45"/>
      <c r="B881" s="45"/>
      <c r="C881" s="45"/>
      <c r="D881" s="78"/>
      <c r="E881" s="45"/>
      <c r="F881" s="45"/>
    </row>
    <row r="882">
      <c r="A882" s="45"/>
      <c r="B882" s="45"/>
      <c r="C882" s="45"/>
      <c r="D882" s="78"/>
      <c r="E882" s="45"/>
      <c r="F882" s="45"/>
    </row>
    <row r="883">
      <c r="A883" s="45"/>
      <c r="B883" s="45"/>
      <c r="C883" s="45"/>
      <c r="D883" s="78"/>
      <c r="E883" s="45"/>
      <c r="F883" s="45"/>
    </row>
    <row r="884">
      <c r="A884" s="45"/>
      <c r="B884" s="45"/>
      <c r="C884" s="45"/>
      <c r="D884" s="78"/>
      <c r="E884" s="45"/>
      <c r="F884" s="45"/>
    </row>
    <row r="885">
      <c r="A885" s="45"/>
      <c r="B885" s="45"/>
      <c r="C885" s="45"/>
      <c r="D885" s="78"/>
      <c r="E885" s="45"/>
      <c r="F885" s="45"/>
    </row>
    <row r="886">
      <c r="A886" s="45"/>
      <c r="B886" s="45"/>
      <c r="C886" s="45"/>
      <c r="D886" s="78"/>
      <c r="E886" s="45"/>
      <c r="F886" s="45"/>
    </row>
    <row r="887">
      <c r="A887" s="45"/>
      <c r="B887" s="45"/>
      <c r="C887" s="45"/>
      <c r="D887" s="78"/>
      <c r="E887" s="45"/>
      <c r="F887" s="45"/>
    </row>
    <row r="888">
      <c r="A888" s="45"/>
      <c r="B888" s="45"/>
      <c r="C888" s="45"/>
      <c r="D888" s="78"/>
      <c r="E888" s="45"/>
      <c r="F888" s="45"/>
    </row>
    <row r="889">
      <c r="A889" s="45"/>
      <c r="B889" s="45"/>
      <c r="C889" s="45"/>
      <c r="D889" s="78"/>
      <c r="E889" s="45"/>
      <c r="F889" s="45"/>
    </row>
    <row r="890">
      <c r="A890" s="45"/>
      <c r="B890" s="45"/>
      <c r="C890" s="45"/>
      <c r="D890" s="78"/>
      <c r="E890" s="45"/>
      <c r="F890" s="45"/>
    </row>
    <row r="891">
      <c r="A891" s="45"/>
      <c r="B891" s="45"/>
      <c r="C891" s="45"/>
      <c r="D891" s="78"/>
      <c r="E891" s="45"/>
      <c r="F891" s="45"/>
    </row>
    <row r="892">
      <c r="A892" s="45"/>
      <c r="B892" s="45"/>
      <c r="C892" s="45"/>
      <c r="D892" s="78"/>
      <c r="E892" s="45"/>
      <c r="F892" s="45"/>
    </row>
    <row r="893">
      <c r="A893" s="45"/>
      <c r="B893" s="45"/>
      <c r="C893" s="45"/>
      <c r="D893" s="78"/>
      <c r="E893" s="45"/>
      <c r="F893" s="45"/>
    </row>
    <row r="894">
      <c r="A894" s="45"/>
      <c r="B894" s="45"/>
      <c r="C894" s="45"/>
      <c r="D894" s="78"/>
      <c r="E894" s="45"/>
      <c r="F894" s="45"/>
    </row>
    <row r="895">
      <c r="A895" s="45"/>
      <c r="B895" s="45"/>
      <c r="C895" s="45"/>
      <c r="D895" s="78"/>
      <c r="E895" s="45"/>
      <c r="F895" s="45"/>
    </row>
    <row r="896">
      <c r="A896" s="45"/>
      <c r="B896" s="45"/>
      <c r="C896" s="45"/>
      <c r="D896" s="78"/>
      <c r="E896" s="45"/>
      <c r="F896" s="45"/>
    </row>
    <row r="897">
      <c r="A897" s="45"/>
      <c r="B897" s="45"/>
      <c r="C897" s="45"/>
      <c r="D897" s="78"/>
      <c r="E897" s="45"/>
      <c r="F897" s="45"/>
    </row>
    <row r="898">
      <c r="A898" s="45"/>
      <c r="B898" s="45"/>
      <c r="C898" s="45"/>
      <c r="D898" s="78"/>
      <c r="E898" s="45"/>
      <c r="F898" s="45"/>
    </row>
    <row r="899">
      <c r="A899" s="45"/>
      <c r="B899" s="45"/>
      <c r="C899" s="45"/>
      <c r="D899" s="78"/>
      <c r="E899" s="45"/>
      <c r="F899" s="45"/>
    </row>
    <row r="900">
      <c r="A900" s="45"/>
      <c r="B900" s="45"/>
      <c r="C900" s="45"/>
      <c r="D900" s="78"/>
      <c r="E900" s="45"/>
      <c r="F900" s="45"/>
    </row>
    <row r="901">
      <c r="A901" s="45"/>
      <c r="B901" s="45"/>
      <c r="C901" s="45"/>
      <c r="D901" s="78"/>
      <c r="E901" s="45"/>
      <c r="F901" s="45"/>
    </row>
    <row r="902">
      <c r="A902" s="45"/>
      <c r="B902" s="45"/>
      <c r="C902" s="45"/>
      <c r="D902" s="78"/>
      <c r="E902" s="45"/>
      <c r="F902" s="45"/>
    </row>
    <row r="903">
      <c r="A903" s="45"/>
      <c r="B903" s="45"/>
      <c r="C903" s="45"/>
      <c r="D903" s="78"/>
      <c r="E903" s="45"/>
      <c r="F903" s="45"/>
    </row>
    <row r="904">
      <c r="A904" s="45"/>
      <c r="B904" s="45"/>
      <c r="C904" s="45"/>
      <c r="D904" s="78"/>
      <c r="E904" s="45"/>
      <c r="F904" s="45"/>
    </row>
    <row r="905">
      <c r="A905" s="45"/>
      <c r="B905" s="45"/>
      <c r="C905" s="45"/>
      <c r="D905" s="78"/>
      <c r="E905" s="45"/>
      <c r="F905" s="45"/>
    </row>
    <row r="906">
      <c r="A906" s="45"/>
      <c r="B906" s="45"/>
      <c r="C906" s="45"/>
      <c r="D906" s="78"/>
      <c r="E906" s="45"/>
      <c r="F906" s="45"/>
    </row>
    <row r="907">
      <c r="A907" s="45"/>
      <c r="B907" s="45"/>
      <c r="C907" s="45"/>
      <c r="D907" s="78"/>
      <c r="E907" s="45"/>
      <c r="F907" s="45"/>
    </row>
    <row r="908">
      <c r="A908" s="45"/>
      <c r="B908" s="45"/>
      <c r="C908" s="45"/>
      <c r="D908" s="78"/>
      <c r="E908" s="45"/>
      <c r="F908" s="45"/>
    </row>
    <row r="909">
      <c r="A909" s="45"/>
      <c r="B909" s="45"/>
      <c r="C909" s="45"/>
      <c r="D909" s="78"/>
      <c r="E909" s="45"/>
      <c r="F909" s="45"/>
    </row>
    <row r="910">
      <c r="A910" s="45"/>
      <c r="B910" s="45"/>
      <c r="C910" s="45"/>
      <c r="D910" s="78"/>
      <c r="E910" s="45"/>
      <c r="F910" s="45"/>
    </row>
    <row r="911">
      <c r="A911" s="45"/>
      <c r="B911" s="45"/>
      <c r="C911" s="45"/>
      <c r="D911" s="78"/>
      <c r="E911" s="45"/>
      <c r="F911" s="45"/>
    </row>
    <row r="912">
      <c r="A912" s="45"/>
      <c r="B912" s="45"/>
      <c r="C912" s="45"/>
      <c r="D912" s="78"/>
      <c r="E912" s="45"/>
      <c r="F912" s="45"/>
    </row>
    <row r="913">
      <c r="A913" s="45"/>
      <c r="B913" s="45"/>
      <c r="C913" s="45"/>
      <c r="D913" s="78"/>
      <c r="E913" s="45"/>
      <c r="F913" s="45"/>
    </row>
    <row r="914">
      <c r="A914" s="45"/>
      <c r="B914" s="45"/>
      <c r="C914" s="45"/>
      <c r="D914" s="78"/>
      <c r="E914" s="45"/>
      <c r="F914" s="45"/>
    </row>
    <row r="915">
      <c r="A915" s="45"/>
      <c r="B915" s="45"/>
      <c r="C915" s="45"/>
      <c r="D915" s="78"/>
      <c r="E915" s="45"/>
      <c r="F915" s="45"/>
    </row>
    <row r="916">
      <c r="A916" s="45"/>
      <c r="B916" s="45"/>
      <c r="C916" s="45"/>
      <c r="D916" s="78"/>
      <c r="E916" s="45"/>
      <c r="F916" s="45"/>
    </row>
    <row r="917">
      <c r="A917" s="45"/>
      <c r="B917" s="45"/>
      <c r="C917" s="45"/>
      <c r="D917" s="78"/>
      <c r="E917" s="45"/>
      <c r="F917" s="45"/>
    </row>
    <row r="918">
      <c r="A918" s="45"/>
      <c r="B918" s="45"/>
      <c r="C918" s="45"/>
      <c r="D918" s="78"/>
      <c r="E918" s="45"/>
      <c r="F918" s="45"/>
    </row>
    <row r="919">
      <c r="A919" s="45"/>
      <c r="B919" s="45"/>
      <c r="C919" s="45"/>
      <c r="D919" s="78"/>
      <c r="E919" s="45"/>
      <c r="F919" s="45"/>
    </row>
    <row r="920">
      <c r="A920" s="45"/>
      <c r="B920" s="45"/>
      <c r="C920" s="45"/>
      <c r="D920" s="78"/>
      <c r="E920" s="45"/>
      <c r="F920" s="45"/>
    </row>
    <row r="921">
      <c r="A921" s="45"/>
      <c r="B921" s="45"/>
      <c r="C921" s="45"/>
      <c r="D921" s="78"/>
      <c r="E921" s="45"/>
      <c r="F921" s="45"/>
    </row>
    <row r="922">
      <c r="A922" s="45"/>
      <c r="B922" s="45"/>
      <c r="C922" s="45"/>
      <c r="D922" s="78"/>
      <c r="E922" s="45"/>
      <c r="F922" s="45"/>
    </row>
    <row r="923">
      <c r="A923" s="45"/>
      <c r="B923" s="45"/>
      <c r="C923" s="45"/>
      <c r="D923" s="78"/>
      <c r="E923" s="45"/>
      <c r="F923" s="45"/>
    </row>
    <row r="924">
      <c r="A924" s="45"/>
      <c r="B924" s="45"/>
      <c r="C924" s="45"/>
      <c r="D924" s="78"/>
      <c r="E924" s="45"/>
      <c r="F924" s="45"/>
    </row>
    <row r="925">
      <c r="A925" s="45"/>
      <c r="B925" s="45"/>
      <c r="C925" s="45"/>
      <c r="D925" s="78"/>
      <c r="E925" s="45"/>
      <c r="F925" s="45"/>
    </row>
    <row r="926">
      <c r="A926" s="45"/>
      <c r="B926" s="45"/>
      <c r="C926" s="45"/>
      <c r="D926" s="78"/>
      <c r="E926" s="45"/>
      <c r="F926" s="45"/>
    </row>
    <row r="927">
      <c r="A927" s="45"/>
      <c r="B927" s="45"/>
      <c r="C927" s="45"/>
      <c r="D927" s="78"/>
      <c r="E927" s="45"/>
      <c r="F927" s="45"/>
    </row>
    <row r="928">
      <c r="A928" s="45"/>
      <c r="B928" s="45"/>
      <c r="C928" s="45"/>
      <c r="D928" s="78"/>
      <c r="E928" s="45"/>
      <c r="F928" s="45"/>
    </row>
    <row r="929">
      <c r="A929" s="45"/>
      <c r="B929" s="45"/>
      <c r="C929" s="45"/>
      <c r="D929" s="78"/>
      <c r="E929" s="45"/>
      <c r="F929" s="45"/>
    </row>
    <row r="930">
      <c r="A930" s="45"/>
      <c r="B930" s="45"/>
      <c r="C930" s="45"/>
      <c r="D930" s="78"/>
      <c r="E930" s="45"/>
      <c r="F930" s="45"/>
    </row>
    <row r="931">
      <c r="A931" s="45"/>
      <c r="B931" s="45"/>
      <c r="C931" s="45"/>
      <c r="D931" s="78"/>
      <c r="E931" s="45"/>
      <c r="F931" s="45"/>
    </row>
    <row r="932">
      <c r="A932" s="45"/>
      <c r="B932" s="45"/>
      <c r="C932" s="45"/>
      <c r="D932" s="78"/>
      <c r="E932" s="45"/>
      <c r="F932" s="45"/>
    </row>
    <row r="933">
      <c r="A933" s="45"/>
      <c r="B933" s="45"/>
      <c r="C933" s="45"/>
      <c r="D933" s="78"/>
      <c r="E933" s="45"/>
      <c r="F933" s="45"/>
    </row>
    <row r="934">
      <c r="A934" s="45"/>
      <c r="B934" s="45"/>
      <c r="C934" s="45"/>
      <c r="D934" s="78"/>
      <c r="E934" s="45"/>
      <c r="F934" s="45"/>
    </row>
    <row r="935">
      <c r="A935" s="45"/>
      <c r="B935" s="45"/>
      <c r="C935" s="45"/>
      <c r="D935" s="78"/>
      <c r="E935" s="45"/>
      <c r="F935" s="45"/>
    </row>
    <row r="936">
      <c r="A936" s="45"/>
      <c r="B936" s="45"/>
      <c r="C936" s="45"/>
      <c r="D936" s="78"/>
      <c r="E936" s="45"/>
      <c r="F936" s="45"/>
    </row>
    <row r="937">
      <c r="A937" s="45"/>
      <c r="B937" s="45"/>
      <c r="C937" s="45"/>
      <c r="D937" s="78"/>
      <c r="E937" s="45"/>
      <c r="F937" s="45"/>
    </row>
    <row r="938">
      <c r="A938" s="45"/>
      <c r="B938" s="45"/>
      <c r="C938" s="45"/>
      <c r="D938" s="78"/>
      <c r="E938" s="45"/>
      <c r="F938" s="45"/>
    </row>
    <row r="939">
      <c r="A939" s="45"/>
      <c r="B939" s="45"/>
      <c r="C939" s="45"/>
      <c r="D939" s="78"/>
      <c r="E939" s="45"/>
      <c r="F939" s="45"/>
    </row>
    <row r="940">
      <c r="A940" s="45"/>
      <c r="B940" s="45"/>
      <c r="C940" s="45"/>
      <c r="D940" s="78"/>
      <c r="E940" s="45"/>
      <c r="F940" s="45"/>
    </row>
    <row r="941">
      <c r="A941" s="45"/>
      <c r="B941" s="45"/>
      <c r="C941" s="45"/>
      <c r="D941" s="78"/>
      <c r="E941" s="45"/>
      <c r="F941" s="45"/>
    </row>
    <row r="942">
      <c r="A942" s="45"/>
      <c r="B942" s="45"/>
      <c r="C942" s="45"/>
      <c r="D942" s="78"/>
      <c r="E942" s="45"/>
      <c r="F942" s="45"/>
    </row>
    <row r="943">
      <c r="A943" s="45"/>
      <c r="B943" s="45"/>
      <c r="C943" s="45"/>
      <c r="D943" s="78"/>
      <c r="E943" s="45"/>
      <c r="F943" s="45"/>
    </row>
    <row r="944">
      <c r="A944" s="45"/>
      <c r="B944" s="45"/>
      <c r="C944" s="45"/>
      <c r="D944" s="78"/>
      <c r="E944" s="45"/>
      <c r="F944" s="45"/>
    </row>
    <row r="945">
      <c r="A945" s="45"/>
      <c r="B945" s="45"/>
      <c r="C945" s="45"/>
      <c r="D945" s="78"/>
      <c r="E945" s="45"/>
      <c r="F945" s="45"/>
    </row>
    <row r="946">
      <c r="A946" s="45"/>
      <c r="B946" s="45"/>
      <c r="C946" s="45"/>
      <c r="D946" s="78"/>
      <c r="E946" s="45"/>
      <c r="F946" s="45"/>
    </row>
    <row r="947">
      <c r="A947" s="45"/>
      <c r="B947" s="45"/>
      <c r="C947" s="45"/>
      <c r="D947" s="78"/>
      <c r="E947" s="45"/>
      <c r="F947" s="45"/>
    </row>
    <row r="948">
      <c r="A948" s="45"/>
      <c r="B948" s="45"/>
      <c r="C948" s="45"/>
      <c r="D948" s="78"/>
      <c r="E948" s="45"/>
      <c r="F948" s="45"/>
    </row>
    <row r="949">
      <c r="A949" s="45"/>
      <c r="B949" s="45"/>
      <c r="C949" s="45"/>
      <c r="D949" s="78"/>
      <c r="E949" s="45"/>
      <c r="F949" s="45"/>
    </row>
    <row r="950">
      <c r="A950" s="45"/>
      <c r="B950" s="45"/>
      <c r="C950" s="45"/>
      <c r="D950" s="78"/>
      <c r="E950" s="45"/>
      <c r="F950" s="45"/>
    </row>
    <row r="951">
      <c r="A951" s="45"/>
      <c r="B951" s="45"/>
      <c r="C951" s="45"/>
      <c r="D951" s="78"/>
      <c r="E951" s="45"/>
      <c r="F951" s="45"/>
    </row>
    <row r="952">
      <c r="A952" s="45"/>
      <c r="B952" s="45"/>
      <c r="C952" s="45"/>
      <c r="D952" s="78"/>
      <c r="E952" s="45"/>
      <c r="F952" s="45"/>
    </row>
    <row r="953">
      <c r="A953" s="45"/>
      <c r="B953" s="45"/>
      <c r="C953" s="45"/>
      <c r="D953" s="78"/>
      <c r="E953" s="45"/>
      <c r="F953" s="45"/>
    </row>
    <row r="954">
      <c r="A954" s="45"/>
      <c r="B954" s="45"/>
      <c r="C954" s="45"/>
      <c r="D954" s="78"/>
      <c r="E954" s="45"/>
      <c r="F954" s="45"/>
    </row>
    <row r="955">
      <c r="A955" s="45"/>
      <c r="B955" s="45"/>
      <c r="C955" s="45"/>
      <c r="D955" s="78"/>
      <c r="E955" s="45"/>
      <c r="F955" s="45"/>
    </row>
    <row r="956">
      <c r="A956" s="45"/>
      <c r="B956" s="45"/>
      <c r="C956" s="45"/>
      <c r="D956" s="78"/>
      <c r="E956" s="45"/>
      <c r="F956" s="45"/>
    </row>
    <row r="957">
      <c r="A957" s="45"/>
      <c r="B957" s="45"/>
      <c r="C957" s="45"/>
      <c r="D957" s="78"/>
      <c r="E957" s="45"/>
      <c r="F957" s="45"/>
    </row>
    <row r="958">
      <c r="A958" s="45"/>
      <c r="B958" s="45"/>
      <c r="C958" s="45"/>
      <c r="D958" s="78"/>
      <c r="E958" s="45"/>
      <c r="F958" s="45"/>
    </row>
    <row r="959">
      <c r="A959" s="45"/>
      <c r="B959" s="45"/>
      <c r="C959" s="45"/>
      <c r="D959" s="78"/>
      <c r="E959" s="45"/>
      <c r="F959" s="45"/>
    </row>
    <row r="960">
      <c r="A960" s="45"/>
      <c r="B960" s="45"/>
      <c r="C960" s="45"/>
      <c r="D960" s="78"/>
      <c r="E960" s="45"/>
      <c r="F960" s="45"/>
    </row>
    <row r="961">
      <c r="A961" s="45"/>
      <c r="B961" s="45"/>
      <c r="C961" s="45"/>
      <c r="D961" s="78"/>
      <c r="E961" s="45"/>
      <c r="F961" s="45"/>
    </row>
    <row r="962">
      <c r="A962" s="45"/>
      <c r="B962" s="45"/>
      <c r="C962" s="45"/>
      <c r="D962" s="78"/>
      <c r="E962" s="45"/>
      <c r="F962" s="45"/>
    </row>
    <row r="963">
      <c r="A963" s="45"/>
      <c r="B963" s="45"/>
      <c r="C963" s="45"/>
      <c r="D963" s="78"/>
      <c r="E963" s="45"/>
      <c r="F963" s="45"/>
    </row>
    <row r="964">
      <c r="A964" s="45"/>
      <c r="B964" s="45"/>
      <c r="C964" s="45"/>
      <c r="D964" s="78"/>
      <c r="E964" s="45"/>
      <c r="F964" s="45"/>
    </row>
    <row r="965">
      <c r="A965" s="45"/>
      <c r="B965" s="45"/>
      <c r="C965" s="45"/>
      <c r="D965" s="78"/>
      <c r="E965" s="45"/>
      <c r="F965" s="45"/>
    </row>
    <row r="966">
      <c r="A966" s="45"/>
      <c r="B966" s="45"/>
      <c r="C966" s="45"/>
      <c r="D966" s="78"/>
      <c r="E966" s="45"/>
      <c r="F966" s="45"/>
    </row>
    <row r="967">
      <c r="A967" s="45"/>
      <c r="B967" s="45"/>
      <c r="C967" s="45"/>
      <c r="D967" s="78"/>
      <c r="E967" s="45"/>
      <c r="F967" s="45"/>
    </row>
    <row r="968">
      <c r="A968" s="45"/>
      <c r="B968" s="45"/>
      <c r="C968" s="45"/>
      <c r="D968" s="78"/>
      <c r="E968" s="45"/>
      <c r="F968" s="45"/>
    </row>
    <row r="969">
      <c r="A969" s="45"/>
      <c r="B969" s="45"/>
      <c r="C969" s="45"/>
      <c r="D969" s="78"/>
      <c r="E969" s="45"/>
      <c r="F969" s="45"/>
    </row>
    <row r="970">
      <c r="A970" s="45"/>
      <c r="B970" s="45"/>
      <c r="C970" s="45"/>
      <c r="D970" s="78"/>
      <c r="E970" s="45"/>
      <c r="F970" s="45"/>
    </row>
    <row r="971">
      <c r="A971" s="45"/>
      <c r="B971" s="45"/>
      <c r="C971" s="45"/>
      <c r="D971" s="78"/>
      <c r="E971" s="45"/>
      <c r="F971" s="45"/>
    </row>
    <row r="972">
      <c r="A972" s="45"/>
      <c r="B972" s="45"/>
      <c r="C972" s="45"/>
      <c r="D972" s="78"/>
      <c r="E972" s="45"/>
      <c r="F972" s="45"/>
    </row>
    <row r="973">
      <c r="A973" s="45"/>
      <c r="B973" s="45"/>
      <c r="C973" s="45"/>
      <c r="D973" s="78"/>
      <c r="E973" s="45"/>
      <c r="F973" s="45"/>
    </row>
    <row r="974">
      <c r="A974" s="45"/>
      <c r="B974" s="45"/>
      <c r="C974" s="45"/>
      <c r="D974" s="78"/>
      <c r="E974" s="45"/>
      <c r="F974" s="45"/>
    </row>
    <row r="975">
      <c r="A975" s="45"/>
      <c r="B975" s="45"/>
      <c r="C975" s="45"/>
      <c r="D975" s="78"/>
      <c r="E975" s="45"/>
      <c r="F975" s="45"/>
    </row>
    <row r="976">
      <c r="A976" s="45"/>
      <c r="B976" s="45"/>
      <c r="C976" s="45"/>
      <c r="D976" s="78"/>
      <c r="E976" s="45"/>
      <c r="F976" s="45"/>
    </row>
    <row r="977">
      <c r="A977" s="45"/>
      <c r="B977" s="45"/>
      <c r="C977" s="45"/>
      <c r="D977" s="78"/>
      <c r="E977" s="45"/>
      <c r="F977" s="45"/>
    </row>
    <row r="978">
      <c r="A978" s="45"/>
      <c r="B978" s="45"/>
      <c r="C978" s="45"/>
      <c r="D978" s="78"/>
      <c r="E978" s="45"/>
      <c r="F978" s="45"/>
    </row>
    <row r="979">
      <c r="A979" s="45"/>
      <c r="B979" s="45"/>
      <c r="C979" s="45"/>
      <c r="D979" s="78"/>
      <c r="E979" s="45"/>
      <c r="F979" s="45"/>
    </row>
    <row r="980">
      <c r="A980" s="45"/>
      <c r="B980" s="45"/>
      <c r="C980" s="45"/>
      <c r="D980" s="78"/>
      <c r="E980" s="45"/>
      <c r="F980" s="45"/>
    </row>
    <row r="981">
      <c r="A981" s="45"/>
      <c r="B981" s="45"/>
      <c r="C981" s="45"/>
      <c r="D981" s="78"/>
      <c r="E981" s="45"/>
      <c r="F981" s="45"/>
    </row>
    <row r="982">
      <c r="A982" s="45"/>
      <c r="B982" s="45"/>
      <c r="C982" s="45"/>
      <c r="D982" s="78"/>
      <c r="E982" s="45"/>
      <c r="F982" s="45"/>
    </row>
    <row r="983">
      <c r="A983" s="45"/>
      <c r="B983" s="45"/>
      <c r="C983" s="45"/>
      <c r="D983" s="78"/>
      <c r="E983" s="45"/>
      <c r="F983" s="45"/>
    </row>
    <row r="984">
      <c r="A984" s="45"/>
      <c r="B984" s="45"/>
      <c r="C984" s="45"/>
      <c r="D984" s="78"/>
      <c r="E984" s="45"/>
      <c r="F984" s="45"/>
    </row>
    <row r="985">
      <c r="A985" s="45"/>
      <c r="B985" s="45"/>
      <c r="C985" s="45"/>
      <c r="D985" s="78"/>
      <c r="E985" s="45"/>
      <c r="F985" s="45"/>
    </row>
    <row r="986">
      <c r="A986" s="45"/>
      <c r="B986" s="45"/>
      <c r="C986" s="45"/>
      <c r="D986" s="78"/>
      <c r="E986" s="45"/>
      <c r="F986" s="45"/>
    </row>
    <row r="987">
      <c r="A987" s="45"/>
      <c r="B987" s="45"/>
      <c r="C987" s="45"/>
      <c r="D987" s="78"/>
      <c r="E987" s="45"/>
      <c r="F987" s="45"/>
    </row>
    <row r="988">
      <c r="A988" s="45"/>
      <c r="B988" s="45"/>
      <c r="C988" s="45"/>
      <c r="D988" s="78"/>
      <c r="E988" s="45"/>
      <c r="F988" s="45"/>
    </row>
    <row r="989">
      <c r="A989" s="45"/>
      <c r="B989" s="45"/>
      <c r="C989" s="45"/>
      <c r="D989" s="78"/>
      <c r="E989" s="45"/>
      <c r="F989" s="45"/>
    </row>
    <row r="990">
      <c r="A990" s="45"/>
      <c r="B990" s="45"/>
      <c r="C990" s="45"/>
      <c r="D990" s="78"/>
      <c r="E990" s="45"/>
      <c r="F990" s="45"/>
    </row>
    <row r="991">
      <c r="A991" s="45"/>
      <c r="B991" s="45"/>
      <c r="C991" s="45"/>
      <c r="D991" s="78"/>
      <c r="E991" s="45"/>
      <c r="F991" s="45"/>
    </row>
    <row r="992">
      <c r="A992" s="45"/>
      <c r="B992" s="45"/>
      <c r="C992" s="45"/>
      <c r="D992" s="78"/>
      <c r="E992" s="45"/>
      <c r="F992" s="45"/>
    </row>
    <row r="993">
      <c r="A993" s="45"/>
      <c r="B993" s="45"/>
      <c r="C993" s="45"/>
      <c r="D993" s="78"/>
      <c r="E993" s="45"/>
      <c r="F993" s="45"/>
    </row>
    <row r="994">
      <c r="A994" s="45"/>
      <c r="B994" s="45"/>
      <c r="C994" s="45"/>
      <c r="D994" s="78"/>
      <c r="E994" s="45"/>
      <c r="F994" s="45"/>
    </row>
    <row r="995">
      <c r="A995" s="45"/>
      <c r="B995" s="45"/>
      <c r="C995" s="45"/>
      <c r="D995" s="78"/>
      <c r="E995" s="45"/>
      <c r="F995" s="45"/>
    </row>
    <row r="996">
      <c r="A996" s="45"/>
      <c r="B996" s="45"/>
      <c r="C996" s="45"/>
      <c r="D996" s="78"/>
      <c r="E996" s="45"/>
      <c r="F996" s="45"/>
    </row>
    <row r="997">
      <c r="A997" s="45"/>
      <c r="B997" s="45"/>
      <c r="C997" s="45"/>
      <c r="D997" s="78"/>
      <c r="E997" s="45"/>
      <c r="F997" s="45"/>
    </row>
    <row r="998">
      <c r="A998" s="45"/>
      <c r="B998" s="45"/>
      <c r="C998" s="45"/>
      <c r="D998" s="78"/>
      <c r="E998" s="45"/>
      <c r="F998" s="45"/>
    </row>
    <row r="999">
      <c r="A999" s="45"/>
      <c r="B999" s="45"/>
      <c r="C999" s="45"/>
      <c r="D999" s="78"/>
      <c r="E999" s="45"/>
      <c r="F999" s="45"/>
    </row>
    <row r="1000">
      <c r="A1000" s="45"/>
      <c r="B1000" s="45"/>
      <c r="C1000" s="45"/>
      <c r="D1000" s="78"/>
      <c r="E1000" s="45"/>
      <c r="F1000" s="45"/>
    </row>
    <row r="1001">
      <c r="A1001" s="45"/>
      <c r="B1001" s="45"/>
      <c r="C1001" s="45"/>
      <c r="D1001" s="78"/>
      <c r="E1001" s="45"/>
      <c r="F1001" s="45"/>
    </row>
  </sheetData>
  <hyperlinks>
    <hyperlink r:id="rId1" ref="C1"/>
    <hyperlink r:id="rId2" ref="D1"/>
    <hyperlink r:id="rId3" ref="D3"/>
    <hyperlink r:id="rId4" ref="D4"/>
    <hyperlink r:id="rId5" ref="D5"/>
    <hyperlink r:id="rId6" ref="D6"/>
    <hyperlink r:id="rId7" ref="D7"/>
    <hyperlink r:id="rId8" ref="D8"/>
    <hyperlink r:id="rId9" ref="D9"/>
  </hyperlinks>
  <drawing r:id="rId10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5" t="s">
        <v>80</v>
      </c>
      <c r="B1" s="35" t="s">
        <v>81</v>
      </c>
      <c r="C1" s="35" t="s">
        <v>82</v>
      </c>
      <c r="D1" s="35" t="s">
        <v>83</v>
      </c>
      <c r="E1" s="35" t="s">
        <v>84</v>
      </c>
      <c r="F1" s="35" t="s">
        <v>85</v>
      </c>
      <c r="G1" s="35" t="s">
        <v>86</v>
      </c>
      <c r="H1" s="37" t="s">
        <v>87</v>
      </c>
      <c r="I1" s="37" t="s">
        <v>88</v>
      </c>
      <c r="J1" s="37" t="s">
        <v>89</v>
      </c>
      <c r="K1" s="35" t="s">
        <v>90</v>
      </c>
    </row>
    <row r="3">
      <c r="C3" s="54" t="s">
        <v>3952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13"/>
    <col customWidth="1" min="2" max="2" width="5.5"/>
    <col customWidth="1" min="3" max="3" width="37.88"/>
    <col customWidth="1" min="4" max="4" width="8.0"/>
    <col customWidth="1" min="5" max="5" width="24.38"/>
    <col customWidth="1" min="6" max="6" width="5.63"/>
    <col customWidth="1" min="7" max="7" width="6.38"/>
    <col customWidth="1" min="8" max="8" width="7.63"/>
    <col customWidth="1" min="9" max="9" width="10.63"/>
    <col customWidth="1" min="10" max="10" width="12.88"/>
    <col customWidth="1" min="11" max="11" width="13.63"/>
    <col customWidth="1" min="12" max="21" width="12.88"/>
  </cols>
  <sheetData>
    <row r="1">
      <c r="A1" s="79" t="s">
        <v>80</v>
      </c>
      <c r="B1" s="35" t="s">
        <v>81</v>
      </c>
      <c r="C1" s="35" t="s">
        <v>82</v>
      </c>
      <c r="D1" s="35" t="s">
        <v>83</v>
      </c>
      <c r="E1" s="79" t="s">
        <v>84</v>
      </c>
      <c r="F1" s="35" t="s">
        <v>85</v>
      </c>
      <c r="G1" s="35" t="s">
        <v>86</v>
      </c>
      <c r="H1" s="37" t="s">
        <v>87</v>
      </c>
      <c r="I1" s="37" t="s">
        <v>88</v>
      </c>
      <c r="J1" s="37" t="s">
        <v>89</v>
      </c>
      <c r="K1" s="35" t="s">
        <v>90</v>
      </c>
      <c r="L1" s="45"/>
      <c r="M1" s="45"/>
      <c r="N1" s="45"/>
      <c r="O1" s="45"/>
      <c r="P1" s="45"/>
      <c r="Q1" s="45"/>
      <c r="R1" s="45"/>
      <c r="S1" s="45"/>
      <c r="T1" s="45"/>
      <c r="U1" s="45"/>
    </row>
    <row r="2">
      <c r="A2" s="79" t="s">
        <v>5922</v>
      </c>
      <c r="B2" s="45"/>
      <c r="C2" s="79" t="s">
        <v>5923</v>
      </c>
      <c r="D2" s="45"/>
      <c r="E2" s="79" t="s">
        <v>5650</v>
      </c>
      <c r="F2" s="79" t="s">
        <v>5924</v>
      </c>
      <c r="G2" s="45"/>
      <c r="H2" s="80">
        <v>6.24519</v>
      </c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</row>
    <row r="3">
      <c r="A3" s="79" t="s">
        <v>5925</v>
      </c>
      <c r="B3" s="45"/>
      <c r="C3" s="79" t="s">
        <v>5926</v>
      </c>
      <c r="D3" s="45"/>
      <c r="E3" s="79" t="s">
        <v>5326</v>
      </c>
      <c r="F3" s="79" t="s">
        <v>5927</v>
      </c>
      <c r="G3" s="45"/>
      <c r="H3" s="80">
        <v>3.99074</v>
      </c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</row>
    <row r="4">
      <c r="A4" s="79" t="s">
        <v>5928</v>
      </c>
      <c r="B4" s="45"/>
      <c r="C4" s="79" t="s">
        <v>5929</v>
      </c>
      <c r="D4" s="45"/>
      <c r="E4" s="79" t="s">
        <v>5691</v>
      </c>
      <c r="F4" s="79" t="s">
        <v>4340</v>
      </c>
      <c r="G4" s="45"/>
      <c r="H4" s="80">
        <v>3.68716</v>
      </c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</row>
    <row r="5">
      <c r="A5" s="79" t="s">
        <v>5930</v>
      </c>
      <c r="B5" s="45"/>
      <c r="C5" s="79" t="s">
        <v>5931</v>
      </c>
      <c r="D5" s="45"/>
      <c r="E5" s="79" t="s">
        <v>5232</v>
      </c>
      <c r="F5" s="79" t="s">
        <v>5927</v>
      </c>
      <c r="G5" s="45"/>
      <c r="H5" s="80">
        <v>2.92107</v>
      </c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</row>
    <row r="6">
      <c r="A6" s="79" t="s">
        <v>5932</v>
      </c>
      <c r="B6" s="45"/>
      <c r="C6" s="79" t="s">
        <v>5933</v>
      </c>
      <c r="D6" s="45"/>
      <c r="E6" s="79" t="s">
        <v>5326</v>
      </c>
      <c r="F6" s="79" t="s">
        <v>5927</v>
      </c>
      <c r="G6" s="45"/>
      <c r="H6" s="80">
        <v>1.33723</v>
      </c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</row>
    <row r="7">
      <c r="A7" s="79" t="s">
        <v>5934</v>
      </c>
      <c r="B7" s="45"/>
      <c r="C7" s="79" t="s">
        <v>5935</v>
      </c>
      <c r="D7" s="45"/>
      <c r="E7" s="79" t="s">
        <v>5357</v>
      </c>
      <c r="F7" s="79" t="s">
        <v>5936</v>
      </c>
      <c r="G7" s="45"/>
      <c r="H7" s="80">
        <v>1.3317</v>
      </c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</row>
    <row r="8">
      <c r="A8" s="79" t="s">
        <v>5937</v>
      </c>
      <c r="B8" s="45"/>
      <c r="C8" s="79" t="s">
        <v>5938</v>
      </c>
      <c r="D8" s="45"/>
      <c r="E8" s="79" t="s">
        <v>5215</v>
      </c>
      <c r="F8" s="79" t="s">
        <v>5936</v>
      </c>
      <c r="G8" s="45"/>
      <c r="H8" s="80">
        <v>0.88297</v>
      </c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</row>
    <row r="9">
      <c r="A9" s="79" t="s">
        <v>5939</v>
      </c>
      <c r="B9" s="45"/>
      <c r="C9" s="79" t="s">
        <v>5940</v>
      </c>
      <c r="D9" s="45"/>
      <c r="E9" s="79" t="s">
        <v>5215</v>
      </c>
      <c r="F9" s="79" t="s">
        <v>5941</v>
      </c>
      <c r="G9" s="45"/>
      <c r="H9" s="80">
        <v>0.78486</v>
      </c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</row>
    <row r="10">
      <c r="A10" s="79" t="s">
        <v>5942</v>
      </c>
      <c r="B10" s="45"/>
      <c r="C10" s="79" t="s">
        <v>5943</v>
      </c>
      <c r="D10" s="45"/>
      <c r="E10" s="79" t="s">
        <v>5215</v>
      </c>
      <c r="F10" s="79" t="s">
        <v>5944</v>
      </c>
      <c r="G10" s="45"/>
      <c r="H10" s="80">
        <v>0.77438</v>
      </c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</row>
    <row r="11">
      <c r="A11" s="79" t="s">
        <v>5945</v>
      </c>
      <c r="B11" s="45"/>
      <c r="C11" s="79" t="s">
        <v>5946</v>
      </c>
      <c r="D11" s="45"/>
      <c r="E11" s="79" t="s">
        <v>5374</v>
      </c>
      <c r="F11" s="79" t="s">
        <v>5936</v>
      </c>
      <c r="G11" s="45"/>
      <c r="H11" s="80">
        <v>0.77107</v>
      </c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</row>
    <row r="12">
      <c r="A12" s="79" t="s">
        <v>5947</v>
      </c>
      <c r="B12" s="45"/>
      <c r="C12" s="79" t="s">
        <v>5948</v>
      </c>
      <c r="D12" s="45"/>
      <c r="E12" s="79" t="s">
        <v>5650</v>
      </c>
      <c r="F12" s="79" t="s">
        <v>4340</v>
      </c>
      <c r="G12" s="45"/>
      <c r="H12" s="80">
        <v>0.74573</v>
      </c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</row>
    <row r="13">
      <c r="A13" s="79" t="s">
        <v>5949</v>
      </c>
      <c r="B13" s="45"/>
      <c r="C13" s="79" t="s">
        <v>5950</v>
      </c>
      <c r="D13" s="45"/>
      <c r="E13" s="79" t="s">
        <v>5246</v>
      </c>
      <c r="F13" s="79" t="s">
        <v>4424</v>
      </c>
      <c r="G13" s="45"/>
      <c r="H13" s="80">
        <v>0.70059</v>
      </c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</row>
    <row r="14">
      <c r="A14" s="79" t="s">
        <v>5951</v>
      </c>
      <c r="B14" s="45"/>
      <c r="C14" s="79" t="s">
        <v>5952</v>
      </c>
      <c r="D14" s="45"/>
      <c r="E14" s="79" t="s">
        <v>5232</v>
      </c>
      <c r="F14" s="79" t="s">
        <v>5927</v>
      </c>
      <c r="G14" s="45"/>
      <c r="H14" s="80">
        <v>0.6786</v>
      </c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</row>
    <row r="15">
      <c r="A15" s="79" t="s">
        <v>5953</v>
      </c>
      <c r="B15" s="45"/>
      <c r="C15" s="79" t="s">
        <v>5954</v>
      </c>
      <c r="D15" s="45"/>
      <c r="E15" s="79" t="s">
        <v>5326</v>
      </c>
      <c r="F15" s="79" t="s">
        <v>5927</v>
      </c>
      <c r="G15" s="45"/>
      <c r="H15" s="80">
        <v>0.64179</v>
      </c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</row>
    <row r="16">
      <c r="A16" s="79" t="s">
        <v>5955</v>
      </c>
      <c r="B16" s="45"/>
      <c r="C16" s="79" t="s">
        <v>5956</v>
      </c>
      <c r="D16" s="45"/>
      <c r="E16" s="79" t="s">
        <v>5271</v>
      </c>
      <c r="F16" s="79" t="s">
        <v>5944</v>
      </c>
      <c r="G16" s="45"/>
      <c r="H16" s="80">
        <v>0.63184</v>
      </c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</row>
    <row r="17">
      <c r="A17" s="79" t="s">
        <v>5957</v>
      </c>
      <c r="B17" s="45"/>
      <c r="C17" s="79" t="s">
        <v>5958</v>
      </c>
      <c r="D17" s="45"/>
      <c r="E17" s="79" t="s">
        <v>5326</v>
      </c>
      <c r="F17" s="79" t="s">
        <v>5927</v>
      </c>
      <c r="G17" s="45"/>
      <c r="H17" s="80">
        <v>0.62473</v>
      </c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</row>
    <row r="18">
      <c r="A18" s="79" t="s">
        <v>5959</v>
      </c>
      <c r="B18" s="45"/>
      <c r="C18" s="79" t="s">
        <v>5960</v>
      </c>
      <c r="D18" s="45"/>
      <c r="E18" s="79" t="s">
        <v>5961</v>
      </c>
      <c r="F18" s="79" t="s">
        <v>5924</v>
      </c>
      <c r="G18" s="45"/>
      <c r="H18" s="80">
        <v>0.6068</v>
      </c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</row>
    <row r="19">
      <c r="A19" s="79" t="s">
        <v>5962</v>
      </c>
      <c r="B19" s="45"/>
      <c r="C19" s="79" t="s">
        <v>5963</v>
      </c>
      <c r="D19" s="45"/>
      <c r="E19" s="79" t="s">
        <v>5964</v>
      </c>
      <c r="F19" s="79" t="s">
        <v>5927</v>
      </c>
      <c r="G19" s="45"/>
      <c r="H19" s="80">
        <v>0.60395</v>
      </c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</row>
    <row r="20">
      <c r="A20" s="79" t="s">
        <v>5965</v>
      </c>
      <c r="B20" s="45"/>
      <c r="C20" s="79" t="s">
        <v>5966</v>
      </c>
      <c r="D20" s="45"/>
      <c r="E20" s="79" t="s">
        <v>5215</v>
      </c>
      <c r="F20" s="79" t="s">
        <v>5967</v>
      </c>
      <c r="G20" s="45"/>
      <c r="H20" s="80">
        <v>0.55187</v>
      </c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</row>
    <row r="21">
      <c r="A21" s="79" t="s">
        <v>5968</v>
      </c>
      <c r="B21" s="45"/>
      <c r="C21" s="79" t="s">
        <v>5969</v>
      </c>
      <c r="D21" s="45"/>
      <c r="E21" s="79" t="s">
        <v>5326</v>
      </c>
      <c r="F21" s="79" t="s">
        <v>5970</v>
      </c>
      <c r="G21" s="45"/>
      <c r="H21" s="80">
        <v>0.54836</v>
      </c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</row>
    <row r="22">
      <c r="A22" s="79" t="s">
        <v>5971</v>
      </c>
      <c r="B22" s="45"/>
      <c r="C22" s="79" t="s">
        <v>5972</v>
      </c>
      <c r="D22" s="45"/>
      <c r="E22" s="79" t="s">
        <v>5374</v>
      </c>
      <c r="F22" s="79" t="s">
        <v>5936</v>
      </c>
      <c r="G22" s="45"/>
      <c r="H22" s="80">
        <v>0.54079</v>
      </c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</row>
    <row r="23">
      <c r="A23" s="79" t="s">
        <v>5973</v>
      </c>
      <c r="B23" s="45"/>
      <c r="C23" s="79" t="s">
        <v>5929</v>
      </c>
      <c r="D23" s="45"/>
      <c r="E23" s="79" t="s">
        <v>5691</v>
      </c>
      <c r="F23" s="79" t="s">
        <v>4340</v>
      </c>
      <c r="G23" s="45"/>
      <c r="H23" s="80">
        <v>0.52549</v>
      </c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</row>
    <row r="24">
      <c r="A24" s="79" t="s">
        <v>5974</v>
      </c>
      <c r="B24" s="45"/>
      <c r="C24" s="79" t="s">
        <v>5975</v>
      </c>
      <c r="D24" s="45"/>
      <c r="E24" s="79" t="s">
        <v>5246</v>
      </c>
      <c r="F24" s="79" t="s">
        <v>4340</v>
      </c>
      <c r="G24" s="45"/>
      <c r="H24" s="80">
        <v>0.51489</v>
      </c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</row>
    <row r="25">
      <c r="A25" s="79" t="s">
        <v>5976</v>
      </c>
      <c r="B25" s="45"/>
      <c r="C25" s="79" t="s">
        <v>5977</v>
      </c>
      <c r="D25" s="45"/>
      <c r="E25" s="79" t="s">
        <v>5978</v>
      </c>
      <c r="F25" s="79" t="s">
        <v>5944</v>
      </c>
      <c r="G25" s="45"/>
      <c r="H25" s="80">
        <v>0.49475</v>
      </c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</row>
    <row r="26">
      <c r="A26" s="79" t="s">
        <v>5979</v>
      </c>
      <c r="B26" s="45"/>
      <c r="C26" s="79" t="s">
        <v>5980</v>
      </c>
      <c r="D26" s="45"/>
      <c r="E26" s="79" t="s">
        <v>5650</v>
      </c>
      <c r="F26" s="79" t="s">
        <v>5924</v>
      </c>
      <c r="G26" s="45"/>
      <c r="H26" s="80">
        <v>0.47343</v>
      </c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</row>
    <row r="27">
      <c r="A27" s="79" t="s">
        <v>5981</v>
      </c>
      <c r="B27" s="45"/>
      <c r="C27" s="79" t="s">
        <v>5982</v>
      </c>
      <c r="D27" s="45"/>
      <c r="E27" s="79" t="s">
        <v>5215</v>
      </c>
      <c r="F27" s="79" t="s">
        <v>5983</v>
      </c>
      <c r="G27" s="45"/>
      <c r="H27" s="80">
        <v>0.47157</v>
      </c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</row>
    <row r="28">
      <c r="A28" s="79" t="s">
        <v>5984</v>
      </c>
      <c r="B28" s="45"/>
      <c r="C28" s="79" t="s">
        <v>5985</v>
      </c>
      <c r="D28" s="45"/>
      <c r="E28" s="79" t="s">
        <v>5235</v>
      </c>
      <c r="F28" s="79" t="s">
        <v>5986</v>
      </c>
      <c r="G28" s="45"/>
      <c r="H28" s="80">
        <v>0.46438</v>
      </c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</row>
    <row r="29">
      <c r="A29" s="79" t="s">
        <v>5987</v>
      </c>
      <c r="B29" s="45"/>
      <c r="C29" s="79" t="s">
        <v>5988</v>
      </c>
      <c r="D29" s="45"/>
      <c r="E29" s="79" t="s">
        <v>5989</v>
      </c>
      <c r="F29" s="79" t="s">
        <v>4424</v>
      </c>
      <c r="G29" s="45"/>
      <c r="H29" s="80">
        <v>0.43735</v>
      </c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</row>
    <row r="30">
      <c r="A30" s="79" t="s">
        <v>5990</v>
      </c>
      <c r="B30" s="45"/>
      <c r="C30" s="79" t="s">
        <v>5991</v>
      </c>
      <c r="D30" s="45"/>
      <c r="E30" s="79" t="s">
        <v>5215</v>
      </c>
      <c r="F30" s="79" t="s">
        <v>5967</v>
      </c>
      <c r="G30" s="45"/>
      <c r="H30" s="80">
        <v>0.42987</v>
      </c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</row>
    <row r="31">
      <c r="A31" s="79" t="s">
        <v>5992</v>
      </c>
      <c r="B31" s="45"/>
      <c r="C31" s="79" t="s">
        <v>5993</v>
      </c>
      <c r="D31" s="45"/>
      <c r="E31" s="79" t="s">
        <v>5215</v>
      </c>
      <c r="F31" s="79" t="s">
        <v>5944</v>
      </c>
      <c r="G31" s="45"/>
      <c r="H31" s="80">
        <v>0.42063</v>
      </c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</row>
    <row r="32">
      <c r="A32" s="79" t="s">
        <v>5994</v>
      </c>
      <c r="B32" s="45"/>
      <c r="C32" s="79" t="s">
        <v>5995</v>
      </c>
      <c r="D32" s="45"/>
      <c r="E32" s="79" t="s">
        <v>5215</v>
      </c>
      <c r="F32" s="79" t="s">
        <v>4424</v>
      </c>
      <c r="G32" s="45"/>
      <c r="H32" s="80">
        <v>0.41171</v>
      </c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</row>
    <row r="33">
      <c r="A33" s="79" t="s">
        <v>5996</v>
      </c>
      <c r="B33" s="45"/>
      <c r="C33" s="79" t="s">
        <v>5997</v>
      </c>
      <c r="D33" s="45"/>
      <c r="E33" s="79" t="s">
        <v>5215</v>
      </c>
      <c r="F33" s="79" t="s">
        <v>5944</v>
      </c>
      <c r="G33" s="45"/>
      <c r="H33" s="80">
        <v>0.40744</v>
      </c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</row>
    <row r="34">
      <c r="A34" s="79" t="s">
        <v>5998</v>
      </c>
      <c r="B34" s="45"/>
      <c r="C34" s="79" t="s">
        <v>5999</v>
      </c>
      <c r="D34" s="45"/>
      <c r="E34" s="79" t="s">
        <v>5961</v>
      </c>
      <c r="F34" s="79" t="s">
        <v>4340</v>
      </c>
      <c r="G34" s="45"/>
      <c r="H34" s="80">
        <v>0.40717</v>
      </c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</row>
    <row r="35">
      <c r="A35" s="79" t="s">
        <v>6000</v>
      </c>
      <c r="B35" s="45"/>
      <c r="C35" s="79" t="s">
        <v>5988</v>
      </c>
      <c r="D35" s="45"/>
      <c r="E35" s="79" t="s">
        <v>5989</v>
      </c>
      <c r="F35" s="79" t="s">
        <v>4424</v>
      </c>
      <c r="G35" s="45"/>
      <c r="H35" s="80">
        <v>0.38894</v>
      </c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</row>
    <row r="36">
      <c r="A36" s="79" t="s">
        <v>6001</v>
      </c>
      <c r="B36" s="45"/>
      <c r="C36" s="79" t="s">
        <v>6002</v>
      </c>
      <c r="D36" s="45"/>
      <c r="E36" s="79" t="s">
        <v>5215</v>
      </c>
      <c r="F36" s="79" t="s">
        <v>5936</v>
      </c>
      <c r="G36" s="45"/>
      <c r="H36" s="80">
        <v>0.37519</v>
      </c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</row>
    <row r="37">
      <c r="A37" s="79" t="s">
        <v>6003</v>
      </c>
      <c r="B37" s="45"/>
      <c r="C37" s="79" t="s">
        <v>6004</v>
      </c>
      <c r="D37" s="45"/>
      <c r="E37" s="79" t="s">
        <v>5215</v>
      </c>
      <c r="F37" s="79" t="s">
        <v>5983</v>
      </c>
      <c r="G37" s="45"/>
      <c r="H37" s="80">
        <v>0.36325</v>
      </c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</row>
    <row r="38">
      <c r="A38" s="79" t="s">
        <v>6005</v>
      </c>
      <c r="B38" s="45"/>
      <c r="C38" s="79" t="s">
        <v>6006</v>
      </c>
      <c r="D38" s="45"/>
      <c r="E38" s="79" t="s">
        <v>5456</v>
      </c>
      <c r="F38" s="79" t="s">
        <v>5300</v>
      </c>
      <c r="G38" s="45"/>
      <c r="H38" s="80">
        <v>0.3629</v>
      </c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</row>
    <row r="39">
      <c r="A39" s="79" t="s">
        <v>6007</v>
      </c>
      <c r="B39" s="45"/>
      <c r="C39" s="79" t="s">
        <v>6008</v>
      </c>
      <c r="D39" s="45"/>
      <c r="E39" s="79" t="s">
        <v>6009</v>
      </c>
      <c r="F39" s="79" t="s">
        <v>5936</v>
      </c>
      <c r="G39" s="45"/>
      <c r="H39" s="80">
        <v>0.36287</v>
      </c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</row>
    <row r="40">
      <c r="A40" s="79" t="s">
        <v>6010</v>
      </c>
      <c r="B40" s="45"/>
      <c r="C40" s="79" t="s">
        <v>6011</v>
      </c>
      <c r="D40" s="45"/>
      <c r="E40" s="79" t="s">
        <v>6012</v>
      </c>
      <c r="F40" s="79" t="s">
        <v>4340</v>
      </c>
      <c r="G40" s="45"/>
      <c r="H40" s="80">
        <v>0.35836</v>
      </c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</row>
    <row r="41">
      <c r="A41" s="79" t="s">
        <v>6013</v>
      </c>
      <c r="B41" s="45"/>
      <c r="C41" s="79" t="s">
        <v>6014</v>
      </c>
      <c r="D41" s="45"/>
      <c r="E41" s="79" t="s">
        <v>5215</v>
      </c>
      <c r="F41" s="79" t="s">
        <v>5986</v>
      </c>
      <c r="G41" s="45"/>
      <c r="H41" s="80">
        <v>0.35102</v>
      </c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</row>
    <row r="42">
      <c r="A42" s="79" t="s">
        <v>6015</v>
      </c>
      <c r="B42" s="45"/>
      <c r="C42" s="79" t="s">
        <v>6016</v>
      </c>
      <c r="D42" s="45"/>
      <c r="E42" s="79" t="s">
        <v>5235</v>
      </c>
      <c r="F42" s="79" t="s">
        <v>5936</v>
      </c>
      <c r="G42" s="45"/>
      <c r="H42" s="80">
        <v>0.34487</v>
      </c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</row>
    <row r="43">
      <c r="A43" s="79" t="s">
        <v>6017</v>
      </c>
      <c r="B43" s="45"/>
      <c r="C43" s="79" t="s">
        <v>6018</v>
      </c>
      <c r="D43" s="45"/>
      <c r="E43" s="79" t="s">
        <v>5215</v>
      </c>
      <c r="F43" s="79" t="s">
        <v>5936</v>
      </c>
      <c r="G43" s="45"/>
      <c r="H43" s="80">
        <v>0.34475</v>
      </c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</row>
    <row r="44">
      <c r="A44" s="79" t="s">
        <v>6019</v>
      </c>
      <c r="B44" s="45"/>
      <c r="C44" s="79" t="s">
        <v>6020</v>
      </c>
      <c r="D44" s="45"/>
      <c r="E44" s="79" t="s">
        <v>5578</v>
      </c>
      <c r="F44" s="79" t="s">
        <v>5936</v>
      </c>
      <c r="G44" s="45"/>
      <c r="H44" s="80">
        <v>0.34384</v>
      </c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</row>
    <row r="45">
      <c r="A45" s="79" t="s">
        <v>6021</v>
      </c>
      <c r="B45" s="45"/>
      <c r="C45" s="79" t="s">
        <v>6022</v>
      </c>
      <c r="D45" s="45"/>
      <c r="E45" s="79" t="s">
        <v>5978</v>
      </c>
      <c r="F45" s="79" t="s">
        <v>5927</v>
      </c>
      <c r="G45" s="45"/>
      <c r="H45" s="80">
        <v>0.34097</v>
      </c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</row>
    <row r="46">
      <c r="A46" s="79" t="s">
        <v>6023</v>
      </c>
      <c r="B46" s="45"/>
      <c r="C46" s="79" t="s">
        <v>6024</v>
      </c>
      <c r="D46" s="45"/>
      <c r="E46" s="79" t="s">
        <v>5691</v>
      </c>
      <c r="F46" s="79" t="s">
        <v>5927</v>
      </c>
      <c r="G46" s="45"/>
      <c r="H46" s="80">
        <v>0.33928</v>
      </c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</row>
    <row r="47">
      <c r="A47" s="79" t="s">
        <v>6025</v>
      </c>
      <c r="B47" s="45"/>
      <c r="C47" s="79" t="s">
        <v>6026</v>
      </c>
      <c r="D47" s="45"/>
      <c r="E47" s="79" t="s">
        <v>5215</v>
      </c>
      <c r="F47" s="79" t="s">
        <v>6027</v>
      </c>
      <c r="G47" s="45"/>
      <c r="H47" s="80">
        <v>0.33892</v>
      </c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</row>
    <row r="48">
      <c r="A48" s="79" t="s">
        <v>6028</v>
      </c>
      <c r="B48" s="45"/>
      <c r="C48" s="79" t="s">
        <v>6029</v>
      </c>
      <c r="D48" s="45"/>
      <c r="E48" s="79" t="s">
        <v>5326</v>
      </c>
      <c r="F48" s="79" t="s">
        <v>4340</v>
      </c>
      <c r="G48" s="45"/>
      <c r="H48" s="80">
        <v>0.33394</v>
      </c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</row>
    <row r="49">
      <c r="A49" s="79" t="s">
        <v>6030</v>
      </c>
      <c r="B49" s="45"/>
      <c r="C49" s="79" t="s">
        <v>6031</v>
      </c>
      <c r="D49" s="45"/>
      <c r="E49" s="79" t="s">
        <v>5989</v>
      </c>
      <c r="F49" s="79" t="s">
        <v>5967</v>
      </c>
      <c r="G49" s="45"/>
      <c r="H49" s="80">
        <v>0.32371</v>
      </c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</row>
    <row r="50">
      <c r="A50" s="79" t="s">
        <v>6032</v>
      </c>
      <c r="B50" s="45"/>
      <c r="C50" s="79" t="s">
        <v>6033</v>
      </c>
      <c r="D50" s="45"/>
      <c r="E50" s="79" t="s">
        <v>5377</v>
      </c>
      <c r="F50" s="79" t="s">
        <v>5936</v>
      </c>
      <c r="G50" s="45"/>
      <c r="H50" s="80">
        <v>0.31972</v>
      </c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</row>
    <row r="51">
      <c r="A51" s="79" t="s">
        <v>6034</v>
      </c>
      <c r="B51" s="45"/>
      <c r="C51" s="79" t="s">
        <v>6035</v>
      </c>
      <c r="D51" s="45"/>
      <c r="E51" s="79" t="s">
        <v>5961</v>
      </c>
      <c r="F51" s="79" t="s">
        <v>5924</v>
      </c>
      <c r="G51" s="45"/>
      <c r="H51" s="80">
        <v>0.31808</v>
      </c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</row>
    <row r="52">
      <c r="A52" s="79" t="s">
        <v>6036</v>
      </c>
      <c r="B52" s="45"/>
      <c r="C52" s="79" t="s">
        <v>6037</v>
      </c>
      <c r="D52" s="45"/>
      <c r="E52" s="79" t="s">
        <v>5235</v>
      </c>
      <c r="F52" s="79" t="s">
        <v>5967</v>
      </c>
      <c r="G52" s="45"/>
      <c r="H52" s="80">
        <v>0.3164</v>
      </c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</row>
    <row r="53">
      <c r="A53" s="79" t="s">
        <v>6038</v>
      </c>
      <c r="B53" s="45"/>
      <c r="C53" s="79" t="s">
        <v>6039</v>
      </c>
      <c r="D53" s="45"/>
      <c r="E53" s="79" t="s">
        <v>6040</v>
      </c>
      <c r="F53" s="79" t="s">
        <v>5986</v>
      </c>
      <c r="G53" s="45"/>
      <c r="H53" s="80">
        <v>0.31556</v>
      </c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</row>
    <row r="54">
      <c r="A54" s="79" t="s">
        <v>6041</v>
      </c>
      <c r="B54" s="45"/>
      <c r="C54" s="79" t="s">
        <v>6042</v>
      </c>
      <c r="D54" s="45"/>
      <c r="E54" s="79" t="s">
        <v>5431</v>
      </c>
      <c r="F54" s="79" t="s">
        <v>5927</v>
      </c>
      <c r="G54" s="45"/>
      <c r="H54" s="80">
        <v>0.30996</v>
      </c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</row>
    <row r="55">
      <c r="A55" s="79" t="s">
        <v>6043</v>
      </c>
      <c r="B55" s="45"/>
      <c r="C55" s="79" t="s">
        <v>6044</v>
      </c>
      <c r="D55" s="45"/>
      <c r="E55" s="79" t="s">
        <v>5232</v>
      </c>
      <c r="F55" s="79" t="s">
        <v>5986</v>
      </c>
      <c r="G55" s="45"/>
      <c r="H55" s="80">
        <v>0.30846</v>
      </c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</row>
    <row r="56">
      <c r="A56" s="79" t="s">
        <v>6045</v>
      </c>
      <c r="B56" s="45"/>
      <c r="C56" s="79" t="s">
        <v>6046</v>
      </c>
      <c r="D56" s="45"/>
      <c r="E56" s="79" t="s">
        <v>5215</v>
      </c>
      <c r="F56" s="79" t="s">
        <v>6047</v>
      </c>
      <c r="G56" s="45"/>
      <c r="H56" s="80">
        <v>0.30823</v>
      </c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</row>
    <row r="57">
      <c r="A57" s="79" t="s">
        <v>6048</v>
      </c>
      <c r="B57" s="45"/>
      <c r="C57" s="79" t="s">
        <v>6049</v>
      </c>
      <c r="D57" s="45"/>
      <c r="E57" s="79" t="s">
        <v>5235</v>
      </c>
      <c r="F57" s="79" t="s">
        <v>6050</v>
      </c>
      <c r="G57" s="45"/>
      <c r="H57" s="80">
        <v>0.30407</v>
      </c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</row>
    <row r="58">
      <c r="A58" s="79" t="s">
        <v>6051</v>
      </c>
      <c r="B58" s="45"/>
      <c r="C58" s="79" t="s">
        <v>6052</v>
      </c>
      <c r="D58" s="45"/>
      <c r="E58" s="79" t="s">
        <v>5478</v>
      </c>
      <c r="F58" s="79" t="s">
        <v>5927</v>
      </c>
      <c r="G58" s="45"/>
      <c r="H58" s="80">
        <v>0.30403</v>
      </c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</row>
    <row r="59">
      <c r="A59" s="79" t="s">
        <v>6053</v>
      </c>
      <c r="B59" s="45"/>
      <c r="C59" s="79" t="s">
        <v>6054</v>
      </c>
      <c r="D59" s="45"/>
      <c r="E59" s="79" t="s">
        <v>5978</v>
      </c>
      <c r="F59" s="79" t="s">
        <v>4340</v>
      </c>
      <c r="G59" s="45"/>
      <c r="H59" s="80">
        <v>0.30228</v>
      </c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</row>
    <row r="60">
      <c r="A60" s="79" t="s">
        <v>6055</v>
      </c>
      <c r="B60" s="45"/>
      <c r="C60" s="79" t="s">
        <v>6056</v>
      </c>
      <c r="D60" s="45"/>
      <c r="E60" s="79" t="s">
        <v>5978</v>
      </c>
      <c r="F60" s="79" t="s">
        <v>5927</v>
      </c>
      <c r="G60" s="45"/>
      <c r="H60" s="80">
        <v>0.29948</v>
      </c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</row>
    <row r="61">
      <c r="A61" s="79" t="s">
        <v>6057</v>
      </c>
      <c r="B61" s="45"/>
      <c r="C61" s="79" t="s">
        <v>6058</v>
      </c>
      <c r="D61" s="45"/>
      <c r="E61" s="79" t="s">
        <v>5215</v>
      </c>
      <c r="F61" s="79" t="s">
        <v>5944</v>
      </c>
      <c r="G61" s="45"/>
      <c r="H61" s="80">
        <v>0.29886</v>
      </c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</row>
    <row r="62">
      <c r="A62" s="79" t="s">
        <v>6059</v>
      </c>
      <c r="B62" s="45"/>
      <c r="C62" s="79" t="s">
        <v>6060</v>
      </c>
      <c r="D62" s="45"/>
      <c r="E62" s="79" t="s">
        <v>5366</v>
      </c>
      <c r="F62" s="79" t="s">
        <v>5967</v>
      </c>
      <c r="G62" s="45"/>
      <c r="H62" s="80">
        <v>0.29526</v>
      </c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</row>
    <row r="63">
      <c r="A63" s="79" t="s">
        <v>6061</v>
      </c>
      <c r="B63" s="45"/>
      <c r="C63" s="79" t="s">
        <v>6062</v>
      </c>
      <c r="D63" s="45"/>
      <c r="E63" s="79" t="s">
        <v>5215</v>
      </c>
      <c r="F63" s="79" t="s">
        <v>5970</v>
      </c>
      <c r="G63" s="45"/>
      <c r="H63" s="80">
        <v>0.29465</v>
      </c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</row>
    <row r="64">
      <c r="A64" s="79" t="s">
        <v>6063</v>
      </c>
      <c r="B64" s="45"/>
      <c r="C64" s="79" t="s">
        <v>6064</v>
      </c>
      <c r="D64" s="45"/>
      <c r="E64" s="79" t="s">
        <v>5811</v>
      </c>
      <c r="F64" s="79" t="s">
        <v>5924</v>
      </c>
      <c r="G64" s="45"/>
      <c r="H64" s="80">
        <v>0.29248</v>
      </c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</row>
    <row r="65">
      <c r="A65" s="79" t="s">
        <v>6065</v>
      </c>
      <c r="B65" s="45"/>
      <c r="C65" s="79" t="s">
        <v>6066</v>
      </c>
      <c r="D65" s="45"/>
      <c r="E65" s="79" t="s">
        <v>5215</v>
      </c>
      <c r="F65" s="79" t="s">
        <v>6027</v>
      </c>
      <c r="G65" s="45"/>
      <c r="H65" s="80">
        <v>0.29235</v>
      </c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</row>
    <row r="66">
      <c r="A66" s="79" t="s">
        <v>6067</v>
      </c>
      <c r="B66" s="45"/>
      <c r="C66" s="79" t="s">
        <v>6068</v>
      </c>
      <c r="D66" s="45"/>
      <c r="E66" s="79" t="s">
        <v>5351</v>
      </c>
      <c r="F66" s="79" t="s">
        <v>5944</v>
      </c>
      <c r="G66" s="45"/>
      <c r="H66" s="80">
        <v>0.2831</v>
      </c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</row>
    <row r="67">
      <c r="A67" s="79" t="s">
        <v>6069</v>
      </c>
      <c r="B67" s="45"/>
      <c r="C67" s="79" t="s">
        <v>6070</v>
      </c>
      <c r="D67" s="45"/>
      <c r="E67" s="79" t="s">
        <v>5326</v>
      </c>
      <c r="F67" s="79" t="s">
        <v>5927</v>
      </c>
      <c r="G67" s="45"/>
      <c r="H67" s="80">
        <v>0.28175</v>
      </c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</row>
    <row r="68">
      <c r="A68" s="79" t="s">
        <v>6071</v>
      </c>
      <c r="B68" s="45"/>
      <c r="C68" s="79" t="s">
        <v>6072</v>
      </c>
      <c r="D68" s="45"/>
      <c r="E68" s="79" t="s">
        <v>5229</v>
      </c>
      <c r="F68" s="79" t="s">
        <v>4424</v>
      </c>
      <c r="G68" s="45"/>
      <c r="H68" s="80">
        <v>0.25863</v>
      </c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</row>
    <row r="69">
      <c r="A69" s="79" t="s">
        <v>6073</v>
      </c>
      <c r="B69" s="45"/>
      <c r="C69" s="79" t="s">
        <v>6074</v>
      </c>
      <c r="D69" s="45"/>
      <c r="E69" s="79" t="s">
        <v>5215</v>
      </c>
      <c r="F69" s="79" t="s">
        <v>6050</v>
      </c>
      <c r="G69" s="45"/>
      <c r="H69" s="80">
        <v>0.25286</v>
      </c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</row>
    <row r="70">
      <c r="A70" s="79" t="s">
        <v>6075</v>
      </c>
      <c r="B70" s="45"/>
      <c r="C70" s="79" t="s">
        <v>6076</v>
      </c>
      <c r="D70" s="45"/>
      <c r="E70" s="79" t="s">
        <v>5215</v>
      </c>
      <c r="F70" s="79" t="s">
        <v>4424</v>
      </c>
      <c r="G70" s="45"/>
      <c r="H70" s="80">
        <v>0.24956</v>
      </c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</row>
    <row r="71">
      <c r="A71" s="79" t="s">
        <v>6077</v>
      </c>
      <c r="B71" s="45"/>
      <c r="C71" s="79" t="s">
        <v>6078</v>
      </c>
      <c r="D71" s="45"/>
      <c r="E71" s="79" t="s">
        <v>5978</v>
      </c>
      <c r="F71" s="79" t="s">
        <v>4340</v>
      </c>
      <c r="G71" s="45"/>
      <c r="H71" s="80">
        <v>0.24429</v>
      </c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</row>
    <row r="72">
      <c r="A72" s="79" t="s">
        <v>6079</v>
      </c>
      <c r="B72" s="45"/>
      <c r="C72" s="79" t="s">
        <v>6080</v>
      </c>
      <c r="D72" s="45"/>
      <c r="E72" s="79" t="s">
        <v>5650</v>
      </c>
      <c r="F72" s="79" t="s">
        <v>5924</v>
      </c>
      <c r="G72" s="45"/>
      <c r="H72" s="80">
        <v>0.2408</v>
      </c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</row>
    <row r="73">
      <c r="A73" s="79" t="s">
        <v>6081</v>
      </c>
      <c r="B73" s="45"/>
      <c r="C73" s="79" t="s">
        <v>6082</v>
      </c>
      <c r="D73" s="45"/>
      <c r="E73" s="79" t="s">
        <v>6083</v>
      </c>
      <c r="F73" s="79" t="s">
        <v>5936</v>
      </c>
      <c r="G73" s="45"/>
      <c r="H73" s="80">
        <v>0.24023</v>
      </c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</row>
    <row r="74">
      <c r="A74" s="79" t="s">
        <v>6084</v>
      </c>
      <c r="B74" s="45"/>
      <c r="C74" s="79" t="s">
        <v>6085</v>
      </c>
      <c r="D74" s="45"/>
      <c r="E74" s="79" t="s">
        <v>5978</v>
      </c>
      <c r="F74" s="79" t="s">
        <v>5936</v>
      </c>
      <c r="G74" s="45"/>
      <c r="H74" s="80">
        <v>0.23531</v>
      </c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</row>
    <row r="75">
      <c r="A75" s="79" t="s">
        <v>6086</v>
      </c>
      <c r="B75" s="45"/>
      <c r="C75" s="79" t="s">
        <v>6087</v>
      </c>
      <c r="D75" s="45"/>
      <c r="E75" s="79" t="s">
        <v>5338</v>
      </c>
      <c r="F75" s="79" t="s">
        <v>5986</v>
      </c>
      <c r="G75" s="45"/>
      <c r="H75" s="80">
        <v>0.23114</v>
      </c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</row>
    <row r="76">
      <c r="A76" s="79" t="s">
        <v>6088</v>
      </c>
      <c r="B76" s="45"/>
      <c r="C76" s="79" t="s">
        <v>6089</v>
      </c>
      <c r="D76" s="45"/>
      <c r="E76" s="79" t="s">
        <v>6090</v>
      </c>
      <c r="F76" s="79" t="s">
        <v>5936</v>
      </c>
      <c r="G76" s="45"/>
      <c r="H76" s="80">
        <v>0.22675</v>
      </c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</row>
    <row r="77">
      <c r="A77" s="79" t="s">
        <v>6091</v>
      </c>
      <c r="B77" s="45"/>
      <c r="C77" s="79" t="s">
        <v>6092</v>
      </c>
      <c r="D77" s="45"/>
      <c r="E77" s="79" t="s">
        <v>5989</v>
      </c>
      <c r="F77" s="79" t="s">
        <v>5944</v>
      </c>
      <c r="G77" s="45"/>
      <c r="H77" s="80">
        <v>0.22552</v>
      </c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</row>
    <row r="78">
      <c r="A78" s="79" t="s">
        <v>6093</v>
      </c>
      <c r="B78" s="45"/>
      <c r="C78" s="79" t="s">
        <v>6094</v>
      </c>
      <c r="D78" s="45"/>
      <c r="E78" s="79" t="s">
        <v>5855</v>
      </c>
      <c r="F78" s="79" t="s">
        <v>4340</v>
      </c>
      <c r="G78" s="45"/>
      <c r="H78" s="80">
        <v>0.22516</v>
      </c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</row>
    <row r="79">
      <c r="A79" s="79" t="s">
        <v>6095</v>
      </c>
      <c r="B79" s="45"/>
      <c r="C79" s="79" t="s">
        <v>6096</v>
      </c>
      <c r="D79" s="45"/>
      <c r="E79" s="79" t="s">
        <v>5215</v>
      </c>
      <c r="F79" s="79" t="s">
        <v>4340</v>
      </c>
      <c r="G79" s="45"/>
      <c r="H79" s="80">
        <v>0.22185</v>
      </c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</row>
    <row r="80">
      <c r="A80" s="79" t="s">
        <v>6097</v>
      </c>
      <c r="B80" s="45"/>
      <c r="C80" s="79" t="s">
        <v>6098</v>
      </c>
      <c r="D80" s="45"/>
      <c r="E80" s="79" t="s">
        <v>5271</v>
      </c>
      <c r="F80" s="79" t="s">
        <v>5924</v>
      </c>
      <c r="G80" s="45"/>
      <c r="H80" s="80">
        <v>0.2218</v>
      </c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</row>
    <row r="81">
      <c r="A81" s="79" t="s">
        <v>6099</v>
      </c>
      <c r="B81" s="45"/>
      <c r="C81" s="79" t="s">
        <v>6100</v>
      </c>
      <c r="D81" s="45"/>
      <c r="E81" s="79" t="s">
        <v>5978</v>
      </c>
      <c r="F81" s="79" t="s">
        <v>5936</v>
      </c>
      <c r="G81" s="45"/>
      <c r="H81" s="80">
        <v>0.22053</v>
      </c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</row>
    <row r="82">
      <c r="A82" s="79" t="s">
        <v>6101</v>
      </c>
      <c r="B82" s="45"/>
      <c r="C82" s="79" t="s">
        <v>6102</v>
      </c>
      <c r="D82" s="45"/>
      <c r="E82" s="79" t="s">
        <v>5855</v>
      </c>
      <c r="F82" s="79" t="s">
        <v>4340</v>
      </c>
      <c r="G82" s="45"/>
      <c r="H82" s="80">
        <v>0.22025</v>
      </c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</row>
    <row r="83">
      <c r="A83" s="79" t="s">
        <v>5976</v>
      </c>
      <c r="B83" s="45"/>
      <c r="C83" s="79" t="s">
        <v>6103</v>
      </c>
      <c r="D83" s="45"/>
      <c r="E83" s="79" t="s">
        <v>5211</v>
      </c>
      <c r="F83" s="79" t="s">
        <v>5967</v>
      </c>
      <c r="G83" s="45"/>
      <c r="H83" s="80">
        <v>0.21812</v>
      </c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</row>
    <row r="84">
      <c r="A84" s="79" t="s">
        <v>6104</v>
      </c>
      <c r="B84" s="45"/>
      <c r="C84" s="79" t="s">
        <v>6105</v>
      </c>
      <c r="D84" s="45"/>
      <c r="E84" s="79" t="s">
        <v>5561</v>
      </c>
      <c r="F84" s="79" t="s">
        <v>5927</v>
      </c>
      <c r="G84" s="45"/>
      <c r="H84" s="80">
        <v>0.21164</v>
      </c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</row>
    <row r="85">
      <c r="A85" s="79" t="s">
        <v>6106</v>
      </c>
      <c r="B85" s="45"/>
      <c r="C85" s="79" t="s">
        <v>6107</v>
      </c>
      <c r="D85" s="45"/>
      <c r="E85" s="79" t="s">
        <v>5215</v>
      </c>
      <c r="F85" s="79" t="s">
        <v>5924</v>
      </c>
      <c r="G85" s="45"/>
      <c r="H85" s="80">
        <v>0.21007</v>
      </c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</row>
    <row r="86">
      <c r="A86" s="79" t="s">
        <v>6108</v>
      </c>
      <c r="B86" s="45"/>
      <c r="C86" s="79" t="s">
        <v>6109</v>
      </c>
      <c r="D86" s="45"/>
      <c r="E86" s="79" t="s">
        <v>6110</v>
      </c>
      <c r="F86" s="79" t="s">
        <v>4424</v>
      </c>
      <c r="G86" s="45"/>
      <c r="H86" s="80">
        <v>0.20886</v>
      </c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</row>
    <row r="87">
      <c r="A87" s="79" t="s">
        <v>6111</v>
      </c>
      <c r="B87" s="45"/>
      <c r="C87" s="79" t="s">
        <v>6112</v>
      </c>
      <c r="D87" s="45"/>
      <c r="E87" s="79" t="s">
        <v>5357</v>
      </c>
      <c r="F87" s="79" t="s">
        <v>5944</v>
      </c>
      <c r="G87" s="45"/>
      <c r="H87" s="80">
        <v>0.20605</v>
      </c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</row>
    <row r="88">
      <c r="A88" s="79" t="s">
        <v>6113</v>
      </c>
      <c r="B88" s="45"/>
      <c r="C88" s="79" t="s">
        <v>6114</v>
      </c>
      <c r="D88" s="45"/>
      <c r="E88" s="79" t="s">
        <v>6115</v>
      </c>
      <c r="F88" s="79" t="s">
        <v>5927</v>
      </c>
      <c r="G88" s="45"/>
      <c r="H88" s="80">
        <v>0.20473</v>
      </c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</row>
    <row r="89">
      <c r="A89" s="79" t="s">
        <v>6116</v>
      </c>
      <c r="B89" s="45"/>
      <c r="C89" s="79" t="s">
        <v>6117</v>
      </c>
      <c r="D89" s="45"/>
      <c r="E89" s="79" t="s">
        <v>5215</v>
      </c>
      <c r="F89" s="79" t="s">
        <v>5970</v>
      </c>
      <c r="G89" s="45"/>
      <c r="H89" s="80">
        <v>0.20464</v>
      </c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</row>
    <row r="90">
      <c r="A90" s="79" t="s">
        <v>6118</v>
      </c>
      <c r="B90" s="45"/>
      <c r="C90" s="79" t="s">
        <v>6119</v>
      </c>
      <c r="D90" s="45"/>
      <c r="E90" s="79" t="s">
        <v>6115</v>
      </c>
      <c r="F90" s="79" t="s">
        <v>5927</v>
      </c>
      <c r="G90" s="45"/>
      <c r="H90" s="80">
        <v>0.20391</v>
      </c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</row>
    <row r="91">
      <c r="A91" s="79" t="s">
        <v>6120</v>
      </c>
      <c r="B91" s="45"/>
      <c r="C91" s="79" t="s">
        <v>6121</v>
      </c>
      <c r="D91" s="45"/>
      <c r="E91" s="79" t="s">
        <v>5215</v>
      </c>
      <c r="F91" s="79" t="s">
        <v>5924</v>
      </c>
      <c r="G91" s="45"/>
      <c r="H91" s="80">
        <v>0.20287</v>
      </c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</row>
    <row r="92">
      <c r="A92" s="79" t="s">
        <v>6122</v>
      </c>
      <c r="B92" s="45"/>
      <c r="C92" s="79" t="s">
        <v>6123</v>
      </c>
      <c r="D92" s="45"/>
      <c r="E92" s="79" t="s">
        <v>5215</v>
      </c>
      <c r="F92" s="79" t="s">
        <v>5983</v>
      </c>
      <c r="G92" s="45"/>
      <c r="H92" s="80">
        <v>0.20224</v>
      </c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</row>
    <row r="93">
      <c r="A93" s="79" t="s">
        <v>6124</v>
      </c>
      <c r="B93" s="45"/>
      <c r="C93" s="79" t="s">
        <v>6125</v>
      </c>
      <c r="D93" s="45"/>
      <c r="E93" s="79" t="s">
        <v>5235</v>
      </c>
      <c r="F93" s="79" t="s">
        <v>5924</v>
      </c>
      <c r="G93" s="45"/>
      <c r="H93" s="80">
        <v>0.19831</v>
      </c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</row>
    <row r="94">
      <c r="A94" s="79" t="s">
        <v>6126</v>
      </c>
      <c r="B94" s="45"/>
      <c r="C94" s="79" t="s">
        <v>6127</v>
      </c>
      <c r="D94" s="45"/>
      <c r="E94" s="79" t="s">
        <v>5258</v>
      </c>
      <c r="F94" s="79" t="s">
        <v>5970</v>
      </c>
      <c r="G94" s="45"/>
      <c r="H94" s="80">
        <v>0.19626</v>
      </c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</row>
    <row r="95">
      <c r="A95" s="79" t="s">
        <v>6128</v>
      </c>
      <c r="B95" s="45"/>
      <c r="C95" s="79" t="s">
        <v>6129</v>
      </c>
      <c r="D95" s="45"/>
      <c r="E95" s="79" t="s">
        <v>6130</v>
      </c>
      <c r="F95" s="79" t="s">
        <v>4424</v>
      </c>
      <c r="G95" s="45"/>
      <c r="H95" s="80">
        <v>0.19616</v>
      </c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</row>
    <row r="96">
      <c r="A96" s="79" t="s">
        <v>6131</v>
      </c>
      <c r="B96" s="45"/>
      <c r="C96" s="79" t="s">
        <v>6132</v>
      </c>
      <c r="D96" s="45"/>
      <c r="E96" s="79" t="s">
        <v>5271</v>
      </c>
      <c r="F96" s="79" t="s">
        <v>5924</v>
      </c>
      <c r="G96" s="45"/>
      <c r="H96" s="80">
        <v>0.19192</v>
      </c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</row>
    <row r="97">
      <c r="A97" s="79" t="s">
        <v>6133</v>
      </c>
      <c r="B97" s="45"/>
      <c r="C97" s="79" t="s">
        <v>6134</v>
      </c>
      <c r="D97" s="45"/>
      <c r="E97" s="79" t="s">
        <v>5215</v>
      </c>
      <c r="F97" s="79" t="s">
        <v>5936</v>
      </c>
      <c r="G97" s="45"/>
      <c r="H97" s="80">
        <v>0.19137</v>
      </c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</row>
    <row r="98">
      <c r="A98" s="79" t="s">
        <v>6135</v>
      </c>
      <c r="B98" s="45"/>
      <c r="C98" s="79" t="s">
        <v>6136</v>
      </c>
      <c r="D98" s="45"/>
      <c r="E98" s="79" t="s">
        <v>5215</v>
      </c>
      <c r="F98" s="79" t="s">
        <v>6137</v>
      </c>
      <c r="G98" s="45"/>
      <c r="H98" s="80">
        <v>0.19077</v>
      </c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</row>
    <row r="99">
      <c r="A99" s="79" t="s">
        <v>6138</v>
      </c>
      <c r="B99" s="45"/>
      <c r="C99" s="79" t="s">
        <v>6139</v>
      </c>
      <c r="D99" s="45"/>
      <c r="E99" s="79" t="s">
        <v>5235</v>
      </c>
      <c r="F99" s="79" t="s">
        <v>5970</v>
      </c>
      <c r="G99" s="45"/>
      <c r="H99" s="80">
        <v>0.19016</v>
      </c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</row>
    <row r="100">
      <c r="A100" s="79" t="s">
        <v>6140</v>
      </c>
      <c r="B100" s="45"/>
      <c r="C100" s="79" t="s">
        <v>6141</v>
      </c>
      <c r="D100" s="45"/>
      <c r="E100" s="79" t="s">
        <v>5218</v>
      </c>
      <c r="F100" s="79" t="s">
        <v>5936</v>
      </c>
      <c r="G100" s="45"/>
      <c r="H100" s="80">
        <v>0.18905</v>
      </c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</row>
    <row r="101">
      <c r="A101" s="79" t="s">
        <v>6142</v>
      </c>
      <c r="B101" s="45"/>
      <c r="C101" s="79" t="s">
        <v>6143</v>
      </c>
      <c r="D101" s="45"/>
      <c r="E101" s="79" t="s">
        <v>5978</v>
      </c>
      <c r="F101" s="79" t="s">
        <v>5936</v>
      </c>
      <c r="G101" s="45"/>
      <c r="H101" s="80">
        <v>0.18847</v>
      </c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</row>
    <row r="102">
      <c r="A102" s="79" t="s">
        <v>6144</v>
      </c>
      <c r="B102" s="45"/>
      <c r="C102" s="79" t="s">
        <v>6145</v>
      </c>
      <c r="D102" s="45"/>
      <c r="E102" s="79" t="s">
        <v>5374</v>
      </c>
      <c r="F102" s="79" t="s">
        <v>5936</v>
      </c>
      <c r="G102" s="45"/>
      <c r="H102" s="80">
        <v>0.18446</v>
      </c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</row>
    <row r="103">
      <c r="A103" s="79" t="s">
        <v>6146</v>
      </c>
      <c r="B103" s="45"/>
      <c r="C103" s="79" t="s">
        <v>6147</v>
      </c>
      <c r="D103" s="45"/>
      <c r="E103" s="79" t="s">
        <v>5271</v>
      </c>
      <c r="F103" s="79" t="s">
        <v>5944</v>
      </c>
      <c r="G103" s="45"/>
      <c r="H103" s="80">
        <v>0.18332</v>
      </c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</row>
    <row r="104">
      <c r="A104" s="79" t="s">
        <v>6148</v>
      </c>
      <c r="B104" s="45"/>
      <c r="C104" s="79" t="s">
        <v>6149</v>
      </c>
      <c r="D104" s="45"/>
      <c r="E104" s="79" t="s">
        <v>6150</v>
      </c>
      <c r="F104" s="79" t="s">
        <v>5936</v>
      </c>
      <c r="G104" s="45"/>
      <c r="H104" s="80">
        <v>0.18235</v>
      </c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</row>
    <row r="105">
      <c r="A105" s="79" t="s">
        <v>6151</v>
      </c>
      <c r="B105" s="45"/>
      <c r="C105" s="79" t="s">
        <v>6152</v>
      </c>
      <c r="D105" s="45"/>
      <c r="E105" s="79" t="s">
        <v>5246</v>
      </c>
      <c r="F105" s="79" t="s">
        <v>4340</v>
      </c>
      <c r="G105" s="45"/>
      <c r="H105" s="80">
        <v>0.18063</v>
      </c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</row>
    <row r="106">
      <c r="A106" s="79" t="s">
        <v>6153</v>
      </c>
      <c r="B106" s="45"/>
      <c r="C106" s="79" t="s">
        <v>6154</v>
      </c>
      <c r="D106" s="45"/>
      <c r="E106" s="79" t="s">
        <v>5326</v>
      </c>
      <c r="F106" s="79" t="s">
        <v>4340</v>
      </c>
      <c r="G106" s="45"/>
      <c r="H106" s="80">
        <v>0.18054</v>
      </c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</row>
    <row r="107">
      <c r="A107" s="79" t="s">
        <v>6155</v>
      </c>
      <c r="B107" s="45"/>
      <c r="C107" s="79" t="s">
        <v>6156</v>
      </c>
      <c r="D107" s="45"/>
      <c r="E107" s="79" t="s">
        <v>6157</v>
      </c>
      <c r="F107" s="79" t="s">
        <v>4424</v>
      </c>
      <c r="G107" s="45"/>
      <c r="H107" s="80">
        <v>0.17908</v>
      </c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</row>
    <row r="108">
      <c r="A108" s="79" t="s">
        <v>6158</v>
      </c>
      <c r="B108" s="45"/>
      <c r="C108" s="79" t="s">
        <v>6159</v>
      </c>
      <c r="D108" s="45"/>
      <c r="E108" s="79" t="s">
        <v>5561</v>
      </c>
      <c r="F108" s="79" t="s">
        <v>6050</v>
      </c>
      <c r="G108" s="45"/>
      <c r="H108" s="80">
        <v>0.17762</v>
      </c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</row>
    <row r="109">
      <c r="A109" s="79" t="s">
        <v>6160</v>
      </c>
      <c r="B109" s="45"/>
      <c r="C109" s="79" t="s">
        <v>6161</v>
      </c>
      <c r="D109" s="45"/>
      <c r="E109" s="79" t="s">
        <v>5478</v>
      </c>
      <c r="F109" s="79" t="s">
        <v>4340</v>
      </c>
      <c r="G109" s="45"/>
      <c r="H109" s="80">
        <v>0.17752</v>
      </c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</row>
    <row r="110">
      <c r="A110" s="79" t="s">
        <v>6162</v>
      </c>
      <c r="B110" s="45"/>
      <c r="C110" s="79" t="s">
        <v>6163</v>
      </c>
      <c r="D110" s="45"/>
      <c r="E110" s="79" t="s">
        <v>5215</v>
      </c>
      <c r="F110" s="79" t="s">
        <v>5967</v>
      </c>
      <c r="G110" s="45"/>
      <c r="H110" s="80">
        <v>0.17542</v>
      </c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</row>
    <row r="111">
      <c r="A111" s="79" t="s">
        <v>6164</v>
      </c>
      <c r="B111" s="45"/>
      <c r="C111" s="79" t="s">
        <v>6165</v>
      </c>
      <c r="D111" s="45"/>
      <c r="E111" s="79" t="s">
        <v>5235</v>
      </c>
      <c r="F111" s="79" t="s">
        <v>5983</v>
      </c>
      <c r="G111" s="45"/>
      <c r="H111" s="80">
        <v>0.1729</v>
      </c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</row>
    <row r="112">
      <c r="A112" s="79" t="s">
        <v>6166</v>
      </c>
      <c r="B112" s="45"/>
      <c r="C112" s="79" t="s">
        <v>6167</v>
      </c>
      <c r="D112" s="45"/>
      <c r="E112" s="79" t="s">
        <v>5434</v>
      </c>
      <c r="F112" s="79" t="s">
        <v>5927</v>
      </c>
      <c r="G112" s="45"/>
      <c r="H112" s="80">
        <v>0.17017</v>
      </c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</row>
    <row r="113">
      <c r="A113" s="79" t="s">
        <v>6168</v>
      </c>
      <c r="B113" s="45"/>
      <c r="C113" s="79" t="s">
        <v>6169</v>
      </c>
      <c r="D113" s="45"/>
      <c r="E113" s="79" t="s">
        <v>5215</v>
      </c>
      <c r="F113" s="79" t="s">
        <v>4340</v>
      </c>
      <c r="G113" s="45"/>
      <c r="H113" s="80">
        <v>0.1681</v>
      </c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</row>
    <row r="114">
      <c r="A114" s="79" t="s">
        <v>6170</v>
      </c>
      <c r="B114" s="45"/>
      <c r="C114" s="79" t="s">
        <v>6171</v>
      </c>
      <c r="D114" s="45"/>
      <c r="E114" s="79" t="s">
        <v>6172</v>
      </c>
      <c r="F114" s="79" t="s">
        <v>5927</v>
      </c>
      <c r="G114" s="45"/>
      <c r="H114" s="80">
        <v>0.16688</v>
      </c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</row>
    <row r="115">
      <c r="A115" s="79" t="s">
        <v>6173</v>
      </c>
      <c r="B115" s="45"/>
      <c r="C115" s="79" t="s">
        <v>6174</v>
      </c>
      <c r="D115" s="45"/>
      <c r="E115" s="79" t="s">
        <v>5682</v>
      </c>
      <c r="F115" s="79" t="s">
        <v>5986</v>
      </c>
      <c r="G115" s="45"/>
      <c r="H115" s="80">
        <v>0.16618</v>
      </c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</row>
    <row r="116">
      <c r="A116" s="79" t="s">
        <v>6175</v>
      </c>
      <c r="B116" s="45"/>
      <c r="C116" s="79" t="s">
        <v>6176</v>
      </c>
      <c r="D116" s="45"/>
      <c r="E116" s="79" t="s">
        <v>5811</v>
      </c>
      <c r="F116" s="79" t="s">
        <v>5924</v>
      </c>
      <c r="G116" s="45"/>
      <c r="H116" s="80">
        <v>0.16573</v>
      </c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</row>
    <row r="117">
      <c r="A117" s="79" t="s">
        <v>6177</v>
      </c>
      <c r="B117" s="45"/>
      <c r="C117" s="79" t="s">
        <v>6178</v>
      </c>
      <c r="D117" s="45"/>
      <c r="E117" s="79" t="s">
        <v>5348</v>
      </c>
      <c r="F117" s="79" t="s">
        <v>5927</v>
      </c>
      <c r="G117" s="45"/>
      <c r="H117" s="80">
        <v>0.16369</v>
      </c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</row>
    <row r="118">
      <c r="A118" s="79" t="s">
        <v>6179</v>
      </c>
      <c r="B118" s="45"/>
      <c r="C118" s="79" t="s">
        <v>6180</v>
      </c>
      <c r="D118" s="45"/>
      <c r="E118" s="79" t="s">
        <v>5215</v>
      </c>
      <c r="F118" s="79" t="s">
        <v>5924</v>
      </c>
      <c r="G118" s="45"/>
      <c r="H118" s="80">
        <v>0.1631</v>
      </c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</row>
    <row r="119">
      <c r="A119" s="79" t="s">
        <v>6181</v>
      </c>
      <c r="B119" s="45"/>
      <c r="C119" s="79" t="s">
        <v>6182</v>
      </c>
      <c r="D119" s="45"/>
      <c r="E119" s="79" t="s">
        <v>5978</v>
      </c>
      <c r="F119" s="79" t="s">
        <v>5927</v>
      </c>
      <c r="G119" s="45"/>
      <c r="H119" s="80">
        <v>0.16282</v>
      </c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</row>
    <row r="120">
      <c r="A120" s="79" t="s">
        <v>6183</v>
      </c>
      <c r="B120" s="45"/>
      <c r="C120" s="79" t="s">
        <v>6184</v>
      </c>
      <c r="D120" s="45"/>
      <c r="E120" s="79" t="s">
        <v>5501</v>
      </c>
      <c r="F120" s="79" t="s">
        <v>4340</v>
      </c>
      <c r="G120" s="45"/>
      <c r="H120" s="80">
        <v>0.16192</v>
      </c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</row>
    <row r="121">
      <c r="A121" s="79" t="s">
        <v>6185</v>
      </c>
      <c r="B121" s="45"/>
      <c r="C121" s="79" t="s">
        <v>6186</v>
      </c>
      <c r="D121" s="45"/>
      <c r="E121" s="79" t="s">
        <v>5434</v>
      </c>
      <c r="F121" s="79" t="s">
        <v>5924</v>
      </c>
      <c r="G121" s="45"/>
      <c r="H121" s="80">
        <v>0.16178</v>
      </c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</row>
    <row r="122">
      <c r="A122" s="79" t="s">
        <v>6187</v>
      </c>
      <c r="B122" s="45"/>
      <c r="C122" s="79" t="s">
        <v>6188</v>
      </c>
      <c r="D122" s="45"/>
      <c r="E122" s="79" t="s">
        <v>5478</v>
      </c>
      <c r="F122" s="79" t="s">
        <v>5927</v>
      </c>
      <c r="G122" s="45"/>
      <c r="H122" s="80">
        <v>0.16116</v>
      </c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</row>
    <row r="123">
      <c r="A123" s="79" t="s">
        <v>6189</v>
      </c>
      <c r="B123" s="45"/>
      <c r="C123" s="79" t="s">
        <v>6190</v>
      </c>
      <c r="D123" s="45"/>
      <c r="E123" s="79" t="s">
        <v>6191</v>
      </c>
      <c r="F123" s="79" t="s">
        <v>5936</v>
      </c>
      <c r="G123" s="45"/>
      <c r="H123" s="80">
        <v>0.16106</v>
      </c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</row>
    <row r="124">
      <c r="A124" s="79" t="s">
        <v>6192</v>
      </c>
      <c r="B124" s="45"/>
      <c r="C124" s="79" t="s">
        <v>6193</v>
      </c>
      <c r="D124" s="45"/>
      <c r="E124" s="79" t="s">
        <v>5742</v>
      </c>
      <c r="F124" s="79" t="s">
        <v>5924</v>
      </c>
      <c r="G124" s="45"/>
      <c r="H124" s="80">
        <v>0.16093</v>
      </c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</row>
    <row r="125">
      <c r="A125" s="79" t="s">
        <v>6194</v>
      </c>
      <c r="B125" s="45"/>
      <c r="C125" s="79" t="s">
        <v>6195</v>
      </c>
      <c r="D125" s="45"/>
      <c r="E125" s="79" t="s">
        <v>5682</v>
      </c>
      <c r="F125" s="79" t="s">
        <v>5936</v>
      </c>
      <c r="G125" s="45"/>
      <c r="H125" s="80">
        <v>0.16029</v>
      </c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</row>
    <row r="126">
      <c r="A126" s="79" t="s">
        <v>6196</v>
      </c>
      <c r="B126" s="45"/>
      <c r="C126" s="79" t="s">
        <v>6197</v>
      </c>
      <c r="D126" s="45"/>
      <c r="E126" s="79" t="s">
        <v>5246</v>
      </c>
      <c r="F126" s="79" t="s">
        <v>5936</v>
      </c>
      <c r="G126" s="45"/>
      <c r="H126" s="80">
        <v>0.15735</v>
      </c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</row>
    <row r="127">
      <c r="A127" s="79" t="s">
        <v>6198</v>
      </c>
      <c r="B127" s="45"/>
      <c r="C127" s="79" t="s">
        <v>6199</v>
      </c>
      <c r="D127" s="45"/>
      <c r="E127" s="79" t="s">
        <v>6191</v>
      </c>
      <c r="F127" s="79" t="s">
        <v>5936</v>
      </c>
      <c r="G127" s="45"/>
      <c r="H127" s="80">
        <v>0.15441</v>
      </c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</row>
    <row r="128">
      <c r="A128" s="79" t="s">
        <v>6200</v>
      </c>
      <c r="B128" s="45"/>
      <c r="C128" s="79" t="s">
        <v>6201</v>
      </c>
      <c r="D128" s="45"/>
      <c r="E128" s="79" t="s">
        <v>5215</v>
      </c>
      <c r="F128" s="79" t="s">
        <v>6137</v>
      </c>
      <c r="G128" s="45"/>
      <c r="H128" s="80">
        <v>0.15365</v>
      </c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</row>
    <row r="129">
      <c r="A129" s="79" t="s">
        <v>6202</v>
      </c>
      <c r="B129" s="45"/>
      <c r="C129" s="79" t="s">
        <v>6203</v>
      </c>
      <c r="D129" s="45"/>
      <c r="E129" s="79" t="s">
        <v>5238</v>
      </c>
      <c r="F129" s="79" t="s">
        <v>6204</v>
      </c>
      <c r="G129" s="45"/>
      <c r="H129" s="80">
        <v>0.15282</v>
      </c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</row>
    <row r="130">
      <c r="A130" s="79" t="s">
        <v>6205</v>
      </c>
      <c r="B130" s="45"/>
      <c r="C130" s="79" t="s">
        <v>6206</v>
      </c>
      <c r="D130" s="45"/>
      <c r="E130" s="79" t="s">
        <v>5478</v>
      </c>
      <c r="F130" s="79" t="s">
        <v>4340</v>
      </c>
      <c r="G130" s="45"/>
      <c r="H130" s="80">
        <v>0.15271</v>
      </c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</row>
    <row r="131">
      <c r="A131" s="79" t="s">
        <v>6207</v>
      </c>
      <c r="B131" s="45"/>
      <c r="C131" s="79" t="s">
        <v>6208</v>
      </c>
      <c r="D131" s="45"/>
      <c r="E131" s="79" t="s">
        <v>5366</v>
      </c>
      <c r="F131" s="79" t="s">
        <v>5924</v>
      </c>
      <c r="G131" s="45"/>
      <c r="H131" s="80">
        <v>0.15232</v>
      </c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</row>
    <row r="132">
      <c r="A132" s="79" t="s">
        <v>5521</v>
      </c>
      <c r="B132" s="45"/>
      <c r="C132" s="79" t="s">
        <v>6209</v>
      </c>
      <c r="D132" s="45"/>
      <c r="E132" s="79" t="s">
        <v>5215</v>
      </c>
      <c r="F132" s="79" t="s">
        <v>6210</v>
      </c>
      <c r="G132" s="45"/>
      <c r="H132" s="80">
        <v>0.15231</v>
      </c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</row>
    <row r="133">
      <c r="A133" s="79" t="s">
        <v>6211</v>
      </c>
      <c r="B133" s="45"/>
      <c r="C133" s="79" t="s">
        <v>6212</v>
      </c>
      <c r="D133" s="45"/>
      <c r="E133" s="79" t="s">
        <v>5246</v>
      </c>
      <c r="F133" s="79" t="s">
        <v>5924</v>
      </c>
      <c r="G133" s="45"/>
      <c r="H133" s="80">
        <v>0.15017</v>
      </c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</row>
    <row r="134">
      <c r="A134" s="79" t="s">
        <v>6213</v>
      </c>
      <c r="B134" s="45"/>
      <c r="C134" s="79" t="s">
        <v>6214</v>
      </c>
      <c r="D134" s="45"/>
      <c r="E134" s="79" t="s">
        <v>5366</v>
      </c>
      <c r="F134" s="79" t="s">
        <v>4175</v>
      </c>
      <c r="G134" s="45"/>
      <c r="H134" s="80">
        <v>0.14955</v>
      </c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</row>
    <row r="135">
      <c r="A135" s="79" t="s">
        <v>6215</v>
      </c>
      <c r="B135" s="45"/>
      <c r="C135" s="79" t="s">
        <v>6216</v>
      </c>
      <c r="D135" s="45"/>
      <c r="E135" s="79" t="s">
        <v>5357</v>
      </c>
      <c r="F135" s="79" t="s">
        <v>6217</v>
      </c>
      <c r="G135" s="45"/>
      <c r="H135" s="80">
        <v>0.14859</v>
      </c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</row>
    <row r="136">
      <c r="A136" s="79" t="s">
        <v>6218</v>
      </c>
      <c r="B136" s="45"/>
      <c r="C136" s="79" t="s">
        <v>6219</v>
      </c>
      <c r="D136" s="45"/>
      <c r="E136" s="79" t="s">
        <v>6110</v>
      </c>
      <c r="F136" s="79" t="s">
        <v>6220</v>
      </c>
      <c r="G136" s="45"/>
      <c r="H136" s="80">
        <v>0.14825</v>
      </c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</row>
    <row r="137">
      <c r="A137" s="79" t="s">
        <v>6221</v>
      </c>
      <c r="B137" s="45"/>
      <c r="C137" s="79" t="s">
        <v>6222</v>
      </c>
      <c r="D137" s="45"/>
      <c r="E137" s="79" t="s">
        <v>6223</v>
      </c>
      <c r="F137" s="79" t="s">
        <v>5924</v>
      </c>
      <c r="G137" s="45"/>
      <c r="H137" s="80">
        <v>0.14806</v>
      </c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</row>
    <row r="138">
      <c r="A138" s="79" t="s">
        <v>6224</v>
      </c>
      <c r="B138" s="45"/>
      <c r="C138" s="79" t="s">
        <v>6225</v>
      </c>
      <c r="D138" s="45"/>
      <c r="E138" s="79" t="s">
        <v>5296</v>
      </c>
      <c r="F138" s="79" t="s">
        <v>4424</v>
      </c>
      <c r="G138" s="45"/>
      <c r="H138" s="80">
        <v>0.14714</v>
      </c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</row>
    <row r="139">
      <c r="A139" s="79" t="s">
        <v>6226</v>
      </c>
      <c r="B139" s="45"/>
      <c r="C139" s="79" t="s">
        <v>6227</v>
      </c>
      <c r="D139" s="45"/>
      <c r="E139" s="79" t="s">
        <v>6040</v>
      </c>
      <c r="F139" s="79" t="s">
        <v>5944</v>
      </c>
      <c r="G139" s="45"/>
      <c r="H139" s="80">
        <v>0.14649</v>
      </c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</row>
    <row r="140">
      <c r="A140" s="79" t="s">
        <v>6228</v>
      </c>
      <c r="B140" s="45"/>
      <c r="C140" s="79" t="s">
        <v>6229</v>
      </c>
      <c r="D140" s="45"/>
      <c r="E140" s="79" t="s">
        <v>5354</v>
      </c>
      <c r="F140" s="79" t="s">
        <v>5944</v>
      </c>
      <c r="G140" s="45"/>
      <c r="H140" s="80">
        <v>0.14635</v>
      </c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</row>
    <row r="141">
      <c r="A141" s="79" t="s">
        <v>6230</v>
      </c>
      <c r="B141" s="45"/>
      <c r="C141" s="79" t="s">
        <v>6231</v>
      </c>
      <c r="D141" s="45"/>
      <c r="E141" s="79" t="s">
        <v>5961</v>
      </c>
      <c r="F141" s="79" t="s">
        <v>6204</v>
      </c>
      <c r="G141" s="45"/>
      <c r="H141" s="80">
        <v>0.14603</v>
      </c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</row>
    <row r="142">
      <c r="A142" s="79" t="s">
        <v>6232</v>
      </c>
      <c r="B142" s="45"/>
      <c r="C142" s="79" t="s">
        <v>6233</v>
      </c>
      <c r="D142" s="45"/>
      <c r="E142" s="79" t="s">
        <v>5989</v>
      </c>
      <c r="F142" s="79" t="s">
        <v>6204</v>
      </c>
      <c r="G142" s="45"/>
      <c r="H142" s="80">
        <v>0.146</v>
      </c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</row>
    <row r="143">
      <c r="A143" s="79" t="s">
        <v>6234</v>
      </c>
      <c r="B143" s="45"/>
      <c r="C143" s="79" t="s">
        <v>6235</v>
      </c>
      <c r="D143" s="45"/>
      <c r="E143" s="79" t="s">
        <v>5215</v>
      </c>
      <c r="F143" s="79" t="s">
        <v>5944</v>
      </c>
      <c r="G143" s="45"/>
      <c r="H143" s="80">
        <v>0.14564</v>
      </c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</row>
    <row r="144">
      <c r="A144" s="79" t="s">
        <v>6236</v>
      </c>
      <c r="B144" s="45"/>
      <c r="C144" s="79" t="s">
        <v>6237</v>
      </c>
      <c r="D144" s="45"/>
      <c r="E144" s="79" t="s">
        <v>6238</v>
      </c>
      <c r="F144" s="79" t="s">
        <v>4424</v>
      </c>
      <c r="G144" s="45"/>
      <c r="H144" s="80">
        <v>0.14367</v>
      </c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</row>
    <row r="145">
      <c r="A145" s="79" t="s">
        <v>6239</v>
      </c>
      <c r="B145" s="45"/>
      <c r="C145" s="79" t="s">
        <v>6240</v>
      </c>
      <c r="D145" s="45"/>
      <c r="E145" s="79" t="s">
        <v>5215</v>
      </c>
      <c r="F145" s="79" t="s">
        <v>5967</v>
      </c>
      <c r="G145" s="45"/>
      <c r="H145" s="80">
        <v>0.14289</v>
      </c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</row>
    <row r="146">
      <c r="A146" s="79" t="s">
        <v>6241</v>
      </c>
      <c r="B146" s="45"/>
      <c r="C146" s="79" t="s">
        <v>6242</v>
      </c>
      <c r="D146" s="45"/>
      <c r="E146" s="79" t="s">
        <v>5215</v>
      </c>
      <c r="F146" s="79" t="s">
        <v>5924</v>
      </c>
      <c r="G146" s="45"/>
      <c r="H146" s="80">
        <v>0.14012</v>
      </c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</row>
    <row r="147">
      <c r="A147" s="79" t="s">
        <v>6243</v>
      </c>
      <c r="B147" s="45"/>
      <c r="C147" s="79" t="s">
        <v>6244</v>
      </c>
      <c r="D147" s="45"/>
      <c r="E147" s="79" t="s">
        <v>5215</v>
      </c>
      <c r="F147" s="79" t="s">
        <v>6047</v>
      </c>
      <c r="G147" s="45"/>
      <c r="H147" s="80">
        <v>0.13921</v>
      </c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</row>
    <row r="148">
      <c r="A148" s="79" t="s">
        <v>6245</v>
      </c>
      <c r="B148" s="45"/>
      <c r="C148" s="79" t="s">
        <v>6246</v>
      </c>
      <c r="D148" s="45"/>
      <c r="E148" s="79" t="s">
        <v>5258</v>
      </c>
      <c r="F148" s="79" t="s">
        <v>5944</v>
      </c>
      <c r="G148" s="45"/>
      <c r="H148" s="80">
        <v>0.13857</v>
      </c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</row>
    <row r="149">
      <c r="A149" s="79" t="s">
        <v>6247</v>
      </c>
      <c r="B149" s="45"/>
      <c r="C149" s="79" t="s">
        <v>6248</v>
      </c>
      <c r="D149" s="45"/>
      <c r="E149" s="79" t="s">
        <v>6249</v>
      </c>
      <c r="F149" s="79" t="s">
        <v>5927</v>
      </c>
      <c r="G149" s="45"/>
      <c r="H149" s="80">
        <v>0.13613</v>
      </c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</row>
    <row r="150">
      <c r="A150" s="79" t="s">
        <v>6250</v>
      </c>
      <c r="B150" s="45"/>
      <c r="C150" s="79" t="s">
        <v>6251</v>
      </c>
      <c r="D150" s="45"/>
      <c r="E150" s="79" t="s">
        <v>5811</v>
      </c>
      <c r="F150" s="79" t="s">
        <v>5924</v>
      </c>
      <c r="G150" s="45"/>
      <c r="H150" s="80">
        <v>0.13604</v>
      </c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</row>
    <row r="151">
      <c r="A151" s="79" t="s">
        <v>6252</v>
      </c>
      <c r="B151" s="45"/>
      <c r="C151" s="79" t="s">
        <v>6253</v>
      </c>
      <c r="D151" s="45"/>
      <c r="E151" s="79" t="s">
        <v>5578</v>
      </c>
      <c r="F151" s="79" t="s">
        <v>5927</v>
      </c>
      <c r="G151" s="45"/>
      <c r="H151" s="80">
        <v>0.13603</v>
      </c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</row>
    <row r="152">
      <c r="A152" s="79" t="s">
        <v>6254</v>
      </c>
      <c r="B152" s="45"/>
      <c r="C152" s="79" t="s">
        <v>6255</v>
      </c>
      <c r="D152" s="45"/>
      <c r="E152" s="79" t="s">
        <v>5215</v>
      </c>
      <c r="F152" s="79" t="s">
        <v>5967</v>
      </c>
      <c r="G152" s="45"/>
      <c r="H152" s="80">
        <v>0.13399</v>
      </c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</row>
    <row r="153">
      <c r="A153" s="79" t="s">
        <v>6256</v>
      </c>
      <c r="B153" s="45"/>
      <c r="C153" s="79" t="s">
        <v>6257</v>
      </c>
      <c r="D153" s="45"/>
      <c r="E153" s="79" t="s">
        <v>5357</v>
      </c>
      <c r="F153" s="79" t="s">
        <v>4340</v>
      </c>
      <c r="G153" s="45"/>
      <c r="H153" s="80">
        <v>0.13344</v>
      </c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</row>
    <row r="154">
      <c r="A154" s="79" t="s">
        <v>6258</v>
      </c>
      <c r="B154" s="45"/>
      <c r="C154" s="79" t="s">
        <v>6259</v>
      </c>
      <c r="D154" s="45"/>
      <c r="E154" s="79" t="s">
        <v>5258</v>
      </c>
      <c r="F154" s="79" t="s">
        <v>5970</v>
      </c>
      <c r="G154" s="45"/>
      <c r="H154" s="80">
        <v>0.1324</v>
      </c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</row>
    <row r="155">
      <c r="A155" s="79" t="s">
        <v>6260</v>
      </c>
      <c r="B155" s="45"/>
      <c r="C155" s="79" t="s">
        <v>6261</v>
      </c>
      <c r="D155" s="45"/>
      <c r="E155" s="79" t="s">
        <v>5357</v>
      </c>
      <c r="F155" s="79" t="s">
        <v>5936</v>
      </c>
      <c r="G155" s="45"/>
      <c r="H155" s="80">
        <v>0.13209</v>
      </c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</row>
    <row r="156">
      <c r="A156" s="79" t="s">
        <v>6262</v>
      </c>
      <c r="B156" s="45"/>
      <c r="C156" s="79" t="s">
        <v>6263</v>
      </c>
      <c r="D156" s="45"/>
      <c r="E156" s="79" t="s">
        <v>5978</v>
      </c>
      <c r="F156" s="79" t="s">
        <v>5983</v>
      </c>
      <c r="G156" s="45"/>
      <c r="H156" s="80">
        <v>0.13151</v>
      </c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</row>
    <row r="157">
      <c r="A157" s="79" t="s">
        <v>6264</v>
      </c>
      <c r="B157" s="45"/>
      <c r="C157" s="79" t="s">
        <v>6265</v>
      </c>
      <c r="D157" s="45"/>
      <c r="E157" s="79" t="s">
        <v>6266</v>
      </c>
      <c r="F157" s="79" t="s">
        <v>5927</v>
      </c>
      <c r="G157" s="45"/>
      <c r="H157" s="80">
        <v>0.13144</v>
      </c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</row>
    <row r="158">
      <c r="A158" s="79" t="s">
        <v>6267</v>
      </c>
      <c r="B158" s="45"/>
      <c r="C158" s="79" t="s">
        <v>6268</v>
      </c>
      <c r="D158" s="45"/>
      <c r="E158" s="79" t="s">
        <v>5434</v>
      </c>
      <c r="F158" s="79" t="s">
        <v>5936</v>
      </c>
      <c r="G158" s="45"/>
      <c r="H158" s="80">
        <v>0.13117</v>
      </c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</row>
    <row r="159">
      <c r="A159" s="79" t="s">
        <v>6269</v>
      </c>
      <c r="B159" s="45"/>
      <c r="C159" s="79" t="s">
        <v>6270</v>
      </c>
      <c r="D159" s="45"/>
      <c r="E159" s="79" t="s">
        <v>5215</v>
      </c>
      <c r="F159" s="79" t="s">
        <v>5924</v>
      </c>
      <c r="G159" s="45"/>
      <c r="H159" s="80">
        <v>0.13017</v>
      </c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</row>
    <row r="160">
      <c r="A160" s="79" t="s">
        <v>6271</v>
      </c>
      <c r="B160" s="45"/>
      <c r="C160" s="79" t="s">
        <v>6272</v>
      </c>
      <c r="D160" s="45"/>
      <c r="E160" s="79" t="s">
        <v>5215</v>
      </c>
      <c r="F160" s="79" t="s">
        <v>4340</v>
      </c>
      <c r="G160" s="45"/>
      <c r="H160" s="80">
        <v>0.1301</v>
      </c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</row>
    <row r="161">
      <c r="A161" s="79" t="s">
        <v>6273</v>
      </c>
      <c r="B161" s="45"/>
      <c r="C161" s="79" t="s">
        <v>6274</v>
      </c>
      <c r="D161" s="45"/>
      <c r="E161" s="79" t="s">
        <v>6275</v>
      </c>
      <c r="F161" s="79" t="s">
        <v>4340</v>
      </c>
      <c r="G161" s="45"/>
      <c r="H161" s="80">
        <v>0.12887</v>
      </c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</row>
    <row r="162">
      <c r="A162" s="79" t="s">
        <v>6276</v>
      </c>
      <c r="B162" s="45"/>
      <c r="C162" s="79" t="s">
        <v>6277</v>
      </c>
      <c r="D162" s="45"/>
      <c r="E162" s="79" t="s">
        <v>5561</v>
      </c>
      <c r="F162" s="79" t="s">
        <v>6220</v>
      </c>
      <c r="G162" s="45"/>
      <c r="H162" s="80">
        <v>0.12871</v>
      </c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</row>
    <row r="163">
      <c r="A163" s="79" t="s">
        <v>6278</v>
      </c>
      <c r="B163" s="45"/>
      <c r="C163" s="79" t="s">
        <v>6279</v>
      </c>
      <c r="D163" s="45"/>
      <c r="E163" s="79" t="s">
        <v>5501</v>
      </c>
      <c r="F163" s="79" t="s">
        <v>5944</v>
      </c>
      <c r="G163" s="45"/>
      <c r="H163" s="80">
        <v>0.12845</v>
      </c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</row>
    <row r="164">
      <c r="A164" s="79" t="s">
        <v>6280</v>
      </c>
      <c r="B164" s="45"/>
      <c r="C164" s="79" t="s">
        <v>6281</v>
      </c>
      <c r="D164" s="45"/>
      <c r="E164" s="79" t="s">
        <v>5215</v>
      </c>
      <c r="F164" s="79" t="s">
        <v>5970</v>
      </c>
      <c r="G164" s="45"/>
      <c r="H164" s="80">
        <v>0.12793</v>
      </c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</row>
    <row r="165">
      <c r="A165" s="79" t="s">
        <v>6282</v>
      </c>
      <c r="B165" s="45"/>
      <c r="C165" s="79" t="s">
        <v>6283</v>
      </c>
      <c r="D165" s="45"/>
      <c r="E165" s="79" t="s">
        <v>5241</v>
      </c>
      <c r="F165" s="79" t="s">
        <v>6204</v>
      </c>
      <c r="G165" s="45"/>
      <c r="H165" s="80">
        <v>0.12772</v>
      </c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</row>
    <row r="166">
      <c r="A166" s="79" t="s">
        <v>6284</v>
      </c>
      <c r="B166" s="45"/>
      <c r="C166" s="79" t="s">
        <v>6285</v>
      </c>
      <c r="D166" s="45"/>
      <c r="E166" s="79" t="s">
        <v>5316</v>
      </c>
      <c r="F166" s="79" t="s">
        <v>6204</v>
      </c>
      <c r="G166" s="45"/>
      <c r="H166" s="80">
        <v>0.12744</v>
      </c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</row>
    <row r="167">
      <c r="A167" s="79" t="s">
        <v>6286</v>
      </c>
      <c r="B167" s="45"/>
      <c r="C167" s="79" t="s">
        <v>6287</v>
      </c>
      <c r="D167" s="45"/>
      <c r="E167" s="79" t="s">
        <v>5215</v>
      </c>
      <c r="F167" s="79" t="s">
        <v>6217</v>
      </c>
      <c r="G167" s="45"/>
      <c r="H167" s="80">
        <v>0.1273</v>
      </c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</row>
    <row r="168">
      <c r="A168" s="79" t="s">
        <v>6288</v>
      </c>
      <c r="B168" s="45"/>
      <c r="C168" s="79" t="s">
        <v>6289</v>
      </c>
      <c r="D168" s="45"/>
      <c r="E168" s="79" t="s">
        <v>5978</v>
      </c>
      <c r="F168" s="79" t="s">
        <v>5927</v>
      </c>
      <c r="G168" s="45"/>
      <c r="H168" s="80">
        <v>0.12655</v>
      </c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</row>
    <row r="169">
      <c r="A169" s="79" t="s">
        <v>6290</v>
      </c>
      <c r="B169" s="45"/>
      <c r="C169" s="79" t="s">
        <v>6291</v>
      </c>
      <c r="D169" s="45"/>
      <c r="E169" s="79" t="s">
        <v>5401</v>
      </c>
      <c r="F169" s="79" t="s">
        <v>5927</v>
      </c>
      <c r="G169" s="45"/>
      <c r="H169" s="80">
        <v>0.12514</v>
      </c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</row>
    <row r="170">
      <c r="A170" s="79" t="s">
        <v>6292</v>
      </c>
      <c r="B170" s="45"/>
      <c r="C170" s="79" t="s">
        <v>6293</v>
      </c>
      <c r="D170" s="45"/>
      <c r="E170" s="79" t="s">
        <v>6115</v>
      </c>
      <c r="F170" s="79" t="s">
        <v>5927</v>
      </c>
      <c r="G170" s="45"/>
      <c r="H170" s="80">
        <v>0.12497</v>
      </c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</row>
    <row r="171">
      <c r="A171" s="79" t="s">
        <v>6294</v>
      </c>
      <c r="B171" s="45"/>
      <c r="C171" s="79" t="s">
        <v>6295</v>
      </c>
      <c r="D171" s="45"/>
      <c r="E171" s="79" t="s">
        <v>5215</v>
      </c>
      <c r="F171" s="79" t="s">
        <v>5970</v>
      </c>
      <c r="G171" s="45"/>
      <c r="H171" s="80">
        <v>0.12485</v>
      </c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</row>
    <row r="172">
      <c r="A172" s="79" t="s">
        <v>6296</v>
      </c>
      <c r="B172" s="45"/>
      <c r="C172" s="79" t="s">
        <v>6297</v>
      </c>
      <c r="D172" s="45"/>
      <c r="E172" s="79" t="s">
        <v>5215</v>
      </c>
      <c r="F172" s="79" t="s">
        <v>6050</v>
      </c>
      <c r="G172" s="45"/>
      <c r="H172" s="80">
        <v>0.12446</v>
      </c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</row>
    <row r="173">
      <c r="A173" s="79" t="s">
        <v>6298</v>
      </c>
      <c r="B173" s="45"/>
      <c r="C173" s="79" t="s">
        <v>6299</v>
      </c>
      <c r="D173" s="45"/>
      <c r="E173" s="79" t="s">
        <v>5215</v>
      </c>
      <c r="F173" s="79" t="s">
        <v>4424</v>
      </c>
      <c r="G173" s="45"/>
      <c r="H173" s="80">
        <v>0.1243</v>
      </c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</row>
    <row r="174">
      <c r="A174" s="79" t="s">
        <v>6113</v>
      </c>
      <c r="B174" s="45"/>
      <c r="C174" s="79" t="s">
        <v>6300</v>
      </c>
      <c r="D174" s="45"/>
      <c r="E174" s="79" t="s">
        <v>5525</v>
      </c>
      <c r="F174" s="79" t="s">
        <v>5967</v>
      </c>
      <c r="G174" s="45"/>
      <c r="H174" s="80">
        <v>0.12271</v>
      </c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</row>
    <row r="175">
      <c r="A175" s="79" t="s">
        <v>6301</v>
      </c>
      <c r="B175" s="45"/>
      <c r="C175" s="79" t="s">
        <v>6302</v>
      </c>
      <c r="D175" s="45"/>
      <c r="E175" s="79" t="s">
        <v>5215</v>
      </c>
      <c r="F175" s="79" t="s">
        <v>6303</v>
      </c>
      <c r="G175" s="45"/>
      <c r="H175" s="80">
        <v>0.12113</v>
      </c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</row>
    <row r="176">
      <c r="A176" s="79" t="s">
        <v>6304</v>
      </c>
      <c r="B176" s="45"/>
      <c r="C176" s="79" t="s">
        <v>6305</v>
      </c>
      <c r="D176" s="45"/>
      <c r="E176" s="79" t="s">
        <v>5811</v>
      </c>
      <c r="F176" s="79" t="s">
        <v>6220</v>
      </c>
      <c r="G176" s="45"/>
      <c r="H176" s="80">
        <v>0.12106</v>
      </c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</row>
    <row r="177">
      <c r="A177" s="79" t="s">
        <v>6306</v>
      </c>
      <c r="B177" s="45"/>
      <c r="C177" s="79" t="s">
        <v>6307</v>
      </c>
      <c r="D177" s="45"/>
      <c r="E177" s="79" t="s">
        <v>5296</v>
      </c>
      <c r="F177" s="79" t="s">
        <v>4424</v>
      </c>
      <c r="G177" s="45"/>
      <c r="H177" s="80">
        <v>0.11836</v>
      </c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</row>
    <row r="178">
      <c r="A178" s="79" t="s">
        <v>6308</v>
      </c>
      <c r="B178" s="45"/>
      <c r="C178" s="79" t="s">
        <v>6309</v>
      </c>
      <c r="D178" s="45"/>
      <c r="E178" s="79" t="s">
        <v>5261</v>
      </c>
      <c r="F178" s="79" t="s">
        <v>5944</v>
      </c>
      <c r="G178" s="45"/>
      <c r="H178" s="80">
        <v>0.11651</v>
      </c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</row>
    <row r="179">
      <c r="A179" s="79" t="s">
        <v>6310</v>
      </c>
      <c r="B179" s="45"/>
      <c r="C179" s="79" t="s">
        <v>6311</v>
      </c>
      <c r="D179" s="45"/>
      <c r="E179" s="79" t="s">
        <v>5238</v>
      </c>
      <c r="F179" s="79" t="s">
        <v>5970</v>
      </c>
      <c r="G179" s="45"/>
      <c r="H179" s="80">
        <v>0.11463</v>
      </c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</row>
    <row r="180">
      <c r="A180" s="79" t="s">
        <v>6312</v>
      </c>
      <c r="B180" s="45"/>
      <c r="C180" s="79" t="s">
        <v>6313</v>
      </c>
      <c r="D180" s="45"/>
      <c r="E180" s="79" t="s">
        <v>5811</v>
      </c>
      <c r="F180" s="79" t="s">
        <v>5924</v>
      </c>
      <c r="G180" s="45"/>
      <c r="H180" s="80">
        <v>0.11459</v>
      </c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</row>
    <row r="181">
      <c r="A181" s="79" t="s">
        <v>6314</v>
      </c>
      <c r="B181" s="45"/>
      <c r="C181" s="79" t="s">
        <v>6315</v>
      </c>
      <c r="D181" s="45"/>
      <c r="E181" s="79" t="s">
        <v>5704</v>
      </c>
      <c r="F181" s="79" t="s">
        <v>5927</v>
      </c>
      <c r="G181" s="45"/>
      <c r="H181" s="80">
        <v>0.11385</v>
      </c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</row>
    <row r="182">
      <c r="A182" s="79" t="s">
        <v>5352</v>
      </c>
      <c r="B182" s="45"/>
      <c r="C182" s="79" t="s">
        <v>6316</v>
      </c>
      <c r="D182" s="45"/>
      <c r="E182" s="79" t="s">
        <v>5366</v>
      </c>
      <c r="F182" s="79" t="s">
        <v>5970</v>
      </c>
      <c r="G182" s="45"/>
      <c r="H182" s="80">
        <v>0.113</v>
      </c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</row>
    <row r="183">
      <c r="A183" s="79" t="s">
        <v>6317</v>
      </c>
      <c r="B183" s="45"/>
      <c r="C183" s="79" t="s">
        <v>6318</v>
      </c>
      <c r="D183" s="45"/>
      <c r="E183" s="79" t="s">
        <v>5235</v>
      </c>
      <c r="F183" s="79" t="s">
        <v>6204</v>
      </c>
      <c r="G183" s="45"/>
      <c r="H183" s="80">
        <v>0.11244</v>
      </c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</row>
    <row r="184">
      <c r="A184" s="79" t="s">
        <v>6319</v>
      </c>
      <c r="B184" s="45"/>
      <c r="C184" s="79" t="s">
        <v>6320</v>
      </c>
      <c r="D184" s="45"/>
      <c r="E184" s="79" t="s">
        <v>5961</v>
      </c>
      <c r="F184" s="79" t="s">
        <v>5924</v>
      </c>
      <c r="G184" s="45"/>
      <c r="H184" s="80">
        <v>0.11229</v>
      </c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</row>
    <row r="185">
      <c r="A185" s="79" t="s">
        <v>6321</v>
      </c>
      <c r="B185" s="45"/>
      <c r="C185" s="79" t="s">
        <v>6322</v>
      </c>
      <c r="D185" s="45"/>
      <c r="E185" s="79" t="s">
        <v>5229</v>
      </c>
      <c r="F185" s="79" t="s">
        <v>5924</v>
      </c>
      <c r="G185" s="45"/>
      <c r="H185" s="80">
        <v>0.11118</v>
      </c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</row>
    <row r="186">
      <c r="A186" s="79" t="s">
        <v>6323</v>
      </c>
      <c r="B186" s="45"/>
      <c r="C186" s="79" t="s">
        <v>6324</v>
      </c>
      <c r="D186" s="45"/>
      <c r="E186" s="79" t="s">
        <v>5704</v>
      </c>
      <c r="F186" s="79" t="s">
        <v>4424</v>
      </c>
      <c r="G186" s="45"/>
      <c r="H186" s="80">
        <v>0.11114</v>
      </c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</row>
    <row r="187">
      <c r="A187" s="79" t="s">
        <v>6325</v>
      </c>
      <c r="B187" s="45"/>
      <c r="C187" s="79" t="s">
        <v>6326</v>
      </c>
      <c r="D187" s="45"/>
      <c r="E187" s="79" t="s">
        <v>6327</v>
      </c>
      <c r="F187" s="79" t="s">
        <v>4424</v>
      </c>
      <c r="G187" s="45"/>
      <c r="H187" s="80">
        <v>0.11078</v>
      </c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</row>
    <row r="188">
      <c r="A188" s="79" t="s">
        <v>6328</v>
      </c>
      <c r="B188" s="45"/>
      <c r="C188" s="79" t="s">
        <v>6329</v>
      </c>
      <c r="D188" s="45"/>
      <c r="E188" s="79" t="s">
        <v>5271</v>
      </c>
      <c r="F188" s="79" t="s">
        <v>5936</v>
      </c>
      <c r="G188" s="45"/>
      <c r="H188" s="80">
        <v>0.11002</v>
      </c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</row>
    <row r="189">
      <c r="A189" s="79" t="s">
        <v>6330</v>
      </c>
      <c r="B189" s="45"/>
      <c r="C189" s="79" t="s">
        <v>6331</v>
      </c>
      <c r="D189" s="45"/>
      <c r="E189" s="79" t="s">
        <v>5215</v>
      </c>
      <c r="F189" s="79" t="s">
        <v>6137</v>
      </c>
      <c r="G189" s="45"/>
      <c r="H189" s="80">
        <v>0.10901</v>
      </c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</row>
    <row r="190">
      <c r="A190" s="79" t="s">
        <v>6332</v>
      </c>
      <c r="B190" s="45"/>
      <c r="C190" s="79" t="s">
        <v>6333</v>
      </c>
      <c r="D190" s="45"/>
      <c r="E190" s="79" t="s">
        <v>5366</v>
      </c>
      <c r="F190" s="79" t="s">
        <v>5924</v>
      </c>
      <c r="G190" s="45"/>
      <c r="H190" s="80">
        <v>0.10849</v>
      </c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</row>
    <row r="191">
      <c r="A191" s="79" t="s">
        <v>6334</v>
      </c>
      <c r="B191" s="45"/>
      <c r="C191" s="79" t="s">
        <v>6335</v>
      </c>
      <c r="D191" s="45"/>
      <c r="E191" s="79" t="s">
        <v>5650</v>
      </c>
      <c r="F191" s="79" t="s">
        <v>5924</v>
      </c>
      <c r="G191" s="45"/>
      <c r="H191" s="80">
        <v>0.10797</v>
      </c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</row>
    <row r="192">
      <c r="A192" s="79" t="s">
        <v>6336</v>
      </c>
      <c r="B192" s="45"/>
      <c r="C192" s="79" t="s">
        <v>6337</v>
      </c>
      <c r="D192" s="45"/>
      <c r="E192" s="79" t="s">
        <v>6338</v>
      </c>
      <c r="F192" s="79" t="s">
        <v>5936</v>
      </c>
      <c r="G192" s="45"/>
      <c r="H192" s="80">
        <v>0.10729</v>
      </c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</row>
    <row r="193">
      <c r="A193" s="79" t="s">
        <v>6339</v>
      </c>
      <c r="B193" s="45"/>
      <c r="C193" s="79" t="s">
        <v>6340</v>
      </c>
      <c r="D193" s="45"/>
      <c r="E193" s="79" t="s">
        <v>5218</v>
      </c>
      <c r="F193" s="79" t="s">
        <v>5936</v>
      </c>
      <c r="G193" s="45"/>
      <c r="H193" s="80">
        <v>0.10663</v>
      </c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</row>
    <row r="194">
      <c r="A194" s="79" t="s">
        <v>6341</v>
      </c>
      <c r="B194" s="45"/>
      <c r="C194" s="79" t="s">
        <v>6342</v>
      </c>
      <c r="D194" s="45"/>
      <c r="E194" s="79" t="s">
        <v>5218</v>
      </c>
      <c r="F194" s="79" t="s">
        <v>6220</v>
      </c>
      <c r="G194" s="45"/>
      <c r="H194" s="80">
        <v>0.10623</v>
      </c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</row>
    <row r="195">
      <c r="A195" s="79" t="s">
        <v>6343</v>
      </c>
      <c r="B195" s="45"/>
      <c r="C195" s="79" t="s">
        <v>6344</v>
      </c>
      <c r="D195" s="45"/>
      <c r="E195" s="79" t="s">
        <v>5374</v>
      </c>
      <c r="F195" s="79" t="s">
        <v>5936</v>
      </c>
      <c r="G195" s="45"/>
      <c r="H195" s="80">
        <v>0.10432</v>
      </c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</row>
    <row r="196">
      <c r="A196" s="79" t="s">
        <v>6345</v>
      </c>
      <c r="B196" s="45"/>
      <c r="C196" s="79" t="s">
        <v>6346</v>
      </c>
      <c r="D196" s="45"/>
      <c r="E196" s="79" t="s">
        <v>5267</v>
      </c>
      <c r="F196" s="79" t="s">
        <v>6204</v>
      </c>
      <c r="G196" s="45"/>
      <c r="H196" s="80">
        <v>0.10432</v>
      </c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</row>
    <row r="197">
      <c r="A197" s="79" t="s">
        <v>6347</v>
      </c>
      <c r="B197" s="45"/>
      <c r="C197" s="79" t="s">
        <v>6348</v>
      </c>
      <c r="D197" s="45"/>
      <c r="E197" s="79" t="s">
        <v>5271</v>
      </c>
      <c r="F197" s="79" t="s">
        <v>5936</v>
      </c>
      <c r="G197" s="45"/>
      <c r="H197" s="80">
        <v>0.10407</v>
      </c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</row>
    <row r="198">
      <c r="A198" s="79" t="s">
        <v>6349</v>
      </c>
      <c r="B198" s="45"/>
      <c r="C198" s="79" t="s">
        <v>6350</v>
      </c>
      <c r="D198" s="45"/>
      <c r="E198" s="79" t="s">
        <v>6191</v>
      </c>
      <c r="F198" s="79" t="s">
        <v>6351</v>
      </c>
      <c r="G198" s="45"/>
      <c r="H198" s="80">
        <v>0.10348</v>
      </c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</row>
    <row r="199">
      <c r="A199" s="79" t="s">
        <v>6352</v>
      </c>
      <c r="B199" s="45"/>
      <c r="C199" s="79" t="s">
        <v>6353</v>
      </c>
      <c r="D199" s="45"/>
      <c r="E199" s="79" t="s">
        <v>5232</v>
      </c>
      <c r="F199" s="79" t="s">
        <v>5936</v>
      </c>
      <c r="G199" s="45"/>
      <c r="H199" s="80">
        <v>0.10327</v>
      </c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</row>
    <row r="200">
      <c r="A200" s="79" t="s">
        <v>6354</v>
      </c>
      <c r="B200" s="45"/>
      <c r="C200" s="79" t="s">
        <v>6355</v>
      </c>
      <c r="D200" s="45"/>
      <c r="E200" s="79" t="s">
        <v>5407</v>
      </c>
      <c r="F200" s="79" t="s">
        <v>5924</v>
      </c>
      <c r="G200" s="45"/>
      <c r="H200" s="80">
        <v>0.10274</v>
      </c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</row>
    <row r="201">
      <c r="A201" s="79" t="s">
        <v>6356</v>
      </c>
      <c r="B201" s="45"/>
      <c r="C201" s="79" t="s">
        <v>6357</v>
      </c>
      <c r="D201" s="45"/>
      <c r="E201" s="79" t="s">
        <v>5241</v>
      </c>
      <c r="F201" s="79" t="s">
        <v>5986</v>
      </c>
      <c r="G201" s="45"/>
      <c r="H201" s="80">
        <v>0.10255</v>
      </c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</row>
    <row r="202">
      <c r="A202" s="79" t="s">
        <v>6358</v>
      </c>
      <c r="B202" s="45"/>
      <c r="C202" s="79" t="s">
        <v>6359</v>
      </c>
      <c r="D202" s="45"/>
      <c r="E202" s="79" t="s">
        <v>5462</v>
      </c>
      <c r="F202" s="79" t="s">
        <v>5300</v>
      </c>
      <c r="G202" s="45"/>
      <c r="H202" s="80">
        <v>0.10191</v>
      </c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</row>
    <row r="203">
      <c r="A203" s="79" t="s">
        <v>6360</v>
      </c>
      <c r="B203" s="45"/>
      <c r="C203" s="79" t="s">
        <v>6361</v>
      </c>
      <c r="D203" s="45"/>
      <c r="E203" s="79" t="s">
        <v>5682</v>
      </c>
      <c r="F203" s="79" t="s">
        <v>5924</v>
      </c>
      <c r="G203" s="45"/>
      <c r="H203" s="80">
        <v>0.10166</v>
      </c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</row>
    <row r="204">
      <c r="A204" s="79" t="s">
        <v>6362</v>
      </c>
      <c r="B204" s="45"/>
      <c r="C204" s="79" t="s">
        <v>6363</v>
      </c>
      <c r="D204" s="45"/>
      <c r="E204" s="79" t="s">
        <v>5226</v>
      </c>
      <c r="F204" s="79" t="s">
        <v>4424</v>
      </c>
      <c r="G204" s="45"/>
      <c r="H204" s="80">
        <v>0.1015</v>
      </c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</row>
    <row r="205">
      <c r="A205" s="79" t="s">
        <v>6364</v>
      </c>
      <c r="B205" s="45"/>
      <c r="C205" s="79" t="s">
        <v>6365</v>
      </c>
      <c r="D205" s="45"/>
      <c r="E205" s="79" t="s">
        <v>5218</v>
      </c>
      <c r="F205" s="79" t="s">
        <v>5936</v>
      </c>
      <c r="G205" s="45"/>
      <c r="H205" s="80">
        <v>0.1015</v>
      </c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</row>
    <row r="206">
      <c r="A206" s="79" t="s">
        <v>6366</v>
      </c>
      <c r="B206" s="45"/>
      <c r="C206" s="79" t="s">
        <v>6367</v>
      </c>
      <c r="D206" s="45"/>
      <c r="E206" s="79" t="s">
        <v>6191</v>
      </c>
      <c r="F206" s="79" t="s">
        <v>4424</v>
      </c>
      <c r="G206" s="45"/>
      <c r="H206" s="80">
        <v>0.10041</v>
      </c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</row>
    <row r="207">
      <c r="A207" s="79" t="s">
        <v>6368</v>
      </c>
      <c r="B207" s="45"/>
      <c r="C207" s="79" t="s">
        <v>6369</v>
      </c>
      <c r="D207" s="45"/>
      <c r="E207" s="79" t="s">
        <v>5961</v>
      </c>
      <c r="F207" s="79" t="s">
        <v>5924</v>
      </c>
      <c r="G207" s="45"/>
      <c r="H207" s="80">
        <v>0.10039</v>
      </c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</row>
    <row r="208">
      <c r="A208" s="79" t="s">
        <v>6370</v>
      </c>
      <c r="B208" s="45"/>
      <c r="C208" s="79" t="s">
        <v>6371</v>
      </c>
      <c r="D208" s="45"/>
      <c r="E208" s="79" t="s">
        <v>5246</v>
      </c>
      <c r="F208" s="79" t="s">
        <v>4424</v>
      </c>
      <c r="G208" s="45"/>
      <c r="H208" s="80">
        <v>0.10015</v>
      </c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</row>
    <row r="209">
      <c r="A209" s="79" t="s">
        <v>6372</v>
      </c>
      <c r="B209" s="45"/>
      <c r="C209" s="79" t="s">
        <v>6373</v>
      </c>
      <c r="D209" s="45"/>
      <c r="E209" s="79" t="s">
        <v>5215</v>
      </c>
      <c r="F209" s="79" t="s">
        <v>6050</v>
      </c>
      <c r="G209" s="45"/>
      <c r="H209" s="80">
        <v>0.10006</v>
      </c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</row>
    <row r="210">
      <c r="A210" s="79" t="s">
        <v>6374</v>
      </c>
      <c r="B210" s="45"/>
      <c r="C210" s="79" t="s">
        <v>6375</v>
      </c>
      <c r="D210" s="45"/>
      <c r="E210" s="79" t="s">
        <v>5448</v>
      </c>
      <c r="F210" s="79" t="s">
        <v>5936</v>
      </c>
      <c r="G210" s="45"/>
      <c r="H210" s="80">
        <v>0.09986</v>
      </c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</row>
    <row r="211">
      <c r="A211" s="79" t="s">
        <v>6063</v>
      </c>
      <c r="B211" s="45"/>
      <c r="C211" s="79" t="s">
        <v>6376</v>
      </c>
      <c r="D211" s="45"/>
      <c r="E211" s="79" t="s">
        <v>5961</v>
      </c>
      <c r="F211" s="79" t="s">
        <v>5927</v>
      </c>
      <c r="G211" s="45"/>
      <c r="H211" s="80">
        <v>0.09841</v>
      </c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</row>
    <row r="212">
      <c r="A212" s="79" t="s">
        <v>6377</v>
      </c>
      <c r="B212" s="45"/>
      <c r="C212" s="79" t="s">
        <v>6378</v>
      </c>
      <c r="D212" s="45"/>
      <c r="E212" s="79" t="s">
        <v>5238</v>
      </c>
      <c r="F212" s="79" t="s">
        <v>5970</v>
      </c>
      <c r="G212" s="45"/>
      <c r="H212" s="80">
        <v>0.09835</v>
      </c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</row>
    <row r="213">
      <c r="A213" s="79" t="s">
        <v>6379</v>
      </c>
      <c r="B213" s="45"/>
      <c r="C213" s="79" t="s">
        <v>6380</v>
      </c>
      <c r="D213" s="45"/>
      <c r="E213" s="79" t="s">
        <v>5434</v>
      </c>
      <c r="F213" s="79" t="s">
        <v>5986</v>
      </c>
      <c r="G213" s="45"/>
      <c r="H213" s="80">
        <v>0.0982</v>
      </c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</row>
    <row r="214">
      <c r="A214" s="79" t="s">
        <v>6381</v>
      </c>
      <c r="B214" s="45"/>
      <c r="C214" s="79" t="s">
        <v>6382</v>
      </c>
      <c r="D214" s="45"/>
      <c r="E214" s="79" t="s">
        <v>5390</v>
      </c>
      <c r="F214" s="79" t="s">
        <v>4340</v>
      </c>
      <c r="G214" s="45"/>
      <c r="H214" s="80">
        <v>0.09754</v>
      </c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</row>
    <row r="215">
      <c r="A215" s="79" t="s">
        <v>6383</v>
      </c>
      <c r="B215" s="45"/>
      <c r="C215" s="79" t="s">
        <v>6384</v>
      </c>
      <c r="D215" s="45"/>
      <c r="E215" s="79" t="s">
        <v>5232</v>
      </c>
      <c r="F215" s="79" t="s">
        <v>5927</v>
      </c>
      <c r="G215" s="45"/>
      <c r="H215" s="80">
        <v>0.0963</v>
      </c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</row>
    <row r="216">
      <c r="A216" s="79" t="s">
        <v>6385</v>
      </c>
      <c r="B216" s="45"/>
      <c r="C216" s="79" t="s">
        <v>6386</v>
      </c>
      <c r="D216" s="45"/>
      <c r="E216" s="79" t="s">
        <v>5271</v>
      </c>
      <c r="F216" s="79" t="s">
        <v>5944</v>
      </c>
      <c r="G216" s="45"/>
      <c r="H216" s="80">
        <v>0.09503</v>
      </c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</row>
    <row r="217">
      <c r="A217" s="79" t="s">
        <v>6387</v>
      </c>
      <c r="B217" s="45"/>
      <c r="C217" s="79" t="s">
        <v>6388</v>
      </c>
      <c r="D217" s="45"/>
      <c r="E217" s="79" t="s">
        <v>6389</v>
      </c>
      <c r="F217" s="79" t="s">
        <v>6220</v>
      </c>
      <c r="G217" s="45"/>
      <c r="H217" s="80">
        <v>0.09497</v>
      </c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</row>
    <row r="218">
      <c r="A218" s="79" t="s">
        <v>6390</v>
      </c>
      <c r="B218" s="45"/>
      <c r="C218" s="79" t="s">
        <v>6391</v>
      </c>
      <c r="D218" s="45"/>
      <c r="E218" s="79" t="s">
        <v>5316</v>
      </c>
      <c r="F218" s="79" t="s">
        <v>5967</v>
      </c>
      <c r="G218" s="45"/>
      <c r="H218" s="80">
        <v>0.09451</v>
      </c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</row>
    <row r="219">
      <c r="A219" s="79" t="s">
        <v>6392</v>
      </c>
      <c r="B219" s="45"/>
      <c r="C219" s="79" t="s">
        <v>6393</v>
      </c>
      <c r="D219" s="45"/>
      <c r="E219" s="79" t="s">
        <v>5226</v>
      </c>
      <c r="F219" s="79" t="s">
        <v>5936</v>
      </c>
      <c r="G219" s="45"/>
      <c r="H219" s="80">
        <v>0.09447</v>
      </c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</row>
    <row r="220">
      <c r="A220" s="79" t="s">
        <v>6394</v>
      </c>
      <c r="B220" s="45"/>
      <c r="C220" s="79" t="s">
        <v>6395</v>
      </c>
      <c r="D220" s="45"/>
      <c r="E220" s="79" t="s">
        <v>5271</v>
      </c>
      <c r="F220" s="79" t="s">
        <v>5970</v>
      </c>
      <c r="G220" s="45"/>
      <c r="H220" s="80">
        <v>0.09341</v>
      </c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</row>
    <row r="221">
      <c r="A221" s="79" t="s">
        <v>6396</v>
      </c>
      <c r="B221" s="45"/>
      <c r="C221" s="79" t="s">
        <v>6397</v>
      </c>
      <c r="D221" s="45"/>
      <c r="E221" s="79" t="s">
        <v>5226</v>
      </c>
      <c r="F221" s="79" t="s">
        <v>6204</v>
      </c>
      <c r="G221" s="45"/>
      <c r="H221" s="80">
        <v>0.09296</v>
      </c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</row>
    <row r="222">
      <c r="A222" s="79" t="s">
        <v>6398</v>
      </c>
      <c r="B222" s="45"/>
      <c r="C222" s="79" t="s">
        <v>6399</v>
      </c>
      <c r="D222" s="45"/>
      <c r="E222" s="79" t="s">
        <v>6083</v>
      </c>
      <c r="F222" s="79" t="s">
        <v>4340</v>
      </c>
      <c r="G222" s="45"/>
      <c r="H222" s="80">
        <v>0.09285</v>
      </c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</row>
    <row r="223">
      <c r="A223" s="79" t="s">
        <v>6400</v>
      </c>
      <c r="B223" s="45"/>
      <c r="C223" s="79" t="s">
        <v>6401</v>
      </c>
      <c r="D223" s="45"/>
      <c r="E223" s="79" t="s">
        <v>5215</v>
      </c>
      <c r="F223" s="79" t="s">
        <v>5967</v>
      </c>
      <c r="G223" s="45"/>
      <c r="H223" s="80">
        <v>0.09251</v>
      </c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</row>
    <row r="224">
      <c r="A224" s="79" t="s">
        <v>6402</v>
      </c>
      <c r="B224" s="45"/>
      <c r="C224" s="79" t="s">
        <v>6403</v>
      </c>
      <c r="D224" s="45"/>
      <c r="E224" s="79" t="s">
        <v>5374</v>
      </c>
      <c r="F224" s="79" t="s">
        <v>5936</v>
      </c>
      <c r="G224" s="45"/>
      <c r="H224" s="80">
        <v>0.09228</v>
      </c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</row>
    <row r="225">
      <c r="A225" s="79" t="s">
        <v>6404</v>
      </c>
      <c r="B225" s="45"/>
      <c r="C225" s="79" t="s">
        <v>6405</v>
      </c>
      <c r="D225" s="45"/>
      <c r="E225" s="79" t="s">
        <v>5578</v>
      </c>
      <c r="F225" s="79" t="s">
        <v>5936</v>
      </c>
      <c r="G225" s="45"/>
      <c r="H225" s="80">
        <v>0.0913</v>
      </c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</row>
    <row r="226">
      <c r="A226" s="79" t="s">
        <v>6406</v>
      </c>
      <c r="B226" s="45"/>
      <c r="C226" s="79" t="s">
        <v>6407</v>
      </c>
      <c r="D226" s="45"/>
      <c r="E226" s="79" t="s">
        <v>5241</v>
      </c>
      <c r="F226" s="79" t="s">
        <v>4424</v>
      </c>
      <c r="G226" s="45"/>
      <c r="H226" s="80">
        <v>0.09084</v>
      </c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</row>
    <row r="227">
      <c r="A227" s="79" t="s">
        <v>6408</v>
      </c>
      <c r="B227" s="45"/>
      <c r="C227" s="79" t="s">
        <v>6409</v>
      </c>
      <c r="D227" s="45"/>
      <c r="E227" s="79" t="s">
        <v>5215</v>
      </c>
      <c r="F227" s="79" t="s">
        <v>5924</v>
      </c>
      <c r="G227" s="45"/>
      <c r="H227" s="80">
        <v>0.09075</v>
      </c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</row>
    <row r="228">
      <c r="A228" s="79" t="s">
        <v>6410</v>
      </c>
      <c r="B228" s="45"/>
      <c r="C228" s="79" t="s">
        <v>6411</v>
      </c>
      <c r="D228" s="45"/>
      <c r="E228" s="79" t="s">
        <v>5215</v>
      </c>
      <c r="F228" s="79" t="s">
        <v>5970</v>
      </c>
      <c r="G228" s="45"/>
      <c r="H228" s="80">
        <v>0.09033</v>
      </c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</row>
    <row r="229">
      <c r="A229" s="79" t="s">
        <v>6412</v>
      </c>
      <c r="B229" s="45"/>
      <c r="C229" s="79" t="s">
        <v>6413</v>
      </c>
      <c r="D229" s="45"/>
      <c r="E229" s="79" t="s">
        <v>5961</v>
      </c>
      <c r="F229" s="79" t="s">
        <v>4340</v>
      </c>
      <c r="G229" s="45"/>
      <c r="H229" s="80">
        <v>0.09024</v>
      </c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</row>
    <row r="230">
      <c r="A230" s="79" t="s">
        <v>6414</v>
      </c>
      <c r="B230" s="45"/>
      <c r="C230" s="79" t="s">
        <v>6415</v>
      </c>
      <c r="D230" s="45"/>
      <c r="E230" s="79" t="s">
        <v>6416</v>
      </c>
      <c r="F230" s="79" t="s">
        <v>5970</v>
      </c>
      <c r="G230" s="45"/>
      <c r="H230" s="80">
        <v>0.09018</v>
      </c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</row>
    <row r="231">
      <c r="A231" s="79" t="s">
        <v>6417</v>
      </c>
      <c r="B231" s="45"/>
      <c r="C231" s="79" t="s">
        <v>6418</v>
      </c>
      <c r="D231" s="45"/>
      <c r="E231" s="79" t="s">
        <v>5434</v>
      </c>
      <c r="F231" s="79" t="s">
        <v>5936</v>
      </c>
      <c r="G231" s="45"/>
      <c r="H231" s="80">
        <v>0.08939</v>
      </c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</row>
    <row r="232">
      <c r="A232" s="79" t="s">
        <v>6419</v>
      </c>
      <c r="B232" s="45"/>
      <c r="C232" s="79" t="s">
        <v>6420</v>
      </c>
      <c r="D232" s="45"/>
      <c r="E232" s="79" t="s">
        <v>5316</v>
      </c>
      <c r="F232" s="79" t="s">
        <v>5936</v>
      </c>
      <c r="G232" s="45"/>
      <c r="H232" s="80">
        <v>0.08927</v>
      </c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</row>
    <row r="233">
      <c r="A233" s="79" t="s">
        <v>6421</v>
      </c>
      <c r="B233" s="45"/>
      <c r="C233" s="79" t="s">
        <v>6422</v>
      </c>
      <c r="D233" s="45"/>
      <c r="E233" s="79" t="s">
        <v>6389</v>
      </c>
      <c r="F233" s="79" t="s">
        <v>4340</v>
      </c>
      <c r="G233" s="45"/>
      <c r="H233" s="80">
        <v>0.0891</v>
      </c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</row>
    <row r="234">
      <c r="A234" s="79" t="s">
        <v>6423</v>
      </c>
      <c r="B234" s="45"/>
      <c r="C234" s="79" t="s">
        <v>6424</v>
      </c>
      <c r="D234" s="45"/>
      <c r="E234" s="79" t="s">
        <v>5561</v>
      </c>
      <c r="F234" s="79" t="s">
        <v>4204</v>
      </c>
      <c r="G234" s="45"/>
      <c r="H234" s="80">
        <v>0.08897</v>
      </c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</row>
    <row r="235">
      <c r="A235" s="79" t="s">
        <v>6425</v>
      </c>
      <c r="B235" s="45"/>
      <c r="C235" s="79" t="s">
        <v>6426</v>
      </c>
      <c r="D235" s="45"/>
      <c r="E235" s="79" t="s">
        <v>6427</v>
      </c>
      <c r="F235" s="79" t="s">
        <v>5944</v>
      </c>
      <c r="G235" s="45"/>
      <c r="H235" s="80">
        <v>0.08891</v>
      </c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</row>
    <row r="236">
      <c r="A236" s="79" t="s">
        <v>6428</v>
      </c>
      <c r="B236" s="45"/>
      <c r="C236" s="79" t="s">
        <v>6429</v>
      </c>
      <c r="D236" s="45"/>
      <c r="E236" s="79" t="s">
        <v>5215</v>
      </c>
      <c r="F236" s="79" t="s">
        <v>5924</v>
      </c>
      <c r="G236" s="45"/>
      <c r="H236" s="80">
        <v>0.08839</v>
      </c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</row>
    <row r="237">
      <c r="A237" s="79" t="s">
        <v>6430</v>
      </c>
      <c r="B237" s="45"/>
      <c r="C237" s="79" t="s">
        <v>6431</v>
      </c>
      <c r="D237" s="45"/>
      <c r="E237" s="79" t="s">
        <v>5650</v>
      </c>
      <c r="F237" s="79" t="s">
        <v>5924</v>
      </c>
      <c r="G237" s="45"/>
      <c r="H237" s="80">
        <v>0.08773</v>
      </c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</row>
    <row r="238">
      <c r="A238" s="79" t="s">
        <v>6432</v>
      </c>
      <c r="B238" s="45"/>
      <c r="C238" s="79" t="s">
        <v>6433</v>
      </c>
      <c r="D238" s="45"/>
      <c r="E238" s="79" t="s">
        <v>6040</v>
      </c>
      <c r="F238" s="79" t="s">
        <v>5936</v>
      </c>
      <c r="G238" s="45"/>
      <c r="H238" s="80">
        <v>0.08773</v>
      </c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</row>
    <row r="239">
      <c r="A239" s="79" t="s">
        <v>6434</v>
      </c>
      <c r="B239" s="45"/>
      <c r="C239" s="79" t="s">
        <v>6435</v>
      </c>
      <c r="D239" s="45"/>
      <c r="E239" s="79" t="s">
        <v>5326</v>
      </c>
      <c r="F239" s="79" t="s">
        <v>5983</v>
      </c>
      <c r="G239" s="45"/>
      <c r="H239" s="80">
        <v>0.08747</v>
      </c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</row>
    <row r="240">
      <c r="A240" s="79" t="s">
        <v>6436</v>
      </c>
      <c r="B240" s="45"/>
      <c r="C240" s="79" t="s">
        <v>6437</v>
      </c>
      <c r="D240" s="45"/>
      <c r="E240" s="79" t="s">
        <v>5961</v>
      </c>
      <c r="F240" s="79" t="s">
        <v>5924</v>
      </c>
      <c r="G240" s="45"/>
      <c r="H240" s="80">
        <v>0.08746</v>
      </c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</row>
    <row r="241">
      <c r="A241" s="79" t="s">
        <v>6438</v>
      </c>
      <c r="B241" s="45"/>
      <c r="C241" s="79" t="s">
        <v>6439</v>
      </c>
      <c r="D241" s="45"/>
      <c r="E241" s="79" t="s">
        <v>6338</v>
      </c>
      <c r="F241" s="79" t="s">
        <v>6217</v>
      </c>
      <c r="G241" s="45"/>
      <c r="H241" s="80">
        <v>0.08738</v>
      </c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</row>
    <row r="242">
      <c r="A242" s="79" t="s">
        <v>6440</v>
      </c>
      <c r="B242" s="45"/>
      <c r="C242" s="79" t="s">
        <v>6441</v>
      </c>
      <c r="D242" s="45"/>
      <c r="E242" s="79" t="s">
        <v>5215</v>
      </c>
      <c r="F242" s="79" t="s">
        <v>4204</v>
      </c>
      <c r="G242" s="45"/>
      <c r="H242" s="80">
        <v>0.08722</v>
      </c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</row>
    <row r="243">
      <c r="A243" s="79" t="s">
        <v>6442</v>
      </c>
      <c r="B243" s="45"/>
      <c r="C243" s="79" t="s">
        <v>6443</v>
      </c>
      <c r="D243" s="45"/>
      <c r="E243" s="79" t="s">
        <v>5682</v>
      </c>
      <c r="F243" s="79" t="s">
        <v>5936</v>
      </c>
      <c r="G243" s="45"/>
      <c r="H243" s="80">
        <v>0.08704</v>
      </c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</row>
    <row r="244">
      <c r="A244" s="79" t="s">
        <v>6444</v>
      </c>
      <c r="B244" s="45"/>
      <c r="C244" s="79" t="s">
        <v>6445</v>
      </c>
      <c r="D244" s="45"/>
      <c r="E244" s="79" t="s">
        <v>5246</v>
      </c>
      <c r="F244" s="79" t="s">
        <v>5936</v>
      </c>
      <c r="G244" s="45"/>
      <c r="H244" s="80">
        <v>0.08668</v>
      </c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</row>
    <row r="245">
      <c r="A245" s="79" t="s">
        <v>6446</v>
      </c>
      <c r="B245" s="45"/>
      <c r="C245" s="79" t="s">
        <v>6447</v>
      </c>
      <c r="D245" s="45"/>
      <c r="E245" s="79" t="s">
        <v>6130</v>
      </c>
      <c r="F245" s="79" t="s">
        <v>4340</v>
      </c>
      <c r="G245" s="45"/>
      <c r="H245" s="80">
        <v>0.08652</v>
      </c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</row>
    <row r="246">
      <c r="A246" s="79" t="s">
        <v>6448</v>
      </c>
      <c r="B246" s="45"/>
      <c r="C246" s="79" t="s">
        <v>6449</v>
      </c>
      <c r="D246" s="45"/>
      <c r="E246" s="79" t="s">
        <v>5351</v>
      </c>
      <c r="F246" s="79" t="s">
        <v>5944</v>
      </c>
      <c r="G246" s="45"/>
      <c r="H246" s="80">
        <v>0.0861</v>
      </c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</row>
    <row r="247">
      <c r="A247" s="79" t="s">
        <v>6450</v>
      </c>
      <c r="B247" s="45"/>
      <c r="C247" s="79" t="s">
        <v>6451</v>
      </c>
      <c r="D247" s="45"/>
      <c r="E247" s="79" t="s">
        <v>5271</v>
      </c>
      <c r="F247" s="79" t="s">
        <v>5924</v>
      </c>
      <c r="G247" s="45"/>
      <c r="H247" s="80">
        <v>0.0851</v>
      </c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</row>
    <row r="248">
      <c r="A248" s="79" t="s">
        <v>6452</v>
      </c>
      <c r="B248" s="45"/>
      <c r="C248" s="79" t="s">
        <v>6453</v>
      </c>
      <c r="D248" s="45"/>
      <c r="E248" s="79" t="s">
        <v>5691</v>
      </c>
      <c r="F248" s="79" t="s">
        <v>5924</v>
      </c>
      <c r="G248" s="45"/>
      <c r="H248" s="80">
        <v>0.08499</v>
      </c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</row>
    <row r="249">
      <c r="A249" s="79" t="s">
        <v>6454</v>
      </c>
      <c r="B249" s="45"/>
      <c r="C249" s="79" t="s">
        <v>6076</v>
      </c>
      <c r="D249" s="45"/>
      <c r="E249" s="79" t="s">
        <v>5215</v>
      </c>
      <c r="F249" s="79" t="s">
        <v>4424</v>
      </c>
      <c r="G249" s="45"/>
      <c r="H249" s="80">
        <v>0.08418</v>
      </c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</row>
    <row r="250">
      <c r="A250" s="79" t="s">
        <v>6455</v>
      </c>
      <c r="B250" s="45"/>
      <c r="C250" s="79" t="s">
        <v>6456</v>
      </c>
      <c r="D250" s="45"/>
      <c r="E250" s="79" t="s">
        <v>5215</v>
      </c>
      <c r="F250" s="79" t="s">
        <v>5924</v>
      </c>
      <c r="G250" s="45"/>
      <c r="H250" s="80">
        <v>0.08396</v>
      </c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</row>
    <row r="251">
      <c r="A251" s="79" t="s">
        <v>6457</v>
      </c>
      <c r="B251" s="45"/>
      <c r="C251" s="79" t="s">
        <v>6458</v>
      </c>
      <c r="D251" s="45"/>
      <c r="E251" s="79" t="s">
        <v>5261</v>
      </c>
      <c r="F251" s="79" t="s">
        <v>4340</v>
      </c>
      <c r="G251" s="45"/>
      <c r="H251" s="80">
        <v>0.08217</v>
      </c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</row>
    <row r="252">
      <c r="A252" s="79" t="s">
        <v>6459</v>
      </c>
      <c r="B252" s="45"/>
      <c r="C252" s="79" t="s">
        <v>6460</v>
      </c>
      <c r="D252" s="45"/>
      <c r="E252" s="79" t="s">
        <v>5811</v>
      </c>
      <c r="F252" s="79" t="s">
        <v>5924</v>
      </c>
      <c r="G252" s="45"/>
      <c r="H252" s="80">
        <v>0.08183</v>
      </c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</row>
    <row r="253">
      <c r="A253" s="79" t="s">
        <v>6461</v>
      </c>
      <c r="B253" s="45"/>
      <c r="C253" s="79" t="s">
        <v>6462</v>
      </c>
      <c r="D253" s="45"/>
      <c r="E253" s="79" t="s">
        <v>5578</v>
      </c>
      <c r="F253" s="79" t="s">
        <v>5936</v>
      </c>
      <c r="G253" s="45"/>
      <c r="H253" s="80">
        <v>0.08096</v>
      </c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</row>
    <row r="254">
      <c r="A254" s="79" t="s">
        <v>6463</v>
      </c>
      <c r="B254" s="45"/>
      <c r="C254" s="79" t="s">
        <v>6464</v>
      </c>
      <c r="D254" s="45"/>
      <c r="E254" s="79" t="s">
        <v>5215</v>
      </c>
      <c r="F254" s="79" t="s">
        <v>6217</v>
      </c>
      <c r="G254" s="45"/>
      <c r="H254" s="80">
        <v>0.0809</v>
      </c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</row>
    <row r="255">
      <c r="A255" s="79" t="s">
        <v>6465</v>
      </c>
      <c r="B255" s="45"/>
      <c r="C255" s="79" t="s">
        <v>6466</v>
      </c>
      <c r="D255" s="45"/>
      <c r="E255" s="79" t="s">
        <v>5241</v>
      </c>
      <c r="F255" s="79" t="s">
        <v>5986</v>
      </c>
      <c r="G255" s="45"/>
      <c r="H255" s="80">
        <v>0.08043</v>
      </c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</row>
    <row r="256">
      <c r="A256" s="79" t="s">
        <v>6467</v>
      </c>
      <c r="B256" s="45"/>
      <c r="C256" s="79" t="s">
        <v>5956</v>
      </c>
      <c r="D256" s="45"/>
      <c r="E256" s="79" t="s">
        <v>5271</v>
      </c>
      <c r="F256" s="79" t="s">
        <v>5944</v>
      </c>
      <c r="G256" s="45"/>
      <c r="H256" s="80">
        <v>0.08039</v>
      </c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</row>
    <row r="257">
      <c r="A257" s="79" t="s">
        <v>6468</v>
      </c>
      <c r="B257" s="45"/>
      <c r="C257" s="79" t="s">
        <v>6469</v>
      </c>
      <c r="D257" s="45"/>
      <c r="E257" s="79" t="s">
        <v>5215</v>
      </c>
      <c r="F257" s="79" t="s">
        <v>6047</v>
      </c>
      <c r="G257" s="45"/>
      <c r="H257" s="80">
        <v>0.07986</v>
      </c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</row>
    <row r="258">
      <c r="A258" s="79" t="s">
        <v>6470</v>
      </c>
      <c r="B258" s="45"/>
      <c r="C258" s="79" t="s">
        <v>6471</v>
      </c>
      <c r="D258" s="45"/>
      <c r="E258" s="79" t="s">
        <v>6472</v>
      </c>
      <c r="F258" s="79" t="s">
        <v>5936</v>
      </c>
      <c r="G258" s="45"/>
      <c r="H258" s="80">
        <v>0.0797</v>
      </c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</row>
    <row r="259">
      <c r="A259" s="79" t="s">
        <v>6473</v>
      </c>
      <c r="B259" s="45"/>
      <c r="C259" s="79" t="s">
        <v>6474</v>
      </c>
      <c r="D259" s="45"/>
      <c r="E259" s="79" t="s">
        <v>6475</v>
      </c>
      <c r="F259" s="79" t="s">
        <v>5936</v>
      </c>
      <c r="G259" s="45"/>
      <c r="H259" s="80">
        <v>0.07915</v>
      </c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</row>
    <row r="260">
      <c r="A260" s="79" t="s">
        <v>6476</v>
      </c>
      <c r="B260" s="45"/>
      <c r="C260" s="79" t="s">
        <v>6477</v>
      </c>
      <c r="D260" s="45"/>
      <c r="E260" s="79" t="s">
        <v>5218</v>
      </c>
      <c r="F260" s="79" t="s">
        <v>4340</v>
      </c>
      <c r="G260" s="45"/>
      <c r="H260" s="80">
        <v>0.0791</v>
      </c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</row>
    <row r="261">
      <c r="A261" s="79" t="s">
        <v>6478</v>
      </c>
      <c r="B261" s="45"/>
      <c r="C261" s="79" t="s">
        <v>6479</v>
      </c>
      <c r="D261" s="45"/>
      <c r="E261" s="79" t="s">
        <v>6480</v>
      </c>
      <c r="F261" s="79" t="s">
        <v>6047</v>
      </c>
      <c r="G261" s="45"/>
      <c r="H261" s="80">
        <v>0.07889</v>
      </c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</row>
    <row r="262">
      <c r="A262" s="79" t="s">
        <v>6481</v>
      </c>
      <c r="B262" s="45"/>
      <c r="C262" s="79" t="s">
        <v>6482</v>
      </c>
      <c r="D262" s="45"/>
      <c r="E262" s="79" t="s">
        <v>5215</v>
      </c>
      <c r="F262" s="79" t="s">
        <v>5967</v>
      </c>
      <c r="G262" s="45"/>
      <c r="H262" s="80">
        <v>0.07808</v>
      </c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</row>
    <row r="263">
      <c r="A263" s="79" t="s">
        <v>6483</v>
      </c>
      <c r="B263" s="45"/>
      <c r="C263" s="79" t="s">
        <v>6484</v>
      </c>
      <c r="D263" s="45"/>
      <c r="E263" s="79" t="s">
        <v>5316</v>
      </c>
      <c r="F263" s="79" t="s">
        <v>5936</v>
      </c>
      <c r="G263" s="45"/>
      <c r="H263" s="80">
        <v>0.07773</v>
      </c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</row>
    <row r="264">
      <c r="A264" s="79" t="s">
        <v>6485</v>
      </c>
      <c r="B264" s="45"/>
      <c r="C264" s="79" t="s">
        <v>6486</v>
      </c>
      <c r="D264" s="45"/>
      <c r="E264" s="79" t="s">
        <v>6487</v>
      </c>
      <c r="F264" s="79" t="s">
        <v>4424</v>
      </c>
      <c r="G264" s="45"/>
      <c r="H264" s="80">
        <v>0.07732</v>
      </c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</row>
    <row r="265">
      <c r="A265" s="79" t="s">
        <v>6488</v>
      </c>
      <c r="B265" s="45"/>
      <c r="C265" s="79" t="s">
        <v>6489</v>
      </c>
      <c r="D265" s="45"/>
      <c r="E265" s="79" t="s">
        <v>5235</v>
      </c>
      <c r="F265" s="79" t="s">
        <v>5924</v>
      </c>
      <c r="G265" s="45"/>
      <c r="H265" s="80">
        <v>0.07732</v>
      </c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</row>
    <row r="266">
      <c r="A266" s="79" t="s">
        <v>6490</v>
      </c>
      <c r="B266" s="45"/>
      <c r="C266" s="79" t="s">
        <v>6491</v>
      </c>
      <c r="D266" s="45"/>
      <c r="E266" s="79" t="s">
        <v>5218</v>
      </c>
      <c r="F266" s="79" t="s">
        <v>5936</v>
      </c>
      <c r="G266" s="45"/>
      <c r="H266" s="80">
        <v>0.07717</v>
      </c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</row>
    <row r="267">
      <c r="A267" s="79" t="s">
        <v>6492</v>
      </c>
      <c r="B267" s="45"/>
      <c r="C267" s="79" t="s">
        <v>6493</v>
      </c>
      <c r="D267" s="45"/>
      <c r="E267" s="79" t="s">
        <v>5811</v>
      </c>
      <c r="F267" s="79" t="s">
        <v>5924</v>
      </c>
      <c r="G267" s="45"/>
      <c r="H267" s="80">
        <v>0.07691</v>
      </c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</row>
    <row r="268">
      <c r="A268" s="79" t="s">
        <v>6494</v>
      </c>
      <c r="B268" s="45"/>
      <c r="C268" s="79" t="s">
        <v>6495</v>
      </c>
      <c r="D268" s="45"/>
      <c r="E268" s="79" t="s">
        <v>6191</v>
      </c>
      <c r="F268" s="79" t="s">
        <v>6137</v>
      </c>
      <c r="G268" s="45"/>
      <c r="H268" s="80">
        <v>0.07649</v>
      </c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</row>
    <row r="269">
      <c r="A269" s="79" t="s">
        <v>6496</v>
      </c>
      <c r="B269" s="45"/>
      <c r="C269" s="79" t="s">
        <v>6497</v>
      </c>
      <c r="D269" s="45"/>
      <c r="E269" s="79" t="s">
        <v>6416</v>
      </c>
      <c r="F269" s="79" t="s">
        <v>5970</v>
      </c>
      <c r="G269" s="45"/>
      <c r="H269" s="80">
        <v>0.07631</v>
      </c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</row>
    <row r="270">
      <c r="A270" s="79" t="s">
        <v>6498</v>
      </c>
      <c r="B270" s="45"/>
      <c r="C270" s="79" t="s">
        <v>6499</v>
      </c>
      <c r="D270" s="45"/>
      <c r="E270" s="79" t="s">
        <v>5215</v>
      </c>
      <c r="F270" s="79" t="s">
        <v>5924</v>
      </c>
      <c r="G270" s="45"/>
      <c r="H270" s="80">
        <v>0.07619</v>
      </c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</row>
    <row r="271">
      <c r="A271" s="79" t="s">
        <v>6500</v>
      </c>
      <c r="B271" s="45"/>
      <c r="C271" s="79" t="s">
        <v>6501</v>
      </c>
      <c r="D271" s="45"/>
      <c r="E271" s="79" t="s">
        <v>5238</v>
      </c>
      <c r="F271" s="79" t="s">
        <v>6217</v>
      </c>
      <c r="G271" s="45"/>
      <c r="H271" s="80">
        <v>0.07609</v>
      </c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</row>
    <row r="272">
      <c r="A272" s="79" t="s">
        <v>6502</v>
      </c>
      <c r="B272" s="45"/>
      <c r="C272" s="79" t="s">
        <v>6503</v>
      </c>
      <c r="D272" s="45"/>
      <c r="E272" s="79" t="s">
        <v>5374</v>
      </c>
      <c r="F272" s="79" t="s">
        <v>5936</v>
      </c>
      <c r="G272" s="45"/>
      <c r="H272" s="80">
        <v>0.07605</v>
      </c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</row>
    <row r="273">
      <c r="A273" s="79" t="s">
        <v>6504</v>
      </c>
      <c r="B273" s="45"/>
      <c r="C273" s="79" t="s">
        <v>6505</v>
      </c>
      <c r="D273" s="45"/>
      <c r="E273" s="79" t="s">
        <v>6389</v>
      </c>
      <c r="F273" s="79" t="s">
        <v>5936</v>
      </c>
      <c r="G273" s="45"/>
      <c r="H273" s="80">
        <v>0.07537</v>
      </c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</row>
    <row r="274">
      <c r="A274" s="79" t="s">
        <v>6506</v>
      </c>
      <c r="B274" s="45"/>
      <c r="C274" s="79" t="s">
        <v>6507</v>
      </c>
      <c r="D274" s="45"/>
      <c r="E274" s="79" t="s">
        <v>5215</v>
      </c>
      <c r="F274" s="79" t="s">
        <v>5944</v>
      </c>
      <c r="G274" s="45"/>
      <c r="H274" s="80">
        <v>0.07502</v>
      </c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</row>
    <row r="275">
      <c r="A275" s="79" t="s">
        <v>6508</v>
      </c>
      <c r="B275" s="45"/>
      <c r="C275" s="79" t="s">
        <v>6509</v>
      </c>
      <c r="D275" s="45"/>
      <c r="E275" s="79" t="s">
        <v>5215</v>
      </c>
      <c r="F275" s="79" t="s">
        <v>4175</v>
      </c>
      <c r="G275" s="45"/>
      <c r="H275" s="80">
        <v>0.07474</v>
      </c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</row>
    <row r="276">
      <c r="A276" s="79" t="s">
        <v>6510</v>
      </c>
      <c r="B276" s="45"/>
      <c r="C276" s="79" t="s">
        <v>6511</v>
      </c>
      <c r="D276" s="45"/>
      <c r="E276" s="79" t="s">
        <v>5561</v>
      </c>
      <c r="F276" s="79" t="s">
        <v>6050</v>
      </c>
      <c r="G276" s="45"/>
      <c r="H276" s="80">
        <v>0.07447</v>
      </c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</row>
    <row r="277">
      <c r="A277" s="79" t="s">
        <v>6512</v>
      </c>
      <c r="B277" s="45"/>
      <c r="C277" s="79" t="s">
        <v>6513</v>
      </c>
      <c r="D277" s="45"/>
      <c r="E277" s="79" t="s">
        <v>6514</v>
      </c>
      <c r="F277" s="79" t="s">
        <v>5927</v>
      </c>
      <c r="G277" s="45"/>
      <c r="H277" s="80">
        <v>0.0741</v>
      </c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</row>
    <row r="278">
      <c r="A278" s="79" t="s">
        <v>6515</v>
      </c>
      <c r="B278" s="45"/>
      <c r="C278" s="79" t="s">
        <v>6516</v>
      </c>
      <c r="D278" s="45"/>
      <c r="E278" s="79" t="s">
        <v>6191</v>
      </c>
      <c r="F278" s="79" t="s">
        <v>5967</v>
      </c>
      <c r="G278" s="45"/>
      <c r="H278" s="80">
        <v>0.07379</v>
      </c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</row>
    <row r="279">
      <c r="A279" s="79" t="s">
        <v>6517</v>
      </c>
      <c r="B279" s="45"/>
      <c r="C279" s="79" t="s">
        <v>6518</v>
      </c>
      <c r="D279" s="45"/>
      <c r="E279" s="79" t="s">
        <v>5478</v>
      </c>
      <c r="F279" s="79" t="s">
        <v>5927</v>
      </c>
      <c r="G279" s="45"/>
      <c r="H279" s="80">
        <v>0.07345</v>
      </c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</row>
    <row r="280">
      <c r="A280" s="79" t="s">
        <v>6519</v>
      </c>
      <c r="B280" s="45"/>
      <c r="C280" s="79" t="s">
        <v>6520</v>
      </c>
      <c r="D280" s="45"/>
      <c r="E280" s="79" t="s">
        <v>5811</v>
      </c>
      <c r="F280" s="79" t="s">
        <v>5924</v>
      </c>
      <c r="G280" s="45"/>
      <c r="H280" s="80">
        <v>0.07283</v>
      </c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</row>
    <row r="281">
      <c r="A281" s="79" t="s">
        <v>6521</v>
      </c>
      <c r="B281" s="45"/>
      <c r="C281" s="79" t="s">
        <v>6522</v>
      </c>
      <c r="D281" s="45"/>
      <c r="E281" s="79" t="s">
        <v>6009</v>
      </c>
      <c r="F281" s="79" t="s">
        <v>5936</v>
      </c>
      <c r="G281" s="45"/>
      <c r="H281" s="80">
        <v>0.07268</v>
      </c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</row>
    <row r="282">
      <c r="A282" s="79" t="s">
        <v>6523</v>
      </c>
      <c r="B282" s="45"/>
      <c r="C282" s="79" t="s">
        <v>6524</v>
      </c>
      <c r="D282" s="45"/>
      <c r="E282" s="79" t="s">
        <v>5561</v>
      </c>
      <c r="F282" s="79" t="s">
        <v>5927</v>
      </c>
      <c r="G282" s="45"/>
      <c r="H282" s="80">
        <v>0.07262</v>
      </c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</row>
    <row r="283">
      <c r="A283" s="79" t="s">
        <v>6525</v>
      </c>
      <c r="B283" s="45"/>
      <c r="C283" s="79" t="s">
        <v>6526</v>
      </c>
      <c r="D283" s="45"/>
      <c r="E283" s="79" t="s">
        <v>5241</v>
      </c>
      <c r="F283" s="79" t="s">
        <v>5936</v>
      </c>
      <c r="G283" s="45"/>
      <c r="H283" s="80">
        <v>0.07253</v>
      </c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</row>
    <row r="284">
      <c r="A284" s="79" t="s">
        <v>6527</v>
      </c>
      <c r="B284" s="45"/>
      <c r="C284" s="79" t="s">
        <v>6528</v>
      </c>
      <c r="D284" s="45"/>
      <c r="E284" s="79" t="s">
        <v>5215</v>
      </c>
      <c r="F284" s="79" t="s">
        <v>5986</v>
      </c>
      <c r="G284" s="45"/>
      <c r="H284" s="80">
        <v>0.07212</v>
      </c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</row>
    <row r="285">
      <c r="A285" s="79" t="s">
        <v>6529</v>
      </c>
      <c r="B285" s="45"/>
      <c r="C285" s="79" t="s">
        <v>6530</v>
      </c>
      <c r="D285" s="45"/>
      <c r="E285" s="79" t="s">
        <v>6012</v>
      </c>
      <c r="F285" s="79" t="s">
        <v>4340</v>
      </c>
      <c r="G285" s="45"/>
      <c r="H285" s="80">
        <v>0.07181</v>
      </c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</row>
    <row r="286">
      <c r="A286" s="79" t="s">
        <v>6531</v>
      </c>
      <c r="B286" s="45"/>
      <c r="C286" s="79" t="s">
        <v>6532</v>
      </c>
      <c r="D286" s="45"/>
      <c r="E286" s="79" t="s">
        <v>6110</v>
      </c>
      <c r="F286" s="79" t="s">
        <v>5944</v>
      </c>
      <c r="G286" s="45"/>
      <c r="H286" s="80">
        <v>0.07092</v>
      </c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</row>
    <row r="287">
      <c r="A287" s="79" t="s">
        <v>6533</v>
      </c>
      <c r="B287" s="45"/>
      <c r="C287" s="79" t="s">
        <v>6534</v>
      </c>
      <c r="D287" s="45"/>
      <c r="E287" s="79" t="s">
        <v>5357</v>
      </c>
      <c r="F287" s="79" t="s">
        <v>4424</v>
      </c>
      <c r="G287" s="45"/>
      <c r="H287" s="80">
        <v>0.07045</v>
      </c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</row>
    <row r="288">
      <c r="A288" s="79" t="s">
        <v>6535</v>
      </c>
      <c r="B288" s="45"/>
      <c r="C288" s="79" t="s">
        <v>6536</v>
      </c>
      <c r="D288" s="45"/>
      <c r="E288" s="79" t="s">
        <v>5238</v>
      </c>
      <c r="F288" s="79" t="s">
        <v>5924</v>
      </c>
      <c r="G288" s="45"/>
      <c r="H288" s="80">
        <v>0.07025</v>
      </c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</row>
    <row r="289">
      <c r="A289" s="79" t="s">
        <v>6537</v>
      </c>
      <c r="B289" s="45"/>
      <c r="C289" s="79" t="s">
        <v>6538</v>
      </c>
      <c r="D289" s="45"/>
      <c r="E289" s="79" t="s">
        <v>5624</v>
      </c>
      <c r="F289" s="79" t="s">
        <v>5927</v>
      </c>
      <c r="G289" s="45"/>
      <c r="H289" s="80">
        <v>0.07007</v>
      </c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</row>
    <row r="290">
      <c r="A290" s="79" t="s">
        <v>6539</v>
      </c>
      <c r="B290" s="45"/>
      <c r="C290" s="79" t="s">
        <v>6540</v>
      </c>
      <c r="D290" s="45"/>
      <c r="E290" s="79" t="s">
        <v>5366</v>
      </c>
      <c r="F290" s="79" t="s">
        <v>5936</v>
      </c>
      <c r="G290" s="45"/>
      <c r="H290" s="80">
        <v>0.06996</v>
      </c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</row>
    <row r="291">
      <c r="A291" s="79" t="s">
        <v>6541</v>
      </c>
      <c r="B291" s="45"/>
      <c r="C291" s="79" t="s">
        <v>6542</v>
      </c>
      <c r="D291" s="45"/>
      <c r="E291" s="79" t="s">
        <v>5811</v>
      </c>
      <c r="F291" s="79" t="s">
        <v>5924</v>
      </c>
      <c r="G291" s="45"/>
      <c r="H291" s="80">
        <v>0.06969</v>
      </c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</row>
    <row r="292">
      <c r="A292" s="79" t="s">
        <v>6543</v>
      </c>
      <c r="B292" s="45"/>
      <c r="C292" s="79" t="s">
        <v>6544</v>
      </c>
      <c r="D292" s="45"/>
      <c r="E292" s="79" t="s">
        <v>5691</v>
      </c>
      <c r="F292" s="79" t="s">
        <v>5944</v>
      </c>
      <c r="G292" s="45"/>
      <c r="H292" s="80">
        <v>0.06945</v>
      </c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</row>
    <row r="293">
      <c r="A293" s="79" t="s">
        <v>6545</v>
      </c>
      <c r="B293" s="45"/>
      <c r="C293" s="79" t="s">
        <v>6546</v>
      </c>
      <c r="D293" s="45"/>
      <c r="E293" s="79" t="s">
        <v>5215</v>
      </c>
      <c r="F293" s="79" t="s">
        <v>4340</v>
      </c>
      <c r="G293" s="45"/>
      <c r="H293" s="80">
        <v>0.06907</v>
      </c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</row>
    <row r="294">
      <c r="A294" s="79" t="s">
        <v>6547</v>
      </c>
      <c r="B294" s="45"/>
      <c r="C294" s="79" t="s">
        <v>6548</v>
      </c>
      <c r="D294" s="45"/>
      <c r="E294" s="79" t="s">
        <v>5215</v>
      </c>
      <c r="F294" s="79" t="s">
        <v>5944</v>
      </c>
      <c r="G294" s="45"/>
      <c r="H294" s="80">
        <v>0.06881</v>
      </c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</row>
    <row r="295">
      <c r="A295" s="79" t="s">
        <v>6549</v>
      </c>
      <c r="B295" s="45"/>
      <c r="C295" s="79" t="s">
        <v>6550</v>
      </c>
      <c r="D295" s="45"/>
      <c r="E295" s="79" t="s">
        <v>5296</v>
      </c>
      <c r="F295" s="79" t="s">
        <v>5970</v>
      </c>
      <c r="G295" s="45"/>
      <c r="H295" s="80">
        <v>0.06841</v>
      </c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</row>
    <row r="296">
      <c r="A296" s="79" t="s">
        <v>6551</v>
      </c>
      <c r="B296" s="45"/>
      <c r="C296" s="79" t="s">
        <v>6552</v>
      </c>
      <c r="D296" s="45"/>
      <c r="E296" s="79" t="s">
        <v>5961</v>
      </c>
      <c r="F296" s="79" t="s">
        <v>5924</v>
      </c>
      <c r="G296" s="45"/>
      <c r="H296" s="80">
        <v>0.06757</v>
      </c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</row>
    <row r="297">
      <c r="A297" s="79" t="s">
        <v>6553</v>
      </c>
      <c r="B297" s="45"/>
      <c r="C297" s="79" t="s">
        <v>6554</v>
      </c>
      <c r="D297" s="45"/>
      <c r="E297" s="79" t="s">
        <v>5309</v>
      </c>
      <c r="F297" s="79" t="s">
        <v>6555</v>
      </c>
      <c r="G297" s="45"/>
      <c r="H297" s="80">
        <v>0.06752</v>
      </c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</row>
    <row r="298">
      <c r="A298" s="79" t="s">
        <v>6556</v>
      </c>
      <c r="B298" s="45"/>
      <c r="C298" s="79" t="s">
        <v>6557</v>
      </c>
      <c r="D298" s="45"/>
      <c r="E298" s="79" t="s">
        <v>5276</v>
      </c>
      <c r="F298" s="79" t="s">
        <v>5927</v>
      </c>
      <c r="G298" s="45"/>
      <c r="H298" s="80">
        <v>0.06749</v>
      </c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</row>
    <row r="299">
      <c r="A299" s="79" t="s">
        <v>6558</v>
      </c>
      <c r="B299" s="45"/>
      <c r="C299" s="79" t="s">
        <v>6559</v>
      </c>
      <c r="D299" s="45"/>
      <c r="E299" s="79" t="s">
        <v>6040</v>
      </c>
      <c r="F299" s="79" t="s">
        <v>5986</v>
      </c>
      <c r="G299" s="45"/>
      <c r="H299" s="80">
        <v>0.06738</v>
      </c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</row>
    <row r="300">
      <c r="A300" s="79" t="s">
        <v>6560</v>
      </c>
      <c r="B300" s="45"/>
      <c r="C300" s="79" t="s">
        <v>6561</v>
      </c>
      <c r="D300" s="45"/>
      <c r="E300" s="79" t="s">
        <v>5215</v>
      </c>
      <c r="F300" s="79" t="s">
        <v>5967</v>
      </c>
      <c r="G300" s="45"/>
      <c r="H300" s="80">
        <v>0.06659</v>
      </c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</row>
    <row r="301">
      <c r="A301" s="79" t="s">
        <v>6562</v>
      </c>
      <c r="B301" s="45"/>
      <c r="C301" s="79" t="s">
        <v>6563</v>
      </c>
      <c r="D301" s="45"/>
      <c r="E301" s="79" t="s">
        <v>5218</v>
      </c>
      <c r="F301" s="79" t="s">
        <v>5927</v>
      </c>
      <c r="G301" s="45"/>
      <c r="H301" s="80">
        <v>0.0665</v>
      </c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</row>
    <row r="302">
      <c r="A302" s="79" t="s">
        <v>6564</v>
      </c>
      <c r="B302" s="45"/>
      <c r="C302" s="79" t="s">
        <v>6565</v>
      </c>
      <c r="D302" s="45"/>
      <c r="E302" s="79" t="s">
        <v>6009</v>
      </c>
      <c r="F302" s="79" t="s">
        <v>5936</v>
      </c>
      <c r="G302" s="45"/>
      <c r="H302" s="80">
        <v>0.06646</v>
      </c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</row>
    <row r="303">
      <c r="A303" s="79" t="s">
        <v>6566</v>
      </c>
      <c r="B303" s="45"/>
      <c r="C303" s="79" t="s">
        <v>6567</v>
      </c>
      <c r="D303" s="45"/>
      <c r="E303" s="79" t="s">
        <v>5961</v>
      </c>
      <c r="F303" s="79" t="s">
        <v>5924</v>
      </c>
      <c r="G303" s="45"/>
      <c r="H303" s="80">
        <v>0.06558</v>
      </c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</row>
    <row r="304">
      <c r="A304" s="79" t="s">
        <v>6568</v>
      </c>
      <c r="B304" s="45"/>
      <c r="C304" s="79" t="s">
        <v>6569</v>
      </c>
      <c r="D304" s="45"/>
      <c r="E304" s="79" t="s">
        <v>5456</v>
      </c>
      <c r="F304" s="79" t="s">
        <v>5927</v>
      </c>
      <c r="G304" s="45"/>
      <c r="H304" s="80">
        <v>0.06552</v>
      </c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</row>
    <row r="305">
      <c r="A305" s="79" t="s">
        <v>6570</v>
      </c>
      <c r="B305" s="45"/>
      <c r="C305" s="79" t="s">
        <v>6571</v>
      </c>
      <c r="D305" s="45"/>
      <c r="E305" s="79" t="s">
        <v>6040</v>
      </c>
      <c r="F305" s="79" t="s">
        <v>5936</v>
      </c>
      <c r="G305" s="45"/>
      <c r="H305" s="80">
        <v>0.06533</v>
      </c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</row>
    <row r="306">
      <c r="A306" s="79" t="s">
        <v>6572</v>
      </c>
      <c r="B306" s="45"/>
      <c r="C306" s="79" t="s">
        <v>6573</v>
      </c>
      <c r="D306" s="45"/>
      <c r="E306" s="79" t="s">
        <v>5249</v>
      </c>
      <c r="F306" s="79" t="s">
        <v>5986</v>
      </c>
      <c r="G306" s="45"/>
      <c r="H306" s="80">
        <v>0.0653</v>
      </c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</row>
    <row r="307">
      <c r="A307" s="79" t="s">
        <v>6574</v>
      </c>
      <c r="B307" s="45"/>
      <c r="C307" s="79" t="s">
        <v>6575</v>
      </c>
      <c r="D307" s="45"/>
      <c r="E307" s="79" t="s">
        <v>5235</v>
      </c>
      <c r="F307" s="79" t="s">
        <v>5967</v>
      </c>
      <c r="G307" s="45"/>
      <c r="H307" s="80">
        <v>0.06523</v>
      </c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</row>
    <row r="308">
      <c r="A308" s="79" t="s">
        <v>6576</v>
      </c>
      <c r="B308" s="45"/>
      <c r="C308" s="79" t="s">
        <v>6577</v>
      </c>
      <c r="D308" s="45"/>
      <c r="E308" s="79" t="s">
        <v>5434</v>
      </c>
      <c r="F308" s="79" t="s">
        <v>5967</v>
      </c>
      <c r="G308" s="45"/>
      <c r="H308" s="80">
        <v>0.06465</v>
      </c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</row>
    <row r="309">
      <c r="A309" s="79" t="s">
        <v>6578</v>
      </c>
      <c r="B309" s="45"/>
      <c r="C309" s="79" t="s">
        <v>6579</v>
      </c>
      <c r="D309" s="45"/>
      <c r="E309" s="79" t="s">
        <v>6338</v>
      </c>
      <c r="F309" s="79" t="s">
        <v>4424</v>
      </c>
      <c r="G309" s="45"/>
      <c r="H309" s="80">
        <v>0.06425</v>
      </c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</row>
    <row r="310">
      <c r="A310" s="79" t="s">
        <v>6580</v>
      </c>
      <c r="B310" s="45"/>
      <c r="C310" s="79" t="s">
        <v>6581</v>
      </c>
      <c r="D310" s="45"/>
      <c r="E310" s="79" t="s">
        <v>5271</v>
      </c>
      <c r="F310" s="79" t="s">
        <v>4340</v>
      </c>
      <c r="G310" s="45"/>
      <c r="H310" s="80">
        <v>0.06403</v>
      </c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</row>
    <row r="311">
      <c r="A311" s="79" t="s">
        <v>6582</v>
      </c>
      <c r="B311" s="45"/>
      <c r="C311" s="79" t="s">
        <v>6583</v>
      </c>
      <c r="D311" s="45"/>
      <c r="E311" s="79" t="s">
        <v>5215</v>
      </c>
      <c r="F311" s="79" t="s">
        <v>5983</v>
      </c>
      <c r="G311" s="45"/>
      <c r="H311" s="80">
        <v>0.06397</v>
      </c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</row>
    <row r="312">
      <c r="A312" s="79" t="s">
        <v>6584</v>
      </c>
      <c r="B312" s="45"/>
      <c r="C312" s="79" t="s">
        <v>6585</v>
      </c>
      <c r="D312" s="45"/>
      <c r="E312" s="79" t="s">
        <v>6040</v>
      </c>
      <c r="F312" s="79" t="s">
        <v>5986</v>
      </c>
      <c r="G312" s="45"/>
      <c r="H312" s="80">
        <v>0.06384</v>
      </c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</row>
    <row r="313">
      <c r="A313" s="79" t="s">
        <v>6586</v>
      </c>
      <c r="B313" s="45"/>
      <c r="C313" s="79" t="s">
        <v>6587</v>
      </c>
      <c r="D313" s="45"/>
      <c r="E313" s="79" t="s">
        <v>6514</v>
      </c>
      <c r="F313" s="79" t="s">
        <v>5927</v>
      </c>
      <c r="G313" s="45"/>
      <c r="H313" s="80">
        <v>0.06355</v>
      </c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</row>
    <row r="314">
      <c r="A314" s="79" t="s">
        <v>6588</v>
      </c>
      <c r="B314" s="45"/>
      <c r="C314" s="79" t="s">
        <v>6589</v>
      </c>
      <c r="D314" s="45"/>
      <c r="E314" s="79" t="s">
        <v>5229</v>
      </c>
      <c r="F314" s="79" t="s">
        <v>5944</v>
      </c>
      <c r="G314" s="45"/>
      <c r="H314" s="80">
        <v>0.0633</v>
      </c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</row>
    <row r="315">
      <c r="A315" s="79" t="s">
        <v>6590</v>
      </c>
      <c r="B315" s="45"/>
      <c r="C315" s="79" t="s">
        <v>6591</v>
      </c>
      <c r="D315" s="45"/>
      <c r="E315" s="79" t="s">
        <v>5357</v>
      </c>
      <c r="F315" s="79" t="s">
        <v>4340</v>
      </c>
      <c r="G315" s="45"/>
      <c r="H315" s="80">
        <v>0.06313</v>
      </c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</row>
    <row r="316">
      <c r="A316" s="79" t="s">
        <v>6592</v>
      </c>
      <c r="B316" s="45"/>
      <c r="C316" s="79" t="s">
        <v>6593</v>
      </c>
      <c r="D316" s="45"/>
      <c r="E316" s="79" t="s">
        <v>5448</v>
      </c>
      <c r="F316" s="79" t="s">
        <v>6137</v>
      </c>
      <c r="G316" s="45"/>
      <c r="H316" s="80">
        <v>0.06289</v>
      </c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</row>
    <row r="317">
      <c r="A317" s="79" t="s">
        <v>6594</v>
      </c>
      <c r="B317" s="45"/>
      <c r="C317" s="79" t="s">
        <v>6595</v>
      </c>
      <c r="D317" s="45"/>
      <c r="E317" s="79" t="s">
        <v>5215</v>
      </c>
      <c r="F317" s="79" t="s">
        <v>6596</v>
      </c>
      <c r="G317" s="45"/>
      <c r="H317" s="80">
        <v>0.06283</v>
      </c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</row>
    <row r="318">
      <c r="A318" s="79" t="s">
        <v>6597</v>
      </c>
      <c r="B318" s="45"/>
      <c r="C318" s="79" t="s">
        <v>6598</v>
      </c>
      <c r="D318" s="45"/>
      <c r="E318" s="79" t="s">
        <v>5650</v>
      </c>
      <c r="F318" s="79" t="s">
        <v>5924</v>
      </c>
      <c r="G318" s="45"/>
      <c r="H318" s="80">
        <v>0.06272</v>
      </c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</row>
    <row r="319">
      <c r="A319" s="79" t="s">
        <v>6599</v>
      </c>
      <c r="B319" s="45"/>
      <c r="C319" s="79" t="s">
        <v>6058</v>
      </c>
      <c r="D319" s="45"/>
      <c r="E319" s="79" t="s">
        <v>5215</v>
      </c>
      <c r="F319" s="79" t="s">
        <v>5944</v>
      </c>
      <c r="G319" s="45"/>
      <c r="H319" s="80">
        <v>0.0623</v>
      </c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</row>
    <row r="320">
      <c r="A320" s="79" t="s">
        <v>6600</v>
      </c>
      <c r="B320" s="45"/>
      <c r="C320" s="79" t="s">
        <v>6601</v>
      </c>
      <c r="D320" s="45"/>
      <c r="E320" s="79" t="s">
        <v>6238</v>
      </c>
      <c r="F320" s="79" t="s">
        <v>5944</v>
      </c>
      <c r="G320" s="45"/>
      <c r="H320" s="80">
        <v>0.06222</v>
      </c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</row>
    <row r="321">
      <c r="A321" s="79" t="s">
        <v>6602</v>
      </c>
      <c r="B321" s="45"/>
      <c r="C321" s="79" t="s">
        <v>6603</v>
      </c>
      <c r="D321" s="45"/>
      <c r="E321" s="79" t="s">
        <v>5756</v>
      </c>
      <c r="F321" s="79" t="s">
        <v>5944</v>
      </c>
      <c r="G321" s="45"/>
      <c r="H321" s="80">
        <v>0.06213</v>
      </c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</row>
    <row r="322">
      <c r="A322" s="79" t="s">
        <v>6604</v>
      </c>
      <c r="B322" s="45"/>
      <c r="C322" s="79" t="s">
        <v>6605</v>
      </c>
      <c r="D322" s="45"/>
      <c r="E322" s="79" t="s">
        <v>5271</v>
      </c>
      <c r="F322" s="79" t="s">
        <v>5970</v>
      </c>
      <c r="G322" s="45"/>
      <c r="H322" s="80">
        <v>0.0618</v>
      </c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</row>
    <row r="323">
      <c r="A323" s="79" t="s">
        <v>6606</v>
      </c>
      <c r="B323" s="45"/>
      <c r="C323" s="79" t="s">
        <v>6607</v>
      </c>
      <c r="D323" s="45"/>
      <c r="E323" s="79" t="s">
        <v>5215</v>
      </c>
      <c r="F323" s="79" t="s">
        <v>6050</v>
      </c>
      <c r="G323" s="45"/>
      <c r="H323" s="80">
        <v>0.06166</v>
      </c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</row>
    <row r="324">
      <c r="A324" s="79" t="s">
        <v>6608</v>
      </c>
      <c r="B324" s="45"/>
      <c r="C324" s="79" t="s">
        <v>6609</v>
      </c>
      <c r="D324" s="45"/>
      <c r="E324" s="79" t="s">
        <v>5390</v>
      </c>
      <c r="F324" s="79" t="s">
        <v>4340</v>
      </c>
      <c r="G324" s="45"/>
      <c r="H324" s="80">
        <v>0.06138</v>
      </c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</row>
    <row r="325">
      <c r="A325" s="79" t="s">
        <v>6610</v>
      </c>
      <c r="B325" s="45"/>
      <c r="C325" s="79" t="s">
        <v>6611</v>
      </c>
      <c r="D325" s="45"/>
      <c r="E325" s="79" t="s">
        <v>5961</v>
      </c>
      <c r="F325" s="79" t="s">
        <v>5924</v>
      </c>
      <c r="G325" s="45"/>
      <c r="H325" s="80">
        <v>0.06134</v>
      </c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</row>
    <row r="326">
      <c r="A326" s="79" t="s">
        <v>6612</v>
      </c>
      <c r="B326" s="45"/>
      <c r="C326" s="79" t="s">
        <v>6613</v>
      </c>
      <c r="D326" s="45"/>
      <c r="E326" s="79" t="s">
        <v>5316</v>
      </c>
      <c r="F326" s="79" t="s">
        <v>4424</v>
      </c>
      <c r="G326" s="45"/>
      <c r="H326" s="80">
        <v>0.06113</v>
      </c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</row>
    <row r="327">
      <c r="A327" s="79" t="s">
        <v>6614</v>
      </c>
      <c r="B327" s="45"/>
      <c r="C327" s="79" t="s">
        <v>6615</v>
      </c>
      <c r="D327" s="45"/>
      <c r="E327" s="79" t="s">
        <v>5232</v>
      </c>
      <c r="F327" s="79" t="s">
        <v>5970</v>
      </c>
      <c r="G327" s="45"/>
      <c r="H327" s="80">
        <v>0.06096</v>
      </c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</row>
    <row r="328">
      <c r="A328" s="79" t="s">
        <v>6616</v>
      </c>
      <c r="B328" s="45"/>
      <c r="C328" s="79" t="s">
        <v>6617</v>
      </c>
      <c r="D328" s="45"/>
      <c r="E328" s="79" t="s">
        <v>6238</v>
      </c>
      <c r="F328" s="79" t="s">
        <v>5936</v>
      </c>
      <c r="G328" s="45"/>
      <c r="H328" s="80">
        <v>0.06095</v>
      </c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</row>
    <row r="329">
      <c r="A329" s="79" t="s">
        <v>6618</v>
      </c>
      <c r="B329" s="45"/>
      <c r="C329" s="79" t="s">
        <v>6619</v>
      </c>
      <c r="D329" s="45"/>
      <c r="E329" s="79" t="s">
        <v>5478</v>
      </c>
      <c r="F329" s="79" t="s">
        <v>5927</v>
      </c>
      <c r="G329" s="45"/>
      <c r="H329" s="80">
        <v>0.06083</v>
      </c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</row>
    <row r="330">
      <c r="A330" s="79" t="s">
        <v>6620</v>
      </c>
      <c r="B330" s="45"/>
      <c r="C330" s="79" t="s">
        <v>6621</v>
      </c>
      <c r="D330" s="45"/>
      <c r="E330" s="79" t="s">
        <v>5235</v>
      </c>
      <c r="F330" s="79" t="s">
        <v>5970</v>
      </c>
      <c r="G330" s="45"/>
      <c r="H330" s="80">
        <v>0.06068</v>
      </c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</row>
    <row r="331">
      <c r="A331" s="79" t="s">
        <v>6622</v>
      </c>
      <c r="B331" s="45"/>
      <c r="C331" s="79" t="s">
        <v>6623</v>
      </c>
      <c r="D331" s="45"/>
      <c r="E331" s="79" t="s">
        <v>6191</v>
      </c>
      <c r="F331" s="79" t="s">
        <v>5936</v>
      </c>
      <c r="G331" s="45"/>
      <c r="H331" s="80">
        <v>0.06014</v>
      </c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</row>
    <row r="332">
      <c r="A332" s="79" t="s">
        <v>6624</v>
      </c>
      <c r="B332" s="45"/>
      <c r="C332" s="79" t="s">
        <v>6625</v>
      </c>
      <c r="D332" s="45"/>
      <c r="E332" s="79" t="s">
        <v>5462</v>
      </c>
      <c r="F332" s="79" t="s">
        <v>6217</v>
      </c>
      <c r="G332" s="45"/>
      <c r="H332" s="80">
        <v>0.06013</v>
      </c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</row>
    <row r="333">
      <c r="A333" s="79" t="s">
        <v>6626</v>
      </c>
      <c r="B333" s="45"/>
      <c r="C333" s="79" t="s">
        <v>6627</v>
      </c>
      <c r="D333" s="45"/>
      <c r="E333" s="79" t="s">
        <v>5326</v>
      </c>
      <c r="F333" s="79" t="s">
        <v>5936</v>
      </c>
      <c r="G333" s="45"/>
      <c r="H333" s="80">
        <v>0.06011</v>
      </c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</row>
    <row r="334">
      <c r="A334" s="79" t="s">
        <v>6628</v>
      </c>
      <c r="B334" s="45"/>
      <c r="C334" s="79" t="s">
        <v>6629</v>
      </c>
      <c r="D334" s="45"/>
      <c r="E334" s="79" t="s">
        <v>6630</v>
      </c>
      <c r="F334" s="79" t="s">
        <v>4424</v>
      </c>
      <c r="G334" s="45"/>
      <c r="H334" s="80">
        <v>0.06009</v>
      </c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</row>
    <row r="335">
      <c r="A335" s="79" t="s">
        <v>6631</v>
      </c>
      <c r="B335" s="45"/>
      <c r="C335" s="79" t="s">
        <v>6632</v>
      </c>
      <c r="D335" s="45"/>
      <c r="E335" s="79" t="s">
        <v>5756</v>
      </c>
      <c r="F335" s="79" t="s">
        <v>4340</v>
      </c>
      <c r="G335" s="45"/>
      <c r="H335" s="80">
        <v>0.06004</v>
      </c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</row>
    <row r="336">
      <c r="A336" s="79" t="s">
        <v>6633</v>
      </c>
      <c r="B336" s="45"/>
      <c r="C336" s="79" t="s">
        <v>6634</v>
      </c>
      <c r="D336" s="45"/>
      <c r="E336" s="79" t="s">
        <v>6389</v>
      </c>
      <c r="F336" s="79" t="s">
        <v>5970</v>
      </c>
      <c r="G336" s="45"/>
      <c r="H336" s="80">
        <v>0.05999</v>
      </c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</row>
    <row r="337">
      <c r="A337" s="79" t="s">
        <v>6635</v>
      </c>
      <c r="B337" s="45"/>
      <c r="C337" s="79" t="s">
        <v>6636</v>
      </c>
      <c r="D337" s="45"/>
      <c r="E337" s="79" t="s">
        <v>5215</v>
      </c>
      <c r="F337" s="79" t="s">
        <v>6050</v>
      </c>
      <c r="G337" s="45"/>
      <c r="H337" s="80">
        <v>0.05991</v>
      </c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</row>
    <row r="338">
      <c r="A338" s="79" t="s">
        <v>6637</v>
      </c>
      <c r="B338" s="45"/>
      <c r="C338" s="79" t="s">
        <v>6638</v>
      </c>
      <c r="D338" s="45"/>
      <c r="E338" s="79" t="s">
        <v>6130</v>
      </c>
      <c r="F338" s="79" t="s">
        <v>5927</v>
      </c>
      <c r="G338" s="45"/>
      <c r="H338" s="80">
        <v>0.05975</v>
      </c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</row>
    <row r="339">
      <c r="A339" s="79" t="s">
        <v>6639</v>
      </c>
      <c r="B339" s="45"/>
      <c r="C339" s="79" t="s">
        <v>6640</v>
      </c>
      <c r="D339" s="45"/>
      <c r="E339" s="79" t="s">
        <v>5232</v>
      </c>
      <c r="F339" s="79" t="s">
        <v>4204</v>
      </c>
      <c r="G339" s="45"/>
      <c r="H339" s="80">
        <v>0.05968</v>
      </c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</row>
    <row r="340">
      <c r="A340" s="79" t="s">
        <v>6641</v>
      </c>
      <c r="B340" s="45"/>
      <c r="C340" s="79" t="s">
        <v>6642</v>
      </c>
      <c r="D340" s="45"/>
      <c r="E340" s="79" t="s">
        <v>5354</v>
      </c>
      <c r="F340" s="79" t="s">
        <v>5936</v>
      </c>
      <c r="G340" s="45"/>
      <c r="H340" s="80">
        <v>0.05967</v>
      </c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</row>
    <row r="341">
      <c r="A341" s="79" t="s">
        <v>6643</v>
      </c>
      <c r="B341" s="45"/>
      <c r="C341" s="79" t="s">
        <v>6644</v>
      </c>
      <c r="D341" s="45"/>
      <c r="E341" s="79" t="s">
        <v>5374</v>
      </c>
      <c r="F341" s="79" t="s">
        <v>5967</v>
      </c>
      <c r="G341" s="45"/>
      <c r="H341" s="80">
        <v>0.05954</v>
      </c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</row>
    <row r="342">
      <c r="A342" s="79" t="s">
        <v>6645</v>
      </c>
      <c r="B342" s="45"/>
      <c r="C342" s="79" t="s">
        <v>6646</v>
      </c>
      <c r="D342" s="45"/>
      <c r="E342" s="79" t="s">
        <v>6475</v>
      </c>
      <c r="F342" s="79" t="s">
        <v>5936</v>
      </c>
      <c r="G342" s="45"/>
      <c r="H342" s="80">
        <v>0.05938</v>
      </c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</row>
    <row r="343">
      <c r="A343" s="79" t="s">
        <v>6647</v>
      </c>
      <c r="B343" s="45"/>
      <c r="C343" s="79" t="s">
        <v>6648</v>
      </c>
      <c r="D343" s="45"/>
      <c r="E343" s="79" t="s">
        <v>6191</v>
      </c>
      <c r="F343" s="79" t="s">
        <v>6220</v>
      </c>
      <c r="G343" s="45"/>
      <c r="H343" s="80">
        <v>0.05935</v>
      </c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</row>
    <row r="344">
      <c r="A344" s="79" t="s">
        <v>6649</v>
      </c>
      <c r="B344" s="45"/>
      <c r="C344" s="79" t="s">
        <v>6650</v>
      </c>
      <c r="D344" s="45"/>
      <c r="E344" s="79" t="s">
        <v>6389</v>
      </c>
      <c r="F344" s="79" t="s">
        <v>6596</v>
      </c>
      <c r="G344" s="45"/>
      <c r="H344" s="80">
        <v>0.05931</v>
      </c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</row>
    <row r="345">
      <c r="A345" s="79" t="s">
        <v>6651</v>
      </c>
      <c r="B345" s="45"/>
      <c r="C345" s="79" t="s">
        <v>6652</v>
      </c>
      <c r="D345" s="45"/>
      <c r="E345" s="79" t="s">
        <v>6389</v>
      </c>
      <c r="F345" s="79" t="s">
        <v>5936</v>
      </c>
      <c r="G345" s="45"/>
      <c r="H345" s="80">
        <v>0.05928</v>
      </c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</row>
    <row r="346">
      <c r="A346" s="79" t="s">
        <v>6653</v>
      </c>
      <c r="B346" s="45"/>
      <c r="C346" s="79" t="s">
        <v>6654</v>
      </c>
      <c r="D346" s="45"/>
      <c r="E346" s="79" t="s">
        <v>6191</v>
      </c>
      <c r="F346" s="79" t="s">
        <v>6204</v>
      </c>
      <c r="G346" s="45"/>
      <c r="H346" s="80">
        <v>0.05899</v>
      </c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</row>
    <row r="347">
      <c r="A347" s="79" t="s">
        <v>6655</v>
      </c>
      <c r="B347" s="45"/>
      <c r="C347" s="79" t="s">
        <v>6656</v>
      </c>
      <c r="D347" s="45"/>
      <c r="E347" s="79" t="s">
        <v>5218</v>
      </c>
      <c r="F347" s="79" t="s">
        <v>5970</v>
      </c>
      <c r="G347" s="45"/>
      <c r="H347" s="80">
        <v>0.05877</v>
      </c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</row>
    <row r="348">
      <c r="A348" s="79" t="s">
        <v>6657</v>
      </c>
      <c r="B348" s="45"/>
      <c r="C348" s="79" t="s">
        <v>6658</v>
      </c>
      <c r="D348" s="45"/>
      <c r="E348" s="79" t="s">
        <v>5682</v>
      </c>
      <c r="F348" s="79" t="s">
        <v>5944</v>
      </c>
      <c r="G348" s="45"/>
      <c r="H348" s="80">
        <v>0.05872</v>
      </c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</row>
    <row r="349">
      <c r="A349" s="79" t="s">
        <v>6659</v>
      </c>
      <c r="B349" s="45"/>
      <c r="C349" s="79" t="s">
        <v>6660</v>
      </c>
      <c r="D349" s="45"/>
      <c r="E349" s="79" t="s">
        <v>5309</v>
      </c>
      <c r="F349" s="79" t="s">
        <v>5936</v>
      </c>
      <c r="G349" s="45"/>
      <c r="H349" s="80">
        <v>0.05872</v>
      </c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</row>
    <row r="350">
      <c r="A350" s="79" t="s">
        <v>6661</v>
      </c>
      <c r="B350" s="45"/>
      <c r="C350" s="79" t="s">
        <v>6662</v>
      </c>
      <c r="D350" s="45"/>
      <c r="E350" s="79" t="s">
        <v>6012</v>
      </c>
      <c r="F350" s="79" t="s">
        <v>6137</v>
      </c>
      <c r="G350" s="45"/>
      <c r="H350" s="80">
        <v>0.05863</v>
      </c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</row>
    <row r="351">
      <c r="A351" s="79" t="s">
        <v>6663</v>
      </c>
      <c r="B351" s="45"/>
      <c r="C351" s="79" t="s">
        <v>6664</v>
      </c>
      <c r="D351" s="45"/>
      <c r="E351" s="79" t="s">
        <v>5357</v>
      </c>
      <c r="F351" s="79" t="s">
        <v>4424</v>
      </c>
      <c r="G351" s="45"/>
      <c r="H351" s="80">
        <v>0.05846</v>
      </c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</row>
    <row r="352">
      <c r="A352" s="79" t="s">
        <v>6665</v>
      </c>
      <c r="B352" s="45"/>
      <c r="C352" s="79" t="s">
        <v>6666</v>
      </c>
      <c r="D352" s="45"/>
      <c r="E352" s="79" t="s">
        <v>5215</v>
      </c>
      <c r="F352" s="79" t="s">
        <v>4490</v>
      </c>
      <c r="G352" s="45"/>
      <c r="H352" s="80">
        <v>0.05839</v>
      </c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</row>
    <row r="353">
      <c r="A353" s="79" t="s">
        <v>6667</v>
      </c>
      <c r="B353" s="45"/>
      <c r="C353" s="79" t="s">
        <v>6668</v>
      </c>
      <c r="D353" s="45"/>
      <c r="E353" s="79" t="s">
        <v>6475</v>
      </c>
      <c r="F353" s="79" t="s">
        <v>5936</v>
      </c>
      <c r="G353" s="45"/>
      <c r="H353" s="80">
        <v>0.05836</v>
      </c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</row>
    <row r="354">
      <c r="A354" s="79" t="s">
        <v>6669</v>
      </c>
      <c r="B354" s="45"/>
      <c r="C354" s="79" t="s">
        <v>5977</v>
      </c>
      <c r="D354" s="45"/>
      <c r="E354" s="79" t="s">
        <v>5978</v>
      </c>
      <c r="F354" s="79" t="s">
        <v>5944</v>
      </c>
      <c r="G354" s="45"/>
      <c r="H354" s="80">
        <v>0.05836</v>
      </c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</row>
    <row r="355">
      <c r="A355" s="79" t="s">
        <v>6670</v>
      </c>
      <c r="B355" s="45"/>
      <c r="C355" s="79" t="s">
        <v>6671</v>
      </c>
      <c r="D355" s="45"/>
      <c r="E355" s="79" t="s">
        <v>5811</v>
      </c>
      <c r="F355" s="79" t="s">
        <v>5924</v>
      </c>
      <c r="G355" s="45"/>
      <c r="H355" s="80">
        <v>0.0583</v>
      </c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</row>
    <row r="356">
      <c r="A356" s="79" t="s">
        <v>6672</v>
      </c>
      <c r="B356" s="45"/>
      <c r="C356" s="79" t="s">
        <v>6673</v>
      </c>
      <c r="D356" s="45"/>
      <c r="E356" s="79" t="s">
        <v>5855</v>
      </c>
      <c r="F356" s="79" t="s">
        <v>5936</v>
      </c>
      <c r="G356" s="45"/>
      <c r="H356" s="80">
        <v>0.05829</v>
      </c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</row>
    <row r="357">
      <c r="A357" s="79" t="s">
        <v>6674</v>
      </c>
      <c r="B357" s="45"/>
      <c r="C357" s="79" t="s">
        <v>6675</v>
      </c>
      <c r="D357" s="45"/>
      <c r="E357" s="79" t="s">
        <v>6266</v>
      </c>
      <c r="F357" s="79" t="s">
        <v>5936</v>
      </c>
      <c r="G357" s="45"/>
      <c r="H357" s="80">
        <v>0.05793</v>
      </c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</row>
    <row r="358">
      <c r="A358" s="79" t="s">
        <v>6676</v>
      </c>
      <c r="B358" s="45"/>
      <c r="C358" s="79" t="s">
        <v>6677</v>
      </c>
      <c r="D358" s="45"/>
      <c r="E358" s="79" t="s">
        <v>5215</v>
      </c>
      <c r="F358" s="79" t="s">
        <v>5944</v>
      </c>
      <c r="G358" s="45"/>
      <c r="H358" s="80">
        <v>0.05782</v>
      </c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</row>
    <row r="359">
      <c r="A359" s="79" t="s">
        <v>6678</v>
      </c>
      <c r="B359" s="45"/>
      <c r="C359" s="79" t="s">
        <v>6679</v>
      </c>
      <c r="D359" s="45"/>
      <c r="E359" s="79" t="s">
        <v>5811</v>
      </c>
      <c r="F359" s="79" t="s">
        <v>5924</v>
      </c>
      <c r="G359" s="45"/>
      <c r="H359" s="80">
        <v>0.0577</v>
      </c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</row>
    <row r="360">
      <c r="A360" s="79" t="s">
        <v>6680</v>
      </c>
      <c r="B360" s="45"/>
      <c r="C360" s="79" t="s">
        <v>6681</v>
      </c>
      <c r="D360" s="45"/>
      <c r="E360" s="79" t="s">
        <v>6475</v>
      </c>
      <c r="F360" s="79" t="s">
        <v>5936</v>
      </c>
      <c r="G360" s="45"/>
      <c r="H360" s="80">
        <v>0.05754</v>
      </c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</row>
    <row r="361">
      <c r="A361" s="79" t="s">
        <v>6682</v>
      </c>
      <c r="B361" s="45"/>
      <c r="C361" s="79" t="s">
        <v>6683</v>
      </c>
      <c r="D361" s="45"/>
      <c r="E361" s="79" t="s">
        <v>6389</v>
      </c>
      <c r="F361" s="79" t="s">
        <v>5986</v>
      </c>
      <c r="G361" s="45"/>
      <c r="H361" s="80">
        <v>0.05751</v>
      </c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</row>
    <row r="362">
      <c r="A362" s="79" t="s">
        <v>6684</v>
      </c>
      <c r="B362" s="45"/>
      <c r="C362" s="79" t="s">
        <v>6685</v>
      </c>
      <c r="D362" s="45"/>
      <c r="E362" s="79" t="s">
        <v>5704</v>
      </c>
      <c r="F362" s="79" t="s">
        <v>5944</v>
      </c>
      <c r="G362" s="45"/>
      <c r="H362" s="80">
        <v>0.05745</v>
      </c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</row>
    <row r="363">
      <c r="A363" s="79" t="s">
        <v>6686</v>
      </c>
      <c r="B363" s="45"/>
      <c r="C363" s="79" t="s">
        <v>6687</v>
      </c>
      <c r="D363" s="45"/>
      <c r="E363" s="79" t="s">
        <v>6191</v>
      </c>
      <c r="F363" s="79" t="s">
        <v>4340</v>
      </c>
      <c r="G363" s="45"/>
      <c r="H363" s="80">
        <v>0.05725</v>
      </c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</row>
    <row r="364">
      <c r="A364" s="79" t="s">
        <v>6688</v>
      </c>
      <c r="B364" s="45"/>
      <c r="C364" s="79" t="s">
        <v>6689</v>
      </c>
      <c r="D364" s="45"/>
      <c r="E364" s="79" t="s">
        <v>5276</v>
      </c>
      <c r="F364" s="79" t="s">
        <v>5927</v>
      </c>
      <c r="G364" s="45"/>
      <c r="H364" s="80">
        <v>0.05698</v>
      </c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</row>
    <row r="365">
      <c r="A365" s="79" t="s">
        <v>6690</v>
      </c>
      <c r="B365" s="45"/>
      <c r="C365" s="79" t="s">
        <v>6691</v>
      </c>
      <c r="D365" s="45"/>
      <c r="E365" s="79" t="s">
        <v>5215</v>
      </c>
      <c r="F365" s="79" t="s">
        <v>4204</v>
      </c>
      <c r="G365" s="45"/>
      <c r="H365" s="80">
        <v>0.05695</v>
      </c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</row>
    <row r="366">
      <c r="A366" s="79" t="s">
        <v>6692</v>
      </c>
      <c r="B366" s="45"/>
      <c r="C366" s="79" t="s">
        <v>6693</v>
      </c>
      <c r="D366" s="45"/>
      <c r="E366" s="79" t="s">
        <v>5261</v>
      </c>
      <c r="F366" s="79" t="s">
        <v>5936</v>
      </c>
      <c r="G366" s="45"/>
      <c r="H366" s="80">
        <v>0.05692</v>
      </c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</row>
    <row r="367">
      <c r="A367" s="79" t="s">
        <v>6694</v>
      </c>
      <c r="B367" s="45"/>
      <c r="C367" s="79" t="s">
        <v>6695</v>
      </c>
      <c r="D367" s="45"/>
      <c r="E367" s="79" t="s">
        <v>5271</v>
      </c>
      <c r="F367" s="79" t="s">
        <v>5924</v>
      </c>
      <c r="G367" s="45"/>
      <c r="H367" s="80">
        <v>0.05691</v>
      </c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</row>
    <row r="368">
      <c r="A368" s="79" t="s">
        <v>6696</v>
      </c>
      <c r="B368" s="45"/>
      <c r="C368" s="79" t="s">
        <v>6697</v>
      </c>
      <c r="D368" s="45"/>
      <c r="E368" s="79" t="s">
        <v>5759</v>
      </c>
      <c r="F368" s="79" t="s">
        <v>6698</v>
      </c>
      <c r="G368" s="45"/>
      <c r="H368" s="80">
        <v>0.05682</v>
      </c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</row>
    <row r="369">
      <c r="A369" s="79" t="s">
        <v>6699</v>
      </c>
      <c r="B369" s="45"/>
      <c r="C369" s="79" t="s">
        <v>6700</v>
      </c>
      <c r="D369" s="45"/>
      <c r="E369" s="79" t="s">
        <v>5624</v>
      </c>
      <c r="F369" s="79" t="s">
        <v>4340</v>
      </c>
      <c r="G369" s="45"/>
      <c r="H369" s="80">
        <v>0.05664</v>
      </c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</row>
    <row r="370">
      <c r="A370" s="79" t="s">
        <v>6701</v>
      </c>
      <c r="B370" s="45"/>
      <c r="C370" s="79" t="s">
        <v>6702</v>
      </c>
      <c r="D370" s="45"/>
      <c r="E370" s="79" t="s">
        <v>5561</v>
      </c>
      <c r="F370" s="79" t="s">
        <v>6204</v>
      </c>
      <c r="G370" s="45"/>
      <c r="H370" s="80">
        <v>0.05658</v>
      </c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</row>
    <row r="371">
      <c r="A371" s="79" t="s">
        <v>6703</v>
      </c>
      <c r="B371" s="45"/>
      <c r="C371" s="79" t="s">
        <v>6704</v>
      </c>
      <c r="D371" s="45"/>
      <c r="E371" s="79" t="s">
        <v>5756</v>
      </c>
      <c r="F371" s="79" t="s">
        <v>4340</v>
      </c>
      <c r="G371" s="45"/>
      <c r="H371" s="80">
        <v>0.05618</v>
      </c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</row>
    <row r="372">
      <c r="A372" s="79" t="s">
        <v>6705</v>
      </c>
      <c r="B372" s="45"/>
      <c r="C372" s="79" t="s">
        <v>6706</v>
      </c>
      <c r="D372" s="45"/>
      <c r="E372" s="79" t="s">
        <v>5366</v>
      </c>
      <c r="F372" s="79" t="s">
        <v>5936</v>
      </c>
      <c r="G372" s="45"/>
      <c r="H372" s="80">
        <v>0.05615</v>
      </c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</row>
    <row r="373">
      <c r="A373" s="79" t="s">
        <v>6707</v>
      </c>
      <c r="B373" s="45"/>
      <c r="C373" s="79" t="s">
        <v>6708</v>
      </c>
      <c r="D373" s="45"/>
      <c r="E373" s="79" t="s">
        <v>6115</v>
      </c>
      <c r="F373" s="79" t="s">
        <v>6217</v>
      </c>
      <c r="G373" s="45"/>
      <c r="H373" s="80">
        <v>0.05608</v>
      </c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</row>
    <row r="374">
      <c r="A374" s="79" t="s">
        <v>6709</v>
      </c>
      <c r="B374" s="45"/>
      <c r="C374" s="79" t="s">
        <v>6710</v>
      </c>
      <c r="D374" s="45"/>
      <c r="E374" s="79" t="s">
        <v>5218</v>
      </c>
      <c r="F374" s="79" t="s">
        <v>6303</v>
      </c>
      <c r="G374" s="45"/>
      <c r="H374" s="80">
        <v>0.05601</v>
      </c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</row>
    <row r="375">
      <c r="A375" s="79" t="s">
        <v>6711</v>
      </c>
      <c r="B375" s="45"/>
      <c r="C375" s="79" t="s">
        <v>6712</v>
      </c>
      <c r="D375" s="45"/>
      <c r="E375" s="79" t="s">
        <v>6191</v>
      </c>
      <c r="F375" s="79" t="s">
        <v>5967</v>
      </c>
      <c r="G375" s="45"/>
      <c r="H375" s="80">
        <v>0.05567</v>
      </c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</row>
    <row r="376">
      <c r="A376" s="79" t="s">
        <v>6713</v>
      </c>
      <c r="B376" s="45"/>
      <c r="C376" s="79" t="s">
        <v>6714</v>
      </c>
      <c r="D376" s="45"/>
      <c r="E376" s="79" t="s">
        <v>6327</v>
      </c>
      <c r="F376" s="79" t="s">
        <v>4424</v>
      </c>
      <c r="G376" s="45"/>
      <c r="H376" s="80">
        <v>0.05564</v>
      </c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</row>
    <row r="377">
      <c r="A377" s="79" t="s">
        <v>6715</v>
      </c>
      <c r="B377" s="45"/>
      <c r="C377" s="79" t="s">
        <v>6716</v>
      </c>
      <c r="D377" s="45"/>
      <c r="E377" s="79" t="s">
        <v>5478</v>
      </c>
      <c r="F377" s="79" t="s">
        <v>5944</v>
      </c>
      <c r="G377" s="45"/>
      <c r="H377" s="80">
        <v>0.05552</v>
      </c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</row>
    <row r="378">
      <c r="A378" s="79" t="s">
        <v>6717</v>
      </c>
      <c r="B378" s="45"/>
      <c r="C378" s="79" t="s">
        <v>6718</v>
      </c>
      <c r="D378" s="45"/>
      <c r="E378" s="79" t="s">
        <v>5964</v>
      </c>
      <c r="F378" s="79" t="s">
        <v>4340</v>
      </c>
      <c r="G378" s="45"/>
      <c r="H378" s="80">
        <v>0.05546</v>
      </c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</row>
    <row r="379">
      <c r="A379" s="79" t="s">
        <v>6719</v>
      </c>
      <c r="B379" s="45"/>
      <c r="C379" s="79" t="s">
        <v>6720</v>
      </c>
      <c r="D379" s="45"/>
      <c r="E379" s="79" t="s">
        <v>5261</v>
      </c>
      <c r="F379" s="79" t="s">
        <v>4340</v>
      </c>
      <c r="G379" s="45"/>
      <c r="H379" s="80">
        <v>0.05536</v>
      </c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</row>
    <row r="380">
      <c r="A380" s="79" t="s">
        <v>6721</v>
      </c>
      <c r="B380" s="45"/>
      <c r="C380" s="79" t="s">
        <v>6722</v>
      </c>
      <c r="D380" s="45"/>
      <c r="E380" s="79" t="s">
        <v>5316</v>
      </c>
      <c r="F380" s="79" t="s">
        <v>6204</v>
      </c>
      <c r="G380" s="45"/>
      <c r="H380" s="80">
        <v>0.05528</v>
      </c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</row>
    <row r="381">
      <c r="A381" s="79" t="s">
        <v>6723</v>
      </c>
      <c r="B381" s="45"/>
      <c r="C381" s="79" t="s">
        <v>6724</v>
      </c>
      <c r="D381" s="45"/>
      <c r="E381" s="79" t="s">
        <v>5326</v>
      </c>
      <c r="F381" s="79" t="s">
        <v>5936</v>
      </c>
      <c r="G381" s="45"/>
      <c r="H381" s="80">
        <v>0.05527</v>
      </c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</row>
    <row r="382">
      <c r="A382" s="79" t="s">
        <v>6725</v>
      </c>
      <c r="B382" s="45"/>
      <c r="C382" s="79" t="s">
        <v>6726</v>
      </c>
      <c r="D382" s="45"/>
      <c r="E382" s="79" t="s">
        <v>5241</v>
      </c>
      <c r="F382" s="79" t="s">
        <v>4204</v>
      </c>
      <c r="G382" s="45"/>
      <c r="H382" s="80">
        <v>0.05519</v>
      </c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</row>
    <row r="383">
      <c r="A383" s="79" t="s">
        <v>6727</v>
      </c>
      <c r="B383" s="45"/>
      <c r="C383" s="79" t="s">
        <v>6728</v>
      </c>
      <c r="D383" s="45"/>
      <c r="E383" s="79" t="s">
        <v>6729</v>
      </c>
      <c r="F383" s="79" t="s">
        <v>5936</v>
      </c>
      <c r="G383" s="45"/>
      <c r="H383" s="80">
        <v>0.05517</v>
      </c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</row>
    <row r="384">
      <c r="A384" s="79" t="s">
        <v>6730</v>
      </c>
      <c r="B384" s="45"/>
      <c r="C384" s="79" t="s">
        <v>6731</v>
      </c>
      <c r="D384" s="45"/>
      <c r="E384" s="79" t="s">
        <v>5516</v>
      </c>
      <c r="F384" s="79" t="s">
        <v>4424</v>
      </c>
      <c r="G384" s="45"/>
      <c r="H384" s="80">
        <v>0.05501</v>
      </c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</row>
    <row r="385">
      <c r="A385" s="79" t="s">
        <v>6732</v>
      </c>
      <c r="B385" s="45"/>
      <c r="C385" s="79" t="s">
        <v>6733</v>
      </c>
      <c r="D385" s="45"/>
      <c r="E385" s="79" t="s">
        <v>5238</v>
      </c>
      <c r="F385" s="79" t="s">
        <v>4424</v>
      </c>
      <c r="G385" s="45"/>
      <c r="H385" s="80">
        <v>0.05446</v>
      </c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</row>
    <row r="386">
      <c r="A386" s="79" t="s">
        <v>6734</v>
      </c>
      <c r="B386" s="45"/>
      <c r="C386" s="79" t="s">
        <v>6735</v>
      </c>
      <c r="D386" s="45"/>
      <c r="E386" s="79" t="s">
        <v>5232</v>
      </c>
      <c r="F386" s="79" t="s">
        <v>5936</v>
      </c>
      <c r="G386" s="45"/>
      <c r="H386" s="80">
        <v>0.0543</v>
      </c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</row>
    <row r="387">
      <c r="A387" s="79" t="s">
        <v>6736</v>
      </c>
      <c r="B387" s="45"/>
      <c r="C387" s="79" t="s">
        <v>6737</v>
      </c>
      <c r="D387" s="45"/>
      <c r="E387" s="79" t="s">
        <v>5215</v>
      </c>
      <c r="F387" s="79" t="s">
        <v>6596</v>
      </c>
      <c r="G387" s="45"/>
      <c r="H387" s="80">
        <v>0.05421</v>
      </c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</row>
    <row r="388">
      <c r="A388" s="79" t="s">
        <v>6738</v>
      </c>
      <c r="B388" s="45"/>
      <c r="C388" s="79" t="s">
        <v>6739</v>
      </c>
      <c r="D388" s="45"/>
      <c r="E388" s="79" t="s">
        <v>5401</v>
      </c>
      <c r="F388" s="79" t="s">
        <v>5927</v>
      </c>
      <c r="G388" s="45"/>
      <c r="H388" s="80">
        <v>0.05415</v>
      </c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</row>
    <row r="389">
      <c r="A389" s="79" t="s">
        <v>6740</v>
      </c>
      <c r="B389" s="45"/>
      <c r="C389" s="79" t="s">
        <v>6741</v>
      </c>
      <c r="D389" s="45"/>
      <c r="E389" s="79" t="s">
        <v>5215</v>
      </c>
      <c r="F389" s="79" t="s">
        <v>6596</v>
      </c>
      <c r="G389" s="45"/>
      <c r="H389" s="80">
        <v>0.05408</v>
      </c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</row>
    <row r="390">
      <c r="A390" s="79" t="s">
        <v>6742</v>
      </c>
      <c r="B390" s="45"/>
      <c r="C390" s="79" t="s">
        <v>6743</v>
      </c>
      <c r="D390" s="45"/>
      <c r="E390" s="79" t="s">
        <v>5357</v>
      </c>
      <c r="F390" s="79" t="s">
        <v>6555</v>
      </c>
      <c r="G390" s="45"/>
      <c r="H390" s="80">
        <v>0.05404</v>
      </c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</row>
    <row r="391">
      <c r="A391" s="79" t="s">
        <v>6744</v>
      </c>
      <c r="B391" s="45"/>
      <c r="C391" s="79" t="s">
        <v>6745</v>
      </c>
      <c r="D391" s="45"/>
      <c r="E391" s="79" t="s">
        <v>5215</v>
      </c>
      <c r="F391" s="79" t="s">
        <v>6047</v>
      </c>
      <c r="G391" s="45"/>
      <c r="H391" s="80">
        <v>0.05373</v>
      </c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</row>
    <row r="392">
      <c r="A392" s="79" t="s">
        <v>6746</v>
      </c>
      <c r="B392" s="45"/>
      <c r="C392" s="79" t="s">
        <v>6747</v>
      </c>
      <c r="D392" s="45"/>
      <c r="E392" s="79" t="s">
        <v>5961</v>
      </c>
      <c r="F392" s="79" t="s">
        <v>5924</v>
      </c>
      <c r="G392" s="45"/>
      <c r="H392" s="80">
        <v>0.0537</v>
      </c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</row>
    <row r="393">
      <c r="A393" s="79" t="s">
        <v>6748</v>
      </c>
      <c r="B393" s="45"/>
      <c r="C393" s="79" t="s">
        <v>6749</v>
      </c>
      <c r="D393" s="45"/>
      <c r="E393" s="79" t="s">
        <v>5229</v>
      </c>
      <c r="F393" s="79" t="s">
        <v>5944</v>
      </c>
      <c r="G393" s="45"/>
      <c r="H393" s="80">
        <v>0.05348</v>
      </c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</row>
    <row r="394">
      <c r="A394" s="79" t="s">
        <v>6750</v>
      </c>
      <c r="B394" s="45"/>
      <c r="C394" s="79" t="s">
        <v>6751</v>
      </c>
      <c r="D394" s="45"/>
      <c r="E394" s="79" t="s">
        <v>5309</v>
      </c>
      <c r="F394" s="79" t="s">
        <v>4340</v>
      </c>
      <c r="G394" s="45"/>
      <c r="H394" s="80">
        <v>0.05333</v>
      </c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</row>
    <row r="395">
      <c r="A395" s="79" t="s">
        <v>6752</v>
      </c>
      <c r="B395" s="45"/>
      <c r="C395" s="79" t="s">
        <v>6753</v>
      </c>
      <c r="D395" s="45"/>
      <c r="E395" s="79" t="s">
        <v>5235</v>
      </c>
      <c r="F395" s="79" t="s">
        <v>4424</v>
      </c>
      <c r="G395" s="45"/>
      <c r="H395" s="80">
        <v>0.05315</v>
      </c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</row>
    <row r="396">
      <c r="A396" s="79" t="s">
        <v>6754</v>
      </c>
      <c r="B396" s="45"/>
      <c r="C396" s="79" t="s">
        <v>6755</v>
      </c>
      <c r="D396" s="45"/>
      <c r="E396" s="79" t="s">
        <v>5561</v>
      </c>
      <c r="F396" s="79" t="s">
        <v>5936</v>
      </c>
      <c r="G396" s="45"/>
      <c r="H396" s="80">
        <v>0.05303</v>
      </c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</row>
    <row r="397">
      <c r="A397" s="79" t="s">
        <v>6756</v>
      </c>
      <c r="B397" s="45"/>
      <c r="C397" s="79" t="s">
        <v>6757</v>
      </c>
      <c r="D397" s="45"/>
      <c r="E397" s="79" t="s">
        <v>5704</v>
      </c>
      <c r="F397" s="79" t="s">
        <v>5970</v>
      </c>
      <c r="G397" s="45"/>
      <c r="H397" s="80">
        <v>0.05289</v>
      </c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</row>
    <row r="398">
      <c r="A398" s="79" t="s">
        <v>4270</v>
      </c>
      <c r="B398" s="45"/>
      <c r="C398" s="79" t="s">
        <v>6758</v>
      </c>
      <c r="D398" s="45"/>
      <c r="E398" s="79" t="s">
        <v>6759</v>
      </c>
      <c r="F398" s="79" t="s">
        <v>5936</v>
      </c>
      <c r="G398" s="45"/>
      <c r="H398" s="80">
        <v>0.05259</v>
      </c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</row>
    <row r="399">
      <c r="A399" s="79" t="s">
        <v>6760</v>
      </c>
      <c r="B399" s="45"/>
      <c r="C399" s="79" t="s">
        <v>6761</v>
      </c>
      <c r="D399" s="45"/>
      <c r="E399" s="79" t="s">
        <v>5235</v>
      </c>
      <c r="F399" s="79" t="s">
        <v>6027</v>
      </c>
      <c r="G399" s="45"/>
      <c r="H399" s="80">
        <v>0.05257</v>
      </c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</row>
    <row r="400">
      <c r="A400" s="79" t="s">
        <v>6762</v>
      </c>
      <c r="B400" s="45"/>
      <c r="C400" s="79" t="s">
        <v>6763</v>
      </c>
      <c r="D400" s="45"/>
      <c r="E400" s="79" t="s">
        <v>5989</v>
      </c>
      <c r="F400" s="79" t="s">
        <v>6555</v>
      </c>
      <c r="G400" s="45"/>
      <c r="H400" s="80">
        <v>0.05247</v>
      </c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</row>
    <row r="401">
      <c r="A401" s="79" t="s">
        <v>6764</v>
      </c>
      <c r="B401" s="45"/>
      <c r="C401" s="79" t="s">
        <v>6765</v>
      </c>
      <c r="D401" s="45"/>
      <c r="E401" s="79" t="s">
        <v>5650</v>
      </c>
      <c r="F401" s="79" t="s">
        <v>5924</v>
      </c>
      <c r="G401" s="45"/>
      <c r="H401" s="80">
        <v>0.05218</v>
      </c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</row>
    <row r="402">
      <c r="A402" s="79" t="s">
        <v>6766</v>
      </c>
      <c r="B402" s="45"/>
      <c r="C402" s="79" t="s">
        <v>6767</v>
      </c>
      <c r="D402" s="45"/>
      <c r="E402" s="79" t="s">
        <v>5525</v>
      </c>
      <c r="F402" s="79" t="s">
        <v>5936</v>
      </c>
      <c r="G402" s="45"/>
      <c r="H402" s="80">
        <v>0.05184</v>
      </c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</row>
    <row r="403">
      <c r="A403" s="79" t="s">
        <v>6768</v>
      </c>
      <c r="B403" s="45"/>
      <c r="C403" s="79" t="s">
        <v>6769</v>
      </c>
      <c r="D403" s="45"/>
      <c r="E403" s="79" t="s">
        <v>6238</v>
      </c>
      <c r="F403" s="79" t="s">
        <v>4424</v>
      </c>
      <c r="G403" s="45"/>
      <c r="H403" s="80">
        <v>0.0518</v>
      </c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</row>
    <row r="404">
      <c r="A404" s="79" t="s">
        <v>6770</v>
      </c>
      <c r="B404" s="45"/>
      <c r="C404" s="79" t="s">
        <v>6771</v>
      </c>
      <c r="D404" s="45"/>
      <c r="E404" s="79" t="s">
        <v>6009</v>
      </c>
      <c r="F404" s="79" t="s">
        <v>5986</v>
      </c>
      <c r="G404" s="45"/>
      <c r="H404" s="80">
        <v>0.05167</v>
      </c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</row>
    <row r="405">
      <c r="A405" s="79" t="s">
        <v>6772</v>
      </c>
      <c r="B405" s="45"/>
      <c r="C405" s="79" t="s">
        <v>6773</v>
      </c>
      <c r="D405" s="45"/>
      <c r="E405" s="79" t="s">
        <v>5238</v>
      </c>
      <c r="F405" s="79" t="s">
        <v>6555</v>
      </c>
      <c r="G405" s="45"/>
      <c r="H405" s="80">
        <v>0.05161</v>
      </c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</row>
    <row r="406">
      <c r="A406" s="79" t="s">
        <v>6774</v>
      </c>
      <c r="B406" s="45"/>
      <c r="C406" s="79" t="s">
        <v>6775</v>
      </c>
      <c r="D406" s="45"/>
      <c r="E406" s="79" t="s">
        <v>5326</v>
      </c>
      <c r="F406" s="79" t="s">
        <v>5927</v>
      </c>
      <c r="G406" s="45"/>
      <c r="H406" s="80">
        <v>0.0513</v>
      </c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</row>
    <row r="407">
      <c r="A407" s="79" t="s">
        <v>6776</v>
      </c>
      <c r="B407" s="45"/>
      <c r="C407" s="79" t="s">
        <v>6777</v>
      </c>
      <c r="D407" s="45"/>
      <c r="E407" s="79" t="s">
        <v>5961</v>
      </c>
      <c r="F407" s="79" t="s">
        <v>5924</v>
      </c>
      <c r="G407" s="45"/>
      <c r="H407" s="80">
        <v>0.05128</v>
      </c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</row>
    <row r="408">
      <c r="A408" s="79" t="s">
        <v>6778</v>
      </c>
      <c r="B408" s="45"/>
      <c r="C408" s="79" t="s">
        <v>6779</v>
      </c>
      <c r="D408" s="45"/>
      <c r="E408" s="79" t="s">
        <v>5650</v>
      </c>
      <c r="F408" s="79" t="s">
        <v>5924</v>
      </c>
      <c r="G408" s="45"/>
      <c r="H408" s="80">
        <v>0.05126</v>
      </c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</row>
    <row r="409">
      <c r="A409" s="79" t="s">
        <v>6780</v>
      </c>
      <c r="B409" s="45"/>
      <c r="C409" s="79" t="s">
        <v>6781</v>
      </c>
      <c r="D409" s="45"/>
      <c r="E409" s="79" t="s">
        <v>5404</v>
      </c>
      <c r="F409" s="79" t="s">
        <v>4340</v>
      </c>
      <c r="G409" s="45"/>
      <c r="H409" s="80">
        <v>0.05119</v>
      </c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</row>
    <row r="410">
      <c r="A410" s="79" t="s">
        <v>6782</v>
      </c>
      <c r="B410" s="45"/>
      <c r="C410" s="79" t="s">
        <v>6783</v>
      </c>
      <c r="D410" s="45"/>
      <c r="E410" s="79" t="s">
        <v>5354</v>
      </c>
      <c r="F410" s="79" t="s">
        <v>5944</v>
      </c>
      <c r="G410" s="45"/>
      <c r="H410" s="80">
        <v>0.05093</v>
      </c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</row>
    <row r="411">
      <c r="A411" s="79" t="s">
        <v>6784</v>
      </c>
      <c r="B411" s="45"/>
      <c r="C411" s="79" t="s">
        <v>6785</v>
      </c>
      <c r="D411" s="45"/>
      <c r="E411" s="79" t="s">
        <v>5561</v>
      </c>
      <c r="F411" s="79" t="s">
        <v>4204</v>
      </c>
      <c r="G411" s="45"/>
      <c r="H411" s="80">
        <v>0.05075</v>
      </c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</row>
    <row r="412">
      <c r="A412" s="79" t="s">
        <v>6786</v>
      </c>
      <c r="B412" s="45"/>
      <c r="C412" s="79" t="s">
        <v>6787</v>
      </c>
      <c r="D412" s="45"/>
      <c r="E412" s="79" t="s">
        <v>5218</v>
      </c>
      <c r="F412" s="79" t="s">
        <v>4424</v>
      </c>
      <c r="G412" s="45"/>
      <c r="H412" s="80">
        <v>0.05065</v>
      </c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</row>
    <row r="413">
      <c r="A413" s="79" t="s">
        <v>6788</v>
      </c>
      <c r="B413" s="45"/>
      <c r="C413" s="79" t="s">
        <v>6789</v>
      </c>
      <c r="D413" s="45"/>
      <c r="E413" s="79" t="s">
        <v>5357</v>
      </c>
      <c r="F413" s="79" t="s">
        <v>6050</v>
      </c>
      <c r="G413" s="45"/>
      <c r="H413" s="80">
        <v>0.05055</v>
      </c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</row>
    <row r="414">
      <c r="A414" s="79" t="s">
        <v>6790</v>
      </c>
      <c r="B414" s="45"/>
      <c r="C414" s="79" t="s">
        <v>6791</v>
      </c>
      <c r="D414" s="45"/>
      <c r="E414" s="79" t="s">
        <v>5215</v>
      </c>
      <c r="F414" s="79" t="s">
        <v>6217</v>
      </c>
      <c r="G414" s="45"/>
      <c r="H414" s="80">
        <v>0.05035</v>
      </c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</row>
    <row r="415">
      <c r="A415" s="79" t="s">
        <v>6792</v>
      </c>
      <c r="B415" s="45"/>
      <c r="C415" s="79" t="s">
        <v>6793</v>
      </c>
      <c r="D415" s="45"/>
      <c r="E415" s="79" t="s">
        <v>5351</v>
      </c>
      <c r="F415" s="79" t="s">
        <v>5936</v>
      </c>
      <c r="G415" s="45"/>
      <c r="H415" s="80">
        <v>0.05027</v>
      </c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</row>
    <row r="416">
      <c r="A416" s="79" t="s">
        <v>6794</v>
      </c>
      <c r="B416" s="45"/>
      <c r="C416" s="79" t="s">
        <v>6795</v>
      </c>
      <c r="D416" s="45"/>
      <c r="E416" s="79" t="s">
        <v>6012</v>
      </c>
      <c r="F416" s="79" t="s">
        <v>5967</v>
      </c>
      <c r="G416" s="45"/>
      <c r="H416" s="80">
        <v>0.05014</v>
      </c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</row>
    <row r="417">
      <c r="A417" s="79" t="s">
        <v>6796</v>
      </c>
      <c r="B417" s="45"/>
      <c r="C417" s="79" t="s">
        <v>6797</v>
      </c>
      <c r="D417" s="45"/>
      <c r="E417" s="79" t="s">
        <v>6798</v>
      </c>
      <c r="F417" s="79" t="s">
        <v>6596</v>
      </c>
      <c r="G417" s="45"/>
      <c r="H417" s="80">
        <v>0.04947</v>
      </c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</row>
    <row r="418">
      <c r="A418" s="79" t="s">
        <v>6799</v>
      </c>
      <c r="B418" s="45"/>
      <c r="C418" s="79" t="s">
        <v>6800</v>
      </c>
      <c r="D418" s="45"/>
      <c r="E418" s="79" t="s">
        <v>6801</v>
      </c>
      <c r="F418" s="79" t="s">
        <v>4424</v>
      </c>
      <c r="G418" s="45"/>
      <c r="H418" s="80">
        <v>0.04921</v>
      </c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</row>
    <row r="419">
      <c r="A419" s="79" t="s">
        <v>6802</v>
      </c>
      <c r="B419" s="45"/>
      <c r="C419" s="79" t="s">
        <v>6803</v>
      </c>
      <c r="D419" s="45"/>
      <c r="E419" s="79" t="s">
        <v>6150</v>
      </c>
      <c r="F419" s="79" t="s">
        <v>5927</v>
      </c>
      <c r="G419" s="45"/>
      <c r="H419" s="80">
        <v>0.0492</v>
      </c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</row>
    <row r="420">
      <c r="A420" s="79" t="s">
        <v>6804</v>
      </c>
      <c r="B420" s="45"/>
      <c r="C420" s="79" t="s">
        <v>6805</v>
      </c>
      <c r="D420" s="45"/>
      <c r="E420" s="79" t="s">
        <v>6009</v>
      </c>
      <c r="F420" s="79" t="s">
        <v>5936</v>
      </c>
      <c r="G420" s="45"/>
      <c r="H420" s="80">
        <v>0.04902</v>
      </c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</row>
    <row r="421">
      <c r="A421" s="79" t="s">
        <v>6806</v>
      </c>
      <c r="B421" s="45"/>
      <c r="C421" s="79" t="s">
        <v>6807</v>
      </c>
      <c r="D421" s="45"/>
      <c r="E421" s="79" t="s">
        <v>5357</v>
      </c>
      <c r="F421" s="79" t="s">
        <v>5936</v>
      </c>
      <c r="G421" s="45"/>
      <c r="H421" s="80">
        <v>0.04895</v>
      </c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</row>
    <row r="422">
      <c r="A422" s="79" t="s">
        <v>6808</v>
      </c>
      <c r="B422" s="45"/>
      <c r="C422" s="79" t="s">
        <v>6809</v>
      </c>
      <c r="D422" s="45"/>
      <c r="E422" s="79" t="s">
        <v>5650</v>
      </c>
      <c r="F422" s="79" t="s">
        <v>5927</v>
      </c>
      <c r="G422" s="45"/>
      <c r="H422" s="80">
        <v>0.04895</v>
      </c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</row>
    <row r="423">
      <c r="A423" s="79" t="s">
        <v>6810</v>
      </c>
      <c r="B423" s="45"/>
      <c r="C423" s="79" t="s">
        <v>6811</v>
      </c>
      <c r="D423" s="45"/>
      <c r="E423" s="79" t="s">
        <v>5235</v>
      </c>
      <c r="F423" s="79" t="s">
        <v>5924</v>
      </c>
      <c r="G423" s="45"/>
      <c r="H423" s="80">
        <v>0.04884</v>
      </c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</row>
    <row r="424">
      <c r="A424" s="79" t="s">
        <v>6812</v>
      </c>
      <c r="B424" s="45"/>
      <c r="C424" s="79" t="s">
        <v>6813</v>
      </c>
      <c r="D424" s="45"/>
      <c r="E424" s="79" t="s">
        <v>5374</v>
      </c>
      <c r="F424" s="79" t="s">
        <v>4340</v>
      </c>
      <c r="G424" s="45"/>
      <c r="H424" s="80">
        <v>0.0488</v>
      </c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</row>
    <row r="425">
      <c r="A425" s="79" t="s">
        <v>6814</v>
      </c>
      <c r="B425" s="45"/>
      <c r="C425" s="79" t="s">
        <v>6815</v>
      </c>
      <c r="D425" s="45"/>
      <c r="E425" s="79" t="s">
        <v>6012</v>
      </c>
      <c r="F425" s="79" t="s">
        <v>5967</v>
      </c>
      <c r="G425" s="45"/>
      <c r="H425" s="80">
        <v>0.04879</v>
      </c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</row>
    <row r="426">
      <c r="A426" s="79" t="s">
        <v>6816</v>
      </c>
      <c r="B426" s="45"/>
      <c r="C426" s="79" t="s">
        <v>6817</v>
      </c>
      <c r="D426" s="45"/>
      <c r="E426" s="79" t="s">
        <v>5215</v>
      </c>
      <c r="F426" s="79" t="s">
        <v>6555</v>
      </c>
      <c r="G426" s="45"/>
      <c r="H426" s="80">
        <v>0.04865</v>
      </c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</row>
    <row r="427">
      <c r="A427" s="79" t="s">
        <v>6818</v>
      </c>
      <c r="B427" s="45"/>
      <c r="C427" s="79" t="s">
        <v>6819</v>
      </c>
      <c r="D427" s="45"/>
      <c r="E427" s="79" t="s">
        <v>5271</v>
      </c>
      <c r="F427" s="79" t="s">
        <v>5967</v>
      </c>
      <c r="G427" s="45"/>
      <c r="H427" s="80">
        <v>0.04805</v>
      </c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</row>
    <row r="428">
      <c r="A428" s="79" t="s">
        <v>6820</v>
      </c>
      <c r="B428" s="45"/>
      <c r="C428" s="79" t="s">
        <v>6821</v>
      </c>
      <c r="D428" s="45"/>
      <c r="E428" s="79" t="s">
        <v>5215</v>
      </c>
      <c r="F428" s="79" t="s">
        <v>4175</v>
      </c>
      <c r="G428" s="45"/>
      <c r="H428" s="80">
        <v>0.04802</v>
      </c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</row>
    <row r="429">
      <c r="A429" s="79" t="s">
        <v>6822</v>
      </c>
      <c r="B429" s="45"/>
      <c r="C429" s="79" t="s">
        <v>6823</v>
      </c>
      <c r="D429" s="45"/>
      <c r="E429" s="79" t="s">
        <v>5271</v>
      </c>
      <c r="F429" s="79" t="s">
        <v>5970</v>
      </c>
      <c r="G429" s="45"/>
      <c r="H429" s="80">
        <v>0.04796</v>
      </c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</row>
    <row r="430">
      <c r="A430" s="79" t="s">
        <v>6824</v>
      </c>
      <c r="B430" s="45"/>
      <c r="C430" s="79" t="s">
        <v>6825</v>
      </c>
      <c r="D430" s="45"/>
      <c r="E430" s="79" t="s">
        <v>5525</v>
      </c>
      <c r="F430" s="79" t="s">
        <v>5936</v>
      </c>
      <c r="G430" s="45"/>
      <c r="H430" s="80">
        <v>0.04759</v>
      </c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</row>
    <row r="431">
      <c r="A431" s="79" t="s">
        <v>6826</v>
      </c>
      <c r="B431" s="45"/>
      <c r="C431" s="79" t="s">
        <v>6827</v>
      </c>
      <c r="D431" s="45"/>
      <c r="E431" s="79" t="s">
        <v>5704</v>
      </c>
      <c r="F431" s="79" t="s">
        <v>6210</v>
      </c>
      <c r="G431" s="45"/>
      <c r="H431" s="80">
        <v>0.04756</v>
      </c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</row>
    <row r="432">
      <c r="A432" s="79" t="s">
        <v>6828</v>
      </c>
      <c r="B432" s="45"/>
      <c r="C432" s="79" t="s">
        <v>6829</v>
      </c>
      <c r="D432" s="45"/>
      <c r="E432" s="79" t="s">
        <v>5235</v>
      </c>
      <c r="F432" s="79" t="s">
        <v>4340</v>
      </c>
      <c r="G432" s="45"/>
      <c r="H432" s="80">
        <v>0.04734</v>
      </c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</row>
    <row r="433">
      <c r="A433" s="79" t="s">
        <v>6830</v>
      </c>
      <c r="B433" s="45"/>
      <c r="C433" s="79" t="s">
        <v>6831</v>
      </c>
      <c r="D433" s="45"/>
      <c r="E433" s="79" t="s">
        <v>5682</v>
      </c>
      <c r="F433" s="79" t="s">
        <v>5936</v>
      </c>
      <c r="G433" s="45"/>
      <c r="H433" s="80">
        <v>0.0473</v>
      </c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</row>
    <row r="434">
      <c r="A434" s="79" t="s">
        <v>6832</v>
      </c>
      <c r="B434" s="45"/>
      <c r="C434" s="79" t="s">
        <v>6833</v>
      </c>
      <c r="D434" s="45"/>
      <c r="E434" s="79" t="s">
        <v>6759</v>
      </c>
      <c r="F434" s="79" t="s">
        <v>4340</v>
      </c>
      <c r="G434" s="45"/>
      <c r="H434" s="80">
        <v>0.04729</v>
      </c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</row>
    <row r="435">
      <c r="A435" s="79" t="s">
        <v>6834</v>
      </c>
      <c r="B435" s="45"/>
      <c r="C435" s="79" t="s">
        <v>6835</v>
      </c>
      <c r="D435" s="45"/>
      <c r="E435" s="79" t="s">
        <v>5434</v>
      </c>
      <c r="F435" s="79" t="s">
        <v>5986</v>
      </c>
      <c r="G435" s="45"/>
      <c r="H435" s="80">
        <v>0.04729</v>
      </c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</row>
    <row r="436">
      <c r="A436" s="79" t="s">
        <v>6836</v>
      </c>
      <c r="B436" s="45"/>
      <c r="C436" s="79" t="s">
        <v>6837</v>
      </c>
      <c r="D436" s="45"/>
      <c r="E436" s="79" t="s">
        <v>5335</v>
      </c>
      <c r="F436" s="79" t="s">
        <v>5927</v>
      </c>
      <c r="G436" s="45"/>
      <c r="H436" s="80">
        <v>0.04693</v>
      </c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</row>
    <row r="437">
      <c r="A437" s="79" t="s">
        <v>6838</v>
      </c>
      <c r="B437" s="45"/>
      <c r="C437" s="79" t="s">
        <v>6839</v>
      </c>
      <c r="D437" s="45"/>
      <c r="E437" s="79" t="s">
        <v>5756</v>
      </c>
      <c r="F437" s="79" t="s">
        <v>5924</v>
      </c>
      <c r="G437" s="45"/>
      <c r="H437" s="80">
        <v>0.04682</v>
      </c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</row>
    <row r="438">
      <c r="A438" s="79" t="s">
        <v>6840</v>
      </c>
      <c r="B438" s="45"/>
      <c r="C438" s="79" t="s">
        <v>6841</v>
      </c>
      <c r="D438" s="45"/>
      <c r="E438" s="79" t="s">
        <v>5215</v>
      </c>
      <c r="F438" s="79" t="s">
        <v>4340</v>
      </c>
      <c r="G438" s="45"/>
      <c r="H438" s="80">
        <v>0.04668</v>
      </c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</row>
    <row r="439">
      <c r="A439" s="79" t="s">
        <v>6842</v>
      </c>
      <c r="B439" s="45"/>
      <c r="C439" s="79" t="s">
        <v>6843</v>
      </c>
      <c r="D439" s="45"/>
      <c r="E439" s="79" t="s">
        <v>5691</v>
      </c>
      <c r="F439" s="79" t="s">
        <v>5944</v>
      </c>
      <c r="G439" s="45"/>
      <c r="H439" s="80">
        <v>0.04657</v>
      </c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</row>
    <row r="440">
      <c r="A440" s="79" t="s">
        <v>6844</v>
      </c>
      <c r="B440" s="45"/>
      <c r="C440" s="79" t="s">
        <v>6845</v>
      </c>
      <c r="D440" s="45"/>
      <c r="E440" s="79" t="s">
        <v>5348</v>
      </c>
      <c r="F440" s="79" t="s">
        <v>5927</v>
      </c>
      <c r="G440" s="45"/>
      <c r="H440" s="80">
        <v>0.04653</v>
      </c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</row>
    <row r="441">
      <c r="A441" s="79" t="s">
        <v>6846</v>
      </c>
      <c r="B441" s="45"/>
      <c r="C441" s="79" t="s">
        <v>6847</v>
      </c>
      <c r="D441" s="45"/>
      <c r="E441" s="79" t="s">
        <v>5756</v>
      </c>
      <c r="F441" s="79" t="s">
        <v>4340</v>
      </c>
      <c r="G441" s="45"/>
      <c r="H441" s="80">
        <v>0.04643</v>
      </c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</row>
    <row r="442">
      <c r="A442" s="79" t="s">
        <v>6848</v>
      </c>
      <c r="B442" s="45"/>
      <c r="C442" s="79" t="s">
        <v>6849</v>
      </c>
      <c r="D442" s="45"/>
      <c r="E442" s="79" t="s">
        <v>6249</v>
      </c>
      <c r="F442" s="79" t="s">
        <v>6210</v>
      </c>
      <c r="G442" s="45"/>
      <c r="H442" s="80">
        <v>0.04616</v>
      </c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</row>
    <row r="443">
      <c r="A443" s="79" t="s">
        <v>6850</v>
      </c>
      <c r="B443" s="45"/>
      <c r="C443" s="79" t="s">
        <v>6851</v>
      </c>
      <c r="D443" s="45"/>
      <c r="E443" s="79" t="s">
        <v>5811</v>
      </c>
      <c r="F443" s="79" t="s">
        <v>5924</v>
      </c>
      <c r="G443" s="45"/>
      <c r="H443" s="80">
        <v>0.04615</v>
      </c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</row>
    <row r="444">
      <c r="A444" s="79" t="s">
        <v>6852</v>
      </c>
      <c r="B444" s="45"/>
      <c r="C444" s="79" t="s">
        <v>6853</v>
      </c>
      <c r="D444" s="45"/>
      <c r="E444" s="79" t="s">
        <v>5357</v>
      </c>
      <c r="F444" s="79" t="s">
        <v>5936</v>
      </c>
      <c r="G444" s="45"/>
      <c r="H444" s="80">
        <v>0.04606</v>
      </c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</row>
    <row r="445">
      <c r="A445" s="79" t="s">
        <v>6854</v>
      </c>
      <c r="B445" s="45"/>
      <c r="C445" s="79" t="s">
        <v>6855</v>
      </c>
      <c r="D445" s="45"/>
      <c r="E445" s="79" t="s">
        <v>6275</v>
      </c>
      <c r="F445" s="79" t="s">
        <v>4340</v>
      </c>
      <c r="G445" s="45"/>
      <c r="H445" s="80">
        <v>0.04599</v>
      </c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</row>
    <row r="446">
      <c r="A446" s="79" t="s">
        <v>6856</v>
      </c>
      <c r="B446" s="45"/>
      <c r="C446" s="79" t="s">
        <v>6857</v>
      </c>
      <c r="D446" s="45"/>
      <c r="E446" s="79" t="s">
        <v>5241</v>
      </c>
      <c r="F446" s="79" t="s">
        <v>5927</v>
      </c>
      <c r="G446" s="45"/>
      <c r="H446" s="80">
        <v>0.04593</v>
      </c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</row>
    <row r="447">
      <c r="A447" s="79" t="s">
        <v>6858</v>
      </c>
      <c r="B447" s="45"/>
      <c r="C447" s="79" t="s">
        <v>6859</v>
      </c>
      <c r="D447" s="45"/>
      <c r="E447" s="79" t="s">
        <v>5989</v>
      </c>
      <c r="F447" s="79" t="s">
        <v>6303</v>
      </c>
      <c r="G447" s="45"/>
      <c r="H447" s="80">
        <v>0.04577</v>
      </c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</row>
    <row r="448">
      <c r="A448" s="79" t="s">
        <v>6860</v>
      </c>
      <c r="B448" s="45"/>
      <c r="C448" s="79" t="s">
        <v>6861</v>
      </c>
      <c r="D448" s="45"/>
      <c r="E448" s="79" t="s">
        <v>6514</v>
      </c>
      <c r="F448" s="79" t="s">
        <v>5944</v>
      </c>
      <c r="G448" s="45"/>
      <c r="H448" s="80">
        <v>0.04577</v>
      </c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</row>
    <row r="449">
      <c r="A449" s="79" t="s">
        <v>6862</v>
      </c>
      <c r="B449" s="45"/>
      <c r="C449" s="79" t="s">
        <v>6863</v>
      </c>
      <c r="D449" s="45"/>
      <c r="E449" s="79" t="s">
        <v>5296</v>
      </c>
      <c r="F449" s="79" t="s">
        <v>6698</v>
      </c>
      <c r="G449" s="45"/>
      <c r="H449" s="80">
        <v>0.0457</v>
      </c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</row>
    <row r="450">
      <c r="A450" s="79" t="s">
        <v>6864</v>
      </c>
      <c r="B450" s="45"/>
      <c r="C450" s="79" t="s">
        <v>6865</v>
      </c>
      <c r="D450" s="45"/>
      <c r="E450" s="79" t="s">
        <v>6416</v>
      </c>
      <c r="F450" s="79" t="s">
        <v>5970</v>
      </c>
      <c r="G450" s="45"/>
      <c r="H450" s="80">
        <v>0.04564</v>
      </c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</row>
    <row r="451">
      <c r="A451" s="79" t="s">
        <v>6866</v>
      </c>
      <c r="B451" s="45"/>
      <c r="C451" s="79" t="s">
        <v>6867</v>
      </c>
      <c r="D451" s="45"/>
      <c r="E451" s="79" t="s">
        <v>6868</v>
      </c>
      <c r="F451" s="79" t="s">
        <v>5944</v>
      </c>
      <c r="G451" s="45"/>
      <c r="H451" s="80">
        <v>0.04554</v>
      </c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</row>
    <row r="452">
      <c r="A452" s="79" t="s">
        <v>6869</v>
      </c>
      <c r="B452" s="45"/>
      <c r="C452" s="79" t="s">
        <v>6870</v>
      </c>
      <c r="D452" s="45"/>
      <c r="E452" s="79" t="s">
        <v>5855</v>
      </c>
      <c r="F452" s="79" t="s">
        <v>5924</v>
      </c>
      <c r="G452" s="45"/>
      <c r="H452" s="80">
        <v>0.04553</v>
      </c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</row>
    <row r="453">
      <c r="A453" s="79" t="s">
        <v>6871</v>
      </c>
      <c r="B453" s="45"/>
      <c r="C453" s="79" t="s">
        <v>6872</v>
      </c>
      <c r="D453" s="45"/>
      <c r="E453" s="79" t="s">
        <v>5434</v>
      </c>
      <c r="F453" s="79" t="s">
        <v>5927</v>
      </c>
      <c r="G453" s="45"/>
      <c r="H453" s="80">
        <v>0.04533</v>
      </c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</row>
    <row r="454">
      <c r="A454" s="79" t="s">
        <v>6873</v>
      </c>
      <c r="B454" s="45"/>
      <c r="C454" s="79" t="s">
        <v>6874</v>
      </c>
      <c r="D454" s="45"/>
      <c r="E454" s="79" t="s">
        <v>6416</v>
      </c>
      <c r="F454" s="79" t="s">
        <v>4340</v>
      </c>
      <c r="G454" s="45"/>
      <c r="H454" s="80">
        <v>0.04523</v>
      </c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</row>
    <row r="455">
      <c r="A455" s="79" t="s">
        <v>6875</v>
      </c>
      <c r="B455" s="45"/>
      <c r="C455" s="79" t="s">
        <v>6876</v>
      </c>
      <c r="D455" s="45"/>
      <c r="E455" s="79" t="s">
        <v>6877</v>
      </c>
      <c r="F455" s="79" t="s">
        <v>5924</v>
      </c>
      <c r="G455" s="45"/>
      <c r="H455" s="80">
        <v>0.04516</v>
      </c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</row>
    <row r="456">
      <c r="A456" s="79" t="s">
        <v>6878</v>
      </c>
      <c r="B456" s="45"/>
      <c r="C456" s="79" t="s">
        <v>6879</v>
      </c>
      <c r="D456" s="45"/>
      <c r="E456" s="79" t="s">
        <v>5964</v>
      </c>
      <c r="F456" s="79" t="s">
        <v>4340</v>
      </c>
      <c r="G456" s="45"/>
      <c r="H456" s="80">
        <v>0.04515</v>
      </c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</row>
    <row r="457">
      <c r="A457" s="79" t="s">
        <v>6880</v>
      </c>
      <c r="B457" s="45"/>
      <c r="C457" s="79" t="s">
        <v>6881</v>
      </c>
      <c r="D457" s="45"/>
      <c r="E457" s="79" t="s">
        <v>5215</v>
      </c>
      <c r="F457" s="79" t="s">
        <v>5924</v>
      </c>
      <c r="G457" s="45"/>
      <c r="H457" s="80">
        <v>0.04512</v>
      </c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</row>
    <row r="458">
      <c r="A458" s="79" t="s">
        <v>6882</v>
      </c>
      <c r="B458" s="45"/>
      <c r="C458" s="79" t="s">
        <v>6883</v>
      </c>
      <c r="D458" s="45"/>
      <c r="E458" s="79" t="s">
        <v>5467</v>
      </c>
      <c r="F458" s="79" t="s">
        <v>5944</v>
      </c>
      <c r="G458" s="45"/>
      <c r="H458" s="80">
        <v>0.04511</v>
      </c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</row>
    <row r="459">
      <c r="A459" s="79" t="s">
        <v>6884</v>
      </c>
      <c r="B459" s="45"/>
      <c r="C459" s="79" t="s">
        <v>6885</v>
      </c>
      <c r="D459" s="45"/>
      <c r="E459" s="79" t="s">
        <v>5276</v>
      </c>
      <c r="F459" s="79" t="s">
        <v>4424</v>
      </c>
      <c r="G459" s="45"/>
      <c r="H459" s="80">
        <v>0.04483</v>
      </c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</row>
    <row r="460">
      <c r="A460" s="79" t="s">
        <v>6886</v>
      </c>
      <c r="B460" s="45"/>
      <c r="C460" s="79" t="s">
        <v>6887</v>
      </c>
      <c r="D460" s="45"/>
      <c r="E460" s="79" t="s">
        <v>5235</v>
      </c>
      <c r="F460" s="79" t="s">
        <v>6137</v>
      </c>
      <c r="G460" s="45"/>
      <c r="H460" s="80">
        <v>0.04468</v>
      </c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</row>
    <row r="461">
      <c r="A461" s="79" t="s">
        <v>6888</v>
      </c>
      <c r="B461" s="45"/>
      <c r="C461" s="79" t="s">
        <v>6889</v>
      </c>
      <c r="D461" s="45"/>
      <c r="E461" s="79" t="s">
        <v>5235</v>
      </c>
      <c r="F461" s="79" t="s">
        <v>6596</v>
      </c>
      <c r="G461" s="45"/>
      <c r="H461" s="80">
        <v>0.04456</v>
      </c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</row>
    <row r="462">
      <c r="A462" s="79" t="s">
        <v>6890</v>
      </c>
      <c r="B462" s="45"/>
      <c r="C462" s="79" t="s">
        <v>6891</v>
      </c>
      <c r="D462" s="45"/>
      <c r="E462" s="79" t="s">
        <v>5357</v>
      </c>
      <c r="F462" s="79" t="s">
        <v>5936</v>
      </c>
      <c r="G462" s="45"/>
      <c r="H462" s="80">
        <v>0.04455</v>
      </c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</row>
    <row r="463">
      <c r="A463" s="79" t="s">
        <v>6892</v>
      </c>
      <c r="B463" s="45"/>
      <c r="C463" s="79" t="s">
        <v>6893</v>
      </c>
      <c r="D463" s="45"/>
      <c r="E463" s="79" t="s">
        <v>5296</v>
      </c>
      <c r="F463" s="79" t="s">
        <v>6050</v>
      </c>
      <c r="G463" s="45"/>
      <c r="H463" s="80">
        <v>0.04454</v>
      </c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</row>
    <row r="464">
      <c r="A464" s="79" t="s">
        <v>6894</v>
      </c>
      <c r="B464" s="45"/>
      <c r="C464" s="79" t="s">
        <v>6895</v>
      </c>
      <c r="D464" s="45"/>
      <c r="E464" s="79" t="s">
        <v>5253</v>
      </c>
      <c r="F464" s="79" t="s">
        <v>6596</v>
      </c>
      <c r="G464" s="45"/>
      <c r="H464" s="80">
        <v>0.0445</v>
      </c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</row>
    <row r="465">
      <c r="A465" s="79" t="s">
        <v>6896</v>
      </c>
      <c r="B465" s="45"/>
      <c r="C465" s="79" t="s">
        <v>6897</v>
      </c>
      <c r="D465" s="45"/>
      <c r="E465" s="79" t="s">
        <v>5561</v>
      </c>
      <c r="F465" s="79" t="s">
        <v>4204</v>
      </c>
      <c r="G465" s="45"/>
      <c r="H465" s="80">
        <v>0.0443</v>
      </c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</row>
    <row r="466">
      <c r="A466" s="79" t="s">
        <v>6898</v>
      </c>
      <c r="B466" s="45"/>
      <c r="C466" s="79" t="s">
        <v>6899</v>
      </c>
      <c r="D466" s="45"/>
      <c r="E466" s="79" t="s">
        <v>5316</v>
      </c>
      <c r="F466" s="79" t="s">
        <v>5967</v>
      </c>
      <c r="G466" s="45"/>
      <c r="H466" s="80">
        <v>0.04396</v>
      </c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</row>
    <row r="467">
      <c r="A467" s="79" t="s">
        <v>6900</v>
      </c>
      <c r="B467" s="45"/>
      <c r="C467" s="79" t="s">
        <v>6901</v>
      </c>
      <c r="D467" s="45"/>
      <c r="E467" s="79" t="s">
        <v>6249</v>
      </c>
      <c r="F467" s="79" t="s">
        <v>6210</v>
      </c>
      <c r="G467" s="45"/>
      <c r="H467" s="80">
        <v>0.04393</v>
      </c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</row>
    <row r="468">
      <c r="A468" s="79" t="s">
        <v>6902</v>
      </c>
      <c r="B468" s="45"/>
      <c r="C468" s="79" t="s">
        <v>6903</v>
      </c>
      <c r="D468" s="45"/>
      <c r="E468" s="79" t="s">
        <v>5357</v>
      </c>
      <c r="F468" s="79" t="s">
        <v>6210</v>
      </c>
      <c r="G468" s="45"/>
      <c r="H468" s="80">
        <v>0.04371</v>
      </c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</row>
    <row r="469">
      <c r="A469" s="79" t="s">
        <v>6904</v>
      </c>
      <c r="B469" s="45"/>
      <c r="C469" s="79" t="s">
        <v>6905</v>
      </c>
      <c r="D469" s="45"/>
      <c r="E469" s="79" t="s">
        <v>5691</v>
      </c>
      <c r="F469" s="79" t="s">
        <v>6220</v>
      </c>
      <c r="G469" s="45"/>
      <c r="H469" s="80">
        <v>0.04329</v>
      </c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</row>
    <row r="470">
      <c r="A470" s="79" t="s">
        <v>6906</v>
      </c>
      <c r="B470" s="45"/>
      <c r="C470" s="79" t="s">
        <v>6426</v>
      </c>
      <c r="D470" s="45"/>
      <c r="E470" s="79" t="s">
        <v>6427</v>
      </c>
      <c r="F470" s="79" t="s">
        <v>5944</v>
      </c>
      <c r="G470" s="45"/>
      <c r="H470" s="80">
        <v>0.04327</v>
      </c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</row>
    <row r="471">
      <c r="A471" s="79" t="s">
        <v>6907</v>
      </c>
      <c r="B471" s="45"/>
      <c r="C471" s="79" t="s">
        <v>6908</v>
      </c>
      <c r="D471" s="45"/>
      <c r="E471" s="79" t="s">
        <v>5431</v>
      </c>
      <c r="F471" s="79" t="s">
        <v>5927</v>
      </c>
      <c r="G471" s="45"/>
      <c r="H471" s="80">
        <v>0.04327</v>
      </c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</row>
    <row r="472">
      <c r="A472" s="79" t="s">
        <v>6909</v>
      </c>
      <c r="B472" s="45"/>
      <c r="C472" s="79" t="s">
        <v>6910</v>
      </c>
      <c r="D472" s="45"/>
      <c r="E472" s="79" t="s">
        <v>6266</v>
      </c>
      <c r="F472" s="79" t="s">
        <v>6204</v>
      </c>
      <c r="G472" s="45"/>
      <c r="H472" s="80">
        <v>0.04322</v>
      </c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</row>
    <row r="473">
      <c r="A473" s="79" t="s">
        <v>6911</v>
      </c>
      <c r="B473" s="45"/>
      <c r="C473" s="79" t="s">
        <v>6912</v>
      </c>
      <c r="D473" s="45"/>
      <c r="E473" s="79" t="s">
        <v>6009</v>
      </c>
      <c r="F473" s="79" t="s">
        <v>5936</v>
      </c>
      <c r="G473" s="45"/>
      <c r="H473" s="80">
        <v>0.04284</v>
      </c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</row>
    <row r="474">
      <c r="A474" s="79" t="s">
        <v>6913</v>
      </c>
      <c r="B474" s="45"/>
      <c r="C474" s="79" t="s">
        <v>6914</v>
      </c>
      <c r="D474" s="45"/>
      <c r="E474" s="79" t="s">
        <v>5478</v>
      </c>
      <c r="F474" s="79" t="s">
        <v>5927</v>
      </c>
      <c r="G474" s="45"/>
      <c r="H474" s="80">
        <v>0.04279</v>
      </c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</row>
    <row r="475">
      <c r="A475" s="79" t="s">
        <v>6915</v>
      </c>
      <c r="B475" s="45"/>
      <c r="C475" s="79" t="s">
        <v>6916</v>
      </c>
      <c r="D475" s="45"/>
      <c r="E475" s="79" t="s">
        <v>5434</v>
      </c>
      <c r="F475" s="79" t="s">
        <v>4424</v>
      </c>
      <c r="G475" s="45"/>
      <c r="H475" s="80">
        <v>0.04278</v>
      </c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</row>
    <row r="476">
      <c r="A476" s="79" t="s">
        <v>6917</v>
      </c>
      <c r="B476" s="45"/>
      <c r="C476" s="79" t="s">
        <v>6918</v>
      </c>
      <c r="D476" s="45"/>
      <c r="E476" s="79" t="s">
        <v>5357</v>
      </c>
      <c r="F476" s="79" t="s">
        <v>5924</v>
      </c>
      <c r="G476" s="45"/>
      <c r="H476" s="80">
        <v>0.0427</v>
      </c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</row>
    <row r="477">
      <c r="A477" s="79" t="s">
        <v>6919</v>
      </c>
      <c r="B477" s="45"/>
      <c r="C477" s="79" t="s">
        <v>6920</v>
      </c>
      <c r="D477" s="45"/>
      <c r="E477" s="79" t="s">
        <v>5261</v>
      </c>
      <c r="F477" s="79" t="s">
        <v>5944</v>
      </c>
      <c r="G477" s="45"/>
      <c r="H477" s="80">
        <v>0.04252</v>
      </c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</row>
    <row r="478">
      <c r="A478" s="79" t="s">
        <v>6921</v>
      </c>
      <c r="B478" s="45"/>
      <c r="C478" s="79" t="s">
        <v>6922</v>
      </c>
      <c r="D478" s="45"/>
      <c r="E478" s="79" t="s">
        <v>5501</v>
      </c>
      <c r="F478" s="79" t="s">
        <v>5936</v>
      </c>
      <c r="G478" s="45"/>
      <c r="H478" s="80">
        <v>0.04246</v>
      </c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</row>
    <row r="479">
      <c r="A479" s="79" t="s">
        <v>6923</v>
      </c>
      <c r="B479" s="45"/>
      <c r="C479" s="79" t="s">
        <v>6924</v>
      </c>
      <c r="D479" s="45"/>
      <c r="E479" s="79" t="s">
        <v>5650</v>
      </c>
      <c r="F479" s="79" t="s">
        <v>5924</v>
      </c>
      <c r="G479" s="45"/>
      <c r="H479" s="80">
        <v>0.04243</v>
      </c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</row>
    <row r="480">
      <c r="A480" s="79" t="s">
        <v>6925</v>
      </c>
      <c r="B480" s="45"/>
      <c r="C480" s="79" t="s">
        <v>6926</v>
      </c>
      <c r="D480" s="45"/>
      <c r="E480" s="79" t="s">
        <v>5241</v>
      </c>
      <c r="F480" s="79" t="s">
        <v>6027</v>
      </c>
      <c r="G480" s="45"/>
      <c r="H480" s="80">
        <v>0.04222</v>
      </c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</row>
    <row r="481">
      <c r="A481" s="79" t="s">
        <v>6927</v>
      </c>
      <c r="B481" s="45"/>
      <c r="C481" s="79" t="s">
        <v>6928</v>
      </c>
      <c r="D481" s="45"/>
      <c r="E481" s="79" t="s">
        <v>6191</v>
      </c>
      <c r="F481" s="79" t="s">
        <v>4175</v>
      </c>
      <c r="G481" s="45"/>
      <c r="H481" s="80">
        <v>0.04213</v>
      </c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</row>
    <row r="482">
      <c r="A482" s="79" t="s">
        <v>6929</v>
      </c>
      <c r="B482" s="45"/>
      <c r="C482" s="79" t="s">
        <v>6930</v>
      </c>
      <c r="D482" s="45"/>
      <c r="E482" s="79" t="s">
        <v>6931</v>
      </c>
      <c r="F482" s="79" t="s">
        <v>6555</v>
      </c>
      <c r="G482" s="45"/>
      <c r="H482" s="80">
        <v>0.04213</v>
      </c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</row>
    <row r="483">
      <c r="A483" s="79" t="s">
        <v>6932</v>
      </c>
      <c r="B483" s="45"/>
      <c r="C483" s="79" t="s">
        <v>6933</v>
      </c>
      <c r="D483" s="45"/>
      <c r="E483" s="79" t="s">
        <v>6729</v>
      </c>
      <c r="F483" s="79" t="s">
        <v>5936</v>
      </c>
      <c r="G483" s="45"/>
      <c r="H483" s="80">
        <v>0.04209</v>
      </c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</row>
    <row r="484">
      <c r="A484" s="79" t="s">
        <v>6856</v>
      </c>
      <c r="B484" s="45"/>
      <c r="C484" s="79" t="s">
        <v>6934</v>
      </c>
      <c r="D484" s="45"/>
      <c r="E484" s="79" t="s">
        <v>5309</v>
      </c>
      <c r="F484" s="79" t="s">
        <v>5924</v>
      </c>
      <c r="G484" s="45"/>
      <c r="H484" s="80">
        <v>0.04201</v>
      </c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</row>
    <row r="485">
      <c r="A485" s="79" t="s">
        <v>6935</v>
      </c>
      <c r="B485" s="45"/>
      <c r="C485" s="79" t="s">
        <v>6936</v>
      </c>
      <c r="D485" s="45"/>
      <c r="E485" s="79" t="s">
        <v>5682</v>
      </c>
      <c r="F485" s="79" t="s">
        <v>5924</v>
      </c>
      <c r="G485" s="45"/>
      <c r="H485" s="80">
        <v>0.04188</v>
      </c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</row>
    <row r="486">
      <c r="A486" s="79" t="s">
        <v>6937</v>
      </c>
      <c r="B486" s="45"/>
      <c r="C486" s="79" t="s">
        <v>6938</v>
      </c>
      <c r="D486" s="45"/>
      <c r="E486" s="79" t="s">
        <v>5366</v>
      </c>
      <c r="F486" s="79" t="s">
        <v>4340</v>
      </c>
      <c r="G486" s="45"/>
      <c r="H486" s="80">
        <v>0.0417</v>
      </c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</row>
    <row r="487">
      <c r="A487" s="79" t="s">
        <v>6939</v>
      </c>
      <c r="B487" s="45"/>
      <c r="C487" s="79" t="s">
        <v>6940</v>
      </c>
      <c r="D487" s="45"/>
      <c r="E487" s="79" t="s">
        <v>5215</v>
      </c>
      <c r="F487" s="79" t="s">
        <v>5944</v>
      </c>
      <c r="G487" s="45"/>
      <c r="H487" s="80">
        <v>0.04168</v>
      </c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</row>
    <row r="488">
      <c r="A488" s="79" t="s">
        <v>6941</v>
      </c>
      <c r="B488" s="45"/>
      <c r="C488" s="79" t="s">
        <v>6942</v>
      </c>
      <c r="D488" s="45"/>
      <c r="E488" s="79" t="s">
        <v>5283</v>
      </c>
      <c r="F488" s="79" t="s">
        <v>5944</v>
      </c>
      <c r="G488" s="45"/>
      <c r="H488" s="80">
        <v>0.04161</v>
      </c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</row>
    <row r="489">
      <c r="A489" s="79" t="s">
        <v>6943</v>
      </c>
      <c r="B489" s="45"/>
      <c r="C489" s="79" t="s">
        <v>6944</v>
      </c>
      <c r="D489" s="45"/>
      <c r="E489" s="79" t="s">
        <v>5351</v>
      </c>
      <c r="F489" s="79" t="s">
        <v>5944</v>
      </c>
      <c r="G489" s="45"/>
      <c r="H489" s="80">
        <v>0.04148</v>
      </c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</row>
    <row r="490">
      <c r="A490" s="79" t="s">
        <v>6945</v>
      </c>
      <c r="B490" s="45"/>
      <c r="C490" s="79" t="s">
        <v>6946</v>
      </c>
      <c r="D490" s="45"/>
      <c r="E490" s="79" t="s">
        <v>6947</v>
      </c>
      <c r="F490" s="79" t="s">
        <v>5924</v>
      </c>
      <c r="G490" s="45"/>
      <c r="H490" s="80">
        <v>0.04147</v>
      </c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</row>
    <row r="491">
      <c r="A491" s="79" t="s">
        <v>6948</v>
      </c>
      <c r="B491" s="45"/>
      <c r="C491" s="79" t="s">
        <v>6949</v>
      </c>
      <c r="D491" s="45"/>
      <c r="E491" s="79" t="s">
        <v>5434</v>
      </c>
      <c r="F491" s="79" t="s">
        <v>5927</v>
      </c>
      <c r="G491" s="45"/>
      <c r="H491" s="80">
        <v>0.04144</v>
      </c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</row>
    <row r="492">
      <c r="A492" s="79" t="s">
        <v>6950</v>
      </c>
      <c r="B492" s="45"/>
      <c r="C492" s="79" t="s">
        <v>6951</v>
      </c>
      <c r="D492" s="45"/>
      <c r="E492" s="79" t="s">
        <v>6877</v>
      </c>
      <c r="F492" s="79" t="s">
        <v>5924</v>
      </c>
      <c r="G492" s="45"/>
      <c r="H492" s="80">
        <v>0.04143</v>
      </c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</row>
    <row r="493">
      <c r="A493" s="79" t="s">
        <v>5778</v>
      </c>
      <c r="B493" s="45"/>
      <c r="C493" s="79" t="s">
        <v>6952</v>
      </c>
      <c r="D493" s="45"/>
      <c r="E493" s="79" t="s">
        <v>5855</v>
      </c>
      <c r="F493" s="79" t="s">
        <v>5936</v>
      </c>
      <c r="G493" s="45"/>
      <c r="H493" s="80">
        <v>0.04137</v>
      </c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</row>
    <row r="494">
      <c r="A494" s="79" t="s">
        <v>6953</v>
      </c>
      <c r="B494" s="45"/>
      <c r="C494" s="79" t="s">
        <v>6954</v>
      </c>
      <c r="D494" s="45"/>
      <c r="E494" s="79" t="s">
        <v>5357</v>
      </c>
      <c r="F494" s="79" t="s">
        <v>4175</v>
      </c>
      <c r="G494" s="45"/>
      <c r="H494" s="80">
        <v>0.04128</v>
      </c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</row>
    <row r="495">
      <c r="A495" s="79" t="s">
        <v>6955</v>
      </c>
      <c r="B495" s="45"/>
      <c r="C495" s="79" t="s">
        <v>6956</v>
      </c>
      <c r="D495" s="45"/>
      <c r="E495" s="79" t="s">
        <v>6249</v>
      </c>
      <c r="F495" s="79" t="s">
        <v>6137</v>
      </c>
      <c r="G495" s="45"/>
      <c r="H495" s="80">
        <v>0.04125</v>
      </c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</row>
    <row r="496">
      <c r="A496" s="79" t="s">
        <v>6957</v>
      </c>
      <c r="B496" s="45"/>
      <c r="C496" s="79" t="s">
        <v>6958</v>
      </c>
      <c r="D496" s="45"/>
      <c r="E496" s="79" t="s">
        <v>5218</v>
      </c>
      <c r="F496" s="79" t="s">
        <v>4340</v>
      </c>
      <c r="G496" s="45"/>
      <c r="H496" s="80">
        <v>0.0412</v>
      </c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</row>
    <row r="497">
      <c r="A497" s="79" t="s">
        <v>6959</v>
      </c>
      <c r="B497" s="45"/>
      <c r="C497" s="79" t="s">
        <v>6960</v>
      </c>
      <c r="D497" s="45"/>
      <c r="E497" s="79" t="s">
        <v>6759</v>
      </c>
      <c r="F497" s="79" t="s">
        <v>4340</v>
      </c>
      <c r="G497" s="45"/>
      <c r="H497" s="80">
        <v>0.04115</v>
      </c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</row>
    <row r="498">
      <c r="A498" s="79" t="s">
        <v>6961</v>
      </c>
      <c r="B498" s="45"/>
      <c r="C498" s="79" t="s">
        <v>6962</v>
      </c>
      <c r="D498" s="45"/>
      <c r="E498" s="79" t="s">
        <v>5238</v>
      </c>
      <c r="F498" s="79" t="s">
        <v>5983</v>
      </c>
      <c r="G498" s="45"/>
      <c r="H498" s="80">
        <v>0.04114</v>
      </c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</row>
    <row r="499">
      <c r="A499" s="79" t="s">
        <v>6963</v>
      </c>
      <c r="B499" s="45"/>
      <c r="C499" s="79" t="s">
        <v>6964</v>
      </c>
      <c r="D499" s="45"/>
      <c r="E499" s="79" t="s">
        <v>5478</v>
      </c>
      <c r="F499" s="79" t="s">
        <v>5927</v>
      </c>
      <c r="G499" s="45"/>
      <c r="H499" s="80">
        <v>0.04114</v>
      </c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</row>
    <row r="500">
      <c r="A500" s="79" t="s">
        <v>6965</v>
      </c>
      <c r="B500" s="45"/>
      <c r="C500" s="79" t="s">
        <v>6966</v>
      </c>
      <c r="D500" s="45"/>
      <c r="E500" s="79" t="s">
        <v>5434</v>
      </c>
      <c r="F500" s="79" t="s">
        <v>5967</v>
      </c>
      <c r="G500" s="45"/>
      <c r="H500" s="80">
        <v>0.04111</v>
      </c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</row>
    <row r="501">
      <c r="A501" s="79" t="s">
        <v>6967</v>
      </c>
      <c r="B501" s="45"/>
      <c r="C501" s="79" t="s">
        <v>6968</v>
      </c>
      <c r="D501" s="45"/>
      <c r="E501" s="79" t="s">
        <v>5215</v>
      </c>
      <c r="F501" s="79" t="s">
        <v>6047</v>
      </c>
      <c r="G501" s="45"/>
      <c r="H501" s="80">
        <v>0.04097</v>
      </c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</row>
    <row r="502">
      <c r="A502" s="79" t="s">
        <v>6969</v>
      </c>
      <c r="B502" s="45"/>
      <c r="C502" s="79" t="s">
        <v>6970</v>
      </c>
      <c r="D502" s="45"/>
      <c r="E502" s="79" t="s">
        <v>5855</v>
      </c>
      <c r="F502" s="79" t="s">
        <v>5936</v>
      </c>
      <c r="G502" s="45"/>
      <c r="H502" s="80">
        <v>0.04057</v>
      </c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</row>
    <row r="503">
      <c r="A503" s="79" t="s">
        <v>6971</v>
      </c>
      <c r="B503" s="45"/>
      <c r="C503" s="79" t="s">
        <v>6972</v>
      </c>
      <c r="D503" s="45"/>
      <c r="E503" s="79" t="s">
        <v>5229</v>
      </c>
      <c r="F503" s="79" t="s">
        <v>5967</v>
      </c>
      <c r="G503" s="45"/>
      <c r="H503" s="80">
        <v>0.04057</v>
      </c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</row>
    <row r="504">
      <c r="A504" s="79" t="s">
        <v>6973</v>
      </c>
      <c r="B504" s="45"/>
      <c r="C504" s="79" t="s">
        <v>6974</v>
      </c>
      <c r="D504" s="45"/>
      <c r="E504" s="79" t="s">
        <v>5276</v>
      </c>
      <c r="F504" s="79" t="s">
        <v>5936</v>
      </c>
      <c r="G504" s="45"/>
      <c r="H504" s="80">
        <v>0.04056</v>
      </c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</row>
    <row r="505">
      <c r="A505" s="79" t="s">
        <v>6975</v>
      </c>
      <c r="B505" s="45"/>
      <c r="C505" s="79" t="s">
        <v>6976</v>
      </c>
      <c r="D505" s="45"/>
      <c r="E505" s="79" t="s">
        <v>5241</v>
      </c>
      <c r="F505" s="79" t="s">
        <v>4424</v>
      </c>
      <c r="G505" s="45"/>
      <c r="H505" s="80">
        <v>0.04054</v>
      </c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</row>
    <row r="506">
      <c r="A506" s="79" t="s">
        <v>6977</v>
      </c>
      <c r="B506" s="45"/>
      <c r="C506" s="79" t="s">
        <v>6978</v>
      </c>
      <c r="D506" s="45"/>
      <c r="E506" s="79" t="s">
        <v>5238</v>
      </c>
      <c r="F506" s="79" t="s">
        <v>4175</v>
      </c>
      <c r="G506" s="45"/>
      <c r="H506" s="80">
        <v>0.04046</v>
      </c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</row>
    <row r="507">
      <c r="A507" s="79" t="s">
        <v>6979</v>
      </c>
      <c r="B507" s="45"/>
      <c r="C507" s="79" t="s">
        <v>6980</v>
      </c>
      <c r="D507" s="45"/>
      <c r="E507" s="79" t="s">
        <v>5215</v>
      </c>
      <c r="F507" s="79" t="s">
        <v>6204</v>
      </c>
      <c r="G507" s="45"/>
      <c r="H507" s="80">
        <v>0.04033</v>
      </c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</row>
    <row r="508">
      <c r="A508" s="79" t="s">
        <v>6981</v>
      </c>
      <c r="B508" s="45"/>
      <c r="C508" s="79" t="s">
        <v>6982</v>
      </c>
      <c r="D508" s="45"/>
      <c r="E508" s="79" t="s">
        <v>5357</v>
      </c>
      <c r="F508" s="79" t="s">
        <v>4424</v>
      </c>
      <c r="G508" s="45"/>
      <c r="H508" s="80">
        <v>0.04031</v>
      </c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</row>
    <row r="509">
      <c r="A509" s="79" t="s">
        <v>6983</v>
      </c>
      <c r="B509" s="45"/>
      <c r="C509" s="79" t="s">
        <v>6984</v>
      </c>
      <c r="D509" s="45"/>
      <c r="E509" s="79" t="s">
        <v>5650</v>
      </c>
      <c r="F509" s="79" t="s">
        <v>5924</v>
      </c>
      <c r="G509" s="45"/>
      <c r="H509" s="80">
        <v>0.04031</v>
      </c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</row>
    <row r="510">
      <c r="A510" s="79" t="s">
        <v>6985</v>
      </c>
      <c r="B510" s="45"/>
      <c r="C510" s="79" t="s">
        <v>6235</v>
      </c>
      <c r="D510" s="45"/>
      <c r="E510" s="79" t="s">
        <v>5215</v>
      </c>
      <c r="F510" s="79" t="s">
        <v>5944</v>
      </c>
      <c r="G510" s="45"/>
      <c r="H510" s="80">
        <v>0.04028</v>
      </c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</row>
    <row r="511">
      <c r="A511" s="79" t="s">
        <v>6986</v>
      </c>
      <c r="B511" s="45"/>
      <c r="C511" s="79" t="s">
        <v>6987</v>
      </c>
      <c r="D511" s="45"/>
      <c r="E511" s="79" t="s">
        <v>5561</v>
      </c>
      <c r="F511" s="79" t="s">
        <v>6988</v>
      </c>
      <c r="G511" s="45"/>
      <c r="H511" s="80">
        <v>0.04027</v>
      </c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</row>
    <row r="512">
      <c r="A512" s="79" t="s">
        <v>6989</v>
      </c>
      <c r="B512" s="45"/>
      <c r="C512" s="79" t="s">
        <v>6990</v>
      </c>
      <c r="D512" s="45"/>
      <c r="E512" s="79" t="s">
        <v>6238</v>
      </c>
      <c r="F512" s="79" t="s">
        <v>6204</v>
      </c>
      <c r="G512" s="45"/>
      <c r="H512" s="80">
        <v>0.04021</v>
      </c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</row>
    <row r="513">
      <c r="A513" s="79" t="s">
        <v>6991</v>
      </c>
      <c r="B513" s="45"/>
      <c r="C513" s="79" t="s">
        <v>6992</v>
      </c>
      <c r="D513" s="45"/>
      <c r="E513" s="79" t="s">
        <v>6009</v>
      </c>
      <c r="F513" s="79" t="s">
        <v>4340</v>
      </c>
      <c r="G513" s="45"/>
      <c r="H513" s="80">
        <v>0.04002</v>
      </c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</row>
    <row r="514">
      <c r="A514" s="79" t="s">
        <v>6993</v>
      </c>
      <c r="B514" s="45"/>
      <c r="C514" s="79" t="s">
        <v>6994</v>
      </c>
      <c r="D514" s="45"/>
      <c r="E514" s="79" t="s">
        <v>5211</v>
      </c>
      <c r="F514" s="79" t="s">
        <v>5983</v>
      </c>
      <c r="G514" s="45"/>
      <c r="H514" s="80">
        <v>0.03987</v>
      </c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</row>
    <row r="515">
      <c r="A515" s="79" t="s">
        <v>6995</v>
      </c>
      <c r="B515" s="45"/>
      <c r="C515" s="79" t="s">
        <v>6996</v>
      </c>
      <c r="D515" s="45"/>
      <c r="E515" s="79" t="s">
        <v>6115</v>
      </c>
      <c r="F515" s="79" t="s">
        <v>5936</v>
      </c>
      <c r="G515" s="45"/>
      <c r="H515" s="80">
        <v>0.03967</v>
      </c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</row>
    <row r="516">
      <c r="A516" s="79" t="s">
        <v>6997</v>
      </c>
      <c r="B516" s="45"/>
      <c r="C516" s="79" t="s">
        <v>6998</v>
      </c>
      <c r="D516" s="45"/>
      <c r="E516" s="79" t="s">
        <v>5964</v>
      </c>
      <c r="F516" s="79" t="s">
        <v>5927</v>
      </c>
      <c r="G516" s="45"/>
      <c r="H516" s="80">
        <v>0.03961</v>
      </c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</row>
    <row r="517">
      <c r="A517" s="79" t="s">
        <v>6999</v>
      </c>
      <c r="B517" s="45"/>
      <c r="C517" s="79" t="s">
        <v>7000</v>
      </c>
      <c r="D517" s="45"/>
      <c r="E517" s="79" t="s">
        <v>5961</v>
      </c>
      <c r="F517" s="79" t="s">
        <v>4340</v>
      </c>
      <c r="G517" s="45"/>
      <c r="H517" s="80">
        <v>0.03957</v>
      </c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</row>
    <row r="518">
      <c r="A518" s="79" t="s">
        <v>7001</v>
      </c>
      <c r="B518" s="45"/>
      <c r="C518" s="79" t="s">
        <v>7002</v>
      </c>
      <c r="D518" s="45"/>
      <c r="E518" s="79" t="s">
        <v>5756</v>
      </c>
      <c r="F518" s="79" t="s">
        <v>6047</v>
      </c>
      <c r="G518" s="45"/>
      <c r="H518" s="80">
        <v>0.03954</v>
      </c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</row>
    <row r="519">
      <c r="A519" s="79" t="s">
        <v>7003</v>
      </c>
      <c r="B519" s="45"/>
      <c r="C519" s="79" t="s">
        <v>7004</v>
      </c>
      <c r="D519" s="45"/>
      <c r="E519" s="79" t="s">
        <v>6475</v>
      </c>
      <c r="F519" s="79" t="s">
        <v>4340</v>
      </c>
      <c r="G519" s="45"/>
      <c r="H519" s="80">
        <v>0.03931</v>
      </c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</row>
    <row r="520">
      <c r="A520" s="79" t="s">
        <v>7005</v>
      </c>
      <c r="B520" s="45"/>
      <c r="C520" s="79" t="s">
        <v>7006</v>
      </c>
      <c r="D520" s="45"/>
      <c r="E520" s="79" t="s">
        <v>5211</v>
      </c>
      <c r="F520" s="79" t="s">
        <v>5983</v>
      </c>
      <c r="G520" s="45"/>
      <c r="H520" s="80">
        <v>0.0392</v>
      </c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</row>
    <row r="521">
      <c r="A521" s="79" t="s">
        <v>7007</v>
      </c>
      <c r="B521" s="45"/>
      <c r="C521" s="79" t="s">
        <v>7008</v>
      </c>
      <c r="D521" s="45"/>
      <c r="E521" s="79" t="s">
        <v>5682</v>
      </c>
      <c r="F521" s="79" t="s">
        <v>5936</v>
      </c>
      <c r="G521" s="45"/>
      <c r="H521" s="80">
        <v>0.03908</v>
      </c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</row>
    <row r="522">
      <c r="A522" s="79" t="s">
        <v>7009</v>
      </c>
      <c r="B522" s="45"/>
      <c r="C522" s="79" t="s">
        <v>7010</v>
      </c>
      <c r="D522" s="45"/>
      <c r="E522" s="79" t="s">
        <v>6416</v>
      </c>
      <c r="F522" s="79" t="s">
        <v>5970</v>
      </c>
      <c r="G522" s="45"/>
      <c r="H522" s="80">
        <v>0.03904</v>
      </c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</row>
    <row r="523">
      <c r="A523" s="79" t="s">
        <v>7011</v>
      </c>
      <c r="B523" s="45"/>
      <c r="C523" s="79" t="s">
        <v>7012</v>
      </c>
      <c r="D523" s="45"/>
      <c r="E523" s="79" t="s">
        <v>5215</v>
      </c>
      <c r="F523" s="79" t="s">
        <v>7013</v>
      </c>
      <c r="G523" s="45"/>
      <c r="H523" s="80">
        <v>0.03897</v>
      </c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</row>
    <row r="524">
      <c r="A524" s="79" t="s">
        <v>7014</v>
      </c>
      <c r="B524" s="45"/>
      <c r="C524" s="79" t="s">
        <v>7015</v>
      </c>
      <c r="D524" s="45"/>
      <c r="E524" s="79" t="s">
        <v>5338</v>
      </c>
      <c r="F524" s="79" t="s">
        <v>5986</v>
      </c>
      <c r="G524" s="45"/>
      <c r="H524" s="80">
        <v>0.03882</v>
      </c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</row>
    <row r="525">
      <c r="A525" s="79" t="s">
        <v>7016</v>
      </c>
      <c r="B525" s="45"/>
      <c r="C525" s="79" t="s">
        <v>7017</v>
      </c>
      <c r="D525" s="45"/>
      <c r="E525" s="79" t="s">
        <v>5215</v>
      </c>
      <c r="F525" s="79" t="s">
        <v>6137</v>
      </c>
      <c r="G525" s="45"/>
      <c r="H525" s="80">
        <v>0.03879</v>
      </c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</row>
    <row r="526">
      <c r="A526" s="79" t="s">
        <v>7018</v>
      </c>
      <c r="B526" s="45"/>
      <c r="C526" s="79" t="s">
        <v>7019</v>
      </c>
      <c r="D526" s="45"/>
      <c r="E526" s="79" t="s">
        <v>5218</v>
      </c>
      <c r="F526" s="79" t="s">
        <v>5936</v>
      </c>
      <c r="G526" s="45"/>
      <c r="H526" s="80">
        <v>0.03861</v>
      </c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</row>
    <row r="527">
      <c r="A527" s="79" t="s">
        <v>7020</v>
      </c>
      <c r="B527" s="45"/>
      <c r="C527" s="79" t="s">
        <v>7021</v>
      </c>
      <c r="D527" s="45"/>
      <c r="E527" s="79" t="s">
        <v>5316</v>
      </c>
      <c r="F527" s="79" t="s">
        <v>6137</v>
      </c>
      <c r="G527" s="45"/>
      <c r="H527" s="80">
        <v>0.0385</v>
      </c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</row>
    <row r="528">
      <c r="A528" s="79" t="s">
        <v>7022</v>
      </c>
      <c r="B528" s="45"/>
      <c r="C528" s="79" t="s">
        <v>7023</v>
      </c>
      <c r="D528" s="45"/>
      <c r="E528" s="79" t="s">
        <v>5578</v>
      </c>
      <c r="F528" s="79" t="s">
        <v>5936</v>
      </c>
      <c r="G528" s="45"/>
      <c r="H528" s="80">
        <v>0.03845</v>
      </c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</row>
    <row r="529">
      <c r="A529" s="79" t="s">
        <v>7024</v>
      </c>
      <c r="B529" s="45"/>
      <c r="C529" s="79" t="s">
        <v>7025</v>
      </c>
      <c r="D529" s="45"/>
      <c r="E529" s="79" t="s">
        <v>5215</v>
      </c>
      <c r="F529" s="79" t="s">
        <v>5924</v>
      </c>
      <c r="G529" s="45"/>
      <c r="H529" s="80">
        <v>0.03841</v>
      </c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</row>
    <row r="530">
      <c r="A530" s="79" t="s">
        <v>7026</v>
      </c>
      <c r="B530" s="45"/>
      <c r="C530" s="79" t="s">
        <v>7027</v>
      </c>
      <c r="D530" s="45"/>
      <c r="E530" s="79" t="s">
        <v>5357</v>
      </c>
      <c r="F530" s="79" t="s">
        <v>6047</v>
      </c>
      <c r="G530" s="45"/>
      <c r="H530" s="80">
        <v>0.03811</v>
      </c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</row>
    <row r="531">
      <c r="A531" s="79" t="s">
        <v>7028</v>
      </c>
      <c r="B531" s="45"/>
      <c r="C531" s="79" t="s">
        <v>7029</v>
      </c>
      <c r="D531" s="45"/>
      <c r="E531" s="79" t="s">
        <v>5650</v>
      </c>
      <c r="F531" s="79" t="s">
        <v>5924</v>
      </c>
      <c r="G531" s="45"/>
      <c r="H531" s="80">
        <v>0.03808</v>
      </c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</row>
    <row r="532">
      <c r="A532" s="79" t="s">
        <v>7030</v>
      </c>
      <c r="B532" s="45"/>
      <c r="C532" s="79" t="s">
        <v>7031</v>
      </c>
      <c r="D532" s="45"/>
      <c r="E532" s="79" t="s">
        <v>6191</v>
      </c>
      <c r="F532" s="79" t="s">
        <v>5944</v>
      </c>
      <c r="G532" s="45"/>
      <c r="H532" s="80">
        <v>0.03801</v>
      </c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</row>
    <row r="533">
      <c r="A533" s="79" t="s">
        <v>7032</v>
      </c>
      <c r="B533" s="45"/>
      <c r="C533" s="79" t="s">
        <v>7033</v>
      </c>
      <c r="D533" s="45"/>
      <c r="E533" s="79" t="s">
        <v>5501</v>
      </c>
      <c r="F533" s="79" t="s">
        <v>5936</v>
      </c>
      <c r="G533" s="45"/>
      <c r="H533" s="80">
        <v>0.0379</v>
      </c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</row>
    <row r="534">
      <c r="A534" s="79" t="s">
        <v>7034</v>
      </c>
      <c r="B534" s="45"/>
      <c r="C534" s="79" t="s">
        <v>7035</v>
      </c>
      <c r="D534" s="45"/>
      <c r="E534" s="79" t="s">
        <v>5215</v>
      </c>
      <c r="F534" s="79" t="s">
        <v>6027</v>
      </c>
      <c r="G534" s="45"/>
      <c r="H534" s="80">
        <v>0.03787</v>
      </c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</row>
    <row r="535">
      <c r="A535" s="79" t="s">
        <v>7036</v>
      </c>
      <c r="B535" s="45"/>
      <c r="C535" s="79" t="s">
        <v>7037</v>
      </c>
      <c r="D535" s="45"/>
      <c r="E535" s="79" t="s">
        <v>5249</v>
      </c>
      <c r="F535" s="79" t="s">
        <v>5970</v>
      </c>
      <c r="G535" s="45"/>
      <c r="H535" s="80">
        <v>0.03782</v>
      </c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</row>
    <row r="536">
      <c r="A536" s="79" t="s">
        <v>7038</v>
      </c>
      <c r="B536" s="45"/>
      <c r="C536" s="79" t="s">
        <v>7039</v>
      </c>
      <c r="D536" s="45"/>
      <c r="E536" s="79" t="s">
        <v>5478</v>
      </c>
      <c r="F536" s="79" t="s">
        <v>5924</v>
      </c>
      <c r="G536" s="45"/>
      <c r="H536" s="80">
        <v>0.03772</v>
      </c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</row>
    <row r="537">
      <c r="A537" s="79" t="s">
        <v>7040</v>
      </c>
      <c r="B537" s="45"/>
      <c r="C537" s="79" t="s">
        <v>7041</v>
      </c>
      <c r="D537" s="45"/>
      <c r="E537" s="79" t="s">
        <v>6475</v>
      </c>
      <c r="F537" s="79" t="s">
        <v>5927</v>
      </c>
      <c r="G537" s="45"/>
      <c r="H537" s="80">
        <v>0.03749</v>
      </c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</row>
    <row r="538">
      <c r="A538" s="79" t="s">
        <v>7042</v>
      </c>
      <c r="B538" s="45"/>
      <c r="C538" s="79" t="s">
        <v>7043</v>
      </c>
      <c r="D538" s="45"/>
      <c r="E538" s="79" t="s">
        <v>5978</v>
      </c>
      <c r="F538" s="79" t="s">
        <v>6555</v>
      </c>
      <c r="G538" s="45"/>
      <c r="H538" s="80">
        <v>0.03747</v>
      </c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</row>
    <row r="539">
      <c r="A539" s="79" t="s">
        <v>7044</v>
      </c>
      <c r="B539" s="45"/>
      <c r="C539" s="79" t="s">
        <v>7045</v>
      </c>
      <c r="D539" s="45"/>
      <c r="E539" s="79" t="s">
        <v>5964</v>
      </c>
      <c r="F539" s="79" t="s">
        <v>6217</v>
      </c>
      <c r="G539" s="45"/>
      <c r="H539" s="80">
        <v>0.0374</v>
      </c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</row>
    <row r="540">
      <c r="A540" s="79" t="s">
        <v>7046</v>
      </c>
      <c r="B540" s="45"/>
      <c r="C540" s="79" t="s">
        <v>7047</v>
      </c>
      <c r="D540" s="45"/>
      <c r="E540" s="79" t="s">
        <v>6801</v>
      </c>
      <c r="F540" s="79" t="s">
        <v>4340</v>
      </c>
      <c r="G540" s="45"/>
      <c r="H540" s="80">
        <v>0.03736</v>
      </c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</row>
    <row r="541">
      <c r="A541" s="79" t="s">
        <v>7048</v>
      </c>
      <c r="B541" s="45"/>
      <c r="C541" s="79" t="s">
        <v>7049</v>
      </c>
      <c r="D541" s="45"/>
      <c r="E541" s="79" t="s">
        <v>5978</v>
      </c>
      <c r="F541" s="79" t="s">
        <v>5944</v>
      </c>
      <c r="G541" s="45"/>
      <c r="H541" s="80">
        <v>0.03735</v>
      </c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</row>
    <row r="542">
      <c r="A542" s="79" t="s">
        <v>7050</v>
      </c>
      <c r="B542" s="45"/>
      <c r="C542" s="79" t="s">
        <v>7051</v>
      </c>
      <c r="D542" s="45"/>
      <c r="E542" s="79" t="s">
        <v>5650</v>
      </c>
      <c r="F542" s="79" t="s">
        <v>5924</v>
      </c>
      <c r="G542" s="45"/>
      <c r="H542" s="80">
        <v>0.03735</v>
      </c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</row>
    <row r="543">
      <c r="A543" s="79" t="s">
        <v>7052</v>
      </c>
      <c r="B543" s="45"/>
      <c r="C543" s="79" t="s">
        <v>7053</v>
      </c>
      <c r="D543" s="45"/>
      <c r="E543" s="79" t="s">
        <v>5218</v>
      </c>
      <c r="F543" s="79" t="s">
        <v>5983</v>
      </c>
      <c r="G543" s="45"/>
      <c r="H543" s="80">
        <v>0.03726</v>
      </c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</row>
    <row r="544">
      <c r="A544" s="79" t="s">
        <v>7054</v>
      </c>
      <c r="B544" s="45"/>
      <c r="C544" s="79" t="s">
        <v>7055</v>
      </c>
      <c r="D544" s="45"/>
      <c r="E544" s="79" t="s">
        <v>6630</v>
      </c>
      <c r="F544" s="79" t="s">
        <v>6220</v>
      </c>
      <c r="G544" s="45"/>
      <c r="H544" s="80">
        <v>0.03709</v>
      </c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</row>
    <row r="545">
      <c r="A545" s="79" t="s">
        <v>7056</v>
      </c>
      <c r="B545" s="45"/>
      <c r="C545" s="79" t="s">
        <v>7057</v>
      </c>
      <c r="D545" s="45"/>
      <c r="E545" s="79" t="s">
        <v>5261</v>
      </c>
      <c r="F545" s="79" t="s">
        <v>4340</v>
      </c>
      <c r="G545" s="45"/>
      <c r="H545" s="80">
        <v>0.0367</v>
      </c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</row>
    <row r="546">
      <c r="A546" s="79" t="s">
        <v>7058</v>
      </c>
      <c r="B546" s="45"/>
      <c r="C546" s="79" t="s">
        <v>7059</v>
      </c>
      <c r="D546" s="45"/>
      <c r="E546" s="79" t="s">
        <v>5459</v>
      </c>
      <c r="F546" s="79" t="s">
        <v>5986</v>
      </c>
      <c r="G546" s="45"/>
      <c r="H546" s="80">
        <v>0.03657</v>
      </c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</row>
    <row r="547">
      <c r="A547" s="79" t="s">
        <v>7060</v>
      </c>
      <c r="B547" s="45"/>
      <c r="C547" s="79" t="s">
        <v>7061</v>
      </c>
      <c r="D547" s="45"/>
      <c r="E547" s="79" t="s">
        <v>5235</v>
      </c>
      <c r="F547" s="79" t="s">
        <v>4424</v>
      </c>
      <c r="G547" s="45"/>
      <c r="H547" s="80">
        <v>0.03651</v>
      </c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</row>
    <row r="548">
      <c r="A548" s="79" t="s">
        <v>7062</v>
      </c>
      <c r="B548" s="45"/>
      <c r="C548" s="79" t="s">
        <v>7063</v>
      </c>
      <c r="D548" s="45"/>
      <c r="E548" s="79" t="s">
        <v>6009</v>
      </c>
      <c r="F548" s="79" t="s">
        <v>5927</v>
      </c>
      <c r="G548" s="45"/>
      <c r="H548" s="80">
        <v>0.0365</v>
      </c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</row>
    <row r="549">
      <c r="A549" s="79" t="s">
        <v>7064</v>
      </c>
      <c r="B549" s="45"/>
      <c r="C549" s="79" t="s">
        <v>7065</v>
      </c>
      <c r="D549" s="45"/>
      <c r="E549" s="79" t="s">
        <v>5811</v>
      </c>
      <c r="F549" s="79" t="s">
        <v>5924</v>
      </c>
      <c r="G549" s="45"/>
      <c r="H549" s="80">
        <v>0.03645</v>
      </c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</row>
    <row r="550">
      <c r="A550" s="79" t="s">
        <v>7066</v>
      </c>
      <c r="B550" s="45"/>
      <c r="C550" s="79" t="s">
        <v>7067</v>
      </c>
      <c r="D550" s="45"/>
      <c r="E550" s="79" t="s">
        <v>5215</v>
      </c>
      <c r="F550" s="79" t="s">
        <v>5936</v>
      </c>
      <c r="G550" s="45"/>
      <c r="H550" s="80">
        <v>0.03633</v>
      </c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</row>
    <row r="551">
      <c r="A551" s="79" t="s">
        <v>7068</v>
      </c>
      <c r="B551" s="45"/>
      <c r="C551" s="79" t="s">
        <v>7069</v>
      </c>
      <c r="D551" s="45"/>
      <c r="E551" s="79" t="s">
        <v>6223</v>
      </c>
      <c r="F551" s="79" t="s">
        <v>4340</v>
      </c>
      <c r="G551" s="45"/>
      <c r="H551" s="80">
        <v>0.03633</v>
      </c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</row>
    <row r="552">
      <c r="A552" s="79" t="s">
        <v>7070</v>
      </c>
      <c r="B552" s="45"/>
      <c r="C552" s="79" t="s">
        <v>7071</v>
      </c>
      <c r="D552" s="45"/>
      <c r="E552" s="79" t="s">
        <v>5735</v>
      </c>
      <c r="F552" s="79" t="s">
        <v>6204</v>
      </c>
      <c r="G552" s="45"/>
      <c r="H552" s="80">
        <v>0.03623</v>
      </c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</row>
    <row r="553">
      <c r="A553" s="79" t="s">
        <v>7072</v>
      </c>
      <c r="B553" s="45"/>
      <c r="C553" s="79" t="s">
        <v>7073</v>
      </c>
      <c r="D553" s="45"/>
      <c r="E553" s="79" t="s">
        <v>5218</v>
      </c>
      <c r="F553" s="79" t="s">
        <v>5936</v>
      </c>
      <c r="G553" s="45"/>
      <c r="H553" s="80">
        <v>0.03607</v>
      </c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</row>
    <row r="554">
      <c r="A554" s="79" t="s">
        <v>7074</v>
      </c>
      <c r="B554" s="45"/>
      <c r="C554" s="79" t="s">
        <v>7075</v>
      </c>
      <c r="D554" s="45"/>
      <c r="E554" s="79" t="s">
        <v>5357</v>
      </c>
      <c r="F554" s="79" t="s">
        <v>4340</v>
      </c>
      <c r="G554" s="45"/>
      <c r="H554" s="80">
        <v>0.03602</v>
      </c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</row>
    <row r="555">
      <c r="A555" s="79" t="s">
        <v>7076</v>
      </c>
      <c r="B555" s="45"/>
      <c r="C555" s="79" t="s">
        <v>7077</v>
      </c>
      <c r="D555" s="45"/>
      <c r="E555" s="79" t="s">
        <v>5229</v>
      </c>
      <c r="F555" s="79" t="s">
        <v>5944</v>
      </c>
      <c r="G555" s="45"/>
      <c r="H555" s="80">
        <v>0.03601</v>
      </c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</row>
    <row r="556">
      <c r="A556" s="79" t="s">
        <v>7078</v>
      </c>
      <c r="B556" s="45"/>
      <c r="C556" s="79" t="s">
        <v>7079</v>
      </c>
      <c r="D556" s="45"/>
      <c r="E556" s="79" t="s">
        <v>5348</v>
      </c>
      <c r="F556" s="79" t="s">
        <v>5927</v>
      </c>
      <c r="G556" s="45"/>
      <c r="H556" s="80">
        <v>0.03593</v>
      </c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</row>
    <row r="557">
      <c r="A557" s="79" t="s">
        <v>7080</v>
      </c>
      <c r="B557" s="45"/>
      <c r="C557" s="79" t="s">
        <v>7081</v>
      </c>
      <c r="D557" s="45"/>
      <c r="E557" s="79" t="s">
        <v>5211</v>
      </c>
      <c r="F557" s="79" t="s">
        <v>5936</v>
      </c>
      <c r="G557" s="45"/>
      <c r="H557" s="80">
        <v>0.03584</v>
      </c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</row>
    <row r="558">
      <c r="A558" s="79" t="s">
        <v>7082</v>
      </c>
      <c r="B558" s="45"/>
      <c r="C558" s="79" t="s">
        <v>7083</v>
      </c>
      <c r="D558" s="45"/>
      <c r="E558" s="79" t="s">
        <v>5456</v>
      </c>
      <c r="F558" s="79" t="s">
        <v>6050</v>
      </c>
      <c r="G558" s="45"/>
      <c r="H558" s="80">
        <v>0.03583</v>
      </c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</row>
    <row r="559">
      <c r="A559" s="79" t="s">
        <v>7084</v>
      </c>
      <c r="B559" s="45"/>
      <c r="C559" s="79" t="s">
        <v>7085</v>
      </c>
      <c r="D559" s="45"/>
      <c r="E559" s="79" t="s">
        <v>5756</v>
      </c>
      <c r="F559" s="79" t="s">
        <v>5924</v>
      </c>
      <c r="G559" s="45"/>
      <c r="H559" s="80">
        <v>0.03579</v>
      </c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</row>
    <row r="560">
      <c r="A560" s="79" t="s">
        <v>7086</v>
      </c>
      <c r="B560" s="45"/>
      <c r="C560" s="79" t="s">
        <v>7087</v>
      </c>
      <c r="D560" s="45"/>
      <c r="E560" s="79" t="s">
        <v>6012</v>
      </c>
      <c r="F560" s="79" t="s">
        <v>5927</v>
      </c>
      <c r="G560" s="45"/>
      <c r="H560" s="80">
        <v>0.03571</v>
      </c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</row>
    <row r="561">
      <c r="A561" s="79" t="s">
        <v>7088</v>
      </c>
      <c r="B561" s="45"/>
      <c r="C561" s="79" t="s">
        <v>7089</v>
      </c>
      <c r="D561" s="45"/>
      <c r="E561" s="79" t="s">
        <v>5258</v>
      </c>
      <c r="F561" s="79" t="s">
        <v>5970</v>
      </c>
      <c r="G561" s="45"/>
      <c r="H561" s="80">
        <v>0.03569</v>
      </c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</row>
    <row r="562">
      <c r="A562" s="79" t="s">
        <v>7090</v>
      </c>
      <c r="B562" s="45"/>
      <c r="C562" s="79" t="s">
        <v>7091</v>
      </c>
      <c r="D562" s="45"/>
      <c r="E562" s="79" t="s">
        <v>5246</v>
      </c>
      <c r="F562" s="79" t="s">
        <v>5936</v>
      </c>
      <c r="G562" s="45"/>
      <c r="H562" s="80">
        <v>0.03555</v>
      </c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</row>
    <row r="563">
      <c r="A563" s="79" t="s">
        <v>7092</v>
      </c>
      <c r="B563" s="45"/>
      <c r="C563" s="79" t="s">
        <v>7093</v>
      </c>
      <c r="D563" s="45"/>
      <c r="E563" s="79" t="s">
        <v>5478</v>
      </c>
      <c r="F563" s="79" t="s">
        <v>5927</v>
      </c>
      <c r="G563" s="45"/>
      <c r="H563" s="80">
        <v>0.03553</v>
      </c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</row>
    <row r="564">
      <c r="A564" s="79" t="s">
        <v>7094</v>
      </c>
      <c r="B564" s="45"/>
      <c r="C564" s="79" t="s">
        <v>7095</v>
      </c>
      <c r="D564" s="45"/>
      <c r="E564" s="79" t="s">
        <v>6191</v>
      </c>
      <c r="F564" s="79" t="s">
        <v>5936</v>
      </c>
      <c r="G564" s="45"/>
      <c r="H564" s="80">
        <v>0.03553</v>
      </c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</row>
    <row r="565">
      <c r="A565" s="79" t="s">
        <v>7096</v>
      </c>
      <c r="B565" s="45"/>
      <c r="C565" s="79" t="s">
        <v>7097</v>
      </c>
      <c r="D565" s="45"/>
      <c r="E565" s="79" t="s">
        <v>7098</v>
      </c>
      <c r="F565" s="79" t="s">
        <v>5936</v>
      </c>
      <c r="G565" s="45"/>
      <c r="H565" s="80">
        <v>0.03551</v>
      </c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</row>
    <row r="566">
      <c r="A566" s="79" t="s">
        <v>7099</v>
      </c>
      <c r="B566" s="45"/>
      <c r="C566" s="79" t="s">
        <v>7100</v>
      </c>
      <c r="D566" s="45"/>
      <c r="E566" s="79" t="s">
        <v>5589</v>
      </c>
      <c r="F566" s="79" t="s">
        <v>5983</v>
      </c>
      <c r="G566" s="45"/>
      <c r="H566" s="80">
        <v>0.03548</v>
      </c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</row>
    <row r="567">
      <c r="A567" s="79" t="s">
        <v>7101</v>
      </c>
      <c r="B567" s="45"/>
      <c r="C567" s="79" t="s">
        <v>7102</v>
      </c>
      <c r="D567" s="45"/>
      <c r="E567" s="79" t="s">
        <v>5366</v>
      </c>
      <c r="F567" s="79" t="s">
        <v>5967</v>
      </c>
      <c r="G567" s="45"/>
      <c r="H567" s="80">
        <v>0.03545</v>
      </c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</row>
    <row r="568">
      <c r="A568" s="79" t="s">
        <v>7103</v>
      </c>
      <c r="B568" s="45"/>
      <c r="C568" s="79" t="s">
        <v>7104</v>
      </c>
      <c r="D568" s="45"/>
      <c r="E568" s="79" t="s">
        <v>5377</v>
      </c>
      <c r="F568" s="79" t="s">
        <v>5944</v>
      </c>
      <c r="G568" s="45"/>
      <c r="H568" s="80">
        <v>0.03544</v>
      </c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</row>
    <row r="569">
      <c r="A569" s="79" t="s">
        <v>7105</v>
      </c>
      <c r="B569" s="45"/>
      <c r="C569" s="79" t="s">
        <v>7106</v>
      </c>
      <c r="D569" s="45"/>
      <c r="E569" s="79" t="s">
        <v>5218</v>
      </c>
      <c r="F569" s="79" t="s">
        <v>5936</v>
      </c>
      <c r="G569" s="45"/>
      <c r="H569" s="80">
        <v>0.03542</v>
      </c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</row>
    <row r="570">
      <c r="A570" s="79" t="s">
        <v>7107</v>
      </c>
      <c r="B570" s="45"/>
      <c r="C570" s="79" t="s">
        <v>7108</v>
      </c>
      <c r="D570" s="45"/>
      <c r="E570" s="79" t="s">
        <v>5561</v>
      </c>
      <c r="F570" s="79" t="s">
        <v>6220</v>
      </c>
      <c r="G570" s="45"/>
      <c r="H570" s="80">
        <v>0.03539</v>
      </c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</row>
    <row r="571">
      <c r="A571" s="79" t="s">
        <v>7109</v>
      </c>
      <c r="B571" s="45"/>
      <c r="C571" s="79" t="s">
        <v>7110</v>
      </c>
      <c r="D571" s="45"/>
      <c r="E571" s="79" t="s">
        <v>5561</v>
      </c>
      <c r="F571" s="79" t="s">
        <v>5927</v>
      </c>
      <c r="G571" s="45"/>
      <c r="H571" s="80">
        <v>0.03511</v>
      </c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</row>
    <row r="572">
      <c r="A572" s="79" t="s">
        <v>7111</v>
      </c>
      <c r="B572" s="45"/>
      <c r="C572" s="79" t="s">
        <v>7112</v>
      </c>
      <c r="D572" s="45"/>
      <c r="E572" s="79" t="s">
        <v>5561</v>
      </c>
      <c r="F572" s="79" t="s">
        <v>5967</v>
      </c>
      <c r="G572" s="45"/>
      <c r="H572" s="80">
        <v>0.03493</v>
      </c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</row>
    <row r="573">
      <c r="A573" s="79" t="s">
        <v>7113</v>
      </c>
      <c r="B573" s="45"/>
      <c r="C573" s="79" t="s">
        <v>7114</v>
      </c>
      <c r="D573" s="45"/>
      <c r="E573" s="79" t="s">
        <v>5235</v>
      </c>
      <c r="F573" s="79" t="s">
        <v>6047</v>
      </c>
      <c r="G573" s="45"/>
      <c r="H573" s="80">
        <v>0.03467</v>
      </c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</row>
    <row r="574">
      <c r="A574" s="79" t="s">
        <v>7115</v>
      </c>
      <c r="B574" s="45"/>
      <c r="C574" s="79" t="s">
        <v>7116</v>
      </c>
      <c r="D574" s="45"/>
      <c r="E574" s="79" t="s">
        <v>6172</v>
      </c>
      <c r="F574" s="79" t="s">
        <v>4340</v>
      </c>
      <c r="G574" s="45"/>
      <c r="H574" s="80">
        <v>0.03458</v>
      </c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</row>
    <row r="575">
      <c r="A575" s="79" t="s">
        <v>7117</v>
      </c>
      <c r="B575" s="45"/>
      <c r="C575" s="79" t="s">
        <v>7118</v>
      </c>
      <c r="D575" s="45"/>
      <c r="E575" s="79" t="s">
        <v>5682</v>
      </c>
      <c r="F575" s="79" t="s">
        <v>5944</v>
      </c>
      <c r="G575" s="45"/>
      <c r="H575" s="80">
        <v>0.03454</v>
      </c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</row>
    <row r="576">
      <c r="A576" s="79" t="s">
        <v>7119</v>
      </c>
      <c r="B576" s="45"/>
      <c r="C576" s="79" t="s">
        <v>7120</v>
      </c>
      <c r="D576" s="45"/>
      <c r="E576" s="79" t="s">
        <v>5374</v>
      </c>
      <c r="F576" s="79" t="s">
        <v>5936</v>
      </c>
      <c r="G576" s="45"/>
      <c r="H576" s="80">
        <v>0.03451</v>
      </c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</row>
    <row r="577">
      <c r="A577" s="79" t="s">
        <v>7121</v>
      </c>
      <c r="B577" s="45"/>
      <c r="C577" s="79" t="s">
        <v>7122</v>
      </c>
      <c r="D577" s="45"/>
      <c r="E577" s="79" t="s">
        <v>5271</v>
      </c>
      <c r="F577" s="79" t="s">
        <v>5936</v>
      </c>
      <c r="G577" s="45"/>
      <c r="H577" s="80">
        <v>0.03442</v>
      </c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</row>
    <row r="578">
      <c r="A578" s="79" t="s">
        <v>7123</v>
      </c>
      <c r="B578" s="45"/>
      <c r="C578" s="79" t="s">
        <v>7124</v>
      </c>
      <c r="D578" s="45"/>
      <c r="E578" s="79" t="s">
        <v>5561</v>
      </c>
      <c r="F578" s="79" t="s">
        <v>5936</v>
      </c>
      <c r="G578" s="45"/>
      <c r="H578" s="80">
        <v>0.03432</v>
      </c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</row>
    <row r="579">
      <c r="A579" s="79" t="s">
        <v>7125</v>
      </c>
      <c r="B579" s="45"/>
      <c r="C579" s="79" t="s">
        <v>7126</v>
      </c>
      <c r="D579" s="45"/>
      <c r="E579" s="79" t="s">
        <v>5390</v>
      </c>
      <c r="F579" s="79" t="s">
        <v>5927</v>
      </c>
      <c r="G579" s="45"/>
      <c r="H579" s="80">
        <v>0.03427</v>
      </c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</row>
    <row r="580">
      <c r="A580" s="79" t="s">
        <v>7127</v>
      </c>
      <c r="B580" s="45"/>
      <c r="C580" s="79" t="s">
        <v>7128</v>
      </c>
      <c r="D580" s="45"/>
      <c r="E580" s="79" t="s">
        <v>5338</v>
      </c>
      <c r="F580" s="79" t="s">
        <v>5944</v>
      </c>
      <c r="G580" s="45"/>
      <c r="H580" s="80">
        <v>0.03425</v>
      </c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</row>
    <row r="581">
      <c r="A581" s="79" t="s">
        <v>7129</v>
      </c>
      <c r="B581" s="45"/>
      <c r="C581" s="79" t="s">
        <v>7130</v>
      </c>
      <c r="D581" s="45"/>
      <c r="E581" s="79" t="s">
        <v>6191</v>
      </c>
      <c r="F581" s="79" t="s">
        <v>4424</v>
      </c>
      <c r="G581" s="45"/>
      <c r="H581" s="80">
        <v>0.03415</v>
      </c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</row>
    <row r="582">
      <c r="A582" s="79" t="s">
        <v>7131</v>
      </c>
      <c r="B582" s="45"/>
      <c r="C582" s="79" t="s">
        <v>7132</v>
      </c>
      <c r="D582" s="45"/>
      <c r="E582" s="79" t="s">
        <v>5756</v>
      </c>
      <c r="F582" s="79" t="s">
        <v>4340</v>
      </c>
      <c r="G582" s="45"/>
      <c r="H582" s="80">
        <v>0.03411</v>
      </c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</row>
    <row r="583">
      <c r="A583" s="79" t="s">
        <v>7133</v>
      </c>
      <c r="B583" s="45"/>
      <c r="C583" s="79" t="s">
        <v>7134</v>
      </c>
      <c r="D583" s="45"/>
      <c r="E583" s="79" t="s">
        <v>5241</v>
      </c>
      <c r="F583" s="79" t="s">
        <v>5936</v>
      </c>
      <c r="G583" s="45"/>
      <c r="H583" s="80">
        <v>0.03404</v>
      </c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</row>
    <row r="584">
      <c r="A584" s="79" t="s">
        <v>7135</v>
      </c>
      <c r="B584" s="45"/>
      <c r="C584" s="79" t="s">
        <v>7136</v>
      </c>
      <c r="D584" s="45"/>
      <c r="E584" s="79" t="s">
        <v>5589</v>
      </c>
      <c r="F584" s="79" t="s">
        <v>6204</v>
      </c>
      <c r="G584" s="45"/>
      <c r="H584" s="80">
        <v>0.03404</v>
      </c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</row>
    <row r="585">
      <c r="A585" s="79" t="s">
        <v>7137</v>
      </c>
      <c r="B585" s="45"/>
      <c r="C585" s="79" t="s">
        <v>7138</v>
      </c>
      <c r="D585" s="45"/>
      <c r="E585" s="79" t="s">
        <v>5218</v>
      </c>
      <c r="F585" s="79" t="s">
        <v>5927</v>
      </c>
      <c r="G585" s="45"/>
      <c r="H585" s="80">
        <v>0.03402</v>
      </c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</row>
    <row r="586">
      <c r="A586" s="79" t="s">
        <v>7139</v>
      </c>
      <c r="B586" s="45"/>
      <c r="C586" s="79" t="s">
        <v>7140</v>
      </c>
      <c r="D586" s="45"/>
      <c r="E586" s="79" t="s">
        <v>5366</v>
      </c>
      <c r="F586" s="79" t="s">
        <v>5944</v>
      </c>
      <c r="G586" s="45"/>
      <c r="H586" s="80">
        <v>0.03399</v>
      </c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</row>
    <row r="587">
      <c r="A587" s="79" t="s">
        <v>7141</v>
      </c>
      <c r="B587" s="45"/>
      <c r="C587" s="79" t="s">
        <v>7142</v>
      </c>
      <c r="D587" s="45"/>
      <c r="E587" s="79" t="s">
        <v>5246</v>
      </c>
      <c r="F587" s="79" t="s">
        <v>4340</v>
      </c>
      <c r="G587" s="45"/>
      <c r="H587" s="80">
        <v>0.03393</v>
      </c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</row>
    <row r="588">
      <c r="A588" s="79" t="s">
        <v>7143</v>
      </c>
      <c r="B588" s="45"/>
      <c r="C588" s="79" t="s">
        <v>7144</v>
      </c>
      <c r="D588" s="45"/>
      <c r="E588" s="79" t="s">
        <v>5390</v>
      </c>
      <c r="F588" s="79" t="s">
        <v>4340</v>
      </c>
      <c r="G588" s="45"/>
      <c r="H588" s="80">
        <v>0.03386</v>
      </c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</row>
    <row r="589">
      <c r="A589" s="79" t="s">
        <v>7145</v>
      </c>
      <c r="B589" s="45"/>
      <c r="C589" s="79" t="s">
        <v>7146</v>
      </c>
      <c r="D589" s="45"/>
      <c r="E589" s="79" t="s">
        <v>5215</v>
      </c>
      <c r="F589" s="79" t="s">
        <v>5936</v>
      </c>
      <c r="G589" s="45"/>
      <c r="H589" s="80">
        <v>0.0338</v>
      </c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</row>
    <row r="590">
      <c r="A590" s="79" t="s">
        <v>7147</v>
      </c>
      <c r="B590" s="45"/>
      <c r="C590" s="79" t="s">
        <v>7148</v>
      </c>
      <c r="D590" s="45"/>
      <c r="E590" s="79" t="s">
        <v>5366</v>
      </c>
      <c r="F590" s="79" t="s">
        <v>6047</v>
      </c>
      <c r="G590" s="45"/>
      <c r="H590" s="80">
        <v>0.03372</v>
      </c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</row>
    <row r="591">
      <c r="A591" s="79" t="s">
        <v>7149</v>
      </c>
      <c r="B591" s="45"/>
      <c r="C591" s="79" t="s">
        <v>7150</v>
      </c>
      <c r="D591" s="45"/>
      <c r="E591" s="79" t="s">
        <v>5366</v>
      </c>
      <c r="F591" s="79" t="s">
        <v>6204</v>
      </c>
      <c r="G591" s="45"/>
      <c r="H591" s="80">
        <v>0.03355</v>
      </c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</row>
    <row r="592">
      <c r="A592" s="79" t="s">
        <v>7151</v>
      </c>
      <c r="B592" s="45"/>
      <c r="C592" s="79" t="s">
        <v>7152</v>
      </c>
      <c r="D592" s="45"/>
      <c r="E592" s="79" t="s">
        <v>5351</v>
      </c>
      <c r="F592" s="79" t="s">
        <v>5944</v>
      </c>
      <c r="G592" s="45"/>
      <c r="H592" s="80">
        <v>0.03346</v>
      </c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</row>
    <row r="593">
      <c r="A593" s="79" t="s">
        <v>7153</v>
      </c>
      <c r="B593" s="45"/>
      <c r="C593" s="79" t="s">
        <v>7154</v>
      </c>
      <c r="D593" s="45"/>
      <c r="E593" s="79" t="s">
        <v>5550</v>
      </c>
      <c r="F593" s="79" t="s">
        <v>6137</v>
      </c>
      <c r="G593" s="45"/>
      <c r="H593" s="80">
        <v>0.03344</v>
      </c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</row>
    <row r="594">
      <c r="A594" s="79" t="s">
        <v>7155</v>
      </c>
      <c r="B594" s="45"/>
      <c r="C594" s="79" t="s">
        <v>7156</v>
      </c>
      <c r="D594" s="45"/>
      <c r="E594" s="79" t="s">
        <v>5407</v>
      </c>
      <c r="F594" s="79" t="s">
        <v>5967</v>
      </c>
      <c r="G594" s="45"/>
      <c r="H594" s="80">
        <v>0.03341</v>
      </c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</row>
    <row r="595">
      <c r="A595" s="79" t="s">
        <v>7157</v>
      </c>
      <c r="B595" s="45"/>
      <c r="C595" s="79" t="s">
        <v>7158</v>
      </c>
      <c r="D595" s="45"/>
      <c r="E595" s="79" t="s">
        <v>5218</v>
      </c>
      <c r="F595" s="79" t="s">
        <v>5944</v>
      </c>
      <c r="G595" s="45"/>
      <c r="H595" s="80">
        <v>0.03334</v>
      </c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</row>
    <row r="596">
      <c r="A596" s="79" t="s">
        <v>7159</v>
      </c>
      <c r="B596" s="45"/>
      <c r="C596" s="79" t="s">
        <v>7160</v>
      </c>
      <c r="D596" s="45"/>
      <c r="E596" s="79" t="s">
        <v>5215</v>
      </c>
      <c r="F596" s="79" t="s">
        <v>6351</v>
      </c>
      <c r="G596" s="45"/>
      <c r="H596" s="80">
        <v>0.03332</v>
      </c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</row>
    <row r="597">
      <c r="A597" s="79" t="s">
        <v>7161</v>
      </c>
      <c r="B597" s="45"/>
      <c r="C597" s="79" t="s">
        <v>7162</v>
      </c>
      <c r="D597" s="45"/>
      <c r="E597" s="79" t="s">
        <v>5550</v>
      </c>
      <c r="F597" s="79" t="s">
        <v>6137</v>
      </c>
      <c r="G597" s="45"/>
      <c r="H597" s="80">
        <v>0.03331</v>
      </c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</row>
    <row r="598">
      <c r="A598" s="79" t="s">
        <v>7163</v>
      </c>
      <c r="B598" s="45"/>
      <c r="C598" s="79" t="s">
        <v>7164</v>
      </c>
      <c r="D598" s="45"/>
      <c r="E598" s="79" t="s">
        <v>5501</v>
      </c>
      <c r="F598" s="79" t="s">
        <v>5927</v>
      </c>
      <c r="G598" s="45"/>
      <c r="H598" s="80">
        <v>0.03329</v>
      </c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</row>
    <row r="599">
      <c r="A599" s="79" t="s">
        <v>7165</v>
      </c>
      <c r="B599" s="45"/>
      <c r="C599" s="79" t="s">
        <v>7166</v>
      </c>
      <c r="D599" s="45"/>
      <c r="E599" s="79" t="s">
        <v>5811</v>
      </c>
      <c r="F599" s="79" t="s">
        <v>4340</v>
      </c>
      <c r="G599" s="45"/>
      <c r="H599" s="80">
        <v>0.03329</v>
      </c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</row>
    <row r="600">
      <c r="A600" s="79" t="s">
        <v>7167</v>
      </c>
      <c r="B600" s="45"/>
      <c r="C600" s="79" t="s">
        <v>7168</v>
      </c>
      <c r="D600" s="45"/>
      <c r="E600" s="79" t="s">
        <v>7169</v>
      </c>
      <c r="F600" s="79" t="s">
        <v>4340</v>
      </c>
      <c r="G600" s="45"/>
      <c r="H600" s="80">
        <v>0.03328</v>
      </c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</row>
    <row r="601">
      <c r="A601" s="79" t="s">
        <v>7170</v>
      </c>
      <c r="B601" s="45"/>
      <c r="C601" s="79" t="s">
        <v>7171</v>
      </c>
      <c r="D601" s="45"/>
      <c r="E601" s="79" t="s">
        <v>7098</v>
      </c>
      <c r="F601" s="79" t="s">
        <v>5936</v>
      </c>
      <c r="G601" s="45"/>
      <c r="H601" s="80">
        <v>0.03309</v>
      </c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</row>
    <row r="602">
      <c r="A602" s="79" t="s">
        <v>7172</v>
      </c>
      <c r="B602" s="45"/>
      <c r="C602" s="79" t="s">
        <v>7173</v>
      </c>
      <c r="D602" s="45"/>
      <c r="E602" s="79" t="s">
        <v>5296</v>
      </c>
      <c r="F602" s="79" t="s">
        <v>5936</v>
      </c>
      <c r="G602" s="45"/>
      <c r="H602" s="80">
        <v>0.03307</v>
      </c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</row>
    <row r="603">
      <c r="A603" s="79" t="s">
        <v>7174</v>
      </c>
      <c r="B603" s="45"/>
      <c r="C603" s="79" t="s">
        <v>7175</v>
      </c>
      <c r="D603" s="45"/>
      <c r="E603" s="79" t="s">
        <v>5407</v>
      </c>
      <c r="F603" s="79" t="s">
        <v>5927</v>
      </c>
      <c r="G603" s="45"/>
      <c r="H603" s="80">
        <v>0.033</v>
      </c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</row>
    <row r="604">
      <c r="A604" s="79" t="s">
        <v>7176</v>
      </c>
      <c r="B604" s="45"/>
      <c r="C604" s="79" t="s">
        <v>6054</v>
      </c>
      <c r="D604" s="45"/>
      <c r="E604" s="79" t="s">
        <v>5978</v>
      </c>
      <c r="F604" s="79" t="s">
        <v>4340</v>
      </c>
      <c r="G604" s="45"/>
      <c r="H604" s="80">
        <v>0.03299</v>
      </c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</row>
    <row r="605">
      <c r="A605" s="79" t="s">
        <v>7177</v>
      </c>
      <c r="B605" s="45"/>
      <c r="C605" s="79" t="s">
        <v>7178</v>
      </c>
      <c r="D605" s="45"/>
      <c r="E605" s="79" t="s">
        <v>5215</v>
      </c>
      <c r="F605" s="79" t="s">
        <v>5986</v>
      </c>
      <c r="G605" s="45"/>
      <c r="H605" s="80">
        <v>0.03299</v>
      </c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</row>
    <row r="606">
      <c r="A606" s="79" t="s">
        <v>7179</v>
      </c>
      <c r="B606" s="45"/>
      <c r="C606" s="79" t="s">
        <v>7180</v>
      </c>
      <c r="D606" s="45"/>
      <c r="E606" s="79" t="s">
        <v>7181</v>
      </c>
      <c r="F606" s="79" t="s">
        <v>5944</v>
      </c>
      <c r="G606" s="45"/>
      <c r="H606" s="80">
        <v>0.0329</v>
      </c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</row>
    <row r="607">
      <c r="A607" s="79" t="s">
        <v>7182</v>
      </c>
      <c r="B607" s="45"/>
      <c r="C607" s="79" t="s">
        <v>6548</v>
      </c>
      <c r="D607" s="45"/>
      <c r="E607" s="79" t="s">
        <v>5215</v>
      </c>
      <c r="F607" s="79" t="s">
        <v>5944</v>
      </c>
      <c r="G607" s="45"/>
      <c r="H607" s="80">
        <v>0.03289</v>
      </c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</row>
    <row r="608">
      <c r="A608" s="79" t="s">
        <v>7183</v>
      </c>
      <c r="B608" s="45"/>
      <c r="C608" s="79" t="s">
        <v>7184</v>
      </c>
      <c r="D608" s="45"/>
      <c r="E608" s="79" t="s">
        <v>5422</v>
      </c>
      <c r="F608" s="79" t="s">
        <v>4340</v>
      </c>
      <c r="G608" s="45"/>
      <c r="H608" s="80">
        <v>0.03285</v>
      </c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</row>
    <row r="609">
      <c r="A609" s="79" t="s">
        <v>7185</v>
      </c>
      <c r="B609" s="45"/>
      <c r="C609" s="79" t="s">
        <v>7186</v>
      </c>
      <c r="D609" s="45"/>
      <c r="E609" s="79" t="s">
        <v>5390</v>
      </c>
      <c r="F609" s="79" t="s">
        <v>5986</v>
      </c>
      <c r="G609" s="45"/>
      <c r="H609" s="80">
        <v>0.03283</v>
      </c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</row>
    <row r="610">
      <c r="A610" s="79" t="s">
        <v>7187</v>
      </c>
      <c r="B610" s="45"/>
      <c r="C610" s="79" t="s">
        <v>7188</v>
      </c>
      <c r="D610" s="45"/>
      <c r="E610" s="79" t="s">
        <v>5338</v>
      </c>
      <c r="F610" s="79" t="s">
        <v>5944</v>
      </c>
      <c r="G610" s="45"/>
      <c r="H610" s="80">
        <v>0.0328</v>
      </c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</row>
    <row r="611">
      <c r="A611" s="79" t="s">
        <v>7189</v>
      </c>
      <c r="B611" s="45"/>
      <c r="C611" s="79" t="s">
        <v>7190</v>
      </c>
      <c r="D611" s="45"/>
      <c r="E611" s="79" t="s">
        <v>5261</v>
      </c>
      <c r="F611" s="79" t="s">
        <v>5944</v>
      </c>
      <c r="G611" s="45"/>
      <c r="H611" s="80">
        <v>0.03277</v>
      </c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</row>
    <row r="612">
      <c r="A612" s="79" t="s">
        <v>7191</v>
      </c>
      <c r="B612" s="45"/>
      <c r="C612" s="79" t="s">
        <v>7192</v>
      </c>
      <c r="D612" s="45"/>
      <c r="E612" s="79" t="s">
        <v>5374</v>
      </c>
      <c r="F612" s="79" t="s">
        <v>5967</v>
      </c>
      <c r="G612" s="45"/>
      <c r="H612" s="80">
        <v>0.03277</v>
      </c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</row>
    <row r="613">
      <c r="A613" s="79" t="s">
        <v>7193</v>
      </c>
      <c r="B613" s="45"/>
      <c r="C613" s="79" t="s">
        <v>7194</v>
      </c>
      <c r="D613" s="45"/>
      <c r="E613" s="79" t="s">
        <v>5232</v>
      </c>
      <c r="F613" s="79" t="s">
        <v>6204</v>
      </c>
      <c r="G613" s="45"/>
      <c r="H613" s="80">
        <v>0.03276</v>
      </c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</row>
    <row r="614">
      <c r="A614" s="79" t="s">
        <v>7195</v>
      </c>
      <c r="B614" s="45"/>
      <c r="C614" s="79" t="s">
        <v>7196</v>
      </c>
      <c r="D614" s="45"/>
      <c r="E614" s="79" t="s">
        <v>5215</v>
      </c>
      <c r="F614" s="79" t="s">
        <v>5967</v>
      </c>
      <c r="G614" s="45"/>
      <c r="H614" s="80">
        <v>0.03271</v>
      </c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</row>
    <row r="615">
      <c r="A615" s="79" t="s">
        <v>7197</v>
      </c>
      <c r="B615" s="45"/>
      <c r="C615" s="79" t="s">
        <v>7198</v>
      </c>
      <c r="D615" s="45"/>
      <c r="E615" s="79" t="s">
        <v>5316</v>
      </c>
      <c r="F615" s="79" t="s">
        <v>5927</v>
      </c>
      <c r="G615" s="45"/>
      <c r="H615" s="80">
        <v>0.03269</v>
      </c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</row>
    <row r="616">
      <c r="A616" s="79" t="s">
        <v>7199</v>
      </c>
      <c r="B616" s="45"/>
      <c r="C616" s="79" t="s">
        <v>7200</v>
      </c>
      <c r="D616" s="45"/>
      <c r="E616" s="79" t="s">
        <v>5215</v>
      </c>
      <c r="F616" s="79" t="s">
        <v>4424</v>
      </c>
      <c r="G616" s="45"/>
      <c r="H616" s="80">
        <v>0.03267</v>
      </c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</row>
    <row r="617">
      <c r="A617" s="79" t="s">
        <v>7201</v>
      </c>
      <c r="B617" s="45"/>
      <c r="C617" s="79" t="s">
        <v>7202</v>
      </c>
      <c r="D617" s="45"/>
      <c r="E617" s="79" t="s">
        <v>5407</v>
      </c>
      <c r="F617" s="79" t="s">
        <v>5944</v>
      </c>
      <c r="G617" s="45"/>
      <c r="H617" s="80">
        <v>0.03253</v>
      </c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</row>
    <row r="618">
      <c r="A618" s="79" t="s">
        <v>7203</v>
      </c>
      <c r="B618" s="45"/>
      <c r="C618" s="79" t="s">
        <v>7204</v>
      </c>
      <c r="D618" s="45"/>
      <c r="E618" s="79" t="s">
        <v>6931</v>
      </c>
      <c r="F618" s="79" t="s">
        <v>5944</v>
      </c>
      <c r="G618" s="45"/>
      <c r="H618" s="80">
        <v>0.03252</v>
      </c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</row>
    <row r="619">
      <c r="A619" s="79" t="s">
        <v>7205</v>
      </c>
      <c r="B619" s="45"/>
      <c r="C619" s="79" t="s">
        <v>6011</v>
      </c>
      <c r="D619" s="45"/>
      <c r="E619" s="79" t="s">
        <v>6012</v>
      </c>
      <c r="F619" s="79" t="s">
        <v>4340</v>
      </c>
      <c r="G619" s="45"/>
      <c r="H619" s="80">
        <v>0.03244</v>
      </c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</row>
    <row r="620">
      <c r="A620" s="79" t="s">
        <v>7206</v>
      </c>
      <c r="B620" s="45"/>
      <c r="C620" s="79" t="s">
        <v>7207</v>
      </c>
      <c r="D620" s="45"/>
      <c r="E620" s="79" t="s">
        <v>6191</v>
      </c>
      <c r="F620" s="79" t="s">
        <v>6596</v>
      </c>
      <c r="G620" s="45"/>
      <c r="H620" s="80">
        <v>0.03242</v>
      </c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</row>
    <row r="621">
      <c r="A621" s="79" t="s">
        <v>7208</v>
      </c>
      <c r="B621" s="45"/>
      <c r="C621" s="79" t="s">
        <v>7209</v>
      </c>
      <c r="D621" s="45"/>
      <c r="E621" s="79" t="s">
        <v>6012</v>
      </c>
      <c r="F621" s="79" t="s">
        <v>5967</v>
      </c>
      <c r="G621" s="45"/>
      <c r="H621" s="80">
        <v>0.03238</v>
      </c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</row>
    <row r="622">
      <c r="A622" s="79" t="s">
        <v>7210</v>
      </c>
      <c r="B622" s="45"/>
      <c r="C622" s="79" t="s">
        <v>7211</v>
      </c>
      <c r="D622" s="45"/>
      <c r="E622" s="79" t="s">
        <v>5961</v>
      </c>
      <c r="F622" s="79" t="s">
        <v>5927</v>
      </c>
      <c r="G622" s="45"/>
      <c r="H622" s="80">
        <v>0.03237</v>
      </c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</row>
    <row r="623">
      <c r="A623" s="79" t="s">
        <v>7212</v>
      </c>
      <c r="B623" s="45"/>
      <c r="C623" s="79" t="s">
        <v>7213</v>
      </c>
      <c r="D623" s="45"/>
      <c r="E623" s="79" t="s">
        <v>5434</v>
      </c>
      <c r="F623" s="79" t="s">
        <v>5983</v>
      </c>
      <c r="G623" s="45"/>
      <c r="H623" s="80">
        <v>0.03221</v>
      </c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</row>
    <row r="624">
      <c r="A624" s="79" t="s">
        <v>7214</v>
      </c>
      <c r="B624" s="45"/>
      <c r="C624" s="79" t="s">
        <v>7215</v>
      </c>
      <c r="D624" s="45"/>
      <c r="E624" s="79" t="s">
        <v>5456</v>
      </c>
      <c r="F624" s="79" t="s">
        <v>5936</v>
      </c>
      <c r="G624" s="45"/>
      <c r="H624" s="80">
        <v>0.03218</v>
      </c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</row>
    <row r="625">
      <c r="A625" s="79" t="s">
        <v>7216</v>
      </c>
      <c r="B625" s="45"/>
      <c r="C625" s="79" t="s">
        <v>7217</v>
      </c>
      <c r="D625" s="45"/>
      <c r="E625" s="79" t="s">
        <v>5650</v>
      </c>
      <c r="F625" s="79" t="s">
        <v>5924</v>
      </c>
      <c r="G625" s="45"/>
      <c r="H625" s="80">
        <v>0.03202</v>
      </c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</row>
    <row r="626">
      <c r="A626" s="79" t="s">
        <v>7218</v>
      </c>
      <c r="B626" s="45"/>
      <c r="C626" s="79" t="s">
        <v>7219</v>
      </c>
      <c r="D626" s="45"/>
      <c r="E626" s="79" t="s">
        <v>5235</v>
      </c>
      <c r="F626" s="79" t="s">
        <v>6555</v>
      </c>
      <c r="G626" s="45"/>
      <c r="H626" s="80">
        <v>0.03199</v>
      </c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</row>
    <row r="627">
      <c r="A627" s="79" t="s">
        <v>7220</v>
      </c>
      <c r="B627" s="45"/>
      <c r="C627" s="79" t="s">
        <v>7221</v>
      </c>
      <c r="D627" s="45"/>
      <c r="E627" s="79" t="s">
        <v>7222</v>
      </c>
      <c r="F627" s="79" t="s">
        <v>5936</v>
      </c>
      <c r="G627" s="45"/>
      <c r="H627" s="80">
        <v>0.03189</v>
      </c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</row>
    <row r="628">
      <c r="A628" s="79" t="s">
        <v>7223</v>
      </c>
      <c r="B628" s="45"/>
      <c r="C628" s="79" t="s">
        <v>7224</v>
      </c>
      <c r="D628" s="45"/>
      <c r="E628" s="79" t="s">
        <v>6223</v>
      </c>
      <c r="F628" s="79" t="s">
        <v>5986</v>
      </c>
      <c r="G628" s="45"/>
      <c r="H628" s="80">
        <v>0.03177</v>
      </c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</row>
    <row r="629">
      <c r="A629" s="79" t="s">
        <v>7225</v>
      </c>
      <c r="B629" s="45"/>
      <c r="C629" s="79" t="s">
        <v>7226</v>
      </c>
      <c r="D629" s="45"/>
      <c r="E629" s="79" t="s">
        <v>5235</v>
      </c>
      <c r="F629" s="79" t="s">
        <v>6204</v>
      </c>
      <c r="G629" s="45"/>
      <c r="H629" s="80">
        <v>0.03155</v>
      </c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</row>
    <row r="630">
      <c r="A630" s="79" t="s">
        <v>7227</v>
      </c>
      <c r="B630" s="45"/>
      <c r="C630" s="79" t="s">
        <v>7228</v>
      </c>
      <c r="D630" s="45"/>
      <c r="E630" s="79" t="s">
        <v>5516</v>
      </c>
      <c r="F630" s="79" t="s">
        <v>5970</v>
      </c>
      <c r="G630" s="45"/>
      <c r="H630" s="80">
        <v>0.03155</v>
      </c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</row>
    <row r="631">
      <c r="A631" s="79" t="s">
        <v>7229</v>
      </c>
      <c r="B631" s="45"/>
      <c r="C631" s="79" t="s">
        <v>7230</v>
      </c>
      <c r="D631" s="45"/>
      <c r="E631" s="79" t="s">
        <v>5456</v>
      </c>
      <c r="F631" s="79" t="s">
        <v>4204</v>
      </c>
      <c r="G631" s="45"/>
      <c r="H631" s="80">
        <v>0.03154</v>
      </c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</row>
    <row r="632">
      <c r="A632" s="79" t="s">
        <v>7231</v>
      </c>
      <c r="B632" s="45"/>
      <c r="C632" s="79" t="s">
        <v>7232</v>
      </c>
      <c r="D632" s="45"/>
      <c r="E632" s="79" t="s">
        <v>5309</v>
      </c>
      <c r="F632" s="79" t="s">
        <v>5924</v>
      </c>
      <c r="G632" s="45"/>
      <c r="H632" s="80">
        <v>0.03152</v>
      </c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</row>
    <row r="633">
      <c r="A633" s="79" t="s">
        <v>7233</v>
      </c>
      <c r="B633" s="45"/>
      <c r="C633" s="79" t="s">
        <v>6054</v>
      </c>
      <c r="D633" s="45"/>
      <c r="E633" s="79" t="s">
        <v>5978</v>
      </c>
      <c r="F633" s="79" t="s">
        <v>4340</v>
      </c>
      <c r="G633" s="45"/>
      <c r="H633" s="80">
        <v>0.03151</v>
      </c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</row>
    <row r="634">
      <c r="A634" s="79" t="s">
        <v>7234</v>
      </c>
      <c r="B634" s="45"/>
      <c r="C634" s="79" t="s">
        <v>7235</v>
      </c>
      <c r="D634" s="45"/>
      <c r="E634" s="79" t="s">
        <v>7236</v>
      </c>
      <c r="F634" s="79" t="s">
        <v>6555</v>
      </c>
      <c r="G634" s="45"/>
      <c r="H634" s="80">
        <v>0.03148</v>
      </c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</row>
    <row r="635">
      <c r="A635" s="79" t="s">
        <v>7237</v>
      </c>
      <c r="B635" s="45"/>
      <c r="C635" s="79" t="s">
        <v>7238</v>
      </c>
      <c r="D635" s="45"/>
      <c r="E635" s="79" t="s">
        <v>5756</v>
      </c>
      <c r="F635" s="79" t="s">
        <v>6210</v>
      </c>
      <c r="G635" s="45"/>
      <c r="H635" s="80">
        <v>0.03146</v>
      </c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</row>
    <row r="636">
      <c r="A636" s="79" t="s">
        <v>7239</v>
      </c>
      <c r="B636" s="45"/>
      <c r="C636" s="79" t="s">
        <v>7240</v>
      </c>
      <c r="D636" s="45"/>
      <c r="E636" s="79" t="s">
        <v>6191</v>
      </c>
      <c r="F636" s="79" t="s">
        <v>5944</v>
      </c>
      <c r="G636" s="45"/>
      <c r="H636" s="80">
        <v>0.03134</v>
      </c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</row>
    <row r="637">
      <c r="A637" s="79" t="s">
        <v>7241</v>
      </c>
      <c r="B637" s="45"/>
      <c r="C637" s="79" t="s">
        <v>7242</v>
      </c>
      <c r="D637" s="45"/>
      <c r="E637" s="79" t="s">
        <v>5246</v>
      </c>
      <c r="F637" s="79" t="s">
        <v>6555</v>
      </c>
      <c r="G637" s="45"/>
      <c r="H637" s="80">
        <v>0.03128</v>
      </c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</row>
    <row r="638">
      <c r="A638" s="79" t="s">
        <v>7243</v>
      </c>
      <c r="B638" s="45"/>
      <c r="C638" s="79" t="s">
        <v>7244</v>
      </c>
      <c r="D638" s="45"/>
      <c r="E638" s="79" t="s">
        <v>5366</v>
      </c>
      <c r="F638" s="79" t="s">
        <v>6137</v>
      </c>
      <c r="G638" s="45"/>
      <c r="H638" s="80">
        <v>0.03124</v>
      </c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</row>
    <row r="639">
      <c r="A639" s="79" t="s">
        <v>7245</v>
      </c>
      <c r="B639" s="45"/>
      <c r="C639" s="79" t="s">
        <v>7246</v>
      </c>
      <c r="D639" s="45"/>
      <c r="E639" s="79" t="s">
        <v>5235</v>
      </c>
      <c r="F639" s="79" t="s">
        <v>6137</v>
      </c>
      <c r="G639" s="45"/>
      <c r="H639" s="80">
        <v>0.03121</v>
      </c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</row>
    <row r="640">
      <c r="A640" s="79" t="s">
        <v>6450</v>
      </c>
      <c r="B640" s="45"/>
      <c r="C640" s="79" t="s">
        <v>7247</v>
      </c>
      <c r="D640" s="45"/>
      <c r="E640" s="79" t="s">
        <v>7248</v>
      </c>
      <c r="F640" s="79" t="s">
        <v>5944</v>
      </c>
      <c r="G640" s="45"/>
      <c r="H640" s="80">
        <v>0.0311</v>
      </c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</row>
    <row r="641">
      <c r="A641" s="79" t="s">
        <v>7249</v>
      </c>
      <c r="B641" s="45"/>
      <c r="C641" s="79" t="s">
        <v>7250</v>
      </c>
      <c r="D641" s="45"/>
      <c r="E641" s="79" t="s">
        <v>7251</v>
      </c>
      <c r="F641" s="79" t="s">
        <v>5924</v>
      </c>
      <c r="G641" s="45"/>
      <c r="H641" s="80">
        <v>0.03104</v>
      </c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</row>
    <row r="642">
      <c r="A642" s="79" t="s">
        <v>7252</v>
      </c>
      <c r="B642" s="45"/>
      <c r="C642" s="79" t="s">
        <v>7253</v>
      </c>
      <c r="D642" s="45"/>
      <c r="E642" s="79" t="s">
        <v>6191</v>
      </c>
      <c r="F642" s="79" t="s">
        <v>4424</v>
      </c>
      <c r="G642" s="45"/>
      <c r="H642" s="80">
        <v>0.03095</v>
      </c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</row>
    <row r="643">
      <c r="A643" s="79" t="s">
        <v>7254</v>
      </c>
      <c r="B643" s="45"/>
      <c r="C643" s="79" t="s">
        <v>7255</v>
      </c>
      <c r="D643" s="45"/>
      <c r="E643" s="79" t="s">
        <v>5691</v>
      </c>
      <c r="F643" s="79" t="s">
        <v>6204</v>
      </c>
      <c r="G643" s="45"/>
      <c r="H643" s="80">
        <v>0.03093</v>
      </c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</row>
    <row r="644">
      <c r="A644" s="79" t="s">
        <v>7256</v>
      </c>
      <c r="B644" s="45"/>
      <c r="C644" s="79" t="s">
        <v>7257</v>
      </c>
      <c r="D644" s="45"/>
      <c r="E644" s="79" t="s">
        <v>5561</v>
      </c>
      <c r="F644" s="79" t="s">
        <v>5944</v>
      </c>
      <c r="G644" s="45"/>
      <c r="H644" s="80">
        <v>0.03087</v>
      </c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</row>
    <row r="645">
      <c r="A645" s="79" t="s">
        <v>7258</v>
      </c>
      <c r="B645" s="45"/>
      <c r="C645" s="79" t="s">
        <v>7259</v>
      </c>
      <c r="D645" s="45"/>
      <c r="E645" s="79" t="s">
        <v>7260</v>
      </c>
      <c r="F645" s="79" t="s">
        <v>5944</v>
      </c>
      <c r="G645" s="45"/>
      <c r="H645" s="80">
        <v>0.0308</v>
      </c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</row>
    <row r="646">
      <c r="A646" s="79" t="s">
        <v>7261</v>
      </c>
      <c r="B646" s="45"/>
      <c r="C646" s="79" t="s">
        <v>7262</v>
      </c>
      <c r="D646" s="45"/>
      <c r="E646" s="79" t="s">
        <v>5351</v>
      </c>
      <c r="F646" s="79" t="s">
        <v>5944</v>
      </c>
      <c r="G646" s="45"/>
      <c r="H646" s="80">
        <v>0.03078</v>
      </c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</row>
    <row r="647">
      <c r="A647" s="79" t="s">
        <v>7263</v>
      </c>
      <c r="B647" s="45"/>
      <c r="C647" s="79" t="s">
        <v>6386</v>
      </c>
      <c r="D647" s="45"/>
      <c r="E647" s="79" t="s">
        <v>5271</v>
      </c>
      <c r="F647" s="79" t="s">
        <v>5944</v>
      </c>
      <c r="G647" s="45"/>
      <c r="H647" s="80">
        <v>0.03073</v>
      </c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</row>
    <row r="648">
      <c r="A648" s="79" t="s">
        <v>7264</v>
      </c>
      <c r="B648" s="45"/>
      <c r="C648" s="79" t="s">
        <v>7265</v>
      </c>
      <c r="D648" s="45"/>
      <c r="E648" s="79" t="s">
        <v>5691</v>
      </c>
      <c r="F648" s="79" t="s">
        <v>5944</v>
      </c>
      <c r="G648" s="45"/>
      <c r="H648" s="80">
        <v>0.03064</v>
      </c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</row>
    <row r="649">
      <c r="A649" s="79" t="s">
        <v>7266</v>
      </c>
      <c r="B649" s="45"/>
      <c r="C649" s="79" t="s">
        <v>7267</v>
      </c>
      <c r="D649" s="45"/>
      <c r="E649" s="79" t="s">
        <v>5650</v>
      </c>
      <c r="F649" s="79" t="s">
        <v>5927</v>
      </c>
      <c r="G649" s="45"/>
      <c r="H649" s="80">
        <v>0.03059</v>
      </c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</row>
    <row r="650">
      <c r="A650" s="79" t="s">
        <v>7268</v>
      </c>
      <c r="B650" s="45"/>
      <c r="C650" s="79" t="s">
        <v>7269</v>
      </c>
      <c r="D650" s="45"/>
      <c r="E650" s="79" t="s">
        <v>5354</v>
      </c>
      <c r="F650" s="79" t="s">
        <v>5983</v>
      </c>
      <c r="G650" s="45"/>
      <c r="H650" s="80">
        <v>0.03055</v>
      </c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</row>
    <row r="651">
      <c r="A651" s="79" t="s">
        <v>7270</v>
      </c>
      <c r="B651" s="45"/>
      <c r="C651" s="79" t="s">
        <v>7271</v>
      </c>
      <c r="D651" s="45"/>
      <c r="E651" s="79" t="s">
        <v>6327</v>
      </c>
      <c r="F651" s="79" t="s">
        <v>4175</v>
      </c>
      <c r="G651" s="45"/>
      <c r="H651" s="80">
        <v>0.03051</v>
      </c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</row>
    <row r="652">
      <c r="A652" s="79" t="s">
        <v>7272</v>
      </c>
      <c r="B652" s="45"/>
      <c r="C652" s="79" t="s">
        <v>7273</v>
      </c>
      <c r="D652" s="45"/>
      <c r="E652" s="79" t="s">
        <v>6947</v>
      </c>
      <c r="F652" s="79" t="s">
        <v>5924</v>
      </c>
      <c r="G652" s="45"/>
      <c r="H652" s="80">
        <v>0.0305</v>
      </c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</row>
    <row r="653">
      <c r="A653" s="79" t="s">
        <v>7274</v>
      </c>
      <c r="B653" s="45"/>
      <c r="C653" s="79" t="s">
        <v>7012</v>
      </c>
      <c r="D653" s="45"/>
      <c r="E653" s="79" t="s">
        <v>5215</v>
      </c>
      <c r="F653" s="79" t="s">
        <v>7013</v>
      </c>
      <c r="G653" s="45"/>
      <c r="H653" s="80">
        <v>0.03043</v>
      </c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</row>
    <row r="654">
      <c r="A654" s="79" t="s">
        <v>7275</v>
      </c>
      <c r="B654" s="45"/>
      <c r="C654" s="79" t="s">
        <v>7276</v>
      </c>
      <c r="D654" s="45"/>
      <c r="E654" s="79" t="s">
        <v>5448</v>
      </c>
      <c r="F654" s="79" t="s">
        <v>5927</v>
      </c>
      <c r="G654" s="45"/>
      <c r="H654" s="80">
        <v>0.03041</v>
      </c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</row>
    <row r="655">
      <c r="A655" s="79" t="s">
        <v>7277</v>
      </c>
      <c r="B655" s="45"/>
      <c r="C655" s="79" t="s">
        <v>7278</v>
      </c>
      <c r="D655" s="45"/>
      <c r="E655" s="79" t="s">
        <v>5215</v>
      </c>
      <c r="F655" s="79" t="s">
        <v>5944</v>
      </c>
      <c r="G655" s="45"/>
      <c r="H655" s="80">
        <v>0.03035</v>
      </c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</row>
    <row r="656">
      <c r="A656" s="79" t="s">
        <v>7279</v>
      </c>
      <c r="B656" s="45"/>
      <c r="C656" s="79" t="s">
        <v>7280</v>
      </c>
      <c r="D656" s="45"/>
      <c r="E656" s="79" t="s">
        <v>5756</v>
      </c>
      <c r="F656" s="79" t="s">
        <v>6137</v>
      </c>
      <c r="G656" s="45"/>
      <c r="H656" s="80">
        <v>0.03033</v>
      </c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</row>
    <row r="657">
      <c r="A657" s="79" t="s">
        <v>7281</v>
      </c>
      <c r="B657" s="45"/>
      <c r="C657" s="79" t="s">
        <v>7282</v>
      </c>
      <c r="D657" s="45"/>
      <c r="E657" s="79" t="s">
        <v>5390</v>
      </c>
      <c r="F657" s="79" t="s">
        <v>5944</v>
      </c>
      <c r="G657" s="45"/>
      <c r="H657" s="80">
        <v>0.03016</v>
      </c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</row>
    <row r="658">
      <c r="A658" s="79" t="s">
        <v>7283</v>
      </c>
      <c r="B658" s="45"/>
      <c r="C658" s="79" t="s">
        <v>7284</v>
      </c>
      <c r="D658" s="45"/>
      <c r="E658" s="79" t="s">
        <v>5434</v>
      </c>
      <c r="F658" s="79" t="s">
        <v>4340</v>
      </c>
      <c r="G658" s="45"/>
      <c r="H658" s="80">
        <v>0.03015</v>
      </c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</row>
    <row r="659">
      <c r="A659" s="79" t="s">
        <v>7285</v>
      </c>
      <c r="B659" s="45"/>
      <c r="C659" s="79" t="s">
        <v>7286</v>
      </c>
      <c r="D659" s="45"/>
      <c r="E659" s="79" t="s">
        <v>7098</v>
      </c>
      <c r="F659" s="79" t="s">
        <v>5924</v>
      </c>
      <c r="G659" s="45"/>
      <c r="H659" s="80">
        <v>0.03014</v>
      </c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</row>
    <row r="660">
      <c r="A660" s="79" t="s">
        <v>7287</v>
      </c>
      <c r="B660" s="45"/>
      <c r="C660" s="79" t="s">
        <v>7288</v>
      </c>
      <c r="D660" s="45"/>
      <c r="E660" s="79" t="s">
        <v>5434</v>
      </c>
      <c r="F660" s="79" t="s">
        <v>5927</v>
      </c>
      <c r="G660" s="45"/>
      <c r="H660" s="80">
        <v>0.0301</v>
      </c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</row>
    <row r="661">
      <c r="A661" s="79" t="s">
        <v>7289</v>
      </c>
      <c r="B661" s="45"/>
      <c r="C661" s="79" t="s">
        <v>7290</v>
      </c>
      <c r="D661" s="45"/>
      <c r="E661" s="79" t="s">
        <v>5309</v>
      </c>
      <c r="F661" s="79" t="s">
        <v>5944</v>
      </c>
      <c r="G661" s="45"/>
      <c r="H661" s="80">
        <v>0.02993</v>
      </c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</row>
    <row r="662">
      <c r="A662" s="79" t="s">
        <v>7291</v>
      </c>
      <c r="B662" s="45"/>
      <c r="C662" s="79" t="s">
        <v>7292</v>
      </c>
      <c r="D662" s="45"/>
      <c r="E662" s="79" t="s">
        <v>5434</v>
      </c>
      <c r="F662" s="79" t="s">
        <v>6137</v>
      </c>
      <c r="G662" s="45"/>
      <c r="H662" s="80">
        <v>0.02983</v>
      </c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</row>
    <row r="663">
      <c r="A663" s="79" t="s">
        <v>7293</v>
      </c>
      <c r="B663" s="45"/>
      <c r="C663" s="79" t="s">
        <v>7294</v>
      </c>
      <c r="D663" s="45"/>
      <c r="E663" s="79" t="s">
        <v>5215</v>
      </c>
      <c r="F663" s="79" t="s">
        <v>4340</v>
      </c>
      <c r="G663" s="45"/>
      <c r="H663" s="80">
        <v>0.02981</v>
      </c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</row>
    <row r="664">
      <c r="A664" s="79" t="s">
        <v>7295</v>
      </c>
      <c r="B664" s="45"/>
      <c r="C664" s="79" t="s">
        <v>7296</v>
      </c>
      <c r="D664" s="45"/>
      <c r="E664" s="79" t="s">
        <v>5462</v>
      </c>
      <c r="F664" s="79" t="s">
        <v>5944</v>
      </c>
      <c r="G664" s="45"/>
      <c r="H664" s="80">
        <v>0.0297</v>
      </c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</row>
    <row r="665">
      <c r="A665" s="79" t="s">
        <v>7297</v>
      </c>
      <c r="B665" s="45"/>
      <c r="C665" s="79" t="s">
        <v>7298</v>
      </c>
      <c r="D665" s="45"/>
      <c r="E665" s="79" t="s">
        <v>5354</v>
      </c>
      <c r="F665" s="79" t="s">
        <v>5970</v>
      </c>
      <c r="G665" s="45"/>
      <c r="H665" s="80">
        <v>0.02968</v>
      </c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</row>
    <row r="666">
      <c r="A666" s="79" t="s">
        <v>7299</v>
      </c>
      <c r="B666" s="45"/>
      <c r="C666" s="79" t="s">
        <v>7300</v>
      </c>
      <c r="D666" s="45"/>
      <c r="E666" s="79" t="s">
        <v>5354</v>
      </c>
      <c r="F666" s="79" t="s">
        <v>6204</v>
      </c>
      <c r="G666" s="45"/>
      <c r="H666" s="80">
        <v>0.02966</v>
      </c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</row>
    <row r="667">
      <c r="A667" s="79" t="s">
        <v>7301</v>
      </c>
      <c r="B667" s="45"/>
      <c r="C667" s="79" t="s">
        <v>7302</v>
      </c>
      <c r="D667" s="45"/>
      <c r="E667" s="79" t="s">
        <v>5215</v>
      </c>
      <c r="F667" s="79" t="s">
        <v>6204</v>
      </c>
      <c r="G667" s="45"/>
      <c r="H667" s="80">
        <v>0.02958</v>
      </c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</row>
    <row r="668">
      <c r="A668" s="79" t="s">
        <v>7303</v>
      </c>
      <c r="B668" s="45"/>
      <c r="C668" s="79" t="s">
        <v>7304</v>
      </c>
      <c r="D668" s="45"/>
      <c r="E668" s="79" t="s">
        <v>5478</v>
      </c>
      <c r="F668" s="79" t="s">
        <v>4340</v>
      </c>
      <c r="G668" s="45"/>
      <c r="H668" s="80">
        <v>0.02953</v>
      </c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</row>
    <row r="669">
      <c r="A669" s="79" t="s">
        <v>7305</v>
      </c>
      <c r="B669" s="45"/>
      <c r="C669" s="79" t="s">
        <v>7306</v>
      </c>
      <c r="D669" s="45"/>
      <c r="E669" s="79" t="s">
        <v>6191</v>
      </c>
      <c r="F669" s="79" t="s">
        <v>6220</v>
      </c>
      <c r="G669" s="45"/>
      <c r="H669" s="80">
        <v>0.02952</v>
      </c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</row>
    <row r="670">
      <c r="A670" s="79" t="s">
        <v>7307</v>
      </c>
      <c r="B670" s="45"/>
      <c r="C670" s="79" t="s">
        <v>6237</v>
      </c>
      <c r="D670" s="45"/>
      <c r="E670" s="79" t="s">
        <v>6238</v>
      </c>
      <c r="F670" s="79" t="s">
        <v>4424</v>
      </c>
      <c r="G670" s="45"/>
      <c r="H670" s="80">
        <v>0.02948</v>
      </c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</row>
    <row r="671">
      <c r="A671" s="79" t="s">
        <v>7308</v>
      </c>
      <c r="B671" s="45"/>
      <c r="C671" s="79" t="s">
        <v>7309</v>
      </c>
      <c r="D671" s="45"/>
      <c r="E671" s="79" t="s">
        <v>5288</v>
      </c>
      <c r="F671" s="79" t="s">
        <v>6047</v>
      </c>
      <c r="G671" s="45"/>
      <c r="H671" s="80">
        <v>0.02945</v>
      </c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</row>
    <row r="672">
      <c r="A672" s="79" t="s">
        <v>7310</v>
      </c>
      <c r="B672" s="45"/>
      <c r="C672" s="79" t="s">
        <v>7311</v>
      </c>
      <c r="D672" s="45"/>
      <c r="E672" s="79" t="s">
        <v>5589</v>
      </c>
      <c r="F672" s="79" t="s">
        <v>6137</v>
      </c>
      <c r="G672" s="45"/>
      <c r="H672" s="80">
        <v>0.02931</v>
      </c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</row>
    <row r="673">
      <c r="A673" s="79" t="s">
        <v>7312</v>
      </c>
      <c r="B673" s="45"/>
      <c r="C673" s="79" t="s">
        <v>7313</v>
      </c>
      <c r="D673" s="45"/>
      <c r="E673" s="79" t="s">
        <v>5578</v>
      </c>
      <c r="F673" s="79" t="s">
        <v>5927</v>
      </c>
      <c r="G673" s="45"/>
      <c r="H673" s="80">
        <v>0.02929</v>
      </c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</row>
    <row r="674">
      <c r="A674" s="79" t="s">
        <v>7314</v>
      </c>
      <c r="B674" s="45"/>
      <c r="C674" s="79" t="s">
        <v>7315</v>
      </c>
      <c r="D674" s="45"/>
      <c r="E674" s="79" t="s">
        <v>5271</v>
      </c>
      <c r="F674" s="79" t="s">
        <v>5944</v>
      </c>
      <c r="G674" s="45"/>
      <c r="H674" s="80">
        <v>0.02922</v>
      </c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</row>
    <row r="675">
      <c r="A675" s="79" t="s">
        <v>7316</v>
      </c>
      <c r="B675" s="45"/>
      <c r="C675" s="79" t="s">
        <v>7317</v>
      </c>
      <c r="D675" s="45"/>
      <c r="E675" s="79" t="s">
        <v>5232</v>
      </c>
      <c r="F675" s="79" t="s">
        <v>4175</v>
      </c>
      <c r="G675" s="45"/>
      <c r="H675" s="80">
        <v>0.02918</v>
      </c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</row>
    <row r="676">
      <c r="A676" s="79" t="s">
        <v>7318</v>
      </c>
      <c r="B676" s="45"/>
      <c r="C676" s="79" t="s">
        <v>7319</v>
      </c>
      <c r="D676" s="45"/>
      <c r="E676" s="79" t="s">
        <v>5296</v>
      </c>
      <c r="F676" s="79" t="s">
        <v>6555</v>
      </c>
      <c r="G676" s="45"/>
      <c r="H676" s="80">
        <v>0.02916</v>
      </c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</row>
    <row r="677">
      <c r="A677" s="79" t="s">
        <v>7320</v>
      </c>
      <c r="B677" s="45"/>
      <c r="C677" s="79" t="s">
        <v>7321</v>
      </c>
      <c r="D677" s="45"/>
      <c r="E677" s="79" t="s">
        <v>5516</v>
      </c>
      <c r="F677" s="79" t="s">
        <v>5970</v>
      </c>
      <c r="G677" s="45"/>
      <c r="H677" s="80">
        <v>0.02912</v>
      </c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</row>
    <row r="678">
      <c r="A678" s="79" t="s">
        <v>7322</v>
      </c>
      <c r="B678" s="45"/>
      <c r="C678" s="79" t="s">
        <v>7323</v>
      </c>
      <c r="D678" s="45"/>
      <c r="E678" s="79" t="s">
        <v>5246</v>
      </c>
      <c r="F678" s="79" t="s">
        <v>4424</v>
      </c>
      <c r="G678" s="45"/>
      <c r="H678" s="80">
        <v>0.02903</v>
      </c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</row>
    <row r="679">
      <c r="A679" s="79" t="s">
        <v>7324</v>
      </c>
      <c r="B679" s="45"/>
      <c r="C679" s="79" t="s">
        <v>7325</v>
      </c>
      <c r="D679" s="45"/>
      <c r="E679" s="79" t="s">
        <v>5215</v>
      </c>
      <c r="F679" s="79" t="s">
        <v>4175</v>
      </c>
      <c r="G679" s="45"/>
      <c r="H679" s="80">
        <v>0.02901</v>
      </c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</row>
    <row r="680">
      <c r="A680" s="79" t="s">
        <v>7326</v>
      </c>
      <c r="B680" s="45"/>
      <c r="C680" s="79" t="s">
        <v>7327</v>
      </c>
      <c r="D680" s="45"/>
      <c r="E680" s="79" t="s">
        <v>5369</v>
      </c>
      <c r="F680" s="79" t="s">
        <v>6204</v>
      </c>
      <c r="G680" s="45"/>
      <c r="H680" s="80">
        <v>0.02901</v>
      </c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</row>
    <row r="681">
      <c r="A681" s="79" t="s">
        <v>7328</v>
      </c>
      <c r="B681" s="45"/>
      <c r="C681" s="79" t="s">
        <v>7329</v>
      </c>
      <c r="D681" s="45"/>
      <c r="E681" s="79" t="s">
        <v>5434</v>
      </c>
      <c r="F681" s="79" t="s">
        <v>5944</v>
      </c>
      <c r="G681" s="45"/>
      <c r="H681" s="80">
        <v>0.029</v>
      </c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</row>
    <row r="682">
      <c r="A682" s="79" t="s">
        <v>7330</v>
      </c>
      <c r="B682" s="45"/>
      <c r="C682" s="79" t="s">
        <v>7331</v>
      </c>
      <c r="D682" s="45"/>
      <c r="E682" s="79" t="s">
        <v>5238</v>
      </c>
      <c r="F682" s="79" t="s">
        <v>4424</v>
      </c>
      <c r="G682" s="45"/>
      <c r="H682" s="80">
        <v>0.029</v>
      </c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</row>
    <row r="683">
      <c r="A683" s="79" t="s">
        <v>7332</v>
      </c>
      <c r="B683" s="45"/>
      <c r="C683" s="79" t="s">
        <v>7333</v>
      </c>
      <c r="D683" s="45"/>
      <c r="E683" s="79" t="s">
        <v>7098</v>
      </c>
      <c r="F683" s="79" t="s">
        <v>4340</v>
      </c>
      <c r="G683" s="45"/>
      <c r="H683" s="80">
        <v>0.02896</v>
      </c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</row>
    <row r="684">
      <c r="A684" s="79" t="s">
        <v>7334</v>
      </c>
      <c r="B684" s="45"/>
      <c r="C684" s="79" t="s">
        <v>7335</v>
      </c>
      <c r="D684" s="45"/>
      <c r="E684" s="79" t="s">
        <v>5241</v>
      </c>
      <c r="F684" s="79" t="s">
        <v>6204</v>
      </c>
      <c r="G684" s="45"/>
      <c r="H684" s="80">
        <v>0.02893</v>
      </c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</row>
    <row r="685">
      <c r="A685" s="79" t="s">
        <v>7336</v>
      </c>
      <c r="B685" s="45"/>
      <c r="C685" s="79" t="s">
        <v>7337</v>
      </c>
      <c r="D685" s="45"/>
      <c r="E685" s="79" t="s">
        <v>5232</v>
      </c>
      <c r="F685" s="79" t="s">
        <v>5927</v>
      </c>
      <c r="G685" s="45"/>
      <c r="H685" s="80">
        <v>0.0288</v>
      </c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</row>
    <row r="686">
      <c r="A686" s="79" t="s">
        <v>7338</v>
      </c>
      <c r="B686" s="45"/>
      <c r="C686" s="79" t="s">
        <v>7339</v>
      </c>
      <c r="D686" s="45"/>
      <c r="E686" s="79" t="s">
        <v>5357</v>
      </c>
      <c r="F686" s="79" t="s">
        <v>5936</v>
      </c>
      <c r="G686" s="45"/>
      <c r="H686" s="80">
        <v>0.02878</v>
      </c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</row>
    <row r="687">
      <c r="A687" s="79" t="s">
        <v>7340</v>
      </c>
      <c r="B687" s="45"/>
      <c r="C687" s="79" t="s">
        <v>7341</v>
      </c>
      <c r="D687" s="45"/>
      <c r="E687" s="79" t="s">
        <v>5561</v>
      </c>
      <c r="F687" s="79" t="s">
        <v>6204</v>
      </c>
      <c r="G687" s="45"/>
      <c r="H687" s="80">
        <v>0.02861</v>
      </c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</row>
    <row r="688">
      <c r="A688" s="79" t="s">
        <v>7342</v>
      </c>
      <c r="B688" s="45"/>
      <c r="C688" s="79" t="s">
        <v>7343</v>
      </c>
      <c r="D688" s="45"/>
      <c r="E688" s="79" t="s">
        <v>5215</v>
      </c>
      <c r="F688" s="79" t="s">
        <v>6555</v>
      </c>
      <c r="G688" s="45"/>
      <c r="H688" s="80">
        <v>0.02852</v>
      </c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</row>
    <row r="689">
      <c r="A689" s="79" t="s">
        <v>7344</v>
      </c>
      <c r="B689" s="45"/>
      <c r="C689" s="79" t="s">
        <v>7345</v>
      </c>
      <c r="D689" s="45"/>
      <c r="E689" s="79" t="s">
        <v>6009</v>
      </c>
      <c r="F689" s="79" t="s">
        <v>5983</v>
      </c>
      <c r="G689" s="45"/>
      <c r="H689" s="80">
        <v>0.02851</v>
      </c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</row>
    <row r="690">
      <c r="A690" s="79" t="s">
        <v>7346</v>
      </c>
      <c r="B690" s="45"/>
      <c r="C690" s="79" t="s">
        <v>7347</v>
      </c>
      <c r="D690" s="45"/>
      <c r="E690" s="79" t="s">
        <v>5855</v>
      </c>
      <c r="F690" s="79" t="s">
        <v>4340</v>
      </c>
      <c r="G690" s="45"/>
      <c r="H690" s="80">
        <v>0.02839</v>
      </c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</row>
    <row r="691">
      <c r="A691" s="79" t="s">
        <v>7348</v>
      </c>
      <c r="B691" s="45"/>
      <c r="C691" s="79" t="s">
        <v>7349</v>
      </c>
      <c r="D691" s="45"/>
      <c r="E691" s="79" t="s">
        <v>6389</v>
      </c>
      <c r="F691" s="79" t="s">
        <v>4204</v>
      </c>
      <c r="G691" s="45"/>
      <c r="H691" s="80">
        <v>0.02838</v>
      </c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</row>
    <row r="692">
      <c r="A692" s="79" t="s">
        <v>7350</v>
      </c>
      <c r="B692" s="45"/>
      <c r="C692" s="79" t="s">
        <v>7351</v>
      </c>
      <c r="D692" s="45"/>
      <c r="E692" s="79" t="s">
        <v>5357</v>
      </c>
      <c r="F692" s="79" t="s">
        <v>5936</v>
      </c>
      <c r="G692" s="45"/>
      <c r="H692" s="80">
        <v>0.02834</v>
      </c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</row>
    <row r="693">
      <c r="A693" s="79" t="s">
        <v>7352</v>
      </c>
      <c r="B693" s="45"/>
      <c r="C693" s="79" t="s">
        <v>6246</v>
      </c>
      <c r="D693" s="45"/>
      <c r="E693" s="79" t="s">
        <v>5258</v>
      </c>
      <c r="F693" s="79" t="s">
        <v>5944</v>
      </c>
      <c r="G693" s="45"/>
      <c r="H693" s="80">
        <v>0.02834</v>
      </c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</row>
    <row r="694">
      <c r="A694" s="79" t="s">
        <v>7353</v>
      </c>
      <c r="B694" s="45"/>
      <c r="C694" s="79" t="s">
        <v>7354</v>
      </c>
      <c r="D694" s="45"/>
      <c r="E694" s="79" t="s">
        <v>6090</v>
      </c>
      <c r="F694" s="79" t="s">
        <v>5936</v>
      </c>
      <c r="G694" s="45"/>
      <c r="H694" s="80">
        <v>0.0282</v>
      </c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</row>
    <row r="695">
      <c r="A695" s="79" t="s">
        <v>7355</v>
      </c>
      <c r="B695" s="45"/>
      <c r="C695" s="79" t="s">
        <v>7356</v>
      </c>
      <c r="D695" s="45"/>
      <c r="E695" s="79" t="s">
        <v>5407</v>
      </c>
      <c r="F695" s="79" t="s">
        <v>4424</v>
      </c>
      <c r="G695" s="45"/>
      <c r="H695" s="80">
        <v>0.02817</v>
      </c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</row>
    <row r="696">
      <c r="A696" s="79" t="s">
        <v>4258</v>
      </c>
      <c r="B696" s="45"/>
      <c r="C696" s="79" t="s">
        <v>7357</v>
      </c>
      <c r="D696" s="45"/>
      <c r="E696" s="79" t="s">
        <v>5235</v>
      </c>
      <c r="F696" s="79" t="s">
        <v>4204</v>
      </c>
      <c r="G696" s="45"/>
      <c r="H696" s="80">
        <v>0.02816</v>
      </c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</row>
    <row r="697">
      <c r="A697" s="79" t="s">
        <v>7358</v>
      </c>
      <c r="B697" s="45"/>
      <c r="C697" s="79" t="s">
        <v>7359</v>
      </c>
      <c r="D697" s="45"/>
      <c r="E697" s="79" t="s">
        <v>7360</v>
      </c>
      <c r="F697" s="79" t="s">
        <v>5944</v>
      </c>
      <c r="G697" s="45"/>
      <c r="H697" s="80">
        <v>0.02814</v>
      </c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</row>
    <row r="698">
      <c r="A698" s="79" t="s">
        <v>7361</v>
      </c>
      <c r="B698" s="45"/>
      <c r="C698" s="79" t="s">
        <v>7362</v>
      </c>
      <c r="D698" s="45"/>
      <c r="E698" s="79" t="s">
        <v>5215</v>
      </c>
      <c r="F698" s="79" t="s">
        <v>5944</v>
      </c>
      <c r="G698" s="45"/>
      <c r="H698" s="80">
        <v>0.02812</v>
      </c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</row>
    <row r="699">
      <c r="A699" s="79" t="s">
        <v>7363</v>
      </c>
      <c r="B699" s="45"/>
      <c r="C699" s="79" t="s">
        <v>7364</v>
      </c>
      <c r="D699" s="45"/>
      <c r="E699" s="79" t="s">
        <v>5309</v>
      </c>
      <c r="F699" s="79" t="s">
        <v>5944</v>
      </c>
      <c r="G699" s="45"/>
      <c r="H699" s="80">
        <v>0.0281</v>
      </c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</row>
    <row r="700">
      <c r="A700" s="79" t="s">
        <v>7365</v>
      </c>
      <c r="B700" s="45"/>
      <c r="C700" s="79" t="s">
        <v>7366</v>
      </c>
      <c r="D700" s="45"/>
      <c r="E700" s="79" t="s">
        <v>5253</v>
      </c>
      <c r="F700" s="79" t="s">
        <v>6137</v>
      </c>
      <c r="G700" s="45"/>
      <c r="H700" s="80">
        <v>0.02809</v>
      </c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</row>
    <row r="701">
      <c r="A701" s="79" t="s">
        <v>7367</v>
      </c>
      <c r="B701" s="45"/>
      <c r="C701" s="79" t="s">
        <v>7368</v>
      </c>
      <c r="D701" s="45"/>
      <c r="E701" s="79" t="s">
        <v>5650</v>
      </c>
      <c r="F701" s="79" t="s">
        <v>6220</v>
      </c>
      <c r="G701" s="45"/>
      <c r="H701" s="80">
        <v>0.02807</v>
      </c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</row>
    <row r="702">
      <c r="A702" s="79" t="s">
        <v>7369</v>
      </c>
      <c r="B702" s="45"/>
      <c r="C702" s="79" t="s">
        <v>7370</v>
      </c>
      <c r="D702" s="45"/>
      <c r="E702" s="79" t="s">
        <v>5357</v>
      </c>
      <c r="F702" s="79" t="s">
        <v>6204</v>
      </c>
      <c r="G702" s="45"/>
      <c r="H702" s="80">
        <v>0.02805</v>
      </c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</row>
    <row r="703">
      <c r="A703" s="79" t="s">
        <v>7371</v>
      </c>
      <c r="B703" s="45"/>
      <c r="C703" s="79" t="s">
        <v>7372</v>
      </c>
      <c r="D703" s="45"/>
      <c r="E703" s="79" t="s">
        <v>6514</v>
      </c>
      <c r="F703" s="79" t="s">
        <v>5927</v>
      </c>
      <c r="G703" s="45"/>
      <c r="H703" s="80">
        <v>0.028</v>
      </c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</row>
    <row r="704">
      <c r="A704" s="79" t="s">
        <v>7373</v>
      </c>
      <c r="B704" s="45"/>
      <c r="C704" s="79" t="s">
        <v>7374</v>
      </c>
      <c r="D704" s="45"/>
      <c r="E704" s="79" t="s">
        <v>6191</v>
      </c>
      <c r="F704" s="79" t="s">
        <v>4175</v>
      </c>
      <c r="G704" s="45"/>
      <c r="H704" s="80">
        <v>0.028</v>
      </c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</row>
    <row r="705">
      <c r="A705" s="79" t="s">
        <v>7375</v>
      </c>
      <c r="B705" s="45"/>
      <c r="C705" s="79" t="s">
        <v>7376</v>
      </c>
      <c r="D705" s="45"/>
      <c r="E705" s="79" t="s">
        <v>5434</v>
      </c>
      <c r="F705" s="79" t="s">
        <v>4204</v>
      </c>
      <c r="G705" s="45"/>
      <c r="H705" s="80">
        <v>0.02783</v>
      </c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</row>
    <row r="706">
      <c r="A706" s="79" t="s">
        <v>7377</v>
      </c>
      <c r="B706" s="45"/>
      <c r="C706" s="79" t="s">
        <v>7378</v>
      </c>
      <c r="D706" s="45"/>
      <c r="E706" s="79" t="s">
        <v>5215</v>
      </c>
      <c r="F706" s="79" t="s">
        <v>5967</v>
      </c>
      <c r="G706" s="45"/>
      <c r="H706" s="80">
        <v>0.0278</v>
      </c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</row>
    <row r="707">
      <c r="A707" s="79" t="s">
        <v>7379</v>
      </c>
      <c r="B707" s="45"/>
      <c r="C707" s="79" t="s">
        <v>7380</v>
      </c>
      <c r="D707" s="45"/>
      <c r="E707" s="79" t="s">
        <v>5326</v>
      </c>
      <c r="F707" s="79" t="s">
        <v>5927</v>
      </c>
      <c r="G707" s="45"/>
      <c r="H707" s="80">
        <v>0.02765</v>
      </c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</row>
    <row r="708">
      <c r="A708" s="79" t="s">
        <v>7381</v>
      </c>
      <c r="B708" s="45"/>
      <c r="C708" s="79" t="s">
        <v>7382</v>
      </c>
      <c r="D708" s="45"/>
      <c r="E708" s="79" t="s">
        <v>6083</v>
      </c>
      <c r="F708" s="79" t="s">
        <v>5927</v>
      </c>
      <c r="G708" s="45"/>
      <c r="H708" s="80">
        <v>0.0274</v>
      </c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</row>
    <row r="709">
      <c r="A709" s="79" t="s">
        <v>7383</v>
      </c>
      <c r="B709" s="45"/>
      <c r="C709" s="79" t="s">
        <v>7384</v>
      </c>
      <c r="D709" s="45"/>
      <c r="E709" s="79" t="s">
        <v>5229</v>
      </c>
      <c r="F709" s="79" t="s">
        <v>5944</v>
      </c>
      <c r="G709" s="45"/>
      <c r="H709" s="80">
        <v>0.02739</v>
      </c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</row>
    <row r="710">
      <c r="A710" s="79" t="s">
        <v>7385</v>
      </c>
      <c r="B710" s="45"/>
      <c r="C710" s="79" t="s">
        <v>7386</v>
      </c>
      <c r="D710" s="45"/>
      <c r="E710" s="79" t="s">
        <v>6172</v>
      </c>
      <c r="F710" s="79" t="s">
        <v>5944</v>
      </c>
      <c r="G710" s="45"/>
      <c r="H710" s="80">
        <v>0.02736</v>
      </c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</row>
    <row r="711">
      <c r="A711" s="79" t="s">
        <v>7387</v>
      </c>
      <c r="B711" s="45"/>
      <c r="C711" s="79" t="s">
        <v>7388</v>
      </c>
      <c r="D711" s="45"/>
      <c r="E711" s="79" t="s">
        <v>5390</v>
      </c>
      <c r="F711" s="79" t="s">
        <v>6137</v>
      </c>
      <c r="G711" s="45"/>
      <c r="H711" s="80">
        <v>0.02734</v>
      </c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</row>
    <row r="712">
      <c r="A712" s="79" t="s">
        <v>7389</v>
      </c>
      <c r="B712" s="45"/>
      <c r="C712" s="79" t="s">
        <v>7390</v>
      </c>
      <c r="D712" s="45"/>
      <c r="E712" s="79" t="s">
        <v>5374</v>
      </c>
      <c r="F712" s="79" t="s">
        <v>5944</v>
      </c>
      <c r="G712" s="45"/>
      <c r="H712" s="80">
        <v>0.02733</v>
      </c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</row>
    <row r="713">
      <c r="A713" s="79" t="s">
        <v>7391</v>
      </c>
      <c r="B713" s="45"/>
      <c r="C713" s="79" t="s">
        <v>7392</v>
      </c>
      <c r="D713" s="45"/>
      <c r="E713" s="79" t="s">
        <v>5229</v>
      </c>
      <c r="F713" s="79" t="s">
        <v>4340</v>
      </c>
      <c r="G713" s="45"/>
      <c r="H713" s="80">
        <v>0.02728</v>
      </c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</row>
    <row r="714">
      <c r="A714" s="79" t="s">
        <v>7393</v>
      </c>
      <c r="B714" s="45"/>
      <c r="C714" s="79" t="s">
        <v>7394</v>
      </c>
      <c r="D714" s="45"/>
      <c r="E714" s="79" t="s">
        <v>5215</v>
      </c>
      <c r="F714" s="79" t="s">
        <v>6047</v>
      </c>
      <c r="G714" s="45"/>
      <c r="H714" s="80">
        <v>0.02728</v>
      </c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</row>
    <row r="715">
      <c r="A715" s="79" t="s">
        <v>7395</v>
      </c>
      <c r="B715" s="45"/>
      <c r="C715" s="79" t="s">
        <v>7396</v>
      </c>
      <c r="D715" s="45"/>
      <c r="E715" s="79" t="s">
        <v>5215</v>
      </c>
      <c r="F715" s="79" t="s">
        <v>6204</v>
      </c>
      <c r="G715" s="45"/>
      <c r="H715" s="80">
        <v>0.02716</v>
      </c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</row>
    <row r="716">
      <c r="A716" s="79" t="s">
        <v>7397</v>
      </c>
      <c r="B716" s="45"/>
      <c r="C716" s="79" t="s">
        <v>7398</v>
      </c>
      <c r="D716" s="45"/>
      <c r="E716" s="79" t="s">
        <v>5561</v>
      </c>
      <c r="F716" s="79" t="s">
        <v>5924</v>
      </c>
      <c r="G716" s="45"/>
      <c r="H716" s="80">
        <v>0.02712</v>
      </c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</row>
    <row r="717">
      <c r="A717" s="79" t="s">
        <v>7399</v>
      </c>
      <c r="B717" s="45"/>
      <c r="C717" s="79" t="s">
        <v>7400</v>
      </c>
      <c r="D717" s="45"/>
      <c r="E717" s="79" t="s">
        <v>6191</v>
      </c>
      <c r="F717" s="79" t="s">
        <v>7013</v>
      </c>
      <c r="G717" s="45"/>
      <c r="H717" s="80">
        <v>0.02711</v>
      </c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</row>
    <row r="718">
      <c r="A718" s="79" t="s">
        <v>7401</v>
      </c>
      <c r="B718" s="45"/>
      <c r="C718" s="79" t="s">
        <v>7402</v>
      </c>
      <c r="D718" s="45"/>
      <c r="E718" s="79" t="s">
        <v>5407</v>
      </c>
      <c r="F718" s="79" t="s">
        <v>4340</v>
      </c>
      <c r="G718" s="45"/>
      <c r="H718" s="80">
        <v>0.02705</v>
      </c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</row>
    <row r="719">
      <c r="A719" s="79" t="s">
        <v>7403</v>
      </c>
      <c r="B719" s="45"/>
      <c r="C719" s="79" t="s">
        <v>7404</v>
      </c>
      <c r="D719" s="45"/>
      <c r="E719" s="79" t="s">
        <v>6472</v>
      </c>
      <c r="F719" s="79" t="s">
        <v>6555</v>
      </c>
      <c r="G719" s="45"/>
      <c r="H719" s="80">
        <v>0.02701</v>
      </c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</row>
    <row r="720">
      <c r="A720" s="79" t="s">
        <v>7405</v>
      </c>
      <c r="B720" s="45"/>
      <c r="C720" s="79" t="s">
        <v>7406</v>
      </c>
      <c r="D720" s="45"/>
      <c r="E720" s="79" t="s">
        <v>5589</v>
      </c>
      <c r="F720" s="79" t="s">
        <v>5944</v>
      </c>
      <c r="G720" s="45"/>
      <c r="H720" s="80">
        <v>0.02691</v>
      </c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</row>
    <row r="721">
      <c r="A721" s="79" t="s">
        <v>7407</v>
      </c>
      <c r="B721" s="45"/>
      <c r="C721" s="79" t="s">
        <v>7408</v>
      </c>
      <c r="D721" s="45"/>
      <c r="E721" s="79" t="s">
        <v>5434</v>
      </c>
      <c r="F721" s="79" t="s">
        <v>5944</v>
      </c>
      <c r="G721" s="45"/>
      <c r="H721" s="80">
        <v>0.02682</v>
      </c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</row>
    <row r="722">
      <c r="A722" s="79" t="s">
        <v>7409</v>
      </c>
      <c r="B722" s="45"/>
      <c r="C722" s="79" t="s">
        <v>7410</v>
      </c>
      <c r="D722" s="45"/>
      <c r="E722" s="79" t="s">
        <v>6249</v>
      </c>
      <c r="F722" s="79" t="s">
        <v>6220</v>
      </c>
      <c r="G722" s="45"/>
      <c r="H722" s="80">
        <v>0.02679</v>
      </c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</row>
    <row r="723">
      <c r="A723" s="79" t="s">
        <v>7411</v>
      </c>
      <c r="B723" s="45"/>
      <c r="C723" s="79" t="s">
        <v>7412</v>
      </c>
      <c r="D723" s="45"/>
      <c r="E723" s="79" t="s">
        <v>5369</v>
      </c>
      <c r="F723" s="79" t="s">
        <v>5924</v>
      </c>
      <c r="G723" s="45"/>
      <c r="H723" s="80">
        <v>0.0266</v>
      </c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</row>
    <row r="724">
      <c r="A724" s="79" t="s">
        <v>7413</v>
      </c>
      <c r="B724" s="45"/>
      <c r="C724" s="79" t="s">
        <v>7414</v>
      </c>
      <c r="D724" s="45"/>
      <c r="E724" s="79" t="s">
        <v>5366</v>
      </c>
      <c r="F724" s="79" t="s">
        <v>5927</v>
      </c>
      <c r="G724" s="45"/>
      <c r="H724" s="80">
        <v>0.0266</v>
      </c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</row>
    <row r="725">
      <c r="A725" s="79" t="s">
        <v>7415</v>
      </c>
      <c r="B725" s="45"/>
      <c r="C725" s="79" t="s">
        <v>7416</v>
      </c>
      <c r="D725" s="45"/>
      <c r="E725" s="79" t="s">
        <v>5978</v>
      </c>
      <c r="F725" s="79" t="s">
        <v>5944</v>
      </c>
      <c r="G725" s="45"/>
      <c r="H725" s="80">
        <v>0.02655</v>
      </c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</row>
    <row r="726">
      <c r="A726" s="79" t="s">
        <v>7417</v>
      </c>
      <c r="B726" s="45"/>
      <c r="C726" s="79" t="s">
        <v>7418</v>
      </c>
      <c r="D726" s="45"/>
      <c r="E726" s="79" t="s">
        <v>6389</v>
      </c>
      <c r="F726" s="79" t="s">
        <v>6220</v>
      </c>
      <c r="G726" s="45"/>
      <c r="H726" s="80">
        <v>0.02651</v>
      </c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</row>
    <row r="727">
      <c r="A727" s="79" t="s">
        <v>7419</v>
      </c>
      <c r="B727" s="45"/>
      <c r="C727" s="79" t="s">
        <v>7420</v>
      </c>
      <c r="D727" s="45"/>
      <c r="E727" s="79" t="s">
        <v>5276</v>
      </c>
      <c r="F727" s="79" t="s">
        <v>5944</v>
      </c>
      <c r="G727" s="45"/>
      <c r="H727" s="80">
        <v>0.02646</v>
      </c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</row>
    <row r="728">
      <c r="A728" s="79" t="s">
        <v>7421</v>
      </c>
      <c r="B728" s="45"/>
      <c r="C728" s="79" t="s">
        <v>7422</v>
      </c>
      <c r="D728" s="45"/>
      <c r="E728" s="79" t="s">
        <v>5691</v>
      </c>
      <c r="F728" s="79" t="s">
        <v>5944</v>
      </c>
      <c r="G728" s="45"/>
      <c r="H728" s="80">
        <v>0.02633</v>
      </c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</row>
    <row r="729">
      <c r="A729" s="79" t="s">
        <v>7423</v>
      </c>
      <c r="B729" s="45"/>
      <c r="C729" s="79" t="s">
        <v>7424</v>
      </c>
      <c r="D729" s="45"/>
      <c r="E729" s="79" t="s">
        <v>6009</v>
      </c>
      <c r="F729" s="79" t="s">
        <v>5967</v>
      </c>
      <c r="G729" s="45"/>
      <c r="H729" s="80">
        <v>0.0263</v>
      </c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</row>
    <row r="730">
      <c r="A730" s="79" t="s">
        <v>7425</v>
      </c>
      <c r="B730" s="45"/>
      <c r="C730" s="79" t="s">
        <v>7426</v>
      </c>
      <c r="D730" s="45"/>
      <c r="E730" s="79" t="s">
        <v>5401</v>
      </c>
      <c r="F730" s="79" t="s">
        <v>5927</v>
      </c>
      <c r="G730" s="45"/>
      <c r="H730" s="80">
        <v>0.02629</v>
      </c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</row>
    <row r="731">
      <c r="A731" s="79" t="s">
        <v>7427</v>
      </c>
      <c r="B731" s="45"/>
      <c r="C731" s="79" t="s">
        <v>7428</v>
      </c>
      <c r="D731" s="45"/>
      <c r="E731" s="79" t="s">
        <v>6389</v>
      </c>
      <c r="F731" s="79" t="s">
        <v>5986</v>
      </c>
      <c r="G731" s="45"/>
      <c r="H731" s="80">
        <v>0.02625</v>
      </c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</row>
    <row r="732">
      <c r="A732" s="79" t="s">
        <v>7429</v>
      </c>
      <c r="B732" s="45"/>
      <c r="C732" s="79" t="s">
        <v>7430</v>
      </c>
      <c r="D732" s="45"/>
      <c r="E732" s="79" t="s">
        <v>5229</v>
      </c>
      <c r="F732" s="79" t="s">
        <v>5944</v>
      </c>
      <c r="G732" s="45"/>
      <c r="H732" s="80">
        <v>0.02618</v>
      </c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</row>
    <row r="733">
      <c r="A733" s="79" t="s">
        <v>7431</v>
      </c>
      <c r="B733" s="45"/>
      <c r="C733" s="79" t="s">
        <v>7257</v>
      </c>
      <c r="D733" s="45"/>
      <c r="E733" s="79" t="s">
        <v>5561</v>
      </c>
      <c r="F733" s="79" t="s">
        <v>5944</v>
      </c>
      <c r="G733" s="45"/>
      <c r="H733" s="80">
        <v>0.02618</v>
      </c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</row>
    <row r="734">
      <c r="A734" s="79" t="s">
        <v>7432</v>
      </c>
      <c r="B734" s="45"/>
      <c r="C734" s="79" t="s">
        <v>7433</v>
      </c>
      <c r="D734" s="45"/>
      <c r="E734" s="79" t="s">
        <v>5326</v>
      </c>
      <c r="F734" s="79" t="s">
        <v>5927</v>
      </c>
      <c r="G734" s="45"/>
      <c r="H734" s="80">
        <v>0.02605</v>
      </c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</row>
    <row r="735">
      <c r="A735" s="79" t="s">
        <v>7434</v>
      </c>
      <c r="B735" s="45"/>
      <c r="C735" s="79" t="s">
        <v>7435</v>
      </c>
      <c r="D735" s="45"/>
      <c r="E735" s="79" t="s">
        <v>6514</v>
      </c>
      <c r="F735" s="79" t="s">
        <v>5944</v>
      </c>
      <c r="G735" s="45"/>
      <c r="H735" s="80">
        <v>0.02604</v>
      </c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</row>
    <row r="736">
      <c r="A736" s="79" t="s">
        <v>7436</v>
      </c>
      <c r="B736" s="45"/>
      <c r="C736" s="79" t="s">
        <v>7437</v>
      </c>
      <c r="D736" s="45"/>
      <c r="E736" s="79" t="s">
        <v>6191</v>
      </c>
      <c r="F736" s="79" t="s">
        <v>6217</v>
      </c>
      <c r="G736" s="45"/>
      <c r="H736" s="80">
        <v>0.02604</v>
      </c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</row>
    <row r="737">
      <c r="A737" s="79" t="s">
        <v>7438</v>
      </c>
      <c r="B737" s="45"/>
      <c r="C737" s="79" t="s">
        <v>7439</v>
      </c>
      <c r="D737" s="45"/>
      <c r="E737" s="79" t="s">
        <v>5578</v>
      </c>
      <c r="F737" s="79" t="s">
        <v>5936</v>
      </c>
      <c r="G737" s="45"/>
      <c r="H737" s="80">
        <v>0.02599</v>
      </c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</row>
    <row r="738">
      <c r="A738" s="79" t="s">
        <v>7440</v>
      </c>
      <c r="B738" s="45"/>
      <c r="C738" s="79" t="s">
        <v>7441</v>
      </c>
      <c r="D738" s="45"/>
      <c r="E738" s="79" t="s">
        <v>5624</v>
      </c>
      <c r="F738" s="79" t="s">
        <v>6210</v>
      </c>
      <c r="G738" s="45"/>
      <c r="H738" s="80">
        <v>0.02597</v>
      </c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</row>
    <row r="739">
      <c r="A739" s="79" t="s">
        <v>7442</v>
      </c>
      <c r="B739" s="45"/>
      <c r="C739" s="79" t="s">
        <v>7443</v>
      </c>
      <c r="D739" s="45"/>
      <c r="E739" s="79" t="s">
        <v>5218</v>
      </c>
      <c r="F739" s="79" t="s">
        <v>5927</v>
      </c>
      <c r="G739" s="45"/>
      <c r="H739" s="80">
        <v>0.02597</v>
      </c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</row>
    <row r="740">
      <c r="A740" s="79" t="s">
        <v>7444</v>
      </c>
      <c r="B740" s="45"/>
      <c r="C740" s="79" t="s">
        <v>7445</v>
      </c>
      <c r="D740" s="45"/>
      <c r="E740" s="79" t="s">
        <v>6249</v>
      </c>
      <c r="F740" s="79" t="s">
        <v>5936</v>
      </c>
      <c r="G740" s="45"/>
      <c r="H740" s="80">
        <v>0.02593</v>
      </c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</row>
    <row r="741">
      <c r="A741" s="79" t="s">
        <v>7446</v>
      </c>
      <c r="B741" s="45"/>
      <c r="C741" s="79" t="s">
        <v>7447</v>
      </c>
      <c r="D741" s="45"/>
      <c r="E741" s="79" t="s">
        <v>7248</v>
      </c>
      <c r="F741" s="79" t="s">
        <v>6137</v>
      </c>
      <c r="G741" s="45"/>
      <c r="H741" s="80">
        <v>0.02593</v>
      </c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</row>
    <row r="742">
      <c r="A742" s="79" t="s">
        <v>7448</v>
      </c>
      <c r="B742" s="45"/>
      <c r="C742" s="79" t="s">
        <v>7449</v>
      </c>
      <c r="D742" s="45"/>
      <c r="E742" s="79" t="s">
        <v>5434</v>
      </c>
      <c r="F742" s="79" t="s">
        <v>4340</v>
      </c>
      <c r="G742" s="45"/>
      <c r="H742" s="80">
        <v>0.0259</v>
      </c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</row>
    <row r="743">
      <c r="A743" s="79" t="s">
        <v>7450</v>
      </c>
      <c r="B743" s="45"/>
      <c r="C743" s="79" t="s">
        <v>7451</v>
      </c>
      <c r="D743" s="45"/>
      <c r="E743" s="79" t="s">
        <v>5357</v>
      </c>
      <c r="F743" s="79" t="s">
        <v>5967</v>
      </c>
      <c r="G743" s="45"/>
      <c r="H743" s="80">
        <v>0.02583</v>
      </c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</row>
    <row r="744">
      <c r="A744" s="79" t="s">
        <v>7452</v>
      </c>
      <c r="B744" s="45"/>
      <c r="C744" s="79" t="s">
        <v>7453</v>
      </c>
      <c r="D744" s="45"/>
      <c r="E744" s="79" t="s">
        <v>5456</v>
      </c>
      <c r="F744" s="79" t="s">
        <v>5927</v>
      </c>
      <c r="G744" s="45"/>
      <c r="H744" s="80">
        <v>0.02576</v>
      </c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</row>
    <row r="745">
      <c r="A745" s="79" t="s">
        <v>7454</v>
      </c>
      <c r="B745" s="45"/>
      <c r="C745" s="79" t="s">
        <v>7455</v>
      </c>
      <c r="D745" s="45"/>
      <c r="E745" s="79" t="s">
        <v>5561</v>
      </c>
      <c r="F745" s="79" t="s">
        <v>6027</v>
      </c>
      <c r="G745" s="45"/>
      <c r="H745" s="80">
        <v>0.02574</v>
      </c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</row>
    <row r="746">
      <c r="A746" s="79" t="s">
        <v>7456</v>
      </c>
      <c r="B746" s="45"/>
      <c r="C746" s="79" t="s">
        <v>7457</v>
      </c>
      <c r="D746" s="45"/>
      <c r="E746" s="79" t="s">
        <v>5357</v>
      </c>
      <c r="F746" s="79" t="s">
        <v>6204</v>
      </c>
      <c r="G746" s="45"/>
      <c r="H746" s="80">
        <v>0.02555</v>
      </c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</row>
    <row r="747">
      <c r="A747" s="79" t="s">
        <v>7458</v>
      </c>
      <c r="B747" s="45"/>
      <c r="C747" s="79" t="s">
        <v>7459</v>
      </c>
      <c r="D747" s="45"/>
      <c r="E747" s="79" t="s">
        <v>5422</v>
      </c>
      <c r="F747" s="79" t="s">
        <v>5927</v>
      </c>
      <c r="G747" s="45"/>
      <c r="H747" s="80">
        <v>0.02552</v>
      </c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</row>
    <row r="748">
      <c r="A748" s="79" t="s">
        <v>4444</v>
      </c>
      <c r="B748" s="45"/>
      <c r="C748" s="79" t="s">
        <v>7460</v>
      </c>
      <c r="D748" s="45"/>
      <c r="E748" s="79" t="s">
        <v>5357</v>
      </c>
      <c r="F748" s="79" t="s">
        <v>6596</v>
      </c>
      <c r="G748" s="45"/>
      <c r="H748" s="80">
        <v>0.02547</v>
      </c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</row>
    <row r="749">
      <c r="A749" s="79" t="s">
        <v>7461</v>
      </c>
      <c r="B749" s="45"/>
      <c r="C749" s="79" t="s">
        <v>7462</v>
      </c>
      <c r="D749" s="45"/>
      <c r="E749" s="79" t="s">
        <v>5229</v>
      </c>
      <c r="F749" s="79" t="s">
        <v>5944</v>
      </c>
      <c r="G749" s="45"/>
      <c r="H749" s="80">
        <v>0.02542</v>
      </c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</row>
    <row r="750">
      <c r="A750" s="79" t="s">
        <v>7463</v>
      </c>
      <c r="B750" s="45"/>
      <c r="C750" s="79" t="s">
        <v>7464</v>
      </c>
      <c r="D750" s="45"/>
      <c r="E750" s="79" t="s">
        <v>5682</v>
      </c>
      <c r="F750" s="79" t="s">
        <v>5936</v>
      </c>
      <c r="G750" s="45"/>
      <c r="H750" s="80">
        <v>0.02542</v>
      </c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</row>
    <row r="751">
      <c r="A751" s="79" t="s">
        <v>7465</v>
      </c>
      <c r="B751" s="45"/>
      <c r="C751" s="79" t="s">
        <v>7466</v>
      </c>
      <c r="D751" s="45"/>
      <c r="E751" s="79" t="s">
        <v>5478</v>
      </c>
      <c r="F751" s="79" t="s">
        <v>5927</v>
      </c>
      <c r="G751" s="45"/>
      <c r="H751" s="80">
        <v>0.02528</v>
      </c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</row>
    <row r="752">
      <c r="A752" s="79" t="s">
        <v>7467</v>
      </c>
      <c r="B752" s="45"/>
      <c r="C752" s="79" t="s">
        <v>7468</v>
      </c>
      <c r="D752" s="45"/>
      <c r="E752" s="79" t="s">
        <v>5516</v>
      </c>
      <c r="F752" s="79" t="s">
        <v>5927</v>
      </c>
      <c r="G752" s="45"/>
      <c r="H752" s="80">
        <v>0.0252</v>
      </c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</row>
    <row r="753">
      <c r="A753" s="79" t="s">
        <v>7469</v>
      </c>
      <c r="B753" s="45"/>
      <c r="C753" s="79" t="s">
        <v>7470</v>
      </c>
      <c r="D753" s="45"/>
      <c r="E753" s="79" t="s">
        <v>7471</v>
      </c>
      <c r="F753" s="79" t="s">
        <v>5941</v>
      </c>
      <c r="G753" s="45"/>
      <c r="H753" s="80">
        <v>0.02513</v>
      </c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</row>
    <row r="754">
      <c r="A754" s="79" t="s">
        <v>7472</v>
      </c>
      <c r="B754" s="45"/>
      <c r="C754" s="79" t="s">
        <v>7473</v>
      </c>
      <c r="D754" s="45"/>
      <c r="E754" s="79" t="s">
        <v>5650</v>
      </c>
      <c r="F754" s="79" t="s">
        <v>6137</v>
      </c>
      <c r="G754" s="45"/>
      <c r="H754" s="80">
        <v>0.02512</v>
      </c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</row>
    <row r="755">
      <c r="A755" s="79" t="s">
        <v>7474</v>
      </c>
      <c r="B755" s="45"/>
      <c r="C755" s="79" t="s">
        <v>7475</v>
      </c>
      <c r="D755" s="45"/>
      <c r="E755" s="79" t="s">
        <v>7476</v>
      </c>
      <c r="F755" s="79" t="s">
        <v>5970</v>
      </c>
      <c r="G755" s="45"/>
      <c r="H755" s="80">
        <v>0.02509</v>
      </c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</row>
    <row r="756">
      <c r="A756" s="79" t="s">
        <v>7477</v>
      </c>
      <c r="B756" s="45"/>
      <c r="C756" s="79" t="s">
        <v>7478</v>
      </c>
      <c r="D756" s="45"/>
      <c r="E756" s="79" t="s">
        <v>5215</v>
      </c>
      <c r="F756" s="79" t="s">
        <v>4204</v>
      </c>
      <c r="G756" s="45"/>
      <c r="H756" s="80">
        <v>0.02509</v>
      </c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</row>
    <row r="757">
      <c r="A757" s="79" t="s">
        <v>7479</v>
      </c>
      <c r="B757" s="45"/>
      <c r="C757" s="79" t="s">
        <v>7480</v>
      </c>
      <c r="D757" s="45"/>
      <c r="E757" s="79" t="s">
        <v>5215</v>
      </c>
      <c r="F757" s="79" t="s">
        <v>5944</v>
      </c>
      <c r="G757" s="45"/>
      <c r="H757" s="80">
        <v>0.02496</v>
      </c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</row>
    <row r="758">
      <c r="A758" s="79" t="s">
        <v>7481</v>
      </c>
      <c r="B758" s="45"/>
      <c r="C758" s="79" t="s">
        <v>7482</v>
      </c>
      <c r="D758" s="45"/>
      <c r="E758" s="79" t="s">
        <v>5374</v>
      </c>
      <c r="F758" s="79" t="s">
        <v>5927</v>
      </c>
      <c r="G758" s="45"/>
      <c r="H758" s="80">
        <v>0.02494</v>
      </c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</row>
    <row r="759">
      <c r="A759" s="79" t="s">
        <v>7483</v>
      </c>
      <c r="B759" s="45"/>
      <c r="C759" s="79" t="s">
        <v>7484</v>
      </c>
      <c r="D759" s="45"/>
      <c r="E759" s="79" t="s">
        <v>5232</v>
      </c>
      <c r="F759" s="79" t="s">
        <v>6204</v>
      </c>
      <c r="G759" s="45"/>
      <c r="H759" s="80">
        <v>0.02481</v>
      </c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</row>
    <row r="760">
      <c r="A760" s="79" t="s">
        <v>7485</v>
      </c>
      <c r="B760" s="45"/>
      <c r="C760" s="79" t="s">
        <v>7486</v>
      </c>
      <c r="D760" s="45"/>
      <c r="E760" s="79" t="s">
        <v>5241</v>
      </c>
      <c r="F760" s="79" t="s">
        <v>6220</v>
      </c>
      <c r="G760" s="45"/>
      <c r="H760" s="80">
        <v>0.0247</v>
      </c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</row>
    <row r="761">
      <c r="A761" s="79" t="s">
        <v>7487</v>
      </c>
      <c r="B761" s="45"/>
      <c r="C761" s="79" t="s">
        <v>7488</v>
      </c>
      <c r="D761" s="45"/>
      <c r="E761" s="79" t="s">
        <v>6389</v>
      </c>
      <c r="F761" s="79" t="s">
        <v>4204</v>
      </c>
      <c r="G761" s="45"/>
      <c r="H761" s="80">
        <v>0.02468</v>
      </c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</row>
    <row r="762">
      <c r="A762" s="79" t="s">
        <v>7489</v>
      </c>
      <c r="B762" s="45"/>
      <c r="C762" s="79" t="s">
        <v>7490</v>
      </c>
      <c r="D762" s="45"/>
      <c r="E762" s="79" t="s">
        <v>5218</v>
      </c>
      <c r="F762" s="79" t="s">
        <v>5944</v>
      </c>
      <c r="G762" s="45"/>
      <c r="H762" s="80">
        <v>0.02465</v>
      </c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</row>
    <row r="763">
      <c r="A763" s="79" t="s">
        <v>7491</v>
      </c>
      <c r="B763" s="45"/>
      <c r="C763" s="79" t="s">
        <v>7104</v>
      </c>
      <c r="D763" s="45"/>
      <c r="E763" s="79" t="s">
        <v>5377</v>
      </c>
      <c r="F763" s="79" t="s">
        <v>5944</v>
      </c>
      <c r="G763" s="45"/>
      <c r="H763" s="80">
        <v>0.02465</v>
      </c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</row>
    <row r="764">
      <c r="A764" s="79" t="s">
        <v>7492</v>
      </c>
      <c r="B764" s="45"/>
      <c r="C764" s="79" t="s">
        <v>7493</v>
      </c>
      <c r="D764" s="45"/>
      <c r="E764" s="79" t="s">
        <v>5232</v>
      </c>
      <c r="F764" s="79" t="s">
        <v>5970</v>
      </c>
      <c r="G764" s="45"/>
      <c r="H764" s="80">
        <v>0.02463</v>
      </c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</row>
    <row r="765">
      <c r="A765" s="79" t="s">
        <v>7494</v>
      </c>
      <c r="B765" s="45"/>
      <c r="C765" s="79" t="s">
        <v>7495</v>
      </c>
      <c r="D765" s="45"/>
      <c r="E765" s="79" t="s">
        <v>5215</v>
      </c>
      <c r="F765" s="79" t="s">
        <v>6137</v>
      </c>
      <c r="G765" s="45"/>
      <c r="H765" s="80">
        <v>0.02451</v>
      </c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</row>
    <row r="766">
      <c r="A766" s="79" t="s">
        <v>7496</v>
      </c>
      <c r="B766" s="45"/>
      <c r="C766" s="79" t="s">
        <v>7497</v>
      </c>
      <c r="D766" s="45"/>
      <c r="E766" s="79" t="s">
        <v>5218</v>
      </c>
      <c r="F766" s="79" t="s">
        <v>5944</v>
      </c>
      <c r="G766" s="45"/>
      <c r="H766" s="80">
        <v>0.02449</v>
      </c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</row>
    <row r="767">
      <c r="A767" s="79" t="s">
        <v>7498</v>
      </c>
      <c r="B767" s="45"/>
      <c r="C767" s="79" t="s">
        <v>7499</v>
      </c>
      <c r="D767" s="45"/>
      <c r="E767" s="79" t="s">
        <v>6238</v>
      </c>
      <c r="F767" s="79" t="s">
        <v>4424</v>
      </c>
      <c r="G767" s="45"/>
      <c r="H767" s="80">
        <v>0.02446</v>
      </c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</row>
    <row r="768">
      <c r="A768" s="79" t="s">
        <v>7500</v>
      </c>
      <c r="B768" s="45"/>
      <c r="C768" s="79" t="s">
        <v>7501</v>
      </c>
      <c r="D768" s="45"/>
      <c r="E768" s="79" t="s">
        <v>6191</v>
      </c>
      <c r="F768" s="79" t="s">
        <v>4424</v>
      </c>
      <c r="G768" s="45"/>
      <c r="H768" s="80">
        <v>0.02442</v>
      </c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</row>
    <row r="769">
      <c r="A769" s="79" t="s">
        <v>7502</v>
      </c>
      <c r="B769" s="45"/>
      <c r="C769" s="79" t="s">
        <v>7503</v>
      </c>
      <c r="D769" s="45"/>
      <c r="E769" s="79" t="s">
        <v>5434</v>
      </c>
      <c r="F769" s="79" t="s">
        <v>5983</v>
      </c>
      <c r="G769" s="45"/>
      <c r="H769" s="80">
        <v>0.02442</v>
      </c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</row>
    <row r="770">
      <c r="A770" s="79" t="s">
        <v>7504</v>
      </c>
      <c r="B770" s="45"/>
      <c r="C770" s="79" t="s">
        <v>7505</v>
      </c>
      <c r="D770" s="45"/>
      <c r="E770" s="79" t="s">
        <v>5246</v>
      </c>
      <c r="F770" s="79" t="s">
        <v>5970</v>
      </c>
      <c r="G770" s="45"/>
      <c r="H770" s="80">
        <v>0.02437</v>
      </c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</row>
    <row r="771">
      <c r="A771" s="79" t="s">
        <v>7506</v>
      </c>
      <c r="B771" s="45"/>
      <c r="C771" s="79" t="s">
        <v>7507</v>
      </c>
      <c r="D771" s="45"/>
      <c r="E771" s="79" t="s">
        <v>5670</v>
      </c>
      <c r="F771" s="79" t="s">
        <v>5967</v>
      </c>
      <c r="G771" s="45"/>
      <c r="H771" s="80">
        <v>0.02434</v>
      </c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</row>
    <row r="772">
      <c r="A772" s="79" t="s">
        <v>7508</v>
      </c>
      <c r="B772" s="45"/>
      <c r="C772" s="79" t="s">
        <v>7509</v>
      </c>
      <c r="D772" s="45"/>
      <c r="E772" s="79" t="s">
        <v>5448</v>
      </c>
      <c r="F772" s="79" t="s">
        <v>5944</v>
      </c>
      <c r="G772" s="45"/>
      <c r="H772" s="80">
        <v>0.02428</v>
      </c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</row>
    <row r="773">
      <c r="A773" s="79" t="s">
        <v>7510</v>
      </c>
      <c r="B773" s="45"/>
      <c r="C773" s="79" t="s">
        <v>7511</v>
      </c>
      <c r="D773" s="45"/>
      <c r="E773" s="79" t="s">
        <v>7236</v>
      </c>
      <c r="F773" s="79" t="s">
        <v>6204</v>
      </c>
      <c r="G773" s="45"/>
      <c r="H773" s="80">
        <v>0.02427</v>
      </c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</row>
    <row r="774">
      <c r="A774" s="79" t="s">
        <v>7512</v>
      </c>
      <c r="B774" s="45"/>
      <c r="C774" s="79" t="s">
        <v>7513</v>
      </c>
      <c r="D774" s="45"/>
      <c r="E774" s="79" t="s">
        <v>6115</v>
      </c>
      <c r="F774" s="79" t="s">
        <v>5927</v>
      </c>
      <c r="G774" s="45"/>
      <c r="H774" s="80">
        <v>0.02414</v>
      </c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</row>
    <row r="775">
      <c r="A775" s="79" t="s">
        <v>7514</v>
      </c>
      <c r="B775" s="45"/>
      <c r="C775" s="79" t="s">
        <v>7515</v>
      </c>
      <c r="D775" s="45"/>
      <c r="E775" s="79" t="s">
        <v>5868</v>
      </c>
      <c r="F775" s="79" t="s">
        <v>5924</v>
      </c>
      <c r="G775" s="45"/>
      <c r="H775" s="80">
        <v>0.0241</v>
      </c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</row>
    <row r="776">
      <c r="A776" s="79" t="s">
        <v>7516</v>
      </c>
      <c r="B776" s="45"/>
      <c r="C776" s="79" t="s">
        <v>7517</v>
      </c>
      <c r="D776" s="45"/>
      <c r="E776" s="79" t="s">
        <v>5961</v>
      </c>
      <c r="F776" s="79" t="s">
        <v>5924</v>
      </c>
      <c r="G776" s="45"/>
      <c r="H776" s="80">
        <v>0.0241</v>
      </c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</row>
    <row r="777">
      <c r="A777" s="79" t="s">
        <v>7518</v>
      </c>
      <c r="B777" s="45"/>
      <c r="C777" s="79" t="s">
        <v>7519</v>
      </c>
      <c r="D777" s="45"/>
      <c r="E777" s="79" t="s">
        <v>5276</v>
      </c>
      <c r="F777" s="79" t="s">
        <v>5944</v>
      </c>
      <c r="G777" s="45"/>
      <c r="H777" s="80">
        <v>0.02408</v>
      </c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</row>
    <row r="778">
      <c r="A778" s="79" t="s">
        <v>7520</v>
      </c>
      <c r="B778" s="45"/>
      <c r="C778" s="79" t="s">
        <v>7521</v>
      </c>
      <c r="D778" s="45"/>
      <c r="E778" s="79" t="s">
        <v>5351</v>
      </c>
      <c r="F778" s="79" t="s">
        <v>5944</v>
      </c>
      <c r="G778" s="45"/>
      <c r="H778" s="80">
        <v>0.02405</v>
      </c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</row>
    <row r="779">
      <c r="A779" s="79" t="s">
        <v>7522</v>
      </c>
      <c r="B779" s="45"/>
      <c r="C779" s="79" t="s">
        <v>7523</v>
      </c>
      <c r="D779" s="45"/>
      <c r="E779" s="79" t="s">
        <v>5513</v>
      </c>
      <c r="F779" s="79" t="s">
        <v>4340</v>
      </c>
      <c r="G779" s="45"/>
      <c r="H779" s="80">
        <v>0.024</v>
      </c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</row>
    <row r="780">
      <c r="A780" s="79" t="s">
        <v>7524</v>
      </c>
      <c r="B780" s="45"/>
      <c r="C780" s="79" t="s">
        <v>7525</v>
      </c>
      <c r="D780" s="45"/>
      <c r="E780" s="79" t="s">
        <v>5215</v>
      </c>
      <c r="F780" s="79" t="s">
        <v>5936</v>
      </c>
      <c r="G780" s="45"/>
      <c r="H780" s="80">
        <v>0.02395</v>
      </c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</row>
    <row r="781">
      <c r="A781" s="79" t="s">
        <v>7526</v>
      </c>
      <c r="B781" s="45"/>
      <c r="C781" s="79" t="s">
        <v>7527</v>
      </c>
      <c r="D781" s="45"/>
      <c r="E781" s="79" t="s">
        <v>5253</v>
      </c>
      <c r="F781" s="79" t="s">
        <v>6137</v>
      </c>
      <c r="G781" s="45"/>
      <c r="H781" s="80">
        <v>0.02391</v>
      </c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</row>
    <row r="782">
      <c r="A782" s="79" t="s">
        <v>7528</v>
      </c>
      <c r="B782" s="45"/>
      <c r="C782" s="79" t="s">
        <v>7529</v>
      </c>
      <c r="D782" s="45"/>
      <c r="E782" s="79" t="s">
        <v>5215</v>
      </c>
      <c r="F782" s="79" t="s">
        <v>6137</v>
      </c>
      <c r="G782" s="45"/>
      <c r="H782" s="80">
        <v>0.02379</v>
      </c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</row>
    <row r="783">
      <c r="A783" s="79" t="s">
        <v>7530</v>
      </c>
      <c r="B783" s="45"/>
      <c r="C783" s="79" t="s">
        <v>7531</v>
      </c>
      <c r="D783" s="45"/>
      <c r="E783" s="79" t="s">
        <v>5232</v>
      </c>
      <c r="F783" s="79" t="s">
        <v>6988</v>
      </c>
      <c r="G783" s="45"/>
      <c r="H783" s="80">
        <v>0.02379</v>
      </c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</row>
    <row r="784">
      <c r="A784" s="79" t="s">
        <v>7532</v>
      </c>
      <c r="B784" s="45"/>
      <c r="C784" s="79" t="s">
        <v>7533</v>
      </c>
      <c r="D784" s="45"/>
      <c r="E784" s="79" t="s">
        <v>5258</v>
      </c>
      <c r="F784" s="79" t="s">
        <v>5944</v>
      </c>
      <c r="G784" s="45"/>
      <c r="H784" s="80">
        <v>0.02375</v>
      </c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</row>
    <row r="785">
      <c r="A785" s="79" t="s">
        <v>7534</v>
      </c>
      <c r="B785" s="45"/>
      <c r="C785" s="79" t="s">
        <v>7535</v>
      </c>
      <c r="D785" s="45"/>
      <c r="E785" s="79" t="s">
        <v>5366</v>
      </c>
      <c r="F785" s="79" t="s">
        <v>4340</v>
      </c>
      <c r="G785" s="45"/>
      <c r="H785" s="80">
        <v>0.02345</v>
      </c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</row>
    <row r="786">
      <c r="A786" s="79" t="s">
        <v>7536</v>
      </c>
      <c r="B786" s="45"/>
      <c r="C786" s="79" t="s">
        <v>7537</v>
      </c>
      <c r="D786" s="45"/>
      <c r="E786" s="79" t="s">
        <v>5215</v>
      </c>
      <c r="F786" s="79" t="s">
        <v>6555</v>
      </c>
      <c r="G786" s="45"/>
      <c r="H786" s="80">
        <v>0.02319</v>
      </c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</row>
    <row r="787">
      <c r="A787" s="79" t="s">
        <v>7538</v>
      </c>
      <c r="B787" s="45"/>
      <c r="C787" s="79" t="s">
        <v>7539</v>
      </c>
      <c r="D787" s="45"/>
      <c r="E787" s="79" t="s">
        <v>5283</v>
      </c>
      <c r="F787" s="79" t="s">
        <v>5927</v>
      </c>
      <c r="G787" s="45"/>
      <c r="H787" s="80">
        <v>0.02302</v>
      </c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</row>
    <row r="788">
      <c r="A788" s="79" t="s">
        <v>7540</v>
      </c>
      <c r="B788" s="45"/>
      <c r="C788" s="79" t="s">
        <v>7541</v>
      </c>
      <c r="D788" s="45"/>
      <c r="E788" s="79" t="s">
        <v>5235</v>
      </c>
      <c r="F788" s="79" t="s">
        <v>6137</v>
      </c>
      <c r="G788" s="45"/>
      <c r="H788" s="80">
        <v>0.02291</v>
      </c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</row>
    <row r="789">
      <c r="A789" s="79" t="s">
        <v>7542</v>
      </c>
      <c r="B789" s="45"/>
      <c r="C789" s="79" t="s">
        <v>7543</v>
      </c>
      <c r="D789" s="45"/>
      <c r="E789" s="79" t="s">
        <v>5258</v>
      </c>
      <c r="F789" s="79" t="s">
        <v>7544</v>
      </c>
      <c r="G789" s="45"/>
      <c r="H789" s="80">
        <v>0.02289</v>
      </c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</row>
    <row r="790">
      <c r="A790" s="79" t="s">
        <v>7545</v>
      </c>
      <c r="B790" s="45"/>
      <c r="C790" s="79" t="s">
        <v>7546</v>
      </c>
      <c r="D790" s="45"/>
      <c r="E790" s="79" t="s">
        <v>5650</v>
      </c>
      <c r="F790" s="79" t="s">
        <v>5924</v>
      </c>
      <c r="G790" s="45"/>
      <c r="H790" s="80">
        <v>0.02265</v>
      </c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</row>
    <row r="791">
      <c r="A791" s="79" t="s">
        <v>7547</v>
      </c>
      <c r="B791" s="45"/>
      <c r="C791" s="79" t="s">
        <v>7548</v>
      </c>
      <c r="D791" s="45"/>
      <c r="E791" s="79" t="s">
        <v>6130</v>
      </c>
      <c r="F791" s="79" t="s">
        <v>5927</v>
      </c>
      <c r="G791" s="45"/>
      <c r="H791" s="80">
        <v>0.02261</v>
      </c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</row>
    <row r="792">
      <c r="A792" s="79" t="s">
        <v>7549</v>
      </c>
      <c r="B792" s="45"/>
      <c r="C792" s="79" t="s">
        <v>7550</v>
      </c>
      <c r="D792" s="45"/>
      <c r="E792" s="79" t="s">
        <v>5407</v>
      </c>
      <c r="F792" s="79" t="s">
        <v>5927</v>
      </c>
      <c r="G792" s="45"/>
      <c r="H792" s="80">
        <v>0.02257</v>
      </c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</row>
    <row r="793">
      <c r="A793" s="79" t="s">
        <v>7551</v>
      </c>
      <c r="B793" s="45"/>
      <c r="C793" s="79" t="s">
        <v>7552</v>
      </c>
      <c r="D793" s="45"/>
      <c r="E793" s="79" t="s">
        <v>5366</v>
      </c>
      <c r="F793" s="79" t="s">
        <v>4340</v>
      </c>
      <c r="G793" s="45"/>
      <c r="H793" s="80">
        <v>0.02248</v>
      </c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</row>
    <row r="794">
      <c r="A794" s="79" t="s">
        <v>7553</v>
      </c>
      <c r="B794" s="45"/>
      <c r="C794" s="79" t="s">
        <v>7554</v>
      </c>
      <c r="D794" s="45"/>
      <c r="E794" s="79" t="s">
        <v>5258</v>
      </c>
      <c r="F794" s="79" t="s">
        <v>5944</v>
      </c>
      <c r="G794" s="45"/>
      <c r="H794" s="80">
        <v>0.02238</v>
      </c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</row>
    <row r="795">
      <c r="A795" s="79" t="s">
        <v>7555</v>
      </c>
      <c r="B795" s="45"/>
      <c r="C795" s="79" t="s">
        <v>7556</v>
      </c>
      <c r="D795" s="45"/>
      <c r="E795" s="79" t="s">
        <v>5235</v>
      </c>
      <c r="F795" s="79" t="s">
        <v>4340</v>
      </c>
      <c r="G795" s="45"/>
      <c r="H795" s="80">
        <v>0.02237</v>
      </c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</row>
    <row r="796">
      <c r="A796" s="79" t="s">
        <v>7557</v>
      </c>
      <c r="B796" s="45"/>
      <c r="C796" s="79" t="s">
        <v>7558</v>
      </c>
      <c r="D796" s="45"/>
      <c r="E796" s="79" t="s">
        <v>5215</v>
      </c>
      <c r="F796" s="79" t="s">
        <v>5944</v>
      </c>
      <c r="G796" s="45"/>
      <c r="H796" s="80">
        <v>0.02233</v>
      </c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</row>
    <row r="797">
      <c r="A797" s="79" t="s">
        <v>7559</v>
      </c>
      <c r="B797" s="45"/>
      <c r="C797" s="79" t="s">
        <v>7560</v>
      </c>
      <c r="D797" s="45"/>
      <c r="E797" s="79" t="s">
        <v>6191</v>
      </c>
      <c r="F797" s="79" t="s">
        <v>4204</v>
      </c>
      <c r="G797" s="45"/>
      <c r="H797" s="80">
        <v>0.02233</v>
      </c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</row>
    <row r="798">
      <c r="A798" s="79" t="s">
        <v>7561</v>
      </c>
      <c r="B798" s="45"/>
      <c r="C798" s="79" t="s">
        <v>7562</v>
      </c>
      <c r="D798" s="45"/>
      <c r="E798" s="79" t="s">
        <v>5241</v>
      </c>
      <c r="F798" s="79" t="s">
        <v>4340</v>
      </c>
      <c r="G798" s="45"/>
      <c r="H798" s="80">
        <v>0.02223</v>
      </c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</row>
    <row r="799">
      <c r="A799" s="79" t="s">
        <v>7563</v>
      </c>
      <c r="B799" s="45"/>
      <c r="C799" s="79" t="s">
        <v>7564</v>
      </c>
      <c r="D799" s="45"/>
      <c r="E799" s="79" t="s">
        <v>5354</v>
      </c>
      <c r="F799" s="79" t="s">
        <v>5944</v>
      </c>
      <c r="G799" s="45"/>
      <c r="H799" s="80">
        <v>0.02222</v>
      </c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</row>
    <row r="800">
      <c r="A800" s="79" t="s">
        <v>7565</v>
      </c>
      <c r="B800" s="45"/>
      <c r="C800" s="79" t="s">
        <v>7566</v>
      </c>
      <c r="D800" s="45"/>
      <c r="E800" s="79" t="s">
        <v>5961</v>
      </c>
      <c r="F800" s="79" t="s">
        <v>5927</v>
      </c>
      <c r="G800" s="45"/>
      <c r="H800" s="80">
        <v>0.02217</v>
      </c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</row>
    <row r="801">
      <c r="A801" s="79" t="s">
        <v>7567</v>
      </c>
      <c r="B801" s="45"/>
      <c r="C801" s="79" t="s">
        <v>7568</v>
      </c>
      <c r="D801" s="45"/>
      <c r="E801" s="79" t="s">
        <v>5561</v>
      </c>
      <c r="F801" s="79" t="s">
        <v>6047</v>
      </c>
      <c r="G801" s="45"/>
      <c r="H801" s="80">
        <v>0.02215</v>
      </c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</row>
    <row r="802">
      <c r="A802" s="79" t="s">
        <v>7569</v>
      </c>
      <c r="B802" s="45"/>
      <c r="C802" s="79" t="s">
        <v>7570</v>
      </c>
      <c r="D802" s="45"/>
      <c r="E802" s="79" t="s">
        <v>5561</v>
      </c>
      <c r="F802" s="79" t="s">
        <v>5927</v>
      </c>
      <c r="G802" s="45"/>
      <c r="H802" s="80">
        <v>0.02207</v>
      </c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</row>
    <row r="803">
      <c r="A803" s="79" t="s">
        <v>7571</v>
      </c>
      <c r="B803" s="45"/>
      <c r="C803" s="79" t="s">
        <v>7572</v>
      </c>
      <c r="D803" s="45"/>
      <c r="E803" s="79" t="s">
        <v>5348</v>
      </c>
      <c r="F803" s="79" t="s">
        <v>5927</v>
      </c>
      <c r="G803" s="45"/>
      <c r="H803" s="80">
        <v>0.02206</v>
      </c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</row>
    <row r="804">
      <c r="A804" s="79" t="s">
        <v>7573</v>
      </c>
      <c r="B804" s="45"/>
      <c r="C804" s="79" t="s">
        <v>7574</v>
      </c>
      <c r="D804" s="45"/>
      <c r="E804" s="79" t="s">
        <v>5309</v>
      </c>
      <c r="F804" s="79" t="s">
        <v>6555</v>
      </c>
      <c r="G804" s="45"/>
      <c r="H804" s="80">
        <v>0.02201</v>
      </c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</row>
    <row r="805">
      <c r="A805" s="79" t="s">
        <v>7575</v>
      </c>
      <c r="B805" s="45"/>
      <c r="C805" s="79" t="s">
        <v>6589</v>
      </c>
      <c r="D805" s="45"/>
      <c r="E805" s="79" t="s">
        <v>5229</v>
      </c>
      <c r="F805" s="79" t="s">
        <v>5944</v>
      </c>
      <c r="G805" s="45"/>
      <c r="H805" s="80">
        <v>0.02197</v>
      </c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</row>
    <row r="806">
      <c r="A806" s="79" t="s">
        <v>7576</v>
      </c>
      <c r="B806" s="45"/>
      <c r="C806" s="79" t="s">
        <v>7577</v>
      </c>
      <c r="D806" s="45"/>
      <c r="E806" s="79" t="s">
        <v>5218</v>
      </c>
      <c r="F806" s="79" t="s">
        <v>4340</v>
      </c>
      <c r="G806" s="45"/>
      <c r="H806" s="80">
        <v>0.02193</v>
      </c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</row>
    <row r="807">
      <c r="A807" s="79" t="s">
        <v>7578</v>
      </c>
      <c r="B807" s="45"/>
      <c r="C807" s="79" t="s">
        <v>7278</v>
      </c>
      <c r="D807" s="45"/>
      <c r="E807" s="79" t="s">
        <v>5215</v>
      </c>
      <c r="F807" s="79" t="s">
        <v>5944</v>
      </c>
      <c r="G807" s="45"/>
      <c r="H807" s="80">
        <v>0.02192</v>
      </c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</row>
    <row r="808">
      <c r="A808" s="79" t="s">
        <v>7579</v>
      </c>
      <c r="B808" s="45"/>
      <c r="C808" s="79" t="s">
        <v>7580</v>
      </c>
      <c r="D808" s="45"/>
      <c r="E808" s="79" t="s">
        <v>6338</v>
      </c>
      <c r="F808" s="79" t="s">
        <v>5970</v>
      </c>
      <c r="G808" s="45"/>
      <c r="H808" s="80">
        <v>0.02191</v>
      </c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</row>
    <row r="809">
      <c r="A809" s="79" t="s">
        <v>5922</v>
      </c>
      <c r="B809" s="45"/>
      <c r="C809" s="79" t="s">
        <v>7581</v>
      </c>
      <c r="D809" s="45"/>
      <c r="E809" s="79" t="s">
        <v>6012</v>
      </c>
      <c r="F809" s="79" t="s">
        <v>5967</v>
      </c>
      <c r="G809" s="45"/>
      <c r="H809" s="80">
        <v>0.02182</v>
      </c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</row>
    <row r="810">
      <c r="A810" s="79" t="s">
        <v>7582</v>
      </c>
      <c r="B810" s="45"/>
      <c r="C810" s="79" t="s">
        <v>7583</v>
      </c>
      <c r="D810" s="45"/>
      <c r="E810" s="79" t="s">
        <v>6389</v>
      </c>
      <c r="F810" s="79" t="s">
        <v>4340</v>
      </c>
      <c r="G810" s="45"/>
      <c r="H810" s="80">
        <v>0.02173</v>
      </c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</row>
    <row r="811">
      <c r="A811" s="79" t="s">
        <v>7584</v>
      </c>
      <c r="B811" s="45"/>
      <c r="C811" s="79" t="s">
        <v>7585</v>
      </c>
      <c r="D811" s="45"/>
      <c r="E811" s="79" t="s">
        <v>5561</v>
      </c>
      <c r="F811" s="79" t="s">
        <v>5944</v>
      </c>
      <c r="G811" s="45"/>
      <c r="H811" s="80">
        <v>0.02155</v>
      </c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</row>
    <row r="812">
      <c r="A812" s="79" t="s">
        <v>7586</v>
      </c>
      <c r="B812" s="45"/>
      <c r="C812" s="79" t="s">
        <v>7587</v>
      </c>
      <c r="D812" s="45"/>
      <c r="E812" s="79" t="s">
        <v>5235</v>
      </c>
      <c r="F812" s="79" t="s">
        <v>4340</v>
      </c>
      <c r="G812" s="45"/>
      <c r="H812" s="80">
        <v>0.02145</v>
      </c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</row>
    <row r="813">
      <c r="A813" s="79" t="s">
        <v>7588</v>
      </c>
      <c r="B813" s="45"/>
      <c r="C813" s="79" t="s">
        <v>7589</v>
      </c>
      <c r="D813" s="45"/>
      <c r="E813" s="79" t="s">
        <v>5215</v>
      </c>
      <c r="F813" s="79" t="s">
        <v>6217</v>
      </c>
      <c r="G813" s="45"/>
      <c r="H813" s="80">
        <v>0.02121</v>
      </c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</row>
    <row r="814">
      <c r="A814" s="79" t="s">
        <v>7590</v>
      </c>
      <c r="B814" s="45"/>
      <c r="C814" s="79" t="s">
        <v>7591</v>
      </c>
      <c r="D814" s="45"/>
      <c r="E814" s="79" t="s">
        <v>5218</v>
      </c>
      <c r="F814" s="79" t="s">
        <v>4340</v>
      </c>
      <c r="G814" s="45"/>
      <c r="H814" s="80">
        <v>0.02119</v>
      </c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</row>
    <row r="815">
      <c r="A815" s="79" t="s">
        <v>7592</v>
      </c>
      <c r="B815" s="45"/>
      <c r="C815" s="79" t="s">
        <v>7593</v>
      </c>
      <c r="D815" s="45"/>
      <c r="E815" s="79" t="s">
        <v>5271</v>
      </c>
      <c r="F815" s="79" t="s">
        <v>6220</v>
      </c>
      <c r="G815" s="45"/>
      <c r="H815" s="80">
        <v>0.02117</v>
      </c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</row>
    <row r="816">
      <c r="A816" s="79" t="s">
        <v>7594</v>
      </c>
      <c r="B816" s="45"/>
      <c r="C816" s="79" t="s">
        <v>7595</v>
      </c>
      <c r="D816" s="45"/>
      <c r="E816" s="79" t="s">
        <v>6947</v>
      </c>
      <c r="F816" s="79" t="s">
        <v>5927</v>
      </c>
      <c r="G816" s="45"/>
      <c r="H816" s="80">
        <v>0.02097</v>
      </c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</row>
    <row r="817">
      <c r="A817" s="79" t="s">
        <v>7596</v>
      </c>
      <c r="B817" s="45"/>
      <c r="C817" s="79" t="s">
        <v>7597</v>
      </c>
      <c r="D817" s="45"/>
      <c r="E817" s="79" t="s">
        <v>5382</v>
      </c>
      <c r="F817" s="79" t="s">
        <v>6220</v>
      </c>
      <c r="G817" s="45"/>
      <c r="H817" s="80">
        <v>0.02095</v>
      </c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</row>
    <row r="818">
      <c r="A818" s="79" t="s">
        <v>7598</v>
      </c>
      <c r="B818" s="45"/>
      <c r="C818" s="79" t="s">
        <v>7599</v>
      </c>
      <c r="D818" s="45"/>
      <c r="E818" s="79" t="s">
        <v>6327</v>
      </c>
      <c r="F818" s="79" t="s">
        <v>5983</v>
      </c>
      <c r="G818" s="45"/>
      <c r="H818" s="80">
        <v>0.02094</v>
      </c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</row>
    <row r="819">
      <c r="A819" s="79" t="s">
        <v>7600</v>
      </c>
      <c r="B819" s="45"/>
      <c r="C819" s="79" t="s">
        <v>7601</v>
      </c>
      <c r="D819" s="45"/>
      <c r="E819" s="79" t="s">
        <v>5235</v>
      </c>
      <c r="F819" s="79" t="s">
        <v>5983</v>
      </c>
      <c r="G819" s="45"/>
      <c r="H819" s="80">
        <v>0.02089</v>
      </c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</row>
    <row r="820">
      <c r="A820" s="79" t="s">
        <v>7602</v>
      </c>
      <c r="B820" s="45"/>
      <c r="C820" s="79" t="s">
        <v>7603</v>
      </c>
      <c r="D820" s="45"/>
      <c r="E820" s="79" t="s">
        <v>5264</v>
      </c>
      <c r="F820" s="79" t="s">
        <v>6204</v>
      </c>
      <c r="G820" s="45"/>
      <c r="H820" s="80">
        <v>0.02084</v>
      </c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</row>
    <row r="821">
      <c r="A821" s="79" t="s">
        <v>7604</v>
      </c>
      <c r="B821" s="45"/>
      <c r="C821" s="79" t="s">
        <v>7605</v>
      </c>
      <c r="D821" s="45"/>
      <c r="E821" s="79" t="s">
        <v>5229</v>
      </c>
      <c r="F821" s="79" t="s">
        <v>4340</v>
      </c>
      <c r="G821" s="45"/>
      <c r="H821" s="80">
        <v>0.02081</v>
      </c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</row>
    <row r="822">
      <c r="A822" s="79" t="s">
        <v>7606</v>
      </c>
      <c r="B822" s="45"/>
      <c r="C822" s="79" t="s">
        <v>5943</v>
      </c>
      <c r="D822" s="45"/>
      <c r="E822" s="79" t="s">
        <v>5215</v>
      </c>
      <c r="F822" s="79" t="s">
        <v>5944</v>
      </c>
      <c r="G822" s="45"/>
      <c r="H822" s="80">
        <v>0.02062</v>
      </c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</row>
    <row r="823">
      <c r="A823" s="79" t="s">
        <v>7607</v>
      </c>
      <c r="B823" s="45"/>
      <c r="C823" s="79" t="s">
        <v>7608</v>
      </c>
      <c r="D823" s="45"/>
      <c r="E823" s="79" t="s">
        <v>5229</v>
      </c>
      <c r="F823" s="79" t="s">
        <v>4340</v>
      </c>
      <c r="G823" s="45"/>
      <c r="H823" s="80">
        <v>0.0206</v>
      </c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</row>
    <row r="824">
      <c r="A824" s="79" t="s">
        <v>7609</v>
      </c>
      <c r="B824" s="45"/>
      <c r="C824" s="79" t="s">
        <v>7610</v>
      </c>
      <c r="D824" s="45"/>
      <c r="E824" s="79" t="s">
        <v>7611</v>
      </c>
      <c r="F824" s="79" t="s">
        <v>5944</v>
      </c>
      <c r="G824" s="45"/>
      <c r="H824" s="80">
        <v>0.02053</v>
      </c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</row>
    <row r="825">
      <c r="A825" s="79" t="s">
        <v>7612</v>
      </c>
      <c r="B825" s="45"/>
      <c r="C825" s="79" t="s">
        <v>7613</v>
      </c>
      <c r="D825" s="45"/>
      <c r="E825" s="79" t="s">
        <v>5316</v>
      </c>
      <c r="F825" s="79" t="s">
        <v>5967</v>
      </c>
      <c r="G825" s="45"/>
      <c r="H825" s="80">
        <v>0.0205</v>
      </c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</row>
    <row r="826">
      <c r="A826" s="79" t="s">
        <v>7614</v>
      </c>
      <c r="B826" s="45"/>
      <c r="C826" s="79" t="s">
        <v>7615</v>
      </c>
      <c r="D826" s="45"/>
      <c r="E826" s="79" t="s">
        <v>5316</v>
      </c>
      <c r="F826" s="79" t="s">
        <v>5944</v>
      </c>
      <c r="G826" s="45"/>
      <c r="H826" s="80">
        <v>0.02045</v>
      </c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</row>
    <row r="827">
      <c r="A827" s="79" t="s">
        <v>7616</v>
      </c>
      <c r="B827" s="45"/>
      <c r="C827" s="79" t="s">
        <v>7617</v>
      </c>
      <c r="D827" s="45"/>
      <c r="E827" s="79" t="s">
        <v>5775</v>
      </c>
      <c r="F827" s="79" t="s">
        <v>5927</v>
      </c>
      <c r="G827" s="45"/>
      <c r="H827" s="80">
        <v>0.02018</v>
      </c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</row>
    <row r="828">
      <c r="A828" s="79" t="s">
        <v>7618</v>
      </c>
      <c r="B828" s="45"/>
      <c r="C828" s="79" t="s">
        <v>7619</v>
      </c>
      <c r="D828" s="45"/>
      <c r="E828" s="79" t="s">
        <v>5374</v>
      </c>
      <c r="F828" s="79" t="s">
        <v>5927</v>
      </c>
      <c r="G828" s="45"/>
      <c r="H828" s="80">
        <v>0.02017</v>
      </c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</row>
    <row r="829">
      <c r="A829" s="79" t="s">
        <v>7620</v>
      </c>
      <c r="B829" s="45"/>
      <c r="C829" s="79" t="s">
        <v>7621</v>
      </c>
      <c r="D829" s="45"/>
      <c r="E829" s="79" t="s">
        <v>5326</v>
      </c>
      <c r="F829" s="79" t="s">
        <v>5927</v>
      </c>
      <c r="G829" s="45"/>
      <c r="H829" s="80">
        <v>0.02014</v>
      </c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</row>
    <row r="830">
      <c r="A830" s="79" t="s">
        <v>7622</v>
      </c>
      <c r="B830" s="45"/>
      <c r="C830" s="79" t="s">
        <v>7623</v>
      </c>
      <c r="D830" s="45"/>
      <c r="E830" s="79" t="s">
        <v>5235</v>
      </c>
      <c r="F830" s="79" t="s">
        <v>5967</v>
      </c>
      <c r="G830" s="45"/>
      <c r="H830" s="80">
        <v>0.02009</v>
      </c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</row>
    <row r="831">
      <c r="A831" s="79" t="s">
        <v>7624</v>
      </c>
      <c r="B831" s="45"/>
      <c r="C831" s="79" t="s">
        <v>7625</v>
      </c>
      <c r="D831" s="45"/>
      <c r="E831" s="79" t="s">
        <v>5215</v>
      </c>
      <c r="F831" s="79" t="s">
        <v>6027</v>
      </c>
      <c r="G831" s="45"/>
      <c r="H831" s="80">
        <v>0.02007</v>
      </c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</row>
    <row r="832">
      <c r="A832" s="79" t="s">
        <v>7626</v>
      </c>
      <c r="B832" s="45"/>
      <c r="C832" s="79" t="s">
        <v>7627</v>
      </c>
      <c r="D832" s="45"/>
      <c r="E832" s="79" t="s">
        <v>6514</v>
      </c>
      <c r="F832" s="79" t="s">
        <v>5944</v>
      </c>
      <c r="G832" s="45"/>
      <c r="H832" s="80">
        <v>0.02006</v>
      </c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</row>
    <row r="833">
      <c r="A833" s="79" t="s">
        <v>7628</v>
      </c>
      <c r="B833" s="45"/>
      <c r="C833" s="79" t="s">
        <v>7629</v>
      </c>
      <c r="D833" s="45"/>
      <c r="E833" s="79" t="s">
        <v>5218</v>
      </c>
      <c r="F833" s="79" t="s">
        <v>6220</v>
      </c>
      <c r="G833" s="45"/>
      <c r="H833" s="80">
        <v>0.02005</v>
      </c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</row>
    <row r="834">
      <c r="A834" s="79" t="s">
        <v>7630</v>
      </c>
      <c r="B834" s="45"/>
      <c r="C834" s="79" t="s">
        <v>7631</v>
      </c>
      <c r="D834" s="45"/>
      <c r="E834" s="79" t="s">
        <v>5354</v>
      </c>
      <c r="F834" s="79" t="s">
        <v>5944</v>
      </c>
      <c r="G834" s="45"/>
      <c r="H834" s="80">
        <v>0.02002</v>
      </c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</row>
    <row r="835">
      <c r="A835" s="79" t="s">
        <v>7632</v>
      </c>
      <c r="B835" s="45"/>
      <c r="C835" s="79" t="s">
        <v>7462</v>
      </c>
      <c r="D835" s="45"/>
      <c r="E835" s="79" t="s">
        <v>5229</v>
      </c>
      <c r="F835" s="79" t="s">
        <v>5944</v>
      </c>
      <c r="G835" s="45"/>
      <c r="H835" s="80">
        <v>0.01997</v>
      </c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</row>
    <row r="836">
      <c r="A836" s="79" t="s">
        <v>6312</v>
      </c>
      <c r="B836" s="45"/>
      <c r="C836" s="79" t="s">
        <v>7633</v>
      </c>
      <c r="D836" s="45"/>
      <c r="E836" s="79" t="s">
        <v>6759</v>
      </c>
      <c r="F836" s="79" t="s">
        <v>5944</v>
      </c>
      <c r="G836" s="45"/>
      <c r="H836" s="80">
        <v>0.01953</v>
      </c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</row>
    <row r="837">
      <c r="A837" s="79" t="s">
        <v>7634</v>
      </c>
      <c r="B837" s="45"/>
      <c r="C837" s="79" t="s">
        <v>7635</v>
      </c>
      <c r="D837" s="45"/>
      <c r="E837" s="79" t="s">
        <v>5682</v>
      </c>
      <c r="F837" s="79" t="s">
        <v>5983</v>
      </c>
      <c r="G837" s="45"/>
      <c r="H837" s="80">
        <v>0.01952</v>
      </c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</row>
    <row r="838">
      <c r="A838" s="79" t="s">
        <v>7636</v>
      </c>
      <c r="B838" s="45"/>
      <c r="C838" s="79" t="s">
        <v>7637</v>
      </c>
      <c r="D838" s="45"/>
      <c r="E838" s="79" t="s">
        <v>5589</v>
      </c>
      <c r="F838" s="79" t="s">
        <v>6137</v>
      </c>
      <c r="G838" s="45"/>
      <c r="H838" s="80">
        <v>0.01952</v>
      </c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</row>
    <row r="839">
      <c r="A839" s="79" t="s">
        <v>7638</v>
      </c>
      <c r="B839" s="45"/>
      <c r="C839" s="79" t="s">
        <v>7639</v>
      </c>
      <c r="D839" s="45"/>
      <c r="E839" s="79" t="s">
        <v>5742</v>
      </c>
      <c r="F839" s="79" t="s">
        <v>5944</v>
      </c>
      <c r="G839" s="45"/>
      <c r="H839" s="80">
        <v>0.01947</v>
      </c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</row>
    <row r="840">
      <c r="A840" s="79" t="s">
        <v>7640</v>
      </c>
      <c r="B840" s="45"/>
      <c r="C840" s="79" t="s">
        <v>7641</v>
      </c>
      <c r="D840" s="45"/>
      <c r="E840" s="79" t="s">
        <v>5357</v>
      </c>
      <c r="F840" s="79" t="s">
        <v>6137</v>
      </c>
      <c r="G840" s="45"/>
      <c r="H840" s="80">
        <v>0.0194</v>
      </c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</row>
    <row r="841">
      <c r="A841" s="79" t="s">
        <v>7642</v>
      </c>
      <c r="B841" s="45"/>
      <c r="C841" s="79" t="s">
        <v>7643</v>
      </c>
      <c r="D841" s="45"/>
      <c r="E841" s="79" t="s">
        <v>6191</v>
      </c>
      <c r="F841" s="79" t="s">
        <v>6204</v>
      </c>
      <c r="G841" s="45"/>
      <c r="H841" s="80">
        <v>0.01939</v>
      </c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</row>
    <row r="842">
      <c r="A842" s="79" t="s">
        <v>7644</v>
      </c>
      <c r="B842" s="45"/>
      <c r="C842" s="79" t="s">
        <v>7645</v>
      </c>
      <c r="D842" s="45"/>
      <c r="E842" s="79" t="s">
        <v>5354</v>
      </c>
      <c r="F842" s="79" t="s">
        <v>5944</v>
      </c>
      <c r="G842" s="45"/>
      <c r="H842" s="80">
        <v>0.01938</v>
      </c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</row>
    <row r="843">
      <c r="A843" s="79" t="s">
        <v>7646</v>
      </c>
      <c r="B843" s="45"/>
      <c r="C843" s="79" t="s">
        <v>7647</v>
      </c>
      <c r="D843" s="45"/>
      <c r="E843" s="79" t="s">
        <v>5215</v>
      </c>
      <c r="F843" s="79" t="s">
        <v>5936</v>
      </c>
      <c r="G843" s="45"/>
      <c r="H843" s="80">
        <v>0.01931</v>
      </c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</row>
    <row r="844">
      <c r="A844" s="79" t="s">
        <v>7648</v>
      </c>
      <c r="B844" s="45"/>
      <c r="C844" s="79" t="s">
        <v>7649</v>
      </c>
      <c r="D844" s="45"/>
      <c r="E844" s="79" t="s">
        <v>5215</v>
      </c>
      <c r="F844" s="79" t="s">
        <v>5944</v>
      </c>
      <c r="G844" s="45"/>
      <c r="H844" s="80">
        <v>0.01927</v>
      </c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</row>
    <row r="845">
      <c r="A845" s="79" t="s">
        <v>7650</v>
      </c>
      <c r="B845" s="45"/>
      <c r="C845" s="79" t="s">
        <v>7651</v>
      </c>
      <c r="D845" s="45"/>
      <c r="E845" s="79" t="s">
        <v>5215</v>
      </c>
      <c r="F845" s="79" t="s">
        <v>6137</v>
      </c>
      <c r="G845" s="45"/>
      <c r="H845" s="80">
        <v>0.01923</v>
      </c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</row>
    <row r="846">
      <c r="A846" s="79" t="s">
        <v>7652</v>
      </c>
      <c r="B846" s="45"/>
      <c r="C846" s="79" t="s">
        <v>7653</v>
      </c>
      <c r="D846" s="45"/>
      <c r="E846" s="79" t="s">
        <v>5267</v>
      </c>
      <c r="F846" s="79" t="s">
        <v>5983</v>
      </c>
      <c r="G846" s="45"/>
      <c r="H846" s="80">
        <v>0.01916</v>
      </c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</row>
    <row r="847">
      <c r="A847" s="79" t="s">
        <v>7654</v>
      </c>
      <c r="B847" s="45"/>
      <c r="C847" s="79" t="s">
        <v>7180</v>
      </c>
      <c r="D847" s="45"/>
      <c r="E847" s="79" t="s">
        <v>7181</v>
      </c>
      <c r="F847" s="79" t="s">
        <v>5944</v>
      </c>
      <c r="G847" s="45"/>
      <c r="H847" s="80">
        <v>0.01899</v>
      </c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</row>
    <row r="848">
      <c r="A848" s="79" t="s">
        <v>7655</v>
      </c>
      <c r="B848" s="45"/>
      <c r="C848" s="79" t="s">
        <v>7656</v>
      </c>
      <c r="D848" s="45"/>
      <c r="E848" s="79" t="s">
        <v>5450</v>
      </c>
      <c r="F848" s="79" t="s">
        <v>5986</v>
      </c>
      <c r="G848" s="45"/>
      <c r="H848" s="80">
        <v>0.01895</v>
      </c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</row>
    <row r="849">
      <c r="A849" s="79" t="s">
        <v>7657</v>
      </c>
      <c r="B849" s="45"/>
      <c r="C849" s="79" t="s">
        <v>7658</v>
      </c>
      <c r="D849" s="45"/>
      <c r="E849" s="79" t="s">
        <v>5756</v>
      </c>
      <c r="F849" s="79" t="s">
        <v>5944</v>
      </c>
      <c r="G849" s="45"/>
      <c r="H849" s="80">
        <v>0.01865</v>
      </c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</row>
    <row r="850">
      <c r="A850" s="79" t="s">
        <v>7659</v>
      </c>
      <c r="B850" s="45"/>
      <c r="C850" s="79" t="s">
        <v>7660</v>
      </c>
      <c r="D850" s="45"/>
      <c r="E850" s="79" t="s">
        <v>5235</v>
      </c>
      <c r="F850" s="79" t="s">
        <v>6137</v>
      </c>
      <c r="G850" s="45"/>
      <c r="H850" s="80">
        <v>0.01851</v>
      </c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</row>
    <row r="851">
      <c r="A851" s="79" t="s">
        <v>7661</v>
      </c>
      <c r="B851" s="45"/>
      <c r="C851" s="79" t="s">
        <v>7662</v>
      </c>
      <c r="D851" s="45"/>
      <c r="E851" s="79" t="s">
        <v>7169</v>
      </c>
      <c r="F851" s="79" t="s">
        <v>6137</v>
      </c>
      <c r="G851" s="45"/>
      <c r="H851" s="80">
        <v>0.01845</v>
      </c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</row>
    <row r="852">
      <c r="A852" s="79" t="s">
        <v>7663</v>
      </c>
      <c r="B852" s="45"/>
      <c r="C852" s="79" t="s">
        <v>6532</v>
      </c>
      <c r="D852" s="45"/>
      <c r="E852" s="79" t="s">
        <v>6110</v>
      </c>
      <c r="F852" s="79" t="s">
        <v>5944</v>
      </c>
      <c r="G852" s="45"/>
      <c r="H852" s="80">
        <v>0.01842</v>
      </c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</row>
    <row r="853">
      <c r="A853" s="79" t="s">
        <v>7664</v>
      </c>
      <c r="B853" s="45"/>
      <c r="C853" s="79" t="s">
        <v>7665</v>
      </c>
      <c r="D853" s="45"/>
      <c r="E853" s="79" t="s">
        <v>5246</v>
      </c>
      <c r="F853" s="79" t="s">
        <v>5944</v>
      </c>
      <c r="G853" s="45"/>
      <c r="H853" s="80">
        <v>0.0184</v>
      </c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</row>
    <row r="854">
      <c r="A854" s="79" t="s">
        <v>7666</v>
      </c>
      <c r="B854" s="45"/>
      <c r="C854" s="79" t="s">
        <v>7667</v>
      </c>
      <c r="D854" s="45"/>
      <c r="E854" s="79" t="s">
        <v>5232</v>
      </c>
      <c r="F854" s="79" t="s">
        <v>5924</v>
      </c>
      <c r="G854" s="45"/>
      <c r="H854" s="80">
        <v>0.01838</v>
      </c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</row>
    <row r="855">
      <c r="A855" s="79" t="s">
        <v>7668</v>
      </c>
      <c r="B855" s="45"/>
      <c r="C855" s="79" t="s">
        <v>7669</v>
      </c>
      <c r="D855" s="45"/>
      <c r="E855" s="79" t="s">
        <v>5366</v>
      </c>
      <c r="F855" s="79" t="s">
        <v>5967</v>
      </c>
      <c r="G855" s="45"/>
      <c r="H855" s="80">
        <v>0.01833</v>
      </c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</row>
    <row r="856">
      <c r="A856" s="79" t="s">
        <v>7670</v>
      </c>
      <c r="B856" s="45"/>
      <c r="C856" s="79" t="s">
        <v>7671</v>
      </c>
      <c r="D856" s="45"/>
      <c r="E856" s="79" t="s">
        <v>5211</v>
      </c>
      <c r="F856" s="79" t="s">
        <v>5970</v>
      </c>
      <c r="G856" s="45"/>
      <c r="H856" s="80">
        <v>0.01827</v>
      </c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</row>
    <row r="857">
      <c r="A857" s="79" t="s">
        <v>7672</v>
      </c>
      <c r="B857" s="45"/>
      <c r="C857" s="79" t="s">
        <v>7673</v>
      </c>
      <c r="D857" s="45"/>
      <c r="E857" s="79" t="s">
        <v>5218</v>
      </c>
      <c r="F857" s="79" t="s">
        <v>5944</v>
      </c>
      <c r="G857" s="45"/>
      <c r="H857" s="80">
        <v>0.01826</v>
      </c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</row>
    <row r="858">
      <c r="A858" s="79" t="s">
        <v>7674</v>
      </c>
      <c r="B858" s="45"/>
      <c r="C858" s="79" t="s">
        <v>7675</v>
      </c>
      <c r="D858" s="45"/>
      <c r="E858" s="79" t="s">
        <v>5369</v>
      </c>
      <c r="F858" s="79" t="s">
        <v>5944</v>
      </c>
      <c r="G858" s="45"/>
      <c r="H858" s="80">
        <v>0.01824</v>
      </c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</row>
    <row r="859">
      <c r="A859" s="79" t="s">
        <v>7676</v>
      </c>
      <c r="B859" s="45"/>
      <c r="C859" s="79" t="s">
        <v>7677</v>
      </c>
      <c r="D859" s="45"/>
      <c r="E859" s="79" t="s">
        <v>5578</v>
      </c>
      <c r="F859" s="79" t="s">
        <v>6204</v>
      </c>
      <c r="G859" s="45"/>
      <c r="H859" s="80">
        <v>0.01824</v>
      </c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</row>
    <row r="860">
      <c r="A860" s="79" t="s">
        <v>7678</v>
      </c>
      <c r="B860" s="45"/>
      <c r="C860" s="79" t="s">
        <v>7679</v>
      </c>
      <c r="D860" s="45"/>
      <c r="E860" s="79" t="s">
        <v>5366</v>
      </c>
      <c r="F860" s="79" t="s">
        <v>5927</v>
      </c>
      <c r="G860" s="45"/>
      <c r="H860" s="80">
        <v>0.01823</v>
      </c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</row>
    <row r="861">
      <c r="A861" s="79" t="s">
        <v>7680</v>
      </c>
      <c r="B861" s="45"/>
      <c r="C861" s="79" t="s">
        <v>7681</v>
      </c>
      <c r="D861" s="45"/>
      <c r="E861" s="79" t="s">
        <v>5218</v>
      </c>
      <c r="F861" s="79" t="s">
        <v>6220</v>
      </c>
      <c r="G861" s="45"/>
      <c r="H861" s="80">
        <v>0.01821</v>
      </c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</row>
    <row r="862">
      <c r="A862" s="79" t="s">
        <v>7682</v>
      </c>
      <c r="B862" s="45"/>
      <c r="C862" s="79" t="s">
        <v>7683</v>
      </c>
      <c r="D862" s="45"/>
      <c r="E862" s="79" t="s">
        <v>5964</v>
      </c>
      <c r="F862" s="79" t="s">
        <v>4340</v>
      </c>
      <c r="G862" s="45"/>
      <c r="H862" s="80">
        <v>0.01818</v>
      </c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</row>
    <row r="863">
      <c r="A863" s="79" t="s">
        <v>7684</v>
      </c>
      <c r="B863" s="45"/>
      <c r="C863" s="79" t="s">
        <v>7685</v>
      </c>
      <c r="D863" s="45"/>
      <c r="E863" s="79" t="s">
        <v>5354</v>
      </c>
      <c r="F863" s="79" t="s">
        <v>5944</v>
      </c>
      <c r="G863" s="45"/>
      <c r="H863" s="80">
        <v>0.01815</v>
      </c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</row>
    <row r="864">
      <c r="A864" s="79" t="s">
        <v>7686</v>
      </c>
      <c r="B864" s="45"/>
      <c r="C864" s="79" t="s">
        <v>7687</v>
      </c>
      <c r="D864" s="45"/>
      <c r="E864" s="79" t="s">
        <v>5235</v>
      </c>
      <c r="F864" s="79" t="s">
        <v>5944</v>
      </c>
      <c r="G864" s="45"/>
      <c r="H864" s="80">
        <v>0.01809</v>
      </c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</row>
    <row r="865">
      <c r="A865" s="79" t="s">
        <v>7688</v>
      </c>
      <c r="B865" s="45"/>
      <c r="C865" s="79" t="s">
        <v>7689</v>
      </c>
      <c r="D865" s="45"/>
      <c r="E865" s="79" t="s">
        <v>6115</v>
      </c>
      <c r="F865" s="79" t="s">
        <v>4340</v>
      </c>
      <c r="G865" s="45"/>
      <c r="H865" s="80">
        <v>0.01808</v>
      </c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</row>
    <row r="866">
      <c r="A866" s="79" t="s">
        <v>7690</v>
      </c>
      <c r="B866" s="45"/>
      <c r="C866" s="79" t="s">
        <v>7691</v>
      </c>
      <c r="D866" s="45"/>
      <c r="E866" s="79" t="s">
        <v>6040</v>
      </c>
      <c r="F866" s="79" t="s">
        <v>6204</v>
      </c>
      <c r="G866" s="45"/>
      <c r="H866" s="80">
        <v>0.01805</v>
      </c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</row>
    <row r="867">
      <c r="A867" s="79" t="s">
        <v>7692</v>
      </c>
      <c r="B867" s="45"/>
      <c r="C867" s="79" t="s">
        <v>7693</v>
      </c>
      <c r="D867" s="45"/>
      <c r="E867" s="79" t="s">
        <v>5978</v>
      </c>
      <c r="F867" s="79" t="s">
        <v>5944</v>
      </c>
      <c r="G867" s="45"/>
      <c r="H867" s="80">
        <v>0.01793</v>
      </c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</row>
    <row r="868">
      <c r="A868" s="79" t="s">
        <v>7694</v>
      </c>
      <c r="B868" s="45"/>
      <c r="C868" s="79" t="s">
        <v>5997</v>
      </c>
      <c r="D868" s="45"/>
      <c r="E868" s="79" t="s">
        <v>5215</v>
      </c>
      <c r="F868" s="79" t="s">
        <v>5944</v>
      </c>
      <c r="G868" s="45"/>
      <c r="H868" s="80">
        <v>0.01777</v>
      </c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</row>
    <row r="869">
      <c r="A869" s="79" t="s">
        <v>7695</v>
      </c>
      <c r="B869" s="45"/>
      <c r="C869" s="79" t="s">
        <v>7315</v>
      </c>
      <c r="D869" s="45"/>
      <c r="E869" s="79" t="s">
        <v>5271</v>
      </c>
      <c r="F869" s="79" t="s">
        <v>5944</v>
      </c>
      <c r="G869" s="45"/>
      <c r="H869" s="80">
        <v>0.01762</v>
      </c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</row>
    <row r="870">
      <c r="A870" s="79" t="s">
        <v>7696</v>
      </c>
      <c r="B870" s="45"/>
      <c r="C870" s="79" t="s">
        <v>7697</v>
      </c>
      <c r="D870" s="45"/>
      <c r="E870" s="79" t="s">
        <v>5978</v>
      </c>
      <c r="F870" s="79" t="s">
        <v>6555</v>
      </c>
      <c r="G870" s="45"/>
      <c r="H870" s="80">
        <v>0.01761</v>
      </c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</row>
    <row r="871">
      <c r="A871" s="79" t="s">
        <v>7698</v>
      </c>
      <c r="B871" s="45"/>
      <c r="C871" s="79" t="s">
        <v>7699</v>
      </c>
      <c r="D871" s="45"/>
      <c r="E871" s="79" t="s">
        <v>5215</v>
      </c>
      <c r="F871" s="79" t="s">
        <v>6351</v>
      </c>
      <c r="G871" s="45"/>
      <c r="H871" s="80">
        <v>0.01757</v>
      </c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</row>
    <row r="872">
      <c r="A872" s="79" t="s">
        <v>7700</v>
      </c>
      <c r="B872" s="45"/>
      <c r="C872" s="79" t="s">
        <v>7701</v>
      </c>
      <c r="D872" s="45"/>
      <c r="E872" s="79" t="s">
        <v>5229</v>
      </c>
      <c r="F872" s="79" t="s">
        <v>4340</v>
      </c>
      <c r="G872" s="45"/>
      <c r="H872" s="80">
        <v>0.01742</v>
      </c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</row>
    <row r="873">
      <c r="A873" s="79" t="s">
        <v>7702</v>
      </c>
      <c r="B873" s="45"/>
      <c r="C873" s="79" t="s">
        <v>7703</v>
      </c>
      <c r="D873" s="45"/>
      <c r="E873" s="79" t="s">
        <v>5366</v>
      </c>
      <c r="F873" s="79" t="s">
        <v>6555</v>
      </c>
      <c r="G873" s="45"/>
      <c r="H873" s="80">
        <v>0.01739</v>
      </c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</row>
    <row r="874">
      <c r="A874" s="79" t="s">
        <v>7704</v>
      </c>
      <c r="B874" s="45"/>
      <c r="C874" s="79" t="s">
        <v>7705</v>
      </c>
      <c r="D874" s="45"/>
      <c r="E874" s="79" t="s">
        <v>7181</v>
      </c>
      <c r="F874" s="79" t="s">
        <v>5944</v>
      </c>
      <c r="G874" s="45"/>
      <c r="H874" s="80">
        <v>0.0173</v>
      </c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</row>
    <row r="875">
      <c r="A875" s="79" t="s">
        <v>6698</v>
      </c>
      <c r="B875" s="45"/>
      <c r="C875" s="79" t="s">
        <v>7706</v>
      </c>
      <c r="D875" s="45"/>
      <c r="E875" s="79" t="s">
        <v>5578</v>
      </c>
      <c r="F875" s="79" t="s">
        <v>5927</v>
      </c>
      <c r="G875" s="45"/>
      <c r="H875" s="80">
        <v>0.01714</v>
      </c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</row>
    <row r="876">
      <c r="A876" s="79" t="s">
        <v>7707</v>
      </c>
      <c r="B876" s="45"/>
      <c r="C876" s="79" t="s">
        <v>7708</v>
      </c>
      <c r="D876" s="45"/>
      <c r="E876" s="79" t="s">
        <v>5422</v>
      </c>
      <c r="F876" s="79" t="s">
        <v>5944</v>
      </c>
      <c r="G876" s="45"/>
      <c r="H876" s="80">
        <v>0.01707</v>
      </c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</row>
    <row r="877">
      <c r="A877" s="79" t="s">
        <v>7709</v>
      </c>
      <c r="B877" s="45"/>
      <c r="C877" s="79" t="s">
        <v>7710</v>
      </c>
      <c r="D877" s="45"/>
      <c r="E877" s="79" t="s">
        <v>5241</v>
      </c>
      <c r="F877" s="79" t="s">
        <v>5944</v>
      </c>
      <c r="G877" s="45"/>
      <c r="H877" s="80">
        <v>0.017</v>
      </c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</row>
    <row r="878">
      <c r="A878" s="79" t="s">
        <v>7711</v>
      </c>
      <c r="B878" s="45"/>
      <c r="C878" s="79" t="s">
        <v>7712</v>
      </c>
      <c r="D878" s="45"/>
      <c r="E878" s="79" t="s">
        <v>5241</v>
      </c>
      <c r="F878" s="79" t="s">
        <v>5944</v>
      </c>
      <c r="G878" s="45"/>
      <c r="H878" s="80">
        <v>0.01687</v>
      </c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</row>
    <row r="879">
      <c r="A879" s="79" t="s">
        <v>7713</v>
      </c>
      <c r="B879" s="45"/>
      <c r="C879" s="79" t="s">
        <v>7714</v>
      </c>
      <c r="D879" s="45"/>
      <c r="E879" s="79" t="s">
        <v>5326</v>
      </c>
      <c r="F879" s="79" t="s">
        <v>5927</v>
      </c>
      <c r="G879" s="45"/>
      <c r="H879" s="80">
        <v>0.01676</v>
      </c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</row>
    <row r="880">
      <c r="A880" s="79" t="s">
        <v>7715</v>
      </c>
      <c r="B880" s="45"/>
      <c r="C880" s="79" t="s">
        <v>7716</v>
      </c>
      <c r="D880" s="45"/>
      <c r="E880" s="79" t="s">
        <v>5756</v>
      </c>
      <c r="F880" s="79" t="s">
        <v>4175</v>
      </c>
      <c r="G880" s="45"/>
      <c r="H880" s="80">
        <v>0.01664</v>
      </c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</row>
    <row r="881">
      <c r="A881" s="79" t="s">
        <v>7717</v>
      </c>
      <c r="B881" s="45"/>
      <c r="C881" s="79" t="s">
        <v>7718</v>
      </c>
      <c r="D881" s="45"/>
      <c r="E881" s="79" t="s">
        <v>5253</v>
      </c>
      <c r="F881" s="79" t="s">
        <v>4340</v>
      </c>
      <c r="G881" s="45"/>
      <c r="H881" s="80">
        <v>0.01657</v>
      </c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</row>
    <row r="882">
      <c r="A882" s="79" t="s">
        <v>7719</v>
      </c>
      <c r="B882" s="45"/>
      <c r="C882" s="79" t="s">
        <v>7720</v>
      </c>
      <c r="D882" s="45"/>
      <c r="E882" s="79" t="s">
        <v>6191</v>
      </c>
      <c r="F882" s="79" t="s">
        <v>6204</v>
      </c>
      <c r="G882" s="45"/>
      <c r="H882" s="80">
        <v>0.01656</v>
      </c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</row>
    <row r="883">
      <c r="A883" s="79" t="s">
        <v>7721</v>
      </c>
      <c r="B883" s="45"/>
      <c r="C883" s="79" t="s">
        <v>6229</v>
      </c>
      <c r="D883" s="45"/>
      <c r="E883" s="79" t="s">
        <v>5354</v>
      </c>
      <c r="F883" s="79" t="s">
        <v>5944</v>
      </c>
      <c r="G883" s="45"/>
      <c r="H883" s="80">
        <v>0.0165</v>
      </c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</row>
    <row r="884">
      <c r="A884" s="79" t="s">
        <v>7722</v>
      </c>
      <c r="B884" s="45"/>
      <c r="C884" s="79" t="s">
        <v>7723</v>
      </c>
      <c r="D884" s="45"/>
      <c r="E884" s="79" t="s">
        <v>6514</v>
      </c>
      <c r="F884" s="79" t="s">
        <v>5944</v>
      </c>
      <c r="G884" s="45"/>
      <c r="H884" s="80">
        <v>0.01644</v>
      </c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</row>
    <row r="885">
      <c r="A885" s="79" t="s">
        <v>7724</v>
      </c>
      <c r="B885" s="45"/>
      <c r="C885" s="79" t="s">
        <v>7725</v>
      </c>
      <c r="D885" s="45"/>
      <c r="E885" s="79" t="s">
        <v>5218</v>
      </c>
      <c r="F885" s="79" t="s">
        <v>4340</v>
      </c>
      <c r="G885" s="45"/>
      <c r="H885" s="80">
        <v>0.01638</v>
      </c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</row>
    <row r="886">
      <c r="A886" s="79" t="s">
        <v>7726</v>
      </c>
      <c r="B886" s="45"/>
      <c r="C886" s="79" t="s">
        <v>7727</v>
      </c>
      <c r="D886" s="45"/>
      <c r="E886" s="79" t="s">
        <v>5264</v>
      </c>
      <c r="F886" s="79" t="s">
        <v>6204</v>
      </c>
      <c r="G886" s="45"/>
      <c r="H886" s="80">
        <v>0.01635</v>
      </c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</row>
    <row r="887">
      <c r="A887" s="79" t="s">
        <v>7728</v>
      </c>
      <c r="B887" s="45"/>
      <c r="C887" s="79" t="s">
        <v>7729</v>
      </c>
      <c r="D887" s="45"/>
      <c r="E887" s="79" t="s">
        <v>6238</v>
      </c>
      <c r="F887" s="79" t="s">
        <v>5944</v>
      </c>
      <c r="G887" s="45"/>
      <c r="H887" s="80">
        <v>0.01634</v>
      </c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</row>
    <row r="888">
      <c r="A888" s="79" t="s">
        <v>7730</v>
      </c>
      <c r="B888" s="45"/>
      <c r="C888" s="79" t="s">
        <v>7731</v>
      </c>
      <c r="D888" s="45"/>
      <c r="E888" s="79" t="s">
        <v>5211</v>
      </c>
      <c r="F888" s="79" t="s">
        <v>5983</v>
      </c>
      <c r="G888" s="45"/>
      <c r="H888" s="80">
        <v>0.01624</v>
      </c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</row>
    <row r="889">
      <c r="A889" s="79" t="s">
        <v>7732</v>
      </c>
      <c r="B889" s="45"/>
      <c r="C889" s="79" t="s">
        <v>7733</v>
      </c>
      <c r="D889" s="45"/>
      <c r="E889" s="79" t="s">
        <v>5756</v>
      </c>
      <c r="F889" s="79" t="s">
        <v>4340</v>
      </c>
      <c r="G889" s="45"/>
      <c r="H889" s="80">
        <v>0.01623</v>
      </c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</row>
    <row r="890">
      <c r="A890" s="79" t="s">
        <v>7305</v>
      </c>
      <c r="B890" s="45"/>
      <c r="C890" s="79" t="s">
        <v>7734</v>
      </c>
      <c r="D890" s="45"/>
      <c r="E890" s="79" t="s">
        <v>5357</v>
      </c>
      <c r="F890" s="79" t="s">
        <v>5967</v>
      </c>
      <c r="G890" s="45"/>
      <c r="H890" s="80">
        <v>0.01616</v>
      </c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</row>
    <row r="891">
      <c r="A891" s="79" t="s">
        <v>7735</v>
      </c>
      <c r="B891" s="45"/>
      <c r="C891" s="79" t="s">
        <v>7736</v>
      </c>
      <c r="D891" s="45"/>
      <c r="E891" s="79" t="s">
        <v>6238</v>
      </c>
      <c r="F891" s="79" t="s">
        <v>6596</v>
      </c>
      <c r="G891" s="45"/>
      <c r="H891" s="80">
        <v>0.01611</v>
      </c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</row>
    <row r="892">
      <c r="A892" s="79" t="s">
        <v>7737</v>
      </c>
      <c r="B892" s="45"/>
      <c r="C892" s="79" t="s">
        <v>7738</v>
      </c>
      <c r="D892" s="45"/>
      <c r="E892" s="79" t="s">
        <v>5235</v>
      </c>
      <c r="F892" s="79" t="s">
        <v>5944</v>
      </c>
      <c r="G892" s="45"/>
      <c r="H892" s="80">
        <v>0.01594</v>
      </c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</row>
    <row r="893">
      <c r="A893" s="79" t="s">
        <v>7739</v>
      </c>
      <c r="B893" s="45"/>
      <c r="C893" s="79" t="s">
        <v>7740</v>
      </c>
      <c r="D893" s="45"/>
      <c r="E893" s="79" t="s">
        <v>5241</v>
      </c>
      <c r="F893" s="79" t="s">
        <v>6137</v>
      </c>
      <c r="G893" s="45"/>
      <c r="H893" s="80">
        <v>0.01567</v>
      </c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</row>
    <row r="894">
      <c r="A894" s="79" t="s">
        <v>7741</v>
      </c>
      <c r="B894" s="45"/>
      <c r="C894" s="79" t="s">
        <v>7742</v>
      </c>
      <c r="D894" s="45"/>
      <c r="E894" s="79" t="s">
        <v>5276</v>
      </c>
      <c r="F894" s="79" t="s">
        <v>5944</v>
      </c>
      <c r="G894" s="45"/>
      <c r="H894" s="80">
        <v>0.01556</v>
      </c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</row>
    <row r="895">
      <c r="A895" s="79" t="s">
        <v>7743</v>
      </c>
      <c r="B895" s="45"/>
      <c r="C895" s="79" t="s">
        <v>7744</v>
      </c>
      <c r="D895" s="45"/>
      <c r="E895" s="79" t="s">
        <v>6191</v>
      </c>
      <c r="F895" s="79" t="s">
        <v>6204</v>
      </c>
      <c r="G895" s="45"/>
      <c r="H895" s="80">
        <v>0.01553</v>
      </c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</row>
    <row r="896">
      <c r="A896" s="79" t="s">
        <v>7745</v>
      </c>
      <c r="B896" s="45"/>
      <c r="C896" s="79" t="s">
        <v>7746</v>
      </c>
      <c r="D896" s="45"/>
      <c r="E896" s="79" t="s">
        <v>5578</v>
      </c>
      <c r="F896" s="79" t="s">
        <v>6204</v>
      </c>
      <c r="G896" s="45"/>
      <c r="H896" s="80">
        <v>0.01549</v>
      </c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</row>
    <row r="897">
      <c r="A897" s="79" t="s">
        <v>7747</v>
      </c>
      <c r="B897" s="45"/>
      <c r="C897" s="79" t="s">
        <v>7748</v>
      </c>
      <c r="D897" s="45"/>
      <c r="E897" s="79" t="s">
        <v>5756</v>
      </c>
      <c r="F897" s="79" t="s">
        <v>5924</v>
      </c>
      <c r="G897" s="45"/>
      <c r="H897" s="80">
        <v>0.01547</v>
      </c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</row>
    <row r="898">
      <c r="A898" s="79" t="s">
        <v>7749</v>
      </c>
      <c r="B898" s="45"/>
      <c r="C898" s="79" t="s">
        <v>7750</v>
      </c>
      <c r="D898" s="45"/>
      <c r="E898" s="79" t="s">
        <v>5735</v>
      </c>
      <c r="F898" s="79" t="s">
        <v>6137</v>
      </c>
      <c r="G898" s="45"/>
      <c r="H898" s="80">
        <v>0.01547</v>
      </c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</row>
    <row r="899">
      <c r="A899" s="79" t="s">
        <v>7751</v>
      </c>
      <c r="B899" s="45"/>
      <c r="C899" s="79" t="s">
        <v>7752</v>
      </c>
      <c r="D899" s="45"/>
      <c r="E899" s="79" t="s">
        <v>5501</v>
      </c>
      <c r="F899" s="79" t="s">
        <v>4340</v>
      </c>
      <c r="G899" s="45"/>
      <c r="H899" s="80">
        <v>0.01541</v>
      </c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</row>
    <row r="900">
      <c r="A900" s="79" t="s">
        <v>7753</v>
      </c>
      <c r="B900" s="45"/>
      <c r="C900" s="79" t="s">
        <v>7754</v>
      </c>
      <c r="D900" s="45"/>
      <c r="E900" s="79" t="s">
        <v>6427</v>
      </c>
      <c r="F900" s="79" t="s">
        <v>5944</v>
      </c>
      <c r="G900" s="45"/>
      <c r="H900" s="80">
        <v>0.01539</v>
      </c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</row>
    <row r="901">
      <c r="A901" s="79" t="s">
        <v>7755</v>
      </c>
      <c r="B901" s="45"/>
      <c r="C901" s="79" t="s">
        <v>7756</v>
      </c>
      <c r="D901" s="45"/>
      <c r="E901" s="79" t="s">
        <v>5561</v>
      </c>
      <c r="F901" s="79" t="s">
        <v>6204</v>
      </c>
      <c r="G901" s="45"/>
      <c r="H901" s="80">
        <v>0.01537</v>
      </c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</row>
    <row r="902">
      <c r="A902" s="79" t="s">
        <v>7757</v>
      </c>
      <c r="B902" s="45"/>
      <c r="C902" s="79" t="s">
        <v>7758</v>
      </c>
      <c r="D902" s="45"/>
      <c r="E902" s="79" t="s">
        <v>5229</v>
      </c>
      <c r="F902" s="79" t="s">
        <v>5944</v>
      </c>
      <c r="G902" s="45"/>
      <c r="H902" s="80">
        <v>0.01528</v>
      </c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</row>
    <row r="903">
      <c r="A903" s="79" t="s">
        <v>7759</v>
      </c>
      <c r="B903" s="45"/>
      <c r="C903" s="79" t="s">
        <v>7760</v>
      </c>
      <c r="D903" s="45"/>
      <c r="E903" s="79" t="s">
        <v>5241</v>
      </c>
      <c r="F903" s="79" t="s">
        <v>5944</v>
      </c>
      <c r="G903" s="45"/>
      <c r="H903" s="80">
        <v>0.01528</v>
      </c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</row>
    <row r="904">
      <c r="A904" s="79" t="s">
        <v>7761</v>
      </c>
      <c r="B904" s="45"/>
      <c r="C904" s="79" t="s">
        <v>7762</v>
      </c>
      <c r="D904" s="45"/>
      <c r="E904" s="79" t="s">
        <v>5246</v>
      </c>
      <c r="F904" s="79" t="s">
        <v>5983</v>
      </c>
      <c r="G904" s="45"/>
      <c r="H904" s="80">
        <v>0.01526</v>
      </c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</row>
    <row r="905">
      <c r="A905" s="79" t="s">
        <v>7763</v>
      </c>
      <c r="B905" s="45"/>
      <c r="C905" s="79" t="s">
        <v>7764</v>
      </c>
      <c r="D905" s="45"/>
      <c r="E905" s="79" t="s">
        <v>5691</v>
      </c>
      <c r="F905" s="79" t="s">
        <v>5944</v>
      </c>
      <c r="G905" s="45"/>
      <c r="H905" s="80">
        <v>0.01526</v>
      </c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</row>
    <row r="906">
      <c r="A906" s="79" t="s">
        <v>7765</v>
      </c>
      <c r="B906" s="45"/>
      <c r="C906" s="79" t="s">
        <v>7766</v>
      </c>
      <c r="D906" s="45"/>
      <c r="E906" s="79" t="s">
        <v>5232</v>
      </c>
      <c r="F906" s="79" t="s">
        <v>4340</v>
      </c>
      <c r="G906" s="45"/>
      <c r="H906" s="80">
        <v>0.0152</v>
      </c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</row>
    <row r="907">
      <c r="A907" s="79" t="s">
        <v>7767</v>
      </c>
      <c r="B907" s="45"/>
      <c r="C907" s="79" t="s">
        <v>7768</v>
      </c>
      <c r="D907" s="45"/>
      <c r="E907" s="79" t="s">
        <v>5241</v>
      </c>
      <c r="F907" s="79" t="s">
        <v>6210</v>
      </c>
      <c r="G907" s="45"/>
      <c r="H907" s="80">
        <v>0.01516</v>
      </c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</row>
    <row r="908">
      <c r="A908" s="79" t="s">
        <v>7769</v>
      </c>
      <c r="B908" s="45"/>
      <c r="C908" s="79" t="s">
        <v>7770</v>
      </c>
      <c r="D908" s="45"/>
      <c r="E908" s="79" t="s">
        <v>5258</v>
      </c>
      <c r="F908" s="79" t="s">
        <v>6555</v>
      </c>
      <c r="G908" s="45"/>
      <c r="H908" s="80">
        <v>0.01515</v>
      </c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</row>
    <row r="909">
      <c r="A909" s="79" t="s">
        <v>7771</v>
      </c>
      <c r="B909" s="45"/>
      <c r="C909" s="79" t="s">
        <v>7772</v>
      </c>
      <c r="D909" s="45"/>
      <c r="E909" s="79" t="s">
        <v>6630</v>
      </c>
      <c r="F909" s="79" t="s">
        <v>6210</v>
      </c>
      <c r="G909" s="45"/>
      <c r="H909" s="80">
        <v>0.01508</v>
      </c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</row>
    <row r="910">
      <c r="A910" s="79" t="s">
        <v>7773</v>
      </c>
      <c r="B910" s="45"/>
      <c r="C910" s="79" t="s">
        <v>7774</v>
      </c>
      <c r="D910" s="45"/>
      <c r="E910" s="79" t="s">
        <v>5445</v>
      </c>
      <c r="F910" s="79" t="s">
        <v>4340</v>
      </c>
      <c r="G910" s="45"/>
      <c r="H910" s="80">
        <v>0.01507</v>
      </c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</row>
    <row r="911">
      <c r="A911" s="79" t="s">
        <v>7775</v>
      </c>
      <c r="B911" s="45"/>
      <c r="C911" s="79" t="s">
        <v>7776</v>
      </c>
      <c r="D911" s="45"/>
      <c r="E911" s="79" t="s">
        <v>5229</v>
      </c>
      <c r="F911" s="79" t="s">
        <v>5944</v>
      </c>
      <c r="G911" s="45"/>
      <c r="H911" s="80">
        <v>0.01503</v>
      </c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</row>
    <row r="912">
      <c r="A912" s="79" t="s">
        <v>7777</v>
      </c>
      <c r="B912" s="45"/>
      <c r="C912" s="79" t="s">
        <v>7509</v>
      </c>
      <c r="D912" s="45"/>
      <c r="E912" s="79" t="s">
        <v>5448</v>
      </c>
      <c r="F912" s="79" t="s">
        <v>5944</v>
      </c>
      <c r="G912" s="45"/>
      <c r="H912" s="80">
        <v>0.01498</v>
      </c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</row>
    <row r="913">
      <c r="A913" s="79" t="s">
        <v>7778</v>
      </c>
      <c r="B913" s="45"/>
      <c r="C913" s="79" t="s">
        <v>7779</v>
      </c>
      <c r="D913" s="45"/>
      <c r="E913" s="79" t="s">
        <v>6327</v>
      </c>
      <c r="F913" s="79" t="s">
        <v>6210</v>
      </c>
      <c r="G913" s="45"/>
      <c r="H913" s="80">
        <v>0.0149</v>
      </c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</row>
    <row r="914">
      <c r="A914" s="79" t="s">
        <v>7780</v>
      </c>
      <c r="B914" s="45"/>
      <c r="C914" s="79" t="s">
        <v>7781</v>
      </c>
      <c r="D914" s="45"/>
      <c r="E914" s="79" t="s">
        <v>6514</v>
      </c>
      <c r="F914" s="79" t="s">
        <v>5944</v>
      </c>
      <c r="G914" s="45"/>
      <c r="H914" s="80">
        <v>0.01488</v>
      </c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</row>
    <row r="915">
      <c r="A915" s="79" t="s">
        <v>7782</v>
      </c>
      <c r="B915" s="45"/>
      <c r="C915" s="79" t="s">
        <v>7783</v>
      </c>
      <c r="D915" s="45"/>
      <c r="E915" s="79" t="s">
        <v>5326</v>
      </c>
      <c r="F915" s="79" t="s">
        <v>5944</v>
      </c>
      <c r="G915" s="45"/>
      <c r="H915" s="80">
        <v>0.01488</v>
      </c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</row>
    <row r="916">
      <c r="A916" s="79" t="s">
        <v>7784</v>
      </c>
      <c r="B916" s="45"/>
      <c r="C916" s="79" t="s">
        <v>7785</v>
      </c>
      <c r="D916" s="45"/>
      <c r="E916" s="79" t="s">
        <v>5434</v>
      </c>
      <c r="F916" s="79" t="s">
        <v>5927</v>
      </c>
      <c r="G916" s="45"/>
      <c r="H916" s="80">
        <v>0.01486</v>
      </c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</row>
    <row r="917">
      <c r="A917" s="79" t="s">
        <v>7786</v>
      </c>
      <c r="B917" s="45"/>
      <c r="C917" s="79" t="s">
        <v>7787</v>
      </c>
      <c r="D917" s="45"/>
      <c r="E917" s="79" t="s">
        <v>6130</v>
      </c>
      <c r="F917" s="79" t="s">
        <v>5944</v>
      </c>
      <c r="G917" s="45"/>
      <c r="H917" s="80">
        <v>0.01485</v>
      </c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</row>
    <row r="918">
      <c r="A918" s="79" t="s">
        <v>7788</v>
      </c>
      <c r="B918" s="45"/>
      <c r="C918" s="79" t="s">
        <v>7789</v>
      </c>
      <c r="D918" s="45"/>
      <c r="E918" s="79" t="s">
        <v>5525</v>
      </c>
      <c r="F918" s="79" t="s">
        <v>5944</v>
      </c>
      <c r="G918" s="45"/>
      <c r="H918" s="80">
        <v>0.0148</v>
      </c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</row>
    <row r="919">
      <c r="A919" s="79" t="s">
        <v>7790</v>
      </c>
      <c r="B919" s="45"/>
      <c r="C919" s="79" t="s">
        <v>7791</v>
      </c>
      <c r="D919" s="45"/>
      <c r="E919" s="79" t="s">
        <v>5682</v>
      </c>
      <c r="F919" s="79" t="s">
        <v>5927</v>
      </c>
      <c r="G919" s="45"/>
      <c r="H919" s="80">
        <v>0.01477</v>
      </c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</row>
    <row r="920">
      <c r="A920" s="79" t="s">
        <v>7792</v>
      </c>
      <c r="B920" s="45"/>
      <c r="C920" s="79" t="s">
        <v>7793</v>
      </c>
      <c r="D920" s="45"/>
      <c r="E920" s="79" t="s">
        <v>7476</v>
      </c>
      <c r="F920" s="79" t="s">
        <v>6217</v>
      </c>
      <c r="G920" s="45"/>
      <c r="H920" s="80">
        <v>0.01475</v>
      </c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</row>
    <row r="921">
      <c r="A921" s="79" t="s">
        <v>7794</v>
      </c>
      <c r="B921" s="45"/>
      <c r="C921" s="79" t="s">
        <v>7795</v>
      </c>
      <c r="D921" s="45"/>
      <c r="E921" s="79" t="s">
        <v>5377</v>
      </c>
      <c r="F921" s="79" t="s">
        <v>5944</v>
      </c>
      <c r="G921" s="45"/>
      <c r="H921" s="80">
        <v>0.01447</v>
      </c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</row>
    <row r="922">
      <c r="A922" s="79" t="s">
        <v>7796</v>
      </c>
      <c r="B922" s="45"/>
      <c r="C922" s="79" t="s">
        <v>6716</v>
      </c>
      <c r="D922" s="45"/>
      <c r="E922" s="79" t="s">
        <v>5478</v>
      </c>
      <c r="F922" s="79" t="s">
        <v>5944</v>
      </c>
      <c r="G922" s="45"/>
      <c r="H922" s="80">
        <v>0.01433</v>
      </c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</row>
    <row r="923">
      <c r="A923" s="79" t="s">
        <v>7797</v>
      </c>
      <c r="B923" s="45"/>
      <c r="C923" s="79" t="s">
        <v>7798</v>
      </c>
      <c r="D923" s="45"/>
      <c r="E923" s="79" t="s">
        <v>6040</v>
      </c>
      <c r="F923" s="79" t="s">
        <v>5927</v>
      </c>
      <c r="G923" s="45"/>
      <c r="H923" s="80">
        <v>0.01422</v>
      </c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</row>
    <row r="924">
      <c r="A924" s="79" t="s">
        <v>7799</v>
      </c>
      <c r="B924" s="45"/>
      <c r="C924" s="79" t="s">
        <v>7800</v>
      </c>
      <c r="D924" s="45"/>
      <c r="E924" s="79" t="s">
        <v>5961</v>
      </c>
      <c r="F924" s="79" t="s">
        <v>5944</v>
      </c>
      <c r="G924" s="45"/>
      <c r="H924" s="80">
        <v>0.01413</v>
      </c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</row>
    <row r="925">
      <c r="A925" s="79" t="s">
        <v>7801</v>
      </c>
      <c r="B925" s="45"/>
      <c r="C925" s="79" t="s">
        <v>7802</v>
      </c>
      <c r="D925" s="45"/>
      <c r="E925" s="79" t="s">
        <v>5467</v>
      </c>
      <c r="F925" s="79" t="s">
        <v>6137</v>
      </c>
      <c r="G925" s="45"/>
      <c r="H925" s="80">
        <v>0.01405</v>
      </c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</row>
    <row r="926">
      <c r="A926" s="79" t="s">
        <v>7803</v>
      </c>
      <c r="B926" s="45"/>
      <c r="C926" s="79" t="s">
        <v>7804</v>
      </c>
      <c r="D926" s="45"/>
      <c r="E926" s="79" t="s">
        <v>5756</v>
      </c>
      <c r="F926" s="79" t="s">
        <v>6210</v>
      </c>
      <c r="G926" s="45"/>
      <c r="H926" s="80">
        <v>0.01399</v>
      </c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</row>
    <row r="927">
      <c r="A927" s="79" t="s">
        <v>7805</v>
      </c>
      <c r="B927" s="45"/>
      <c r="C927" s="79" t="s">
        <v>7649</v>
      </c>
      <c r="D927" s="45"/>
      <c r="E927" s="79" t="s">
        <v>5215</v>
      </c>
      <c r="F927" s="79" t="s">
        <v>5944</v>
      </c>
      <c r="G927" s="45"/>
      <c r="H927" s="80">
        <v>0.01396</v>
      </c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</row>
    <row r="928">
      <c r="A928" s="79" t="s">
        <v>7806</v>
      </c>
      <c r="B928" s="45"/>
      <c r="C928" s="79" t="s">
        <v>7204</v>
      </c>
      <c r="D928" s="45"/>
      <c r="E928" s="79" t="s">
        <v>6931</v>
      </c>
      <c r="F928" s="79" t="s">
        <v>5944</v>
      </c>
      <c r="G928" s="45"/>
      <c r="H928" s="80">
        <v>0.01389</v>
      </c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</row>
    <row r="929">
      <c r="A929" s="79" t="s">
        <v>7807</v>
      </c>
      <c r="B929" s="45"/>
      <c r="C929" s="79" t="s">
        <v>7808</v>
      </c>
      <c r="D929" s="45"/>
      <c r="E929" s="79" t="s">
        <v>6191</v>
      </c>
      <c r="F929" s="79" t="s">
        <v>6204</v>
      </c>
      <c r="G929" s="45"/>
      <c r="H929" s="80">
        <v>0.01385</v>
      </c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</row>
    <row r="930">
      <c r="A930" s="79" t="s">
        <v>7809</v>
      </c>
      <c r="B930" s="45"/>
      <c r="C930" s="79" t="s">
        <v>7810</v>
      </c>
      <c r="D930" s="45"/>
      <c r="E930" s="79" t="s">
        <v>6110</v>
      </c>
      <c r="F930" s="79" t="s">
        <v>4175</v>
      </c>
      <c r="G930" s="45"/>
      <c r="H930" s="80">
        <v>0.01385</v>
      </c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</row>
    <row r="931">
      <c r="A931" s="79" t="s">
        <v>7811</v>
      </c>
      <c r="B931" s="45"/>
      <c r="C931" s="79" t="s">
        <v>7812</v>
      </c>
      <c r="D931" s="45"/>
      <c r="E931" s="79" t="s">
        <v>5978</v>
      </c>
      <c r="F931" s="79" t="s">
        <v>5944</v>
      </c>
      <c r="G931" s="45"/>
      <c r="H931" s="80">
        <v>0.01378</v>
      </c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</row>
    <row r="932">
      <c r="A932" s="79" t="s">
        <v>7813</v>
      </c>
      <c r="B932" s="45"/>
      <c r="C932" s="79" t="s">
        <v>6112</v>
      </c>
      <c r="D932" s="45"/>
      <c r="E932" s="79" t="s">
        <v>5357</v>
      </c>
      <c r="F932" s="79" t="s">
        <v>5944</v>
      </c>
      <c r="G932" s="45"/>
      <c r="H932" s="80">
        <v>0.01371</v>
      </c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</row>
    <row r="933">
      <c r="A933" s="79" t="s">
        <v>7814</v>
      </c>
      <c r="B933" s="45"/>
      <c r="C933" s="79" t="s">
        <v>6092</v>
      </c>
      <c r="D933" s="45"/>
      <c r="E933" s="79" t="s">
        <v>5989</v>
      </c>
      <c r="F933" s="79" t="s">
        <v>5944</v>
      </c>
      <c r="G933" s="45"/>
      <c r="H933" s="80">
        <v>0.0136</v>
      </c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</row>
    <row r="934">
      <c r="A934" s="79" t="s">
        <v>7815</v>
      </c>
      <c r="B934" s="45"/>
      <c r="C934" s="79" t="s">
        <v>7202</v>
      </c>
      <c r="D934" s="45"/>
      <c r="E934" s="79" t="s">
        <v>5407</v>
      </c>
      <c r="F934" s="79" t="s">
        <v>5944</v>
      </c>
      <c r="G934" s="45"/>
      <c r="H934" s="80">
        <v>0.01358</v>
      </c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</row>
    <row r="935">
      <c r="A935" s="79" t="s">
        <v>7816</v>
      </c>
      <c r="B935" s="45"/>
      <c r="C935" s="79" t="s">
        <v>7049</v>
      </c>
      <c r="D935" s="45"/>
      <c r="E935" s="79" t="s">
        <v>5978</v>
      </c>
      <c r="F935" s="79" t="s">
        <v>5944</v>
      </c>
      <c r="G935" s="45"/>
      <c r="H935" s="80">
        <v>0.01346</v>
      </c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</row>
    <row r="936">
      <c r="A936" s="79" t="s">
        <v>7817</v>
      </c>
      <c r="B936" s="45"/>
      <c r="C936" s="79" t="s">
        <v>7818</v>
      </c>
      <c r="D936" s="45"/>
      <c r="E936" s="79" t="s">
        <v>5691</v>
      </c>
      <c r="F936" s="79" t="s">
        <v>5944</v>
      </c>
      <c r="G936" s="45"/>
      <c r="H936" s="80">
        <v>0.01346</v>
      </c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</row>
    <row r="937">
      <c r="A937" s="79" t="s">
        <v>7819</v>
      </c>
      <c r="B937" s="45"/>
      <c r="C937" s="79" t="s">
        <v>7820</v>
      </c>
      <c r="D937" s="45"/>
      <c r="E937" s="79" t="s">
        <v>6238</v>
      </c>
      <c r="F937" s="79" t="s">
        <v>5944</v>
      </c>
      <c r="G937" s="45"/>
      <c r="H937" s="80">
        <v>0.01344</v>
      </c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</row>
    <row r="938">
      <c r="A938" s="79" t="s">
        <v>7821</v>
      </c>
      <c r="B938" s="45"/>
      <c r="C938" s="79" t="s">
        <v>7822</v>
      </c>
      <c r="D938" s="45"/>
      <c r="E938" s="79" t="s">
        <v>5434</v>
      </c>
      <c r="F938" s="79" t="s">
        <v>5927</v>
      </c>
      <c r="G938" s="45"/>
      <c r="H938" s="80">
        <v>0.01343</v>
      </c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</row>
    <row r="939">
      <c r="A939" s="79" t="s">
        <v>7823</v>
      </c>
      <c r="B939" s="45"/>
      <c r="C939" s="79" t="s">
        <v>7824</v>
      </c>
      <c r="D939" s="45"/>
      <c r="E939" s="79" t="s">
        <v>5589</v>
      </c>
      <c r="F939" s="79" t="s">
        <v>5944</v>
      </c>
      <c r="G939" s="45"/>
      <c r="H939" s="80">
        <v>0.01342</v>
      </c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</row>
    <row r="940">
      <c r="A940" s="79" t="s">
        <v>7825</v>
      </c>
      <c r="B940" s="45"/>
      <c r="C940" s="79" t="s">
        <v>7826</v>
      </c>
      <c r="D940" s="45"/>
      <c r="E940" s="79" t="s">
        <v>5715</v>
      </c>
      <c r="F940" s="79" t="s">
        <v>5944</v>
      </c>
      <c r="G940" s="45"/>
      <c r="H940" s="80">
        <v>0.01339</v>
      </c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</row>
    <row r="941">
      <c r="A941" s="79" t="s">
        <v>7827</v>
      </c>
      <c r="B941" s="45"/>
      <c r="C941" s="79" t="s">
        <v>7828</v>
      </c>
      <c r="D941" s="45"/>
      <c r="E941" s="79" t="s">
        <v>6157</v>
      </c>
      <c r="F941" s="79" t="s">
        <v>6220</v>
      </c>
      <c r="G941" s="45"/>
      <c r="H941" s="80">
        <v>0.01338</v>
      </c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</row>
    <row r="942">
      <c r="A942" s="79" t="s">
        <v>7829</v>
      </c>
      <c r="B942" s="45"/>
      <c r="C942" s="79" t="s">
        <v>7830</v>
      </c>
      <c r="D942" s="45"/>
      <c r="E942" s="79" t="s">
        <v>5561</v>
      </c>
      <c r="F942" s="79" t="s">
        <v>5927</v>
      </c>
      <c r="G942" s="45"/>
      <c r="H942" s="80">
        <v>0.01325</v>
      </c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</row>
    <row r="943">
      <c r="A943" s="79" t="s">
        <v>7831</v>
      </c>
      <c r="B943" s="45"/>
      <c r="C943" s="79" t="s">
        <v>7832</v>
      </c>
      <c r="D943" s="45"/>
      <c r="E943" s="79" t="s">
        <v>5561</v>
      </c>
      <c r="F943" s="79" t="s">
        <v>5967</v>
      </c>
      <c r="G943" s="45"/>
      <c r="H943" s="80">
        <v>0.01324</v>
      </c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</row>
    <row r="944">
      <c r="A944" s="79" t="s">
        <v>7833</v>
      </c>
      <c r="B944" s="45"/>
      <c r="C944" s="79" t="s">
        <v>6147</v>
      </c>
      <c r="D944" s="45"/>
      <c r="E944" s="79" t="s">
        <v>5271</v>
      </c>
      <c r="F944" s="79" t="s">
        <v>5944</v>
      </c>
      <c r="G944" s="45"/>
      <c r="H944" s="80">
        <v>0.01324</v>
      </c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</row>
    <row r="945">
      <c r="A945" s="79" t="s">
        <v>7834</v>
      </c>
      <c r="B945" s="45"/>
      <c r="C945" s="79" t="s">
        <v>7835</v>
      </c>
      <c r="D945" s="45"/>
      <c r="E945" s="79" t="s">
        <v>5561</v>
      </c>
      <c r="F945" s="79" t="s">
        <v>6220</v>
      </c>
      <c r="G945" s="45"/>
      <c r="H945" s="80">
        <v>0.01322</v>
      </c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</row>
    <row r="946">
      <c r="A946" s="79" t="s">
        <v>7836</v>
      </c>
      <c r="B946" s="45"/>
      <c r="C946" s="79" t="s">
        <v>7837</v>
      </c>
      <c r="D946" s="45"/>
      <c r="E946" s="79" t="s">
        <v>5369</v>
      </c>
      <c r="F946" s="79" t="s">
        <v>5944</v>
      </c>
      <c r="G946" s="45"/>
      <c r="H946" s="80">
        <v>0.01307</v>
      </c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</row>
    <row r="947">
      <c r="A947" s="79" t="s">
        <v>7838</v>
      </c>
      <c r="B947" s="45"/>
      <c r="C947" s="79" t="s">
        <v>7839</v>
      </c>
      <c r="D947" s="45"/>
      <c r="E947" s="79" t="s">
        <v>5366</v>
      </c>
      <c r="F947" s="79" t="s">
        <v>5944</v>
      </c>
      <c r="G947" s="45"/>
      <c r="H947" s="80">
        <v>0.01306</v>
      </c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</row>
    <row r="948">
      <c r="A948" s="79" t="s">
        <v>7840</v>
      </c>
      <c r="B948" s="45"/>
      <c r="C948" s="79" t="s">
        <v>6507</v>
      </c>
      <c r="D948" s="45"/>
      <c r="E948" s="79" t="s">
        <v>5215</v>
      </c>
      <c r="F948" s="79" t="s">
        <v>5944</v>
      </c>
      <c r="G948" s="45"/>
      <c r="H948" s="80">
        <v>0.01293</v>
      </c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</row>
    <row r="949">
      <c r="A949" s="79" t="s">
        <v>7841</v>
      </c>
      <c r="B949" s="45"/>
      <c r="C949" s="79" t="s">
        <v>7842</v>
      </c>
      <c r="D949" s="45"/>
      <c r="E949" s="79" t="s">
        <v>5650</v>
      </c>
      <c r="F949" s="79" t="s">
        <v>5944</v>
      </c>
      <c r="G949" s="45"/>
      <c r="H949" s="80">
        <v>0.01293</v>
      </c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</row>
    <row r="950">
      <c r="A950" s="79" t="s">
        <v>7843</v>
      </c>
      <c r="B950" s="45"/>
      <c r="C950" s="79" t="s">
        <v>7262</v>
      </c>
      <c r="D950" s="45"/>
      <c r="E950" s="79" t="s">
        <v>5351</v>
      </c>
      <c r="F950" s="79" t="s">
        <v>5944</v>
      </c>
      <c r="G950" s="45"/>
      <c r="H950" s="80">
        <v>0.01285</v>
      </c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</row>
    <row r="951">
      <c r="A951" s="79" t="s">
        <v>7844</v>
      </c>
      <c r="B951" s="45"/>
      <c r="C951" s="79" t="s">
        <v>7845</v>
      </c>
      <c r="D951" s="45"/>
      <c r="E951" s="79" t="s">
        <v>7846</v>
      </c>
      <c r="F951" s="79" t="s">
        <v>5944</v>
      </c>
      <c r="G951" s="45"/>
      <c r="H951" s="80">
        <v>0.01281</v>
      </c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</row>
    <row r="952">
      <c r="A952" s="79" t="s">
        <v>7847</v>
      </c>
      <c r="B952" s="45"/>
      <c r="C952" s="79" t="s">
        <v>5993</v>
      </c>
      <c r="D952" s="45"/>
      <c r="E952" s="79" t="s">
        <v>5215</v>
      </c>
      <c r="F952" s="79" t="s">
        <v>5944</v>
      </c>
      <c r="G952" s="45"/>
      <c r="H952" s="80">
        <v>0.01278</v>
      </c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</row>
    <row r="953">
      <c r="A953" s="79" t="s">
        <v>7848</v>
      </c>
      <c r="B953" s="45"/>
      <c r="C953" s="79" t="s">
        <v>7849</v>
      </c>
      <c r="D953" s="45"/>
      <c r="E953" s="79" t="s">
        <v>5978</v>
      </c>
      <c r="F953" s="79" t="s">
        <v>5944</v>
      </c>
      <c r="G953" s="45"/>
      <c r="H953" s="80">
        <v>0.01274</v>
      </c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</row>
    <row r="954">
      <c r="A954" s="79" t="s">
        <v>7850</v>
      </c>
      <c r="B954" s="45"/>
      <c r="C954" s="79" t="s">
        <v>7851</v>
      </c>
      <c r="D954" s="45"/>
      <c r="E954" s="79" t="s">
        <v>5961</v>
      </c>
      <c r="F954" s="79" t="s">
        <v>4340</v>
      </c>
      <c r="G954" s="45"/>
      <c r="H954" s="80">
        <v>0.01273</v>
      </c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</row>
    <row r="955">
      <c r="A955" s="79" t="s">
        <v>7852</v>
      </c>
      <c r="B955" s="45"/>
      <c r="C955" s="79" t="s">
        <v>7853</v>
      </c>
      <c r="D955" s="45"/>
      <c r="E955" s="79" t="s">
        <v>5561</v>
      </c>
      <c r="F955" s="79" t="s">
        <v>5944</v>
      </c>
      <c r="G955" s="45"/>
      <c r="H955" s="80">
        <v>0.01269</v>
      </c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</row>
    <row r="956">
      <c r="A956" s="79" t="s">
        <v>7854</v>
      </c>
      <c r="B956" s="45"/>
      <c r="C956" s="79" t="s">
        <v>7855</v>
      </c>
      <c r="D956" s="45"/>
      <c r="E956" s="79" t="s">
        <v>6130</v>
      </c>
      <c r="F956" s="79" t="s">
        <v>5944</v>
      </c>
      <c r="G956" s="45"/>
      <c r="H956" s="80">
        <v>0.01253</v>
      </c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</row>
    <row r="957">
      <c r="A957" s="79" t="s">
        <v>7856</v>
      </c>
      <c r="B957" s="45"/>
      <c r="C957" s="79" t="s">
        <v>7857</v>
      </c>
      <c r="D957" s="45"/>
      <c r="E957" s="79" t="s">
        <v>5238</v>
      </c>
      <c r="F957" s="79" t="s">
        <v>4340</v>
      </c>
      <c r="G957" s="45"/>
      <c r="H957" s="80">
        <v>0.01242</v>
      </c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</row>
    <row r="958">
      <c r="A958" s="79" t="s">
        <v>7858</v>
      </c>
      <c r="B958" s="45"/>
      <c r="C958" s="79" t="s">
        <v>7859</v>
      </c>
      <c r="D958" s="45"/>
      <c r="E958" s="79" t="s">
        <v>5215</v>
      </c>
      <c r="F958" s="79" t="s">
        <v>5944</v>
      </c>
      <c r="G958" s="45"/>
      <c r="H958" s="80">
        <v>0.01241</v>
      </c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</row>
    <row r="959">
      <c r="A959" s="79" t="s">
        <v>7860</v>
      </c>
      <c r="B959" s="45"/>
      <c r="C959" s="79" t="s">
        <v>6843</v>
      </c>
      <c r="D959" s="45"/>
      <c r="E959" s="79" t="s">
        <v>5691</v>
      </c>
      <c r="F959" s="79" t="s">
        <v>5944</v>
      </c>
      <c r="G959" s="45"/>
      <c r="H959" s="80">
        <v>0.01237</v>
      </c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</row>
    <row r="960">
      <c r="A960" s="79" t="s">
        <v>7861</v>
      </c>
      <c r="B960" s="45"/>
      <c r="C960" s="79" t="s">
        <v>7862</v>
      </c>
      <c r="D960" s="45"/>
      <c r="E960" s="79" t="s">
        <v>5964</v>
      </c>
      <c r="F960" s="79" t="s">
        <v>4340</v>
      </c>
      <c r="G960" s="45"/>
      <c r="H960" s="80">
        <v>0.01228</v>
      </c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</row>
    <row r="961">
      <c r="A961" s="79" t="s">
        <v>7863</v>
      </c>
      <c r="B961" s="45"/>
      <c r="C961" s="79" t="s">
        <v>7864</v>
      </c>
      <c r="D961" s="45"/>
      <c r="E961" s="79" t="s">
        <v>5215</v>
      </c>
      <c r="F961" s="79" t="s">
        <v>5944</v>
      </c>
      <c r="G961" s="45"/>
      <c r="H961" s="80">
        <v>0.01204</v>
      </c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</row>
    <row r="962">
      <c r="A962" s="79" t="s">
        <v>7865</v>
      </c>
      <c r="B962" s="45"/>
      <c r="C962" s="79" t="s">
        <v>7866</v>
      </c>
      <c r="D962" s="45"/>
      <c r="E962" s="79" t="s">
        <v>5407</v>
      </c>
      <c r="F962" s="79" t="s">
        <v>5927</v>
      </c>
      <c r="G962" s="45"/>
      <c r="H962" s="80">
        <v>0.01194</v>
      </c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</row>
    <row r="963">
      <c r="A963" s="79" t="s">
        <v>7867</v>
      </c>
      <c r="B963" s="45"/>
      <c r="C963" s="79" t="s">
        <v>7868</v>
      </c>
      <c r="D963" s="45"/>
      <c r="E963" s="79" t="s">
        <v>5366</v>
      </c>
      <c r="F963" s="79" t="s">
        <v>5927</v>
      </c>
      <c r="G963" s="45"/>
      <c r="H963" s="80">
        <v>0.01191</v>
      </c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</row>
    <row r="964">
      <c r="A964" s="79" t="s">
        <v>7869</v>
      </c>
      <c r="B964" s="45"/>
      <c r="C964" s="79" t="s">
        <v>7870</v>
      </c>
      <c r="D964" s="45"/>
      <c r="E964" s="79" t="s">
        <v>5229</v>
      </c>
      <c r="F964" s="79" t="s">
        <v>5944</v>
      </c>
      <c r="G964" s="45"/>
      <c r="H964" s="80">
        <v>0.0119</v>
      </c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</row>
    <row r="965">
      <c r="A965" s="79" t="s">
        <v>7871</v>
      </c>
      <c r="B965" s="45"/>
      <c r="C965" s="79" t="s">
        <v>7872</v>
      </c>
      <c r="D965" s="45"/>
      <c r="E965" s="79" t="s">
        <v>5964</v>
      </c>
      <c r="F965" s="79" t="s">
        <v>4340</v>
      </c>
      <c r="G965" s="45"/>
      <c r="H965" s="80">
        <v>0.01183</v>
      </c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</row>
    <row r="966">
      <c r="A966" s="79" t="s">
        <v>7873</v>
      </c>
      <c r="B966" s="45"/>
      <c r="C966" s="79" t="s">
        <v>7874</v>
      </c>
      <c r="D966" s="45"/>
      <c r="E966" s="79" t="s">
        <v>6009</v>
      </c>
      <c r="F966" s="79" t="s">
        <v>5927</v>
      </c>
      <c r="G966" s="45"/>
      <c r="H966" s="80">
        <v>0.01183</v>
      </c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</row>
    <row r="967">
      <c r="A967" s="79" t="s">
        <v>7875</v>
      </c>
      <c r="B967" s="45"/>
      <c r="C967" s="79" t="s">
        <v>7876</v>
      </c>
      <c r="D967" s="45"/>
      <c r="E967" s="79" t="s">
        <v>6514</v>
      </c>
      <c r="F967" s="79" t="s">
        <v>5944</v>
      </c>
      <c r="G967" s="45"/>
      <c r="H967" s="80">
        <v>0.01165</v>
      </c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</row>
    <row r="968">
      <c r="A968" s="79" t="s">
        <v>7877</v>
      </c>
      <c r="B968" s="45"/>
      <c r="C968" s="79" t="s">
        <v>7878</v>
      </c>
      <c r="D968" s="45"/>
      <c r="E968" s="79" t="s">
        <v>5450</v>
      </c>
      <c r="F968" s="79" t="s">
        <v>5944</v>
      </c>
      <c r="G968" s="45"/>
      <c r="H968" s="80">
        <v>0.01158</v>
      </c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</row>
    <row r="969">
      <c r="A969" s="79" t="s">
        <v>7879</v>
      </c>
      <c r="B969" s="45"/>
      <c r="C969" s="79" t="s">
        <v>7880</v>
      </c>
      <c r="D969" s="45"/>
      <c r="E969" s="79" t="s">
        <v>5215</v>
      </c>
      <c r="F969" s="79" t="s">
        <v>5944</v>
      </c>
      <c r="G969" s="45"/>
      <c r="H969" s="80">
        <v>0.01156</v>
      </c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</row>
    <row r="970">
      <c r="A970" s="79" t="s">
        <v>7881</v>
      </c>
      <c r="B970" s="45"/>
      <c r="C970" s="79" t="s">
        <v>7882</v>
      </c>
      <c r="D970" s="45"/>
      <c r="E970" s="79" t="s">
        <v>6931</v>
      </c>
      <c r="F970" s="79" t="s">
        <v>5944</v>
      </c>
      <c r="G970" s="45"/>
      <c r="H970" s="80">
        <v>0.01151</v>
      </c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</row>
    <row r="971">
      <c r="A971" s="79" t="s">
        <v>7883</v>
      </c>
      <c r="B971" s="45"/>
      <c r="C971" s="79" t="s">
        <v>7884</v>
      </c>
      <c r="D971" s="45"/>
      <c r="E971" s="79" t="s">
        <v>5478</v>
      </c>
      <c r="F971" s="79" t="s">
        <v>5944</v>
      </c>
      <c r="G971" s="45"/>
      <c r="H971" s="80">
        <v>0.0115</v>
      </c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</row>
    <row r="972">
      <c r="A972" s="79" t="s">
        <v>7885</v>
      </c>
      <c r="B972" s="45"/>
      <c r="C972" s="79" t="s">
        <v>7882</v>
      </c>
      <c r="D972" s="45"/>
      <c r="E972" s="79" t="s">
        <v>6931</v>
      </c>
      <c r="F972" s="79" t="s">
        <v>5944</v>
      </c>
      <c r="G972" s="45"/>
      <c r="H972" s="80">
        <v>0.01145</v>
      </c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</row>
    <row r="973">
      <c r="A973" s="79" t="s">
        <v>7886</v>
      </c>
      <c r="B973" s="45"/>
      <c r="C973" s="79" t="s">
        <v>7887</v>
      </c>
      <c r="D973" s="45"/>
      <c r="E973" s="79" t="s">
        <v>6389</v>
      </c>
      <c r="F973" s="79" t="s">
        <v>4340</v>
      </c>
      <c r="G973" s="45"/>
      <c r="H973" s="80">
        <v>0.01142</v>
      </c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</row>
    <row r="974">
      <c r="A974" s="79" t="s">
        <v>7888</v>
      </c>
      <c r="B974" s="45"/>
      <c r="C974" s="79" t="s">
        <v>7188</v>
      </c>
      <c r="D974" s="45"/>
      <c r="E974" s="79" t="s">
        <v>5338</v>
      </c>
      <c r="F974" s="79" t="s">
        <v>5944</v>
      </c>
      <c r="G974" s="45"/>
      <c r="H974" s="80">
        <v>0.01141</v>
      </c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</row>
    <row r="975">
      <c r="A975" s="79" t="s">
        <v>7889</v>
      </c>
      <c r="B975" s="45"/>
      <c r="C975" s="79" t="s">
        <v>5923</v>
      </c>
      <c r="D975" s="45"/>
      <c r="E975" s="79" t="s">
        <v>5650</v>
      </c>
      <c r="F975" s="79" t="s">
        <v>5924</v>
      </c>
      <c r="G975" s="45"/>
      <c r="H975" s="80">
        <v>0.01139</v>
      </c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</row>
    <row r="976">
      <c r="A976" s="79" t="s">
        <v>7890</v>
      </c>
      <c r="B976" s="45"/>
      <c r="C976" s="79" t="s">
        <v>6867</v>
      </c>
      <c r="D976" s="45"/>
      <c r="E976" s="79" t="s">
        <v>6868</v>
      </c>
      <c r="F976" s="79" t="s">
        <v>5944</v>
      </c>
      <c r="G976" s="45"/>
      <c r="H976" s="80">
        <v>0.01127</v>
      </c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</row>
    <row r="977">
      <c r="A977" s="79" t="s">
        <v>7891</v>
      </c>
      <c r="B977" s="45"/>
      <c r="C977" s="79" t="s">
        <v>7892</v>
      </c>
      <c r="D977" s="45"/>
      <c r="E977" s="79" t="s">
        <v>5855</v>
      </c>
      <c r="F977" s="79" t="s">
        <v>5944</v>
      </c>
      <c r="G977" s="45"/>
      <c r="H977" s="80">
        <v>0.01125</v>
      </c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</row>
    <row r="978">
      <c r="A978" s="79" t="s">
        <v>7893</v>
      </c>
      <c r="B978" s="45"/>
      <c r="C978" s="79" t="s">
        <v>7894</v>
      </c>
      <c r="D978" s="45"/>
      <c r="E978" s="79" t="s">
        <v>5215</v>
      </c>
      <c r="F978" s="79" t="s">
        <v>5944</v>
      </c>
      <c r="G978" s="45"/>
      <c r="H978" s="80">
        <v>0.01125</v>
      </c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</row>
    <row r="979">
      <c r="A979" s="79" t="s">
        <v>7895</v>
      </c>
      <c r="B979" s="45"/>
      <c r="C979" s="79" t="s">
        <v>7896</v>
      </c>
      <c r="D979" s="45"/>
      <c r="E979" s="79" t="s">
        <v>5218</v>
      </c>
      <c r="F979" s="79" t="s">
        <v>5944</v>
      </c>
      <c r="G979" s="45"/>
      <c r="H979" s="80">
        <v>0.0111</v>
      </c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</row>
    <row r="980">
      <c r="A980" s="79" t="s">
        <v>7897</v>
      </c>
      <c r="B980" s="45"/>
      <c r="C980" s="79" t="s">
        <v>7898</v>
      </c>
      <c r="D980" s="45"/>
      <c r="E980" s="79" t="s">
        <v>5348</v>
      </c>
      <c r="F980" s="79" t="s">
        <v>5927</v>
      </c>
      <c r="G980" s="45"/>
      <c r="H980" s="80">
        <v>0.01102</v>
      </c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</row>
    <row r="981">
      <c r="A981" s="79" t="s">
        <v>7899</v>
      </c>
      <c r="B981" s="45"/>
      <c r="C981" s="79" t="s">
        <v>7900</v>
      </c>
      <c r="D981" s="45"/>
      <c r="E981" s="79" t="s">
        <v>5742</v>
      </c>
      <c r="F981" s="79" t="s">
        <v>5944</v>
      </c>
      <c r="G981" s="45"/>
      <c r="H981" s="80">
        <v>0.01091</v>
      </c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</row>
    <row r="982">
      <c r="A982" s="79" t="s">
        <v>7901</v>
      </c>
      <c r="B982" s="45"/>
      <c r="C982" s="79" t="s">
        <v>7902</v>
      </c>
      <c r="D982" s="45"/>
      <c r="E982" s="79" t="s">
        <v>5338</v>
      </c>
      <c r="F982" s="79" t="s">
        <v>5944</v>
      </c>
      <c r="G982" s="45"/>
      <c r="H982" s="80">
        <v>0.01081</v>
      </c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</row>
    <row r="983">
      <c r="A983" s="79" t="s">
        <v>7903</v>
      </c>
      <c r="B983" s="45"/>
      <c r="C983" s="79" t="s">
        <v>7904</v>
      </c>
      <c r="D983" s="45"/>
      <c r="E983" s="79" t="s">
        <v>5578</v>
      </c>
      <c r="F983" s="79" t="s">
        <v>6204</v>
      </c>
      <c r="G983" s="45"/>
      <c r="H983" s="80">
        <v>0.01079</v>
      </c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</row>
    <row r="984">
      <c r="A984" s="79" t="s">
        <v>7905</v>
      </c>
      <c r="B984" s="45"/>
      <c r="C984" s="79" t="s">
        <v>7906</v>
      </c>
      <c r="D984" s="45"/>
      <c r="E984" s="79" t="s">
        <v>6012</v>
      </c>
      <c r="F984" s="79" t="s">
        <v>5944</v>
      </c>
      <c r="G984" s="45"/>
      <c r="H984" s="80">
        <v>0.01078</v>
      </c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</row>
    <row r="985">
      <c r="A985" s="79" t="s">
        <v>7907</v>
      </c>
      <c r="B985" s="45"/>
      <c r="C985" s="79" t="s">
        <v>7908</v>
      </c>
      <c r="D985" s="45"/>
      <c r="E985" s="79" t="s">
        <v>5264</v>
      </c>
      <c r="F985" s="79" t="s">
        <v>5944</v>
      </c>
      <c r="G985" s="45"/>
      <c r="H985" s="80">
        <v>0.01074</v>
      </c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</row>
    <row r="986">
      <c r="A986" s="79" t="s">
        <v>7909</v>
      </c>
      <c r="B986" s="45"/>
      <c r="C986" s="79" t="s">
        <v>7910</v>
      </c>
      <c r="D986" s="45"/>
      <c r="E986" s="79" t="s">
        <v>5229</v>
      </c>
      <c r="F986" s="79" t="s">
        <v>5944</v>
      </c>
      <c r="G986" s="45"/>
      <c r="H986" s="80">
        <v>0.01071</v>
      </c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</row>
    <row r="987">
      <c r="A987" s="79" t="s">
        <v>7911</v>
      </c>
      <c r="B987" s="45"/>
      <c r="C987" s="79" t="s">
        <v>7912</v>
      </c>
      <c r="D987" s="45"/>
      <c r="E987" s="79" t="s">
        <v>6759</v>
      </c>
      <c r="F987" s="79" t="s">
        <v>5944</v>
      </c>
      <c r="G987" s="45"/>
      <c r="H987" s="80">
        <v>0.01064</v>
      </c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</row>
    <row r="988">
      <c r="A988" s="79" t="s">
        <v>7913</v>
      </c>
      <c r="B988" s="45"/>
      <c r="C988" s="79" t="s">
        <v>7914</v>
      </c>
      <c r="D988" s="45"/>
      <c r="E988" s="79" t="s">
        <v>6480</v>
      </c>
      <c r="F988" s="79" t="s">
        <v>5944</v>
      </c>
      <c r="G988" s="45"/>
      <c r="H988" s="80">
        <v>0.01064</v>
      </c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</row>
    <row r="989">
      <c r="A989" s="79" t="s">
        <v>7915</v>
      </c>
      <c r="B989" s="45"/>
      <c r="C989" s="79" t="s">
        <v>7128</v>
      </c>
      <c r="D989" s="45"/>
      <c r="E989" s="79" t="s">
        <v>5338</v>
      </c>
      <c r="F989" s="79" t="s">
        <v>5944</v>
      </c>
      <c r="G989" s="45"/>
      <c r="H989" s="80">
        <v>0.01061</v>
      </c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</row>
    <row r="990">
      <c r="A990" s="79" t="s">
        <v>7916</v>
      </c>
      <c r="B990" s="45"/>
      <c r="C990" s="79" t="s">
        <v>7917</v>
      </c>
      <c r="D990" s="45"/>
      <c r="E990" s="79" t="s">
        <v>5501</v>
      </c>
      <c r="F990" s="79" t="s">
        <v>5944</v>
      </c>
      <c r="G990" s="45"/>
      <c r="H990" s="80">
        <v>0.0105</v>
      </c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</row>
    <row r="991">
      <c r="A991" s="79" t="s">
        <v>7918</v>
      </c>
      <c r="B991" s="45"/>
      <c r="C991" s="79" t="s">
        <v>7919</v>
      </c>
      <c r="D991" s="45"/>
      <c r="E991" s="79" t="s">
        <v>5742</v>
      </c>
      <c r="F991" s="79" t="s">
        <v>5944</v>
      </c>
      <c r="G991" s="45"/>
      <c r="H991" s="80">
        <v>0.01048</v>
      </c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</row>
    <row r="992">
      <c r="A992" s="79" t="s">
        <v>7920</v>
      </c>
      <c r="B992" s="45"/>
      <c r="C992" s="79" t="s">
        <v>7921</v>
      </c>
      <c r="D992" s="45"/>
      <c r="E992" s="79" t="s">
        <v>5351</v>
      </c>
      <c r="F992" s="79" t="s">
        <v>5944</v>
      </c>
      <c r="G992" s="45"/>
      <c r="H992" s="80">
        <v>0.01045</v>
      </c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</row>
    <row r="993">
      <c r="A993" s="79" t="s">
        <v>7922</v>
      </c>
      <c r="B993" s="45"/>
      <c r="C993" s="79" t="s">
        <v>7923</v>
      </c>
      <c r="D993" s="45"/>
      <c r="E993" s="79" t="s">
        <v>5467</v>
      </c>
      <c r="F993" s="79" t="s">
        <v>5944</v>
      </c>
      <c r="G993" s="45"/>
      <c r="H993" s="80">
        <v>0.01031</v>
      </c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</row>
    <row r="994">
      <c r="A994" s="79" t="s">
        <v>7924</v>
      </c>
      <c r="B994" s="45"/>
      <c r="C994" s="79" t="s">
        <v>7384</v>
      </c>
      <c r="D994" s="45"/>
      <c r="E994" s="79" t="s">
        <v>5229</v>
      </c>
      <c r="F994" s="79" t="s">
        <v>5944</v>
      </c>
      <c r="G994" s="45"/>
      <c r="H994" s="80">
        <v>0.01029</v>
      </c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</row>
    <row r="995">
      <c r="A995" s="79" t="s">
        <v>7925</v>
      </c>
      <c r="B995" s="45"/>
      <c r="C995" s="79" t="s">
        <v>7926</v>
      </c>
      <c r="D995" s="45"/>
      <c r="E995" s="79" t="s">
        <v>5366</v>
      </c>
      <c r="F995" s="79" t="s">
        <v>5944</v>
      </c>
      <c r="G995" s="45"/>
      <c r="H995" s="80">
        <v>0.01027</v>
      </c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</row>
    <row r="996">
      <c r="A996" s="79" t="s">
        <v>7927</v>
      </c>
      <c r="B996" s="45"/>
      <c r="C996" s="79" t="s">
        <v>7928</v>
      </c>
      <c r="D996" s="45"/>
      <c r="E996" s="79" t="s">
        <v>5650</v>
      </c>
      <c r="F996" s="79" t="s">
        <v>5944</v>
      </c>
      <c r="G996" s="45"/>
      <c r="H996" s="80">
        <v>0.01026</v>
      </c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</row>
    <row r="997">
      <c r="A997" s="79" t="s">
        <v>7929</v>
      </c>
      <c r="B997" s="45"/>
      <c r="C997" s="79" t="s">
        <v>7930</v>
      </c>
      <c r="D997" s="45"/>
      <c r="E997" s="79" t="s">
        <v>5215</v>
      </c>
      <c r="F997" s="79" t="s">
        <v>5944</v>
      </c>
      <c r="G997" s="45"/>
      <c r="H997" s="80">
        <v>0.01026</v>
      </c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</row>
    <row r="998">
      <c r="A998" s="79" t="s">
        <v>7931</v>
      </c>
      <c r="B998" s="45"/>
      <c r="C998" s="79" t="s">
        <v>7240</v>
      </c>
      <c r="D998" s="45"/>
      <c r="E998" s="79" t="s">
        <v>6191</v>
      </c>
      <c r="F998" s="79" t="s">
        <v>5944</v>
      </c>
      <c r="G998" s="45"/>
      <c r="H998" s="80">
        <v>0.0101</v>
      </c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</row>
    <row r="999">
      <c r="A999" s="79" t="s">
        <v>7932</v>
      </c>
      <c r="B999" s="45"/>
      <c r="C999" s="79" t="s">
        <v>7933</v>
      </c>
      <c r="D999" s="45"/>
      <c r="E999" s="79" t="s">
        <v>5276</v>
      </c>
      <c r="F999" s="79" t="s">
        <v>5944</v>
      </c>
      <c r="G999" s="45"/>
      <c r="H999" s="80">
        <v>0.01007</v>
      </c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</row>
    <row r="1000">
      <c r="A1000" s="79" t="s">
        <v>7934</v>
      </c>
      <c r="B1000" s="45"/>
      <c r="C1000" s="79" t="s">
        <v>7935</v>
      </c>
      <c r="D1000" s="45"/>
      <c r="E1000" s="79" t="s">
        <v>5775</v>
      </c>
      <c r="F1000" s="79" t="s">
        <v>5944</v>
      </c>
      <c r="G1000" s="45"/>
      <c r="H1000" s="80">
        <v>0.01006</v>
      </c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</row>
    <row r="1001">
      <c r="A1001" s="79" t="s">
        <v>7936</v>
      </c>
      <c r="B1001" s="45"/>
      <c r="C1001" s="79" t="s">
        <v>7012</v>
      </c>
      <c r="D1001" s="45"/>
      <c r="E1001" s="79" t="s">
        <v>5215</v>
      </c>
      <c r="F1001" s="79" t="s">
        <v>7013</v>
      </c>
      <c r="G1001" s="45"/>
      <c r="H1001" s="80">
        <v>0.00996</v>
      </c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</row>
    <row r="1002">
      <c r="A1002" s="79" t="s">
        <v>7937</v>
      </c>
      <c r="B1002" s="45"/>
      <c r="C1002" s="79" t="s">
        <v>7938</v>
      </c>
      <c r="D1002" s="45"/>
      <c r="E1002" s="79" t="s">
        <v>5478</v>
      </c>
      <c r="F1002" s="79" t="s">
        <v>5944</v>
      </c>
      <c r="G1002" s="45"/>
      <c r="H1002" s="80">
        <v>0.00995</v>
      </c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</row>
    <row r="1003">
      <c r="A1003" s="79" t="s">
        <v>7939</v>
      </c>
      <c r="B1003" s="45"/>
      <c r="C1003" s="79" t="s">
        <v>7940</v>
      </c>
      <c r="D1003" s="45"/>
      <c r="E1003" s="79" t="s">
        <v>5267</v>
      </c>
      <c r="F1003" s="79" t="s">
        <v>5927</v>
      </c>
      <c r="G1003" s="45"/>
      <c r="H1003" s="80">
        <v>0.00989</v>
      </c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</row>
    <row r="1004">
      <c r="A1004" s="79" t="s">
        <v>7941</v>
      </c>
      <c r="B1004" s="45"/>
      <c r="C1004" s="79" t="s">
        <v>7420</v>
      </c>
      <c r="D1004" s="45"/>
      <c r="E1004" s="79" t="s">
        <v>5276</v>
      </c>
      <c r="F1004" s="79" t="s">
        <v>5944</v>
      </c>
      <c r="G1004" s="45"/>
      <c r="H1004" s="80">
        <v>0.00987</v>
      </c>
      <c r="I1004" s="45"/>
      <c r="J1004" s="45"/>
      <c r="K1004" s="45"/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</row>
    <row r="1005">
      <c r="A1005" s="79" t="s">
        <v>7942</v>
      </c>
      <c r="B1005" s="45"/>
      <c r="C1005" s="79" t="s">
        <v>7943</v>
      </c>
      <c r="D1005" s="45"/>
      <c r="E1005" s="79" t="s">
        <v>5211</v>
      </c>
      <c r="F1005" s="79" t="s">
        <v>5944</v>
      </c>
      <c r="G1005" s="45"/>
      <c r="H1005" s="80">
        <v>0.0098</v>
      </c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</row>
    <row r="1006">
      <c r="A1006" s="79" t="s">
        <v>7944</v>
      </c>
      <c r="B1006" s="45"/>
      <c r="C1006" s="79" t="s">
        <v>7945</v>
      </c>
      <c r="D1006" s="45"/>
      <c r="E1006" s="79" t="s">
        <v>5229</v>
      </c>
      <c r="F1006" s="79" t="s">
        <v>5944</v>
      </c>
      <c r="G1006" s="45"/>
      <c r="H1006" s="80">
        <v>0.0097</v>
      </c>
      <c r="I1006" s="45"/>
      <c r="J1006" s="45"/>
      <c r="K1006" s="45"/>
      <c r="L1006" s="45"/>
      <c r="M1006" s="45"/>
      <c r="N1006" s="45"/>
      <c r="O1006" s="45"/>
      <c r="P1006" s="45"/>
      <c r="Q1006" s="45"/>
      <c r="R1006" s="45"/>
      <c r="S1006" s="45"/>
      <c r="T1006" s="45"/>
      <c r="U1006" s="45"/>
    </row>
    <row r="1007">
      <c r="A1007" s="79" t="s">
        <v>7946</v>
      </c>
      <c r="B1007" s="45"/>
      <c r="C1007" s="79" t="s">
        <v>6920</v>
      </c>
      <c r="D1007" s="45"/>
      <c r="E1007" s="79" t="s">
        <v>5261</v>
      </c>
      <c r="F1007" s="79" t="s">
        <v>5944</v>
      </c>
      <c r="G1007" s="45"/>
      <c r="H1007" s="80">
        <v>0.00968</v>
      </c>
      <c r="I1007" s="45"/>
      <c r="J1007" s="45"/>
      <c r="K1007" s="45"/>
      <c r="L1007" s="45"/>
      <c r="M1007" s="45"/>
      <c r="N1007" s="45"/>
      <c r="O1007" s="45"/>
      <c r="P1007" s="45"/>
      <c r="Q1007" s="45"/>
      <c r="R1007" s="45"/>
      <c r="S1007" s="45"/>
      <c r="T1007" s="45"/>
      <c r="U1007" s="45"/>
    </row>
    <row r="1008">
      <c r="A1008" s="79" t="s">
        <v>7947</v>
      </c>
      <c r="B1008" s="45"/>
      <c r="C1008" s="79" t="s">
        <v>7948</v>
      </c>
      <c r="D1008" s="45"/>
      <c r="E1008" s="79" t="s">
        <v>5811</v>
      </c>
      <c r="F1008" s="79" t="s">
        <v>5944</v>
      </c>
      <c r="G1008" s="45"/>
      <c r="H1008" s="80">
        <v>0.00962</v>
      </c>
      <c r="I1008" s="45"/>
      <c r="J1008" s="45"/>
      <c r="K1008" s="45"/>
      <c r="L1008" s="45"/>
      <c r="M1008" s="45"/>
      <c r="N1008" s="45"/>
      <c r="O1008" s="45"/>
      <c r="P1008" s="45"/>
      <c r="Q1008" s="45"/>
      <c r="R1008" s="45"/>
      <c r="S1008" s="45"/>
      <c r="T1008" s="45"/>
      <c r="U1008" s="45"/>
    </row>
    <row r="1009">
      <c r="A1009" s="79" t="s">
        <v>7949</v>
      </c>
      <c r="B1009" s="45"/>
      <c r="C1009" s="79" t="s">
        <v>7950</v>
      </c>
      <c r="D1009" s="45"/>
      <c r="E1009" s="79" t="s">
        <v>6191</v>
      </c>
      <c r="F1009" s="79" t="s">
        <v>5944</v>
      </c>
      <c r="G1009" s="45"/>
      <c r="H1009" s="80">
        <v>0.00957</v>
      </c>
      <c r="I1009" s="45"/>
      <c r="J1009" s="45"/>
      <c r="K1009" s="45"/>
      <c r="L1009" s="45"/>
      <c r="M1009" s="45"/>
      <c r="N1009" s="45"/>
      <c r="O1009" s="45"/>
      <c r="P1009" s="45"/>
      <c r="Q1009" s="45"/>
      <c r="R1009" s="45"/>
      <c r="S1009" s="45"/>
      <c r="T1009" s="45"/>
      <c r="U1009" s="45"/>
    </row>
    <row r="1010">
      <c r="A1010" s="79" t="s">
        <v>7951</v>
      </c>
      <c r="B1010" s="45"/>
      <c r="C1010" s="79" t="s">
        <v>7952</v>
      </c>
      <c r="D1010" s="45"/>
      <c r="E1010" s="79" t="s">
        <v>6514</v>
      </c>
      <c r="F1010" s="79" t="s">
        <v>5944</v>
      </c>
      <c r="G1010" s="45"/>
      <c r="H1010" s="80">
        <v>0.00957</v>
      </c>
      <c r="I1010" s="45"/>
      <c r="J1010" s="45"/>
      <c r="K1010" s="45"/>
      <c r="L1010" s="45"/>
      <c r="M1010" s="45"/>
      <c r="N1010" s="45"/>
      <c r="O1010" s="45"/>
      <c r="P1010" s="45"/>
      <c r="Q1010" s="45"/>
      <c r="R1010" s="45"/>
      <c r="S1010" s="45"/>
      <c r="T1010" s="45"/>
      <c r="U1010" s="45"/>
    </row>
    <row r="1011">
      <c r="A1011" s="79" t="s">
        <v>7953</v>
      </c>
      <c r="B1011" s="45"/>
      <c r="C1011" s="79" t="s">
        <v>7430</v>
      </c>
      <c r="D1011" s="45"/>
      <c r="E1011" s="79" t="s">
        <v>5229</v>
      </c>
      <c r="F1011" s="79" t="s">
        <v>5944</v>
      </c>
      <c r="G1011" s="45"/>
      <c r="H1011" s="80">
        <v>0.0095</v>
      </c>
      <c r="I1011" s="45"/>
      <c r="J1011" s="45"/>
      <c r="K1011" s="45"/>
      <c r="L1011" s="45"/>
      <c r="M1011" s="45"/>
      <c r="N1011" s="45"/>
      <c r="O1011" s="45"/>
      <c r="P1011" s="45"/>
      <c r="Q1011" s="45"/>
      <c r="R1011" s="45"/>
      <c r="S1011" s="45"/>
      <c r="T1011" s="45"/>
      <c r="U1011" s="45"/>
    </row>
    <row r="1012">
      <c r="A1012" s="79" t="s">
        <v>7954</v>
      </c>
      <c r="B1012" s="45"/>
      <c r="C1012" s="79" t="s">
        <v>7955</v>
      </c>
      <c r="D1012" s="45"/>
      <c r="E1012" s="79" t="s">
        <v>5215</v>
      </c>
      <c r="F1012" s="79" t="s">
        <v>5944</v>
      </c>
      <c r="G1012" s="45"/>
      <c r="H1012" s="80">
        <v>0.00945</v>
      </c>
      <c r="I1012" s="45"/>
      <c r="J1012" s="45"/>
      <c r="K1012" s="45"/>
      <c r="L1012" s="45"/>
      <c r="M1012" s="45"/>
      <c r="N1012" s="45"/>
      <c r="O1012" s="45"/>
      <c r="P1012" s="45"/>
      <c r="Q1012" s="45"/>
      <c r="R1012" s="45"/>
      <c r="S1012" s="45"/>
      <c r="T1012" s="45"/>
      <c r="U1012" s="45"/>
    </row>
    <row r="1013">
      <c r="A1013" s="79" t="s">
        <v>7956</v>
      </c>
      <c r="B1013" s="45"/>
      <c r="C1013" s="79" t="s">
        <v>7957</v>
      </c>
      <c r="D1013" s="45"/>
      <c r="E1013" s="79" t="s">
        <v>5229</v>
      </c>
      <c r="F1013" s="79" t="s">
        <v>5944</v>
      </c>
      <c r="G1013" s="45"/>
      <c r="H1013" s="80">
        <v>0.00943</v>
      </c>
      <c r="I1013" s="45"/>
      <c r="J1013" s="45"/>
      <c r="K1013" s="45"/>
      <c r="L1013" s="45"/>
      <c r="M1013" s="45"/>
      <c r="N1013" s="45"/>
      <c r="O1013" s="45"/>
      <c r="P1013" s="45"/>
      <c r="Q1013" s="45"/>
      <c r="R1013" s="45"/>
      <c r="S1013" s="45"/>
      <c r="T1013" s="45"/>
      <c r="U1013" s="45"/>
    </row>
    <row r="1014">
      <c r="A1014" s="79" t="s">
        <v>6957</v>
      </c>
      <c r="B1014" s="45"/>
      <c r="C1014" s="79" t="s">
        <v>7958</v>
      </c>
      <c r="D1014" s="45"/>
      <c r="E1014" s="79" t="s">
        <v>5650</v>
      </c>
      <c r="F1014" s="79" t="s">
        <v>5944</v>
      </c>
      <c r="G1014" s="45"/>
      <c r="H1014" s="80">
        <v>0.00936</v>
      </c>
      <c r="I1014" s="45"/>
      <c r="J1014" s="45"/>
      <c r="K1014" s="45"/>
      <c r="L1014" s="45"/>
      <c r="M1014" s="45"/>
      <c r="N1014" s="45"/>
      <c r="O1014" s="45"/>
      <c r="P1014" s="45"/>
      <c r="Q1014" s="45"/>
      <c r="R1014" s="45"/>
      <c r="S1014" s="45"/>
      <c r="T1014" s="45"/>
      <c r="U1014" s="45"/>
    </row>
    <row r="1015">
      <c r="A1015" s="79" t="s">
        <v>7959</v>
      </c>
      <c r="B1015" s="45"/>
      <c r="C1015" s="79" t="s">
        <v>7960</v>
      </c>
      <c r="D1015" s="45"/>
      <c r="E1015" s="79" t="s">
        <v>5218</v>
      </c>
      <c r="F1015" s="79" t="s">
        <v>5944</v>
      </c>
      <c r="G1015" s="45"/>
      <c r="H1015" s="80">
        <v>0.00935</v>
      </c>
      <c r="I1015" s="45"/>
      <c r="J1015" s="45"/>
      <c r="K1015" s="45"/>
      <c r="L1015" s="45"/>
      <c r="M1015" s="45"/>
      <c r="N1015" s="45"/>
      <c r="O1015" s="45"/>
      <c r="P1015" s="45"/>
      <c r="Q1015" s="45"/>
      <c r="R1015" s="45"/>
      <c r="S1015" s="45"/>
      <c r="T1015" s="45"/>
      <c r="U1015" s="45"/>
    </row>
    <row r="1016">
      <c r="A1016" s="79" t="s">
        <v>7961</v>
      </c>
      <c r="B1016" s="45"/>
      <c r="C1016" s="79" t="s">
        <v>7962</v>
      </c>
      <c r="D1016" s="45"/>
      <c r="E1016" s="79" t="s">
        <v>5246</v>
      </c>
      <c r="F1016" s="79" t="s">
        <v>5944</v>
      </c>
      <c r="G1016" s="45"/>
      <c r="H1016" s="80">
        <v>0.00931</v>
      </c>
      <c r="I1016" s="45"/>
      <c r="J1016" s="45"/>
      <c r="K1016" s="45"/>
      <c r="L1016" s="45"/>
      <c r="M1016" s="45"/>
      <c r="N1016" s="45"/>
      <c r="O1016" s="45"/>
      <c r="P1016" s="45"/>
      <c r="Q1016" s="45"/>
      <c r="R1016" s="45"/>
      <c r="S1016" s="45"/>
      <c r="T1016" s="45"/>
      <c r="U1016" s="45"/>
    </row>
    <row r="1017">
      <c r="A1017" s="79" t="s">
        <v>7963</v>
      </c>
      <c r="B1017" s="45"/>
      <c r="C1017" s="79" t="s">
        <v>7964</v>
      </c>
      <c r="D1017" s="45"/>
      <c r="E1017" s="79" t="s">
        <v>6514</v>
      </c>
      <c r="F1017" s="79" t="s">
        <v>5944</v>
      </c>
      <c r="G1017" s="45"/>
      <c r="H1017" s="80">
        <v>0.00923</v>
      </c>
      <c r="I1017" s="45"/>
      <c r="J1017" s="45"/>
      <c r="K1017" s="45"/>
      <c r="L1017" s="45"/>
      <c r="M1017" s="45"/>
      <c r="N1017" s="45"/>
      <c r="O1017" s="45"/>
      <c r="P1017" s="45"/>
      <c r="Q1017" s="45"/>
      <c r="R1017" s="45"/>
      <c r="S1017" s="45"/>
      <c r="T1017" s="45"/>
      <c r="U1017" s="45"/>
    </row>
    <row r="1018">
      <c r="A1018" s="79" t="s">
        <v>7965</v>
      </c>
      <c r="B1018" s="45"/>
      <c r="C1018" s="79" t="s">
        <v>7966</v>
      </c>
      <c r="D1018" s="45"/>
      <c r="E1018" s="79" t="s">
        <v>5589</v>
      </c>
      <c r="F1018" s="79" t="s">
        <v>5944</v>
      </c>
      <c r="G1018" s="45"/>
      <c r="H1018" s="80">
        <v>0.00912</v>
      </c>
      <c r="I1018" s="45"/>
      <c r="J1018" s="45"/>
      <c r="K1018" s="45"/>
      <c r="L1018" s="45"/>
      <c r="M1018" s="45"/>
      <c r="N1018" s="45"/>
      <c r="O1018" s="45"/>
      <c r="P1018" s="45"/>
      <c r="Q1018" s="45"/>
      <c r="R1018" s="45"/>
      <c r="S1018" s="45"/>
      <c r="T1018" s="45"/>
      <c r="U1018" s="45"/>
    </row>
    <row r="1019">
      <c r="A1019" s="79" t="s">
        <v>7967</v>
      </c>
      <c r="B1019" s="45"/>
      <c r="C1019" s="79" t="s">
        <v>7968</v>
      </c>
      <c r="D1019" s="45"/>
      <c r="E1019" s="79" t="s">
        <v>5218</v>
      </c>
      <c r="F1019" s="79" t="s">
        <v>5944</v>
      </c>
      <c r="G1019" s="45"/>
      <c r="H1019" s="80">
        <v>0.00907</v>
      </c>
      <c r="I1019" s="45"/>
      <c r="J1019" s="45"/>
      <c r="K1019" s="45"/>
      <c r="L1019" s="45"/>
      <c r="M1019" s="45"/>
      <c r="N1019" s="45"/>
      <c r="O1019" s="45"/>
      <c r="P1019" s="45"/>
      <c r="Q1019" s="45"/>
      <c r="R1019" s="45"/>
      <c r="S1019" s="45"/>
      <c r="T1019" s="45"/>
      <c r="U1019" s="45"/>
    </row>
    <row r="1020">
      <c r="A1020" s="79" t="s">
        <v>7969</v>
      </c>
      <c r="B1020" s="45"/>
      <c r="C1020" s="79" t="s">
        <v>7359</v>
      </c>
      <c r="D1020" s="45"/>
      <c r="E1020" s="79" t="s">
        <v>7360</v>
      </c>
      <c r="F1020" s="79" t="s">
        <v>5944</v>
      </c>
      <c r="G1020" s="45"/>
      <c r="H1020" s="80">
        <v>0.009</v>
      </c>
      <c r="I1020" s="45"/>
      <c r="J1020" s="45"/>
      <c r="K1020" s="45"/>
      <c r="L1020" s="45"/>
      <c r="M1020" s="45"/>
      <c r="N1020" s="45"/>
      <c r="O1020" s="45"/>
      <c r="P1020" s="45"/>
      <c r="Q1020" s="45"/>
      <c r="R1020" s="45"/>
      <c r="S1020" s="45"/>
      <c r="T1020" s="45"/>
      <c r="U1020" s="45"/>
    </row>
    <row r="1021">
      <c r="A1021" s="79" t="s">
        <v>7970</v>
      </c>
      <c r="B1021" s="45"/>
      <c r="C1021" s="79" t="s">
        <v>7971</v>
      </c>
      <c r="D1021" s="45"/>
      <c r="E1021" s="79" t="s">
        <v>5326</v>
      </c>
      <c r="F1021" s="79" t="s">
        <v>5944</v>
      </c>
      <c r="G1021" s="45"/>
      <c r="H1021" s="80">
        <v>0.00897</v>
      </c>
      <c r="I1021" s="45"/>
      <c r="J1021" s="45"/>
      <c r="K1021" s="45"/>
      <c r="L1021" s="45"/>
      <c r="M1021" s="45"/>
      <c r="N1021" s="45"/>
      <c r="O1021" s="45"/>
      <c r="P1021" s="45"/>
      <c r="Q1021" s="45"/>
      <c r="R1021" s="45"/>
      <c r="S1021" s="45"/>
      <c r="T1021" s="45"/>
      <c r="U1021" s="45"/>
    </row>
    <row r="1022">
      <c r="A1022" s="79" t="s">
        <v>7972</v>
      </c>
      <c r="B1022" s="45"/>
      <c r="C1022" s="79" t="s">
        <v>7973</v>
      </c>
      <c r="D1022" s="45"/>
      <c r="E1022" s="79" t="s">
        <v>5650</v>
      </c>
      <c r="F1022" s="79" t="s">
        <v>5944</v>
      </c>
      <c r="G1022" s="45"/>
      <c r="H1022" s="80">
        <v>0.00896</v>
      </c>
      <c r="I1022" s="45"/>
      <c r="J1022" s="45"/>
      <c r="K1022" s="45"/>
      <c r="L1022" s="45"/>
      <c r="M1022" s="45"/>
      <c r="N1022" s="45"/>
      <c r="O1022" s="45"/>
      <c r="P1022" s="45"/>
      <c r="Q1022" s="45"/>
      <c r="R1022" s="45"/>
      <c r="S1022" s="45"/>
      <c r="T1022" s="45"/>
      <c r="U1022" s="45"/>
    </row>
    <row r="1023">
      <c r="A1023" s="79" t="s">
        <v>7974</v>
      </c>
      <c r="B1023" s="45"/>
      <c r="C1023" s="79" t="s">
        <v>7975</v>
      </c>
      <c r="D1023" s="45"/>
      <c r="E1023" s="79" t="s">
        <v>5650</v>
      </c>
      <c r="F1023" s="79" t="s">
        <v>5944</v>
      </c>
      <c r="G1023" s="45"/>
      <c r="H1023" s="80">
        <v>0.0089</v>
      </c>
      <c r="I1023" s="45"/>
      <c r="J1023" s="45"/>
      <c r="K1023" s="45"/>
      <c r="L1023" s="45"/>
      <c r="M1023" s="45"/>
      <c r="N1023" s="45"/>
      <c r="O1023" s="45"/>
      <c r="P1023" s="45"/>
      <c r="Q1023" s="45"/>
      <c r="R1023" s="45"/>
      <c r="S1023" s="45"/>
      <c r="T1023" s="45"/>
      <c r="U1023" s="45"/>
    </row>
    <row r="1024">
      <c r="A1024" s="79" t="s">
        <v>7976</v>
      </c>
      <c r="B1024" s="45"/>
      <c r="C1024" s="79" t="s">
        <v>7977</v>
      </c>
      <c r="D1024" s="45"/>
      <c r="E1024" s="79" t="s">
        <v>5650</v>
      </c>
      <c r="F1024" s="79" t="s">
        <v>5944</v>
      </c>
      <c r="G1024" s="45"/>
      <c r="H1024" s="80">
        <v>0.00885</v>
      </c>
      <c r="I1024" s="45"/>
      <c r="J1024" s="45"/>
      <c r="K1024" s="45"/>
      <c r="L1024" s="45"/>
      <c r="M1024" s="45"/>
      <c r="N1024" s="45"/>
      <c r="O1024" s="45"/>
      <c r="P1024" s="45"/>
      <c r="Q1024" s="45"/>
      <c r="R1024" s="45"/>
      <c r="S1024" s="45"/>
      <c r="T1024" s="45"/>
      <c r="U1024" s="45"/>
    </row>
    <row r="1025">
      <c r="A1025" s="79" t="s">
        <v>7978</v>
      </c>
      <c r="B1025" s="45"/>
      <c r="C1025" s="79" t="s">
        <v>7979</v>
      </c>
      <c r="D1025" s="45"/>
      <c r="E1025" s="79" t="s">
        <v>5561</v>
      </c>
      <c r="F1025" s="79" t="s">
        <v>5944</v>
      </c>
      <c r="G1025" s="45"/>
      <c r="H1025" s="80">
        <v>0.00877</v>
      </c>
      <c r="I1025" s="45"/>
      <c r="J1025" s="45"/>
      <c r="K1025" s="45"/>
      <c r="L1025" s="45"/>
      <c r="M1025" s="45"/>
      <c r="N1025" s="45"/>
      <c r="O1025" s="45"/>
      <c r="P1025" s="45"/>
      <c r="Q1025" s="45"/>
      <c r="R1025" s="45"/>
      <c r="S1025" s="45"/>
      <c r="T1025" s="45"/>
      <c r="U1025" s="45"/>
    </row>
    <row r="1026">
      <c r="A1026" s="79" t="s">
        <v>7980</v>
      </c>
      <c r="B1026" s="45"/>
      <c r="C1026" s="79" t="s">
        <v>7981</v>
      </c>
      <c r="D1026" s="45"/>
      <c r="E1026" s="79" t="s">
        <v>6012</v>
      </c>
      <c r="F1026" s="79" t="s">
        <v>5944</v>
      </c>
      <c r="G1026" s="45"/>
      <c r="H1026" s="80">
        <v>0.0087</v>
      </c>
      <c r="I1026" s="45"/>
      <c r="J1026" s="45"/>
      <c r="K1026" s="45"/>
      <c r="L1026" s="45"/>
      <c r="M1026" s="45"/>
      <c r="N1026" s="45"/>
      <c r="O1026" s="45"/>
      <c r="P1026" s="45"/>
      <c r="Q1026" s="45"/>
      <c r="R1026" s="45"/>
      <c r="S1026" s="45"/>
      <c r="T1026" s="45"/>
      <c r="U1026" s="45"/>
    </row>
    <row r="1027">
      <c r="A1027" s="79" t="s">
        <v>7982</v>
      </c>
      <c r="B1027" s="45"/>
      <c r="C1027" s="79" t="s">
        <v>7983</v>
      </c>
      <c r="D1027" s="45"/>
      <c r="E1027" s="79" t="s">
        <v>6040</v>
      </c>
      <c r="F1027" s="79" t="s">
        <v>6204</v>
      </c>
      <c r="G1027" s="45"/>
      <c r="H1027" s="80">
        <v>0.00868</v>
      </c>
      <c r="I1027" s="45"/>
      <c r="J1027" s="45"/>
      <c r="K1027" s="45"/>
      <c r="L1027" s="45"/>
      <c r="M1027" s="45"/>
      <c r="N1027" s="45"/>
      <c r="O1027" s="45"/>
      <c r="P1027" s="45"/>
      <c r="Q1027" s="45"/>
      <c r="R1027" s="45"/>
      <c r="S1027" s="45"/>
      <c r="T1027" s="45"/>
      <c r="U1027" s="45"/>
    </row>
    <row r="1028">
      <c r="A1028" s="79" t="s">
        <v>7984</v>
      </c>
      <c r="B1028" s="45"/>
      <c r="C1028" s="79" t="s">
        <v>7985</v>
      </c>
      <c r="D1028" s="45"/>
      <c r="E1028" s="79" t="s">
        <v>5377</v>
      </c>
      <c r="F1028" s="79" t="s">
        <v>5944</v>
      </c>
      <c r="G1028" s="45"/>
      <c r="H1028" s="80">
        <v>0.00853</v>
      </c>
      <c r="I1028" s="45"/>
      <c r="J1028" s="45"/>
      <c r="K1028" s="45"/>
      <c r="L1028" s="45"/>
      <c r="M1028" s="45"/>
      <c r="N1028" s="45"/>
      <c r="O1028" s="45"/>
      <c r="P1028" s="45"/>
      <c r="Q1028" s="45"/>
      <c r="R1028" s="45"/>
      <c r="S1028" s="45"/>
      <c r="T1028" s="45"/>
      <c r="U1028" s="45"/>
    </row>
    <row r="1029">
      <c r="A1029" s="79" t="s">
        <v>7986</v>
      </c>
      <c r="B1029" s="45"/>
      <c r="C1029" s="79" t="s">
        <v>7987</v>
      </c>
      <c r="D1029" s="45"/>
      <c r="E1029" s="79" t="s">
        <v>5650</v>
      </c>
      <c r="F1029" s="79" t="s">
        <v>5944</v>
      </c>
      <c r="G1029" s="45"/>
      <c r="H1029" s="80">
        <v>0.0085</v>
      </c>
      <c r="I1029" s="45"/>
      <c r="J1029" s="45"/>
      <c r="K1029" s="45"/>
      <c r="L1029" s="45"/>
      <c r="M1029" s="45"/>
      <c r="N1029" s="45"/>
      <c r="O1029" s="45"/>
      <c r="P1029" s="45"/>
      <c r="Q1029" s="45"/>
      <c r="R1029" s="45"/>
      <c r="S1029" s="45"/>
      <c r="T1029" s="45"/>
      <c r="U1029" s="45"/>
    </row>
    <row r="1030">
      <c r="A1030" s="79" t="s">
        <v>7988</v>
      </c>
      <c r="B1030" s="45"/>
      <c r="C1030" s="79" t="s">
        <v>7989</v>
      </c>
      <c r="D1030" s="45"/>
      <c r="E1030" s="79" t="s">
        <v>5434</v>
      </c>
      <c r="F1030" s="79" t="s">
        <v>5944</v>
      </c>
      <c r="G1030" s="45"/>
      <c r="H1030" s="80">
        <v>0.00847</v>
      </c>
      <c r="I1030" s="45"/>
      <c r="J1030" s="45"/>
      <c r="K1030" s="45"/>
      <c r="L1030" s="45"/>
      <c r="M1030" s="45"/>
      <c r="N1030" s="45"/>
      <c r="O1030" s="45"/>
      <c r="P1030" s="45"/>
      <c r="Q1030" s="45"/>
      <c r="R1030" s="45"/>
      <c r="S1030" s="45"/>
      <c r="T1030" s="45"/>
      <c r="U1030" s="45"/>
    </row>
    <row r="1031">
      <c r="A1031" s="79" t="s">
        <v>7990</v>
      </c>
      <c r="B1031" s="45"/>
      <c r="C1031" s="79" t="s">
        <v>7991</v>
      </c>
      <c r="D1031" s="45"/>
      <c r="E1031" s="79" t="s">
        <v>5811</v>
      </c>
      <c r="F1031" s="79" t="s">
        <v>5944</v>
      </c>
      <c r="G1031" s="45"/>
      <c r="H1031" s="80">
        <v>0.00841</v>
      </c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45"/>
      <c r="T1031" s="45"/>
      <c r="U1031" s="45"/>
    </row>
    <row r="1032">
      <c r="A1032" s="79" t="s">
        <v>7992</v>
      </c>
      <c r="B1032" s="45"/>
      <c r="C1032" s="79" t="s">
        <v>7993</v>
      </c>
      <c r="D1032" s="45"/>
      <c r="E1032" s="79" t="s">
        <v>5229</v>
      </c>
      <c r="F1032" s="79" t="s">
        <v>5944</v>
      </c>
      <c r="G1032" s="45"/>
      <c r="H1032" s="80">
        <v>0.00839</v>
      </c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45"/>
      <c r="T1032" s="45"/>
      <c r="U1032" s="45"/>
    </row>
    <row r="1033">
      <c r="A1033" s="79" t="s">
        <v>7994</v>
      </c>
      <c r="B1033" s="45"/>
      <c r="C1033" s="79" t="s">
        <v>7995</v>
      </c>
      <c r="D1033" s="45"/>
      <c r="E1033" s="79" t="s">
        <v>5241</v>
      </c>
      <c r="F1033" s="79" t="s">
        <v>5944</v>
      </c>
      <c r="G1033" s="45"/>
      <c r="H1033" s="80">
        <v>0.00837</v>
      </c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45"/>
      <c r="T1033" s="45"/>
      <c r="U1033" s="45"/>
    </row>
    <row r="1034">
      <c r="A1034" s="79" t="s">
        <v>7996</v>
      </c>
      <c r="B1034" s="45"/>
      <c r="C1034" s="79" t="s">
        <v>7997</v>
      </c>
      <c r="D1034" s="45"/>
      <c r="E1034" s="79" t="s">
        <v>7611</v>
      </c>
      <c r="F1034" s="79" t="s">
        <v>5944</v>
      </c>
      <c r="G1034" s="45"/>
      <c r="H1034" s="80">
        <v>0.00834</v>
      </c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45"/>
      <c r="T1034" s="45"/>
      <c r="U1034" s="45"/>
    </row>
    <row r="1035">
      <c r="A1035" s="79" t="s">
        <v>7998</v>
      </c>
      <c r="B1035" s="45"/>
      <c r="C1035" s="79" t="s">
        <v>7999</v>
      </c>
      <c r="D1035" s="45"/>
      <c r="E1035" s="79" t="s">
        <v>6223</v>
      </c>
      <c r="F1035" s="79" t="s">
        <v>5944</v>
      </c>
      <c r="G1035" s="45"/>
      <c r="H1035" s="80">
        <v>0.00832</v>
      </c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45"/>
      <c r="T1035" s="45"/>
      <c r="U1035" s="45"/>
    </row>
    <row r="1036">
      <c r="A1036" s="79" t="s">
        <v>8000</v>
      </c>
      <c r="B1036" s="45"/>
      <c r="C1036" s="79" t="s">
        <v>6658</v>
      </c>
      <c r="D1036" s="45"/>
      <c r="E1036" s="79" t="s">
        <v>5682</v>
      </c>
      <c r="F1036" s="79" t="s">
        <v>5944</v>
      </c>
      <c r="G1036" s="45"/>
      <c r="H1036" s="80">
        <v>0.00823</v>
      </c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45"/>
      <c r="T1036" s="45"/>
      <c r="U1036" s="45"/>
    </row>
    <row r="1037">
      <c r="A1037" s="79" t="s">
        <v>8001</v>
      </c>
      <c r="B1037" s="45"/>
      <c r="C1037" s="79" t="s">
        <v>8002</v>
      </c>
      <c r="D1037" s="45"/>
      <c r="E1037" s="79" t="s">
        <v>5961</v>
      </c>
      <c r="F1037" s="79" t="s">
        <v>5944</v>
      </c>
      <c r="G1037" s="45"/>
      <c r="H1037" s="80">
        <v>0.00799</v>
      </c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45"/>
      <c r="T1037" s="45"/>
      <c r="U1037" s="45"/>
    </row>
    <row r="1038">
      <c r="A1038" s="79" t="s">
        <v>8003</v>
      </c>
      <c r="B1038" s="45"/>
      <c r="C1038" s="79" t="s">
        <v>8004</v>
      </c>
      <c r="D1038" s="45"/>
      <c r="E1038" s="79" t="s">
        <v>5232</v>
      </c>
      <c r="F1038" s="79" t="s">
        <v>5944</v>
      </c>
      <c r="G1038" s="45"/>
      <c r="H1038" s="80">
        <v>0.00796</v>
      </c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45"/>
      <c r="T1038" s="45"/>
      <c r="U1038" s="45"/>
    </row>
    <row r="1039">
      <c r="A1039" s="79" t="s">
        <v>8005</v>
      </c>
      <c r="B1039" s="45"/>
      <c r="C1039" s="79" t="s">
        <v>8006</v>
      </c>
      <c r="D1039" s="45"/>
      <c r="E1039" s="79" t="s">
        <v>5978</v>
      </c>
      <c r="F1039" s="79" t="s">
        <v>5944</v>
      </c>
      <c r="G1039" s="45"/>
      <c r="H1039" s="80">
        <v>0.00783</v>
      </c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45"/>
      <c r="T1039" s="45"/>
      <c r="U1039" s="45"/>
    </row>
    <row r="1040">
      <c r="A1040" s="79" t="s">
        <v>8007</v>
      </c>
      <c r="B1040" s="45"/>
      <c r="C1040" s="79" t="s">
        <v>8008</v>
      </c>
      <c r="D1040" s="45"/>
      <c r="E1040" s="79" t="s">
        <v>5276</v>
      </c>
      <c r="F1040" s="79" t="s">
        <v>5944</v>
      </c>
      <c r="G1040" s="45"/>
      <c r="H1040" s="80">
        <v>0.00777</v>
      </c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45"/>
      <c r="T1040" s="45"/>
      <c r="U1040" s="45"/>
    </row>
    <row r="1041">
      <c r="A1041" s="79" t="s">
        <v>8009</v>
      </c>
      <c r="B1041" s="45"/>
      <c r="C1041" s="79" t="s">
        <v>8010</v>
      </c>
      <c r="D1041" s="45"/>
      <c r="E1041" s="79" t="s">
        <v>5229</v>
      </c>
      <c r="F1041" s="79" t="s">
        <v>5944</v>
      </c>
      <c r="G1041" s="45"/>
      <c r="H1041" s="80">
        <v>0.00774</v>
      </c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45"/>
      <c r="T1041" s="45"/>
      <c r="U1041" s="45"/>
    </row>
    <row r="1042">
      <c r="A1042" s="79" t="s">
        <v>8011</v>
      </c>
      <c r="B1042" s="45"/>
      <c r="C1042" s="79" t="s">
        <v>7658</v>
      </c>
      <c r="D1042" s="45"/>
      <c r="E1042" s="79" t="s">
        <v>5756</v>
      </c>
      <c r="F1042" s="79" t="s">
        <v>5944</v>
      </c>
      <c r="G1042" s="45"/>
      <c r="H1042" s="80">
        <v>0.00771</v>
      </c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45"/>
      <c r="T1042" s="45"/>
      <c r="U1042" s="45"/>
    </row>
    <row r="1043">
      <c r="A1043" s="79" t="s">
        <v>8012</v>
      </c>
      <c r="B1043" s="45"/>
      <c r="C1043" s="79" t="s">
        <v>8013</v>
      </c>
      <c r="D1043" s="45"/>
      <c r="E1043" s="79" t="s">
        <v>5390</v>
      </c>
      <c r="F1043" s="79" t="s">
        <v>5944</v>
      </c>
      <c r="G1043" s="45"/>
      <c r="H1043" s="80">
        <v>0.00767</v>
      </c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45"/>
      <c r="T1043" s="45"/>
      <c r="U1043" s="45"/>
    </row>
    <row r="1044">
      <c r="A1044" s="79" t="s">
        <v>8014</v>
      </c>
      <c r="B1044" s="45"/>
      <c r="C1044" s="79" t="s">
        <v>8015</v>
      </c>
      <c r="D1044" s="45"/>
      <c r="E1044" s="79" t="s">
        <v>6172</v>
      </c>
      <c r="F1044" s="79" t="s">
        <v>5944</v>
      </c>
      <c r="G1044" s="45"/>
      <c r="H1044" s="80">
        <v>0.00762</v>
      </c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45"/>
      <c r="T1044" s="45"/>
      <c r="U1044" s="45"/>
    </row>
    <row r="1045">
      <c r="A1045" s="79" t="s">
        <v>8016</v>
      </c>
      <c r="B1045" s="45"/>
      <c r="C1045" s="79" t="s">
        <v>8017</v>
      </c>
      <c r="D1045" s="45"/>
      <c r="E1045" s="79" t="s">
        <v>5366</v>
      </c>
      <c r="F1045" s="79" t="s">
        <v>5944</v>
      </c>
      <c r="G1045" s="45"/>
      <c r="H1045" s="80">
        <v>0.00761</v>
      </c>
      <c r="I1045" s="45"/>
      <c r="J1045" s="45"/>
      <c r="K1045" s="45"/>
      <c r="L1045" s="45"/>
      <c r="M1045" s="45"/>
      <c r="N1045" s="45"/>
      <c r="O1045" s="45"/>
      <c r="P1045" s="45"/>
      <c r="Q1045" s="45"/>
      <c r="R1045" s="45"/>
      <c r="S1045" s="45"/>
      <c r="T1045" s="45"/>
      <c r="U1045" s="45"/>
    </row>
    <row r="1046">
      <c r="A1046" s="79" t="s">
        <v>8018</v>
      </c>
      <c r="B1046" s="45"/>
      <c r="C1046" s="79" t="s">
        <v>8019</v>
      </c>
      <c r="D1046" s="45"/>
      <c r="E1046" s="79" t="s">
        <v>6083</v>
      </c>
      <c r="F1046" s="79" t="s">
        <v>4490</v>
      </c>
      <c r="G1046" s="45"/>
      <c r="H1046" s="80">
        <v>0.00759</v>
      </c>
      <c r="I1046" s="45"/>
      <c r="J1046" s="45"/>
      <c r="K1046" s="45"/>
      <c r="L1046" s="45"/>
      <c r="M1046" s="45"/>
      <c r="N1046" s="45"/>
      <c r="O1046" s="45"/>
      <c r="P1046" s="45"/>
      <c r="Q1046" s="45"/>
      <c r="R1046" s="45"/>
      <c r="S1046" s="45"/>
      <c r="T1046" s="45"/>
      <c r="U1046" s="45"/>
    </row>
    <row r="1047">
      <c r="A1047" s="79" t="s">
        <v>8020</v>
      </c>
      <c r="B1047" s="45"/>
      <c r="C1047" s="79" t="s">
        <v>8021</v>
      </c>
      <c r="D1047" s="45"/>
      <c r="E1047" s="79" t="s">
        <v>5229</v>
      </c>
      <c r="F1047" s="79" t="s">
        <v>4490</v>
      </c>
      <c r="G1047" s="45"/>
      <c r="H1047" s="80">
        <v>0.00751</v>
      </c>
      <c r="I1047" s="45"/>
      <c r="J1047" s="45"/>
      <c r="K1047" s="45"/>
      <c r="L1047" s="45"/>
      <c r="M1047" s="45"/>
      <c r="N1047" s="45"/>
      <c r="O1047" s="45"/>
      <c r="P1047" s="45"/>
      <c r="Q1047" s="45"/>
      <c r="R1047" s="45"/>
      <c r="S1047" s="45"/>
      <c r="T1047" s="45"/>
      <c r="U1047" s="45"/>
    </row>
    <row r="1048">
      <c r="A1048" s="79" t="s">
        <v>8022</v>
      </c>
      <c r="B1048" s="45"/>
      <c r="C1048" s="79" t="s">
        <v>8023</v>
      </c>
      <c r="D1048" s="45"/>
      <c r="E1048" s="79" t="s">
        <v>5855</v>
      </c>
      <c r="F1048" s="79" t="s">
        <v>5944</v>
      </c>
      <c r="G1048" s="45"/>
      <c r="H1048" s="80">
        <v>0.00747</v>
      </c>
      <c r="I1048" s="45"/>
      <c r="J1048" s="45"/>
      <c r="K1048" s="45"/>
      <c r="L1048" s="45"/>
      <c r="M1048" s="45"/>
      <c r="N1048" s="45"/>
      <c r="O1048" s="45"/>
      <c r="P1048" s="45"/>
      <c r="Q1048" s="45"/>
      <c r="R1048" s="45"/>
      <c r="S1048" s="45"/>
      <c r="T1048" s="45"/>
      <c r="U1048" s="45"/>
    </row>
    <row r="1049">
      <c r="A1049" s="79" t="s">
        <v>8024</v>
      </c>
      <c r="B1049" s="45"/>
      <c r="C1049" s="79" t="s">
        <v>8025</v>
      </c>
      <c r="D1049" s="45"/>
      <c r="E1049" s="79" t="s">
        <v>5422</v>
      </c>
      <c r="F1049" s="79" t="s">
        <v>5944</v>
      </c>
      <c r="G1049" s="45"/>
      <c r="H1049" s="80">
        <v>0.00747</v>
      </c>
      <c r="I1049" s="45"/>
      <c r="J1049" s="45"/>
      <c r="K1049" s="45"/>
      <c r="L1049" s="45"/>
      <c r="M1049" s="45"/>
      <c r="N1049" s="45"/>
      <c r="O1049" s="45"/>
      <c r="P1049" s="45"/>
      <c r="Q1049" s="45"/>
      <c r="R1049" s="45"/>
      <c r="S1049" s="45"/>
      <c r="T1049" s="45"/>
      <c r="U1049" s="45"/>
    </row>
    <row r="1050">
      <c r="A1050" s="79" t="s">
        <v>8026</v>
      </c>
      <c r="B1050" s="45"/>
      <c r="C1050" s="79" t="s">
        <v>8027</v>
      </c>
      <c r="D1050" s="45"/>
      <c r="E1050" s="79" t="s">
        <v>5624</v>
      </c>
      <c r="F1050" s="79" t="s">
        <v>5944</v>
      </c>
      <c r="G1050" s="45"/>
      <c r="H1050" s="80">
        <v>0.00743</v>
      </c>
      <c r="I1050" s="45"/>
      <c r="J1050" s="45"/>
      <c r="K1050" s="45"/>
      <c r="L1050" s="45"/>
      <c r="M1050" s="45"/>
      <c r="N1050" s="45"/>
      <c r="O1050" s="45"/>
      <c r="P1050" s="45"/>
      <c r="Q1050" s="45"/>
      <c r="R1050" s="45"/>
      <c r="S1050" s="45"/>
      <c r="T1050" s="45"/>
      <c r="U1050" s="45"/>
    </row>
    <row r="1051">
      <c r="A1051" s="79" t="s">
        <v>8028</v>
      </c>
      <c r="B1051" s="45"/>
      <c r="C1051" s="79" t="s">
        <v>8029</v>
      </c>
      <c r="D1051" s="45"/>
      <c r="E1051" s="79" t="s">
        <v>5961</v>
      </c>
      <c r="F1051" s="79" t="s">
        <v>5944</v>
      </c>
      <c r="G1051" s="45"/>
      <c r="H1051" s="80">
        <v>0.00742</v>
      </c>
      <c r="I1051" s="45"/>
      <c r="J1051" s="45"/>
      <c r="K1051" s="45"/>
      <c r="L1051" s="45"/>
      <c r="M1051" s="45"/>
      <c r="N1051" s="45"/>
      <c r="O1051" s="45"/>
      <c r="P1051" s="45"/>
      <c r="Q1051" s="45"/>
      <c r="R1051" s="45"/>
      <c r="S1051" s="45"/>
      <c r="T1051" s="45"/>
      <c r="U1051" s="45"/>
    </row>
    <row r="1052">
      <c r="A1052" s="79" t="s">
        <v>8030</v>
      </c>
      <c r="B1052" s="45"/>
      <c r="C1052" s="79" t="s">
        <v>8031</v>
      </c>
      <c r="D1052" s="45"/>
      <c r="E1052" s="79" t="s">
        <v>5215</v>
      </c>
      <c r="F1052" s="79" t="s">
        <v>5944</v>
      </c>
      <c r="G1052" s="45"/>
      <c r="H1052" s="80">
        <v>0.00728</v>
      </c>
      <c r="I1052" s="45"/>
      <c r="J1052" s="45"/>
      <c r="K1052" s="45"/>
      <c r="L1052" s="45"/>
      <c r="M1052" s="45"/>
      <c r="N1052" s="45"/>
      <c r="O1052" s="45"/>
      <c r="P1052" s="45"/>
      <c r="Q1052" s="45"/>
      <c r="R1052" s="45"/>
      <c r="S1052" s="45"/>
      <c r="T1052" s="45"/>
      <c r="U1052" s="45"/>
    </row>
    <row r="1053">
      <c r="A1053" s="79" t="s">
        <v>8032</v>
      </c>
      <c r="B1053" s="45"/>
      <c r="C1053" s="79" t="s">
        <v>8033</v>
      </c>
      <c r="D1053" s="45"/>
      <c r="E1053" s="79" t="s">
        <v>5229</v>
      </c>
      <c r="F1053" s="79" t="s">
        <v>5944</v>
      </c>
      <c r="G1053" s="45"/>
      <c r="H1053" s="80">
        <v>0.00728</v>
      </c>
      <c r="I1053" s="45"/>
      <c r="J1053" s="45"/>
      <c r="K1053" s="45"/>
      <c r="L1053" s="45"/>
      <c r="M1053" s="45"/>
      <c r="N1053" s="45"/>
      <c r="O1053" s="45"/>
      <c r="P1053" s="45"/>
      <c r="Q1053" s="45"/>
      <c r="R1053" s="45"/>
      <c r="S1053" s="45"/>
      <c r="T1053" s="45"/>
      <c r="U1053" s="45"/>
    </row>
    <row r="1054">
      <c r="A1054" s="79" t="s">
        <v>8034</v>
      </c>
      <c r="B1054" s="45"/>
      <c r="C1054" s="79" t="s">
        <v>8035</v>
      </c>
      <c r="D1054" s="45"/>
      <c r="E1054" s="79" t="s">
        <v>5215</v>
      </c>
      <c r="F1054" s="79" t="s">
        <v>5944</v>
      </c>
      <c r="G1054" s="45"/>
      <c r="H1054" s="80">
        <v>0.00727</v>
      </c>
      <c r="I1054" s="45"/>
      <c r="J1054" s="45"/>
      <c r="K1054" s="45"/>
      <c r="L1054" s="45"/>
      <c r="M1054" s="45"/>
      <c r="N1054" s="45"/>
      <c r="O1054" s="45"/>
      <c r="P1054" s="45"/>
      <c r="Q1054" s="45"/>
      <c r="R1054" s="45"/>
      <c r="S1054" s="45"/>
      <c r="T1054" s="45"/>
      <c r="U1054" s="45"/>
    </row>
    <row r="1055">
      <c r="A1055" s="79" t="s">
        <v>8036</v>
      </c>
      <c r="B1055" s="45"/>
      <c r="C1055" s="79" t="s">
        <v>8037</v>
      </c>
      <c r="D1055" s="45"/>
      <c r="E1055" s="79" t="s">
        <v>5218</v>
      </c>
      <c r="F1055" s="79" t="s">
        <v>5944</v>
      </c>
      <c r="G1055" s="45"/>
      <c r="H1055" s="80">
        <v>0.00726</v>
      </c>
      <c r="I1055" s="45"/>
      <c r="J1055" s="45"/>
      <c r="K1055" s="45"/>
      <c r="L1055" s="45"/>
      <c r="M1055" s="45"/>
      <c r="N1055" s="45"/>
      <c r="O1055" s="45"/>
      <c r="P1055" s="45"/>
      <c r="Q1055" s="45"/>
      <c r="R1055" s="45"/>
      <c r="S1055" s="45"/>
      <c r="T1055" s="45"/>
      <c r="U1055" s="45"/>
    </row>
    <row r="1056">
      <c r="A1056" s="79" t="s">
        <v>8038</v>
      </c>
      <c r="B1056" s="45"/>
      <c r="C1056" s="79" t="s">
        <v>8039</v>
      </c>
      <c r="D1056" s="45"/>
      <c r="E1056" s="79" t="s">
        <v>5215</v>
      </c>
      <c r="F1056" s="79" t="s">
        <v>5944</v>
      </c>
      <c r="G1056" s="45"/>
      <c r="H1056" s="80">
        <v>0.00722</v>
      </c>
      <c r="I1056" s="45"/>
      <c r="J1056" s="45"/>
      <c r="K1056" s="45"/>
      <c r="L1056" s="45"/>
      <c r="M1056" s="45"/>
      <c r="N1056" s="45"/>
      <c r="O1056" s="45"/>
      <c r="P1056" s="45"/>
      <c r="Q1056" s="45"/>
      <c r="R1056" s="45"/>
      <c r="S1056" s="45"/>
      <c r="T1056" s="45"/>
      <c r="U1056" s="45"/>
    </row>
    <row r="1057">
      <c r="A1057" s="79" t="s">
        <v>8040</v>
      </c>
      <c r="B1057" s="45"/>
      <c r="C1057" s="79" t="s">
        <v>8041</v>
      </c>
      <c r="D1057" s="45"/>
      <c r="E1057" s="79" t="s">
        <v>6012</v>
      </c>
      <c r="F1057" s="79" t="s">
        <v>5944</v>
      </c>
      <c r="G1057" s="45"/>
      <c r="H1057" s="80">
        <v>0.00716</v>
      </c>
      <c r="I1057" s="45"/>
      <c r="J1057" s="45"/>
      <c r="K1057" s="45"/>
      <c r="L1057" s="45"/>
      <c r="M1057" s="45"/>
      <c r="N1057" s="45"/>
      <c r="O1057" s="45"/>
      <c r="P1057" s="45"/>
      <c r="Q1057" s="45"/>
      <c r="R1057" s="45"/>
      <c r="S1057" s="45"/>
      <c r="T1057" s="45"/>
      <c r="U1057" s="45"/>
    </row>
    <row r="1058">
      <c r="A1058" s="79" t="s">
        <v>8042</v>
      </c>
      <c r="B1058" s="45"/>
      <c r="C1058" s="79" t="s">
        <v>8043</v>
      </c>
      <c r="D1058" s="45"/>
      <c r="E1058" s="79" t="s">
        <v>5218</v>
      </c>
      <c r="F1058" s="79" t="s">
        <v>5944</v>
      </c>
      <c r="G1058" s="45"/>
      <c r="H1058" s="80">
        <v>0.00711</v>
      </c>
      <c r="I1058" s="45"/>
      <c r="J1058" s="45"/>
      <c r="K1058" s="45"/>
      <c r="L1058" s="45"/>
      <c r="M1058" s="45"/>
      <c r="N1058" s="45"/>
      <c r="O1058" s="45"/>
      <c r="P1058" s="45"/>
      <c r="Q1058" s="45"/>
      <c r="R1058" s="45"/>
      <c r="S1058" s="45"/>
      <c r="T1058" s="45"/>
      <c r="U1058" s="45"/>
    </row>
    <row r="1059">
      <c r="A1059" s="79" t="s">
        <v>8044</v>
      </c>
      <c r="B1059" s="45"/>
      <c r="C1059" s="79" t="s">
        <v>8045</v>
      </c>
      <c r="D1059" s="45"/>
      <c r="E1059" s="79" t="s">
        <v>5215</v>
      </c>
      <c r="F1059" s="79" t="s">
        <v>5944</v>
      </c>
      <c r="G1059" s="45"/>
      <c r="H1059" s="80">
        <v>0.0071</v>
      </c>
      <c r="I1059" s="45"/>
      <c r="J1059" s="45"/>
      <c r="K1059" s="45"/>
      <c r="L1059" s="45"/>
      <c r="M1059" s="45"/>
      <c r="N1059" s="45"/>
      <c r="O1059" s="45"/>
      <c r="P1059" s="45"/>
      <c r="Q1059" s="45"/>
      <c r="R1059" s="45"/>
      <c r="S1059" s="45"/>
      <c r="T1059" s="45"/>
      <c r="U1059" s="45"/>
    </row>
    <row r="1060">
      <c r="A1060" s="79" t="s">
        <v>8046</v>
      </c>
      <c r="B1060" s="45"/>
      <c r="C1060" s="79" t="s">
        <v>8047</v>
      </c>
      <c r="D1060" s="45"/>
      <c r="E1060" s="79" t="s">
        <v>5650</v>
      </c>
      <c r="F1060" s="79" t="s">
        <v>5944</v>
      </c>
      <c r="G1060" s="45"/>
      <c r="H1060" s="80">
        <v>0.00708</v>
      </c>
      <c r="I1060" s="45"/>
      <c r="J1060" s="45"/>
      <c r="K1060" s="45"/>
      <c r="L1060" s="45"/>
      <c r="M1060" s="45"/>
      <c r="N1060" s="45"/>
      <c r="O1060" s="45"/>
      <c r="P1060" s="45"/>
      <c r="Q1060" s="45"/>
      <c r="R1060" s="45"/>
      <c r="S1060" s="45"/>
      <c r="T1060" s="45"/>
      <c r="U1060" s="45"/>
    </row>
    <row r="1061">
      <c r="A1061" s="79" t="s">
        <v>8048</v>
      </c>
      <c r="B1061" s="45"/>
      <c r="C1061" s="79" t="s">
        <v>8049</v>
      </c>
      <c r="D1061" s="45"/>
      <c r="E1061" s="79" t="s">
        <v>5961</v>
      </c>
      <c r="F1061" s="79" t="s">
        <v>5944</v>
      </c>
      <c r="G1061" s="45"/>
      <c r="H1061" s="80">
        <v>0.00706</v>
      </c>
      <c r="I1061" s="45"/>
      <c r="J1061" s="45"/>
      <c r="K1061" s="45"/>
      <c r="L1061" s="45"/>
      <c r="M1061" s="45"/>
      <c r="N1061" s="45"/>
      <c r="O1061" s="45"/>
      <c r="P1061" s="45"/>
      <c r="Q1061" s="45"/>
      <c r="R1061" s="45"/>
      <c r="S1061" s="45"/>
      <c r="T1061" s="45"/>
      <c r="U1061" s="45"/>
    </row>
    <row r="1062">
      <c r="A1062" s="79" t="s">
        <v>8050</v>
      </c>
      <c r="B1062" s="45"/>
      <c r="C1062" s="79" t="s">
        <v>8051</v>
      </c>
      <c r="D1062" s="45"/>
      <c r="E1062" s="79" t="s">
        <v>5691</v>
      </c>
      <c r="F1062" s="79" t="s">
        <v>5944</v>
      </c>
      <c r="G1062" s="45"/>
      <c r="H1062" s="80">
        <v>0.00704</v>
      </c>
      <c r="I1062" s="45"/>
      <c r="J1062" s="45"/>
      <c r="K1062" s="45"/>
      <c r="L1062" s="45"/>
      <c r="M1062" s="45"/>
      <c r="N1062" s="45"/>
      <c r="O1062" s="45"/>
      <c r="P1062" s="45"/>
      <c r="Q1062" s="45"/>
      <c r="R1062" s="45"/>
      <c r="S1062" s="45"/>
      <c r="T1062" s="45"/>
      <c r="U1062" s="45"/>
    </row>
    <row r="1063">
      <c r="A1063" s="79" t="s">
        <v>8052</v>
      </c>
      <c r="B1063" s="45"/>
      <c r="C1063" s="79" t="s">
        <v>8053</v>
      </c>
      <c r="D1063" s="45"/>
      <c r="E1063" s="79" t="s">
        <v>6877</v>
      </c>
      <c r="F1063" s="79" t="s">
        <v>5944</v>
      </c>
      <c r="G1063" s="45"/>
      <c r="H1063" s="80">
        <v>0.00702</v>
      </c>
      <c r="I1063" s="45"/>
      <c r="J1063" s="45"/>
      <c r="K1063" s="45"/>
      <c r="L1063" s="45"/>
      <c r="M1063" s="45"/>
      <c r="N1063" s="45"/>
      <c r="O1063" s="45"/>
      <c r="P1063" s="45"/>
      <c r="Q1063" s="45"/>
      <c r="R1063" s="45"/>
      <c r="S1063" s="45"/>
      <c r="T1063" s="45"/>
      <c r="U1063" s="45"/>
    </row>
    <row r="1064">
      <c r="A1064" s="79" t="s">
        <v>8054</v>
      </c>
      <c r="B1064" s="45"/>
      <c r="C1064" s="79" t="s">
        <v>8055</v>
      </c>
      <c r="D1064" s="45"/>
      <c r="E1064" s="79" t="s">
        <v>5501</v>
      </c>
      <c r="F1064" s="79" t="s">
        <v>5944</v>
      </c>
      <c r="G1064" s="45"/>
      <c r="H1064" s="80">
        <v>0.00702</v>
      </c>
      <c r="I1064" s="45"/>
      <c r="J1064" s="45"/>
      <c r="K1064" s="45"/>
      <c r="L1064" s="45"/>
      <c r="M1064" s="45"/>
      <c r="N1064" s="45"/>
      <c r="O1064" s="45"/>
      <c r="P1064" s="45"/>
      <c r="Q1064" s="45"/>
      <c r="R1064" s="45"/>
      <c r="S1064" s="45"/>
      <c r="T1064" s="45"/>
      <c r="U1064" s="45"/>
    </row>
    <row r="1065">
      <c r="A1065" s="79" t="s">
        <v>8056</v>
      </c>
      <c r="B1065" s="45"/>
      <c r="C1065" s="79" t="s">
        <v>8057</v>
      </c>
      <c r="D1065" s="45"/>
      <c r="E1065" s="79" t="s">
        <v>5501</v>
      </c>
      <c r="F1065" s="79" t="s">
        <v>5944</v>
      </c>
      <c r="G1065" s="45"/>
      <c r="H1065" s="80">
        <v>0.00701</v>
      </c>
      <c r="I1065" s="45"/>
      <c r="J1065" s="45"/>
      <c r="K1065" s="45"/>
      <c r="L1065" s="45"/>
      <c r="M1065" s="45"/>
      <c r="N1065" s="45"/>
      <c r="O1065" s="45"/>
      <c r="P1065" s="45"/>
      <c r="Q1065" s="45"/>
      <c r="R1065" s="45"/>
      <c r="S1065" s="45"/>
      <c r="T1065" s="45"/>
      <c r="U1065" s="45"/>
    </row>
    <row r="1066">
      <c r="A1066" s="79" t="s">
        <v>8058</v>
      </c>
      <c r="B1066" s="45"/>
      <c r="C1066" s="79" t="s">
        <v>8059</v>
      </c>
      <c r="D1066" s="45"/>
      <c r="E1066" s="79" t="s">
        <v>6012</v>
      </c>
      <c r="F1066" s="79" t="s">
        <v>5944</v>
      </c>
      <c r="G1066" s="45"/>
      <c r="H1066" s="80">
        <v>0.00696</v>
      </c>
      <c r="I1066" s="45"/>
      <c r="J1066" s="45"/>
      <c r="K1066" s="45"/>
      <c r="L1066" s="45"/>
      <c r="M1066" s="45"/>
      <c r="N1066" s="45"/>
      <c r="O1066" s="45"/>
      <c r="P1066" s="45"/>
      <c r="Q1066" s="45"/>
      <c r="R1066" s="45"/>
      <c r="S1066" s="45"/>
      <c r="T1066" s="45"/>
      <c r="U1066" s="45"/>
    </row>
    <row r="1067">
      <c r="A1067" s="79" t="s">
        <v>8060</v>
      </c>
      <c r="B1067" s="45"/>
      <c r="C1067" s="79" t="s">
        <v>8061</v>
      </c>
      <c r="D1067" s="45"/>
      <c r="E1067" s="79" t="s">
        <v>5267</v>
      </c>
      <c r="F1067" s="79" t="s">
        <v>5944</v>
      </c>
      <c r="G1067" s="45"/>
      <c r="H1067" s="80">
        <v>0.00695</v>
      </c>
      <c r="I1067" s="45"/>
      <c r="J1067" s="45"/>
      <c r="K1067" s="45"/>
      <c r="L1067" s="45"/>
      <c r="M1067" s="45"/>
      <c r="N1067" s="45"/>
      <c r="O1067" s="45"/>
      <c r="P1067" s="45"/>
      <c r="Q1067" s="45"/>
      <c r="R1067" s="45"/>
      <c r="S1067" s="45"/>
      <c r="T1067" s="45"/>
      <c r="U1067" s="45"/>
    </row>
    <row r="1068">
      <c r="A1068" s="79" t="s">
        <v>8062</v>
      </c>
      <c r="B1068" s="45"/>
      <c r="C1068" s="79" t="s">
        <v>8063</v>
      </c>
      <c r="D1068" s="45"/>
      <c r="E1068" s="79" t="s">
        <v>5226</v>
      </c>
      <c r="F1068" s="79" t="s">
        <v>5944</v>
      </c>
      <c r="G1068" s="45"/>
      <c r="H1068" s="80">
        <v>0.0069</v>
      </c>
      <c r="I1068" s="45"/>
      <c r="J1068" s="45"/>
      <c r="K1068" s="45"/>
      <c r="L1068" s="45"/>
      <c r="M1068" s="45"/>
      <c r="N1068" s="45"/>
      <c r="O1068" s="45"/>
      <c r="P1068" s="45"/>
      <c r="Q1068" s="45"/>
      <c r="R1068" s="45"/>
      <c r="S1068" s="45"/>
      <c r="T1068" s="45"/>
      <c r="U1068" s="45"/>
    </row>
    <row r="1069">
      <c r="A1069" s="79" t="s">
        <v>8064</v>
      </c>
      <c r="B1069" s="45"/>
      <c r="C1069" s="79" t="s">
        <v>8065</v>
      </c>
      <c r="D1069" s="45"/>
      <c r="E1069" s="79" t="s">
        <v>5467</v>
      </c>
      <c r="F1069" s="79" t="s">
        <v>5944</v>
      </c>
      <c r="G1069" s="45"/>
      <c r="H1069" s="80">
        <v>0.0068</v>
      </c>
      <c r="I1069" s="45"/>
      <c r="J1069" s="45"/>
      <c r="K1069" s="45"/>
      <c r="L1069" s="45"/>
      <c r="M1069" s="45"/>
      <c r="N1069" s="45"/>
      <c r="O1069" s="45"/>
      <c r="P1069" s="45"/>
      <c r="Q1069" s="45"/>
      <c r="R1069" s="45"/>
      <c r="S1069" s="45"/>
      <c r="T1069" s="45"/>
      <c r="U1069" s="45"/>
    </row>
    <row r="1070">
      <c r="A1070" s="79" t="s">
        <v>8066</v>
      </c>
      <c r="B1070" s="45"/>
      <c r="C1070" s="79" t="s">
        <v>8067</v>
      </c>
      <c r="D1070" s="45"/>
      <c r="E1070" s="79" t="s">
        <v>5561</v>
      </c>
      <c r="F1070" s="79" t="s">
        <v>5927</v>
      </c>
      <c r="G1070" s="45"/>
      <c r="H1070" s="80">
        <v>0.00677</v>
      </c>
      <c r="I1070" s="45"/>
      <c r="J1070" s="45"/>
      <c r="K1070" s="45"/>
      <c r="L1070" s="45"/>
      <c r="M1070" s="45"/>
      <c r="N1070" s="45"/>
      <c r="O1070" s="45"/>
      <c r="P1070" s="45"/>
      <c r="Q1070" s="45"/>
      <c r="R1070" s="45"/>
      <c r="S1070" s="45"/>
      <c r="T1070" s="45"/>
      <c r="U1070" s="45"/>
    </row>
    <row r="1071">
      <c r="A1071" s="79" t="s">
        <v>8068</v>
      </c>
      <c r="B1071" s="45"/>
      <c r="C1071" s="79" t="s">
        <v>8069</v>
      </c>
      <c r="D1071" s="45"/>
      <c r="E1071" s="79" t="s">
        <v>5434</v>
      </c>
      <c r="F1071" s="79" t="s">
        <v>5944</v>
      </c>
      <c r="G1071" s="45"/>
      <c r="H1071" s="80">
        <v>0.00676</v>
      </c>
      <c r="I1071" s="45"/>
      <c r="J1071" s="45"/>
      <c r="K1071" s="45"/>
      <c r="L1071" s="45"/>
      <c r="M1071" s="45"/>
      <c r="N1071" s="45"/>
      <c r="O1071" s="45"/>
      <c r="P1071" s="45"/>
      <c r="Q1071" s="45"/>
      <c r="R1071" s="45"/>
      <c r="S1071" s="45"/>
      <c r="T1071" s="45"/>
      <c r="U1071" s="45"/>
    </row>
    <row r="1072">
      <c r="A1072" s="79" t="s">
        <v>8070</v>
      </c>
      <c r="B1072" s="45"/>
      <c r="C1072" s="79" t="s">
        <v>8071</v>
      </c>
      <c r="D1072" s="45"/>
      <c r="E1072" s="79" t="s">
        <v>5550</v>
      </c>
      <c r="F1072" s="79" t="s">
        <v>5944</v>
      </c>
      <c r="G1072" s="45"/>
      <c r="H1072" s="80">
        <v>0.00672</v>
      </c>
      <c r="I1072" s="45"/>
      <c r="J1072" s="45"/>
      <c r="K1072" s="45"/>
      <c r="L1072" s="45"/>
      <c r="M1072" s="45"/>
      <c r="N1072" s="45"/>
      <c r="O1072" s="45"/>
      <c r="P1072" s="45"/>
      <c r="Q1072" s="45"/>
      <c r="R1072" s="45"/>
      <c r="S1072" s="45"/>
      <c r="T1072" s="45"/>
      <c r="U1072" s="45"/>
    </row>
    <row r="1073">
      <c r="A1073" s="79" t="s">
        <v>8072</v>
      </c>
      <c r="B1073" s="45"/>
      <c r="C1073" s="79" t="s">
        <v>8073</v>
      </c>
      <c r="D1073" s="45"/>
      <c r="E1073" s="79" t="s">
        <v>6130</v>
      </c>
      <c r="F1073" s="79" t="s">
        <v>5944</v>
      </c>
      <c r="G1073" s="45"/>
      <c r="H1073" s="80">
        <v>0.00669</v>
      </c>
      <c r="I1073" s="45"/>
      <c r="J1073" s="45"/>
      <c r="K1073" s="45"/>
      <c r="L1073" s="45"/>
      <c r="M1073" s="45"/>
      <c r="N1073" s="45"/>
      <c r="O1073" s="45"/>
      <c r="P1073" s="45"/>
      <c r="Q1073" s="45"/>
      <c r="R1073" s="45"/>
      <c r="S1073" s="45"/>
      <c r="T1073" s="45"/>
      <c r="U1073" s="45"/>
    </row>
    <row r="1074">
      <c r="A1074" s="79" t="s">
        <v>8074</v>
      </c>
      <c r="B1074" s="45"/>
      <c r="C1074" s="79" t="s">
        <v>8075</v>
      </c>
      <c r="D1074" s="45"/>
      <c r="E1074" s="79" t="s">
        <v>6012</v>
      </c>
      <c r="F1074" s="79" t="s">
        <v>5944</v>
      </c>
      <c r="G1074" s="45"/>
      <c r="H1074" s="80">
        <v>0.00669</v>
      </c>
      <c r="I1074" s="45"/>
      <c r="J1074" s="45"/>
      <c r="K1074" s="45"/>
      <c r="L1074" s="45"/>
      <c r="M1074" s="45"/>
      <c r="N1074" s="45"/>
      <c r="O1074" s="45"/>
      <c r="P1074" s="45"/>
      <c r="Q1074" s="45"/>
      <c r="R1074" s="45"/>
      <c r="S1074" s="45"/>
      <c r="T1074" s="45"/>
      <c r="U1074" s="45"/>
    </row>
    <row r="1075">
      <c r="A1075" s="79" t="s">
        <v>8076</v>
      </c>
      <c r="B1075" s="45"/>
      <c r="C1075" s="79" t="s">
        <v>8077</v>
      </c>
      <c r="D1075" s="45"/>
      <c r="E1075" s="79" t="s">
        <v>5855</v>
      </c>
      <c r="F1075" s="79" t="s">
        <v>5944</v>
      </c>
      <c r="G1075" s="45"/>
      <c r="H1075" s="80">
        <v>0.00669</v>
      </c>
      <c r="I1075" s="45"/>
      <c r="J1075" s="45"/>
      <c r="K1075" s="45"/>
      <c r="L1075" s="45"/>
      <c r="M1075" s="45"/>
      <c r="N1075" s="45"/>
      <c r="O1075" s="45"/>
      <c r="P1075" s="45"/>
      <c r="Q1075" s="45"/>
      <c r="R1075" s="45"/>
      <c r="S1075" s="45"/>
      <c r="T1075" s="45"/>
      <c r="U1075" s="45"/>
    </row>
    <row r="1076">
      <c r="A1076" s="79" t="s">
        <v>8078</v>
      </c>
      <c r="B1076" s="45"/>
      <c r="C1076" s="79" t="s">
        <v>8079</v>
      </c>
      <c r="D1076" s="45"/>
      <c r="E1076" s="79" t="s">
        <v>5229</v>
      </c>
      <c r="F1076" s="79" t="s">
        <v>5944</v>
      </c>
      <c r="G1076" s="45"/>
      <c r="H1076" s="80">
        <v>0.00668</v>
      </c>
      <c r="I1076" s="45"/>
      <c r="J1076" s="45"/>
      <c r="K1076" s="45"/>
      <c r="L1076" s="45"/>
      <c r="M1076" s="45"/>
      <c r="N1076" s="45"/>
      <c r="O1076" s="45"/>
      <c r="P1076" s="45"/>
      <c r="Q1076" s="45"/>
      <c r="R1076" s="45"/>
      <c r="S1076" s="45"/>
      <c r="T1076" s="45"/>
      <c r="U1076" s="45"/>
    </row>
    <row r="1077">
      <c r="A1077" s="79" t="s">
        <v>8080</v>
      </c>
      <c r="B1077" s="45"/>
      <c r="C1077" s="79" t="s">
        <v>8081</v>
      </c>
      <c r="D1077" s="45"/>
      <c r="E1077" s="79" t="s">
        <v>5229</v>
      </c>
      <c r="F1077" s="79" t="s">
        <v>5944</v>
      </c>
      <c r="G1077" s="45"/>
      <c r="H1077" s="80">
        <v>0.00665</v>
      </c>
      <c r="I1077" s="45"/>
      <c r="J1077" s="45"/>
      <c r="K1077" s="45"/>
      <c r="L1077" s="45"/>
      <c r="M1077" s="45"/>
      <c r="N1077" s="45"/>
      <c r="O1077" s="45"/>
      <c r="P1077" s="45"/>
      <c r="Q1077" s="45"/>
      <c r="R1077" s="45"/>
      <c r="S1077" s="45"/>
      <c r="T1077" s="45"/>
      <c r="U1077" s="45"/>
    </row>
    <row r="1078">
      <c r="A1078" s="79" t="s">
        <v>8082</v>
      </c>
      <c r="B1078" s="45"/>
      <c r="C1078" s="79" t="s">
        <v>7554</v>
      </c>
      <c r="D1078" s="45"/>
      <c r="E1078" s="79" t="s">
        <v>5258</v>
      </c>
      <c r="F1078" s="79" t="s">
        <v>5944</v>
      </c>
      <c r="G1078" s="45"/>
      <c r="H1078" s="80">
        <v>0.00664</v>
      </c>
      <c r="I1078" s="45"/>
      <c r="J1078" s="45"/>
      <c r="K1078" s="45"/>
      <c r="L1078" s="45"/>
      <c r="M1078" s="45"/>
      <c r="N1078" s="45"/>
      <c r="O1078" s="45"/>
      <c r="P1078" s="45"/>
      <c r="Q1078" s="45"/>
      <c r="R1078" s="45"/>
      <c r="S1078" s="45"/>
      <c r="T1078" s="45"/>
      <c r="U1078" s="45"/>
    </row>
    <row r="1079">
      <c r="A1079" s="79" t="s">
        <v>8083</v>
      </c>
      <c r="B1079" s="45"/>
      <c r="C1079" s="79" t="s">
        <v>8084</v>
      </c>
      <c r="D1079" s="45"/>
      <c r="E1079" s="79" t="s">
        <v>5354</v>
      </c>
      <c r="F1079" s="79" t="s">
        <v>5944</v>
      </c>
      <c r="G1079" s="45"/>
      <c r="H1079" s="80">
        <v>0.00663</v>
      </c>
      <c r="I1079" s="45"/>
      <c r="J1079" s="45"/>
      <c r="K1079" s="45"/>
      <c r="L1079" s="45"/>
      <c r="M1079" s="45"/>
      <c r="N1079" s="45"/>
      <c r="O1079" s="45"/>
      <c r="P1079" s="45"/>
      <c r="Q1079" s="45"/>
      <c r="R1079" s="45"/>
      <c r="S1079" s="45"/>
      <c r="T1079" s="45"/>
      <c r="U1079" s="45"/>
    </row>
    <row r="1080">
      <c r="A1080" s="79" t="s">
        <v>8085</v>
      </c>
      <c r="B1080" s="45"/>
      <c r="C1080" s="79" t="s">
        <v>8086</v>
      </c>
      <c r="D1080" s="45"/>
      <c r="E1080" s="79" t="s">
        <v>5650</v>
      </c>
      <c r="F1080" s="79" t="s">
        <v>5944</v>
      </c>
      <c r="G1080" s="45"/>
      <c r="H1080" s="80">
        <v>0.00663</v>
      </c>
      <c r="I1080" s="45"/>
      <c r="J1080" s="45"/>
      <c r="K1080" s="45"/>
      <c r="L1080" s="45"/>
      <c r="M1080" s="45"/>
      <c r="N1080" s="45"/>
      <c r="O1080" s="45"/>
      <c r="P1080" s="45"/>
      <c r="Q1080" s="45"/>
      <c r="R1080" s="45"/>
      <c r="S1080" s="45"/>
      <c r="T1080" s="45"/>
      <c r="U1080" s="45"/>
    </row>
    <row r="1081">
      <c r="A1081" s="79" t="s">
        <v>8087</v>
      </c>
      <c r="B1081" s="45"/>
      <c r="C1081" s="79" t="s">
        <v>6992</v>
      </c>
      <c r="D1081" s="45"/>
      <c r="E1081" s="79" t="s">
        <v>6009</v>
      </c>
      <c r="F1081" s="79" t="s">
        <v>4340</v>
      </c>
      <c r="G1081" s="45"/>
      <c r="H1081" s="80">
        <v>0.00662</v>
      </c>
      <c r="I1081" s="45"/>
      <c r="J1081" s="45"/>
      <c r="K1081" s="45"/>
      <c r="L1081" s="45"/>
      <c r="M1081" s="45"/>
      <c r="N1081" s="45"/>
      <c r="O1081" s="45"/>
      <c r="P1081" s="45"/>
      <c r="Q1081" s="45"/>
      <c r="R1081" s="45"/>
      <c r="S1081" s="45"/>
      <c r="T1081" s="45"/>
      <c r="U1081" s="45"/>
    </row>
    <row r="1082">
      <c r="A1082" s="79" t="s">
        <v>8088</v>
      </c>
      <c r="B1082" s="45"/>
      <c r="C1082" s="79" t="s">
        <v>8089</v>
      </c>
      <c r="D1082" s="45"/>
      <c r="E1082" s="79" t="s">
        <v>5351</v>
      </c>
      <c r="F1082" s="79" t="s">
        <v>5944</v>
      </c>
      <c r="G1082" s="45"/>
      <c r="H1082" s="80">
        <v>0.00659</v>
      </c>
      <c r="I1082" s="45"/>
      <c r="J1082" s="45"/>
      <c r="K1082" s="45"/>
      <c r="L1082" s="45"/>
      <c r="M1082" s="45"/>
      <c r="N1082" s="45"/>
      <c r="O1082" s="45"/>
      <c r="P1082" s="45"/>
      <c r="Q1082" s="45"/>
      <c r="R1082" s="45"/>
      <c r="S1082" s="45"/>
      <c r="T1082" s="45"/>
      <c r="U1082" s="45"/>
    </row>
    <row r="1083">
      <c r="A1083" s="79" t="s">
        <v>8090</v>
      </c>
      <c r="B1083" s="45"/>
      <c r="C1083" s="79" t="s">
        <v>8091</v>
      </c>
      <c r="D1083" s="45"/>
      <c r="E1083" s="79" t="s">
        <v>5246</v>
      </c>
      <c r="F1083" s="79" t="s">
        <v>5944</v>
      </c>
      <c r="G1083" s="45"/>
      <c r="H1083" s="80">
        <v>0.00655</v>
      </c>
      <c r="I1083" s="45"/>
      <c r="J1083" s="45"/>
      <c r="K1083" s="45"/>
      <c r="L1083" s="45"/>
      <c r="M1083" s="45"/>
      <c r="N1083" s="45"/>
      <c r="O1083" s="45"/>
      <c r="P1083" s="45"/>
      <c r="Q1083" s="45"/>
      <c r="R1083" s="45"/>
      <c r="S1083" s="45"/>
      <c r="T1083" s="45"/>
      <c r="U1083" s="45"/>
    </row>
    <row r="1084">
      <c r="A1084" s="79" t="s">
        <v>8092</v>
      </c>
      <c r="B1084" s="45"/>
      <c r="C1084" s="79" t="s">
        <v>8093</v>
      </c>
      <c r="D1084" s="45"/>
      <c r="E1084" s="79" t="s">
        <v>5218</v>
      </c>
      <c r="F1084" s="79" t="s">
        <v>5944</v>
      </c>
      <c r="G1084" s="45"/>
      <c r="H1084" s="80">
        <v>0.00654</v>
      </c>
      <c r="I1084" s="45"/>
      <c r="J1084" s="45"/>
      <c r="K1084" s="45"/>
      <c r="L1084" s="45"/>
      <c r="M1084" s="45"/>
      <c r="N1084" s="45"/>
      <c r="O1084" s="45"/>
      <c r="P1084" s="45"/>
      <c r="Q1084" s="45"/>
      <c r="R1084" s="45"/>
      <c r="S1084" s="45"/>
      <c r="T1084" s="45"/>
      <c r="U1084" s="45"/>
    </row>
    <row r="1085">
      <c r="A1085" s="79" t="s">
        <v>8094</v>
      </c>
      <c r="B1085" s="45"/>
      <c r="C1085" s="79" t="s">
        <v>8095</v>
      </c>
      <c r="D1085" s="45"/>
      <c r="E1085" s="79" t="s">
        <v>5390</v>
      </c>
      <c r="F1085" s="79" t="s">
        <v>5944</v>
      </c>
      <c r="G1085" s="45"/>
      <c r="H1085" s="80">
        <v>0.00653</v>
      </c>
      <c r="I1085" s="45"/>
      <c r="J1085" s="45"/>
      <c r="K1085" s="45"/>
      <c r="L1085" s="45"/>
      <c r="M1085" s="45"/>
      <c r="N1085" s="45"/>
      <c r="O1085" s="45"/>
      <c r="P1085" s="45"/>
      <c r="Q1085" s="45"/>
      <c r="R1085" s="45"/>
      <c r="S1085" s="45"/>
      <c r="T1085" s="45"/>
      <c r="U1085" s="45"/>
    </row>
    <row r="1086">
      <c r="A1086" s="79" t="s">
        <v>8096</v>
      </c>
      <c r="B1086" s="45"/>
      <c r="C1086" s="79" t="s">
        <v>8097</v>
      </c>
      <c r="D1086" s="45"/>
      <c r="E1086" s="79" t="s">
        <v>6191</v>
      </c>
      <c r="F1086" s="79" t="s">
        <v>5944</v>
      </c>
      <c r="G1086" s="45"/>
      <c r="H1086" s="80">
        <v>0.00649</v>
      </c>
      <c r="I1086" s="45"/>
      <c r="J1086" s="45"/>
      <c r="K1086" s="45"/>
      <c r="L1086" s="45"/>
      <c r="M1086" s="45"/>
      <c r="N1086" s="45"/>
      <c r="O1086" s="45"/>
      <c r="P1086" s="45"/>
      <c r="Q1086" s="45"/>
      <c r="R1086" s="45"/>
      <c r="S1086" s="45"/>
      <c r="T1086" s="45"/>
      <c r="U1086" s="45"/>
    </row>
    <row r="1087">
      <c r="A1087" s="79" t="s">
        <v>8098</v>
      </c>
      <c r="B1087" s="45"/>
      <c r="C1087" s="79" t="s">
        <v>8099</v>
      </c>
      <c r="D1087" s="45"/>
      <c r="E1087" s="79" t="s">
        <v>6090</v>
      </c>
      <c r="F1087" s="79" t="s">
        <v>5944</v>
      </c>
      <c r="G1087" s="45"/>
      <c r="H1087" s="80">
        <v>0.00649</v>
      </c>
      <c r="I1087" s="45"/>
      <c r="J1087" s="45"/>
      <c r="K1087" s="45"/>
      <c r="L1087" s="45"/>
      <c r="M1087" s="45"/>
      <c r="N1087" s="45"/>
      <c r="O1087" s="45"/>
      <c r="P1087" s="45"/>
      <c r="Q1087" s="45"/>
      <c r="R1087" s="45"/>
      <c r="S1087" s="45"/>
      <c r="T1087" s="45"/>
      <c r="U1087" s="45"/>
    </row>
    <row r="1088">
      <c r="A1088" s="79" t="s">
        <v>8100</v>
      </c>
      <c r="B1088" s="45"/>
      <c r="C1088" s="79" t="s">
        <v>8101</v>
      </c>
      <c r="D1088" s="45"/>
      <c r="E1088" s="79" t="s">
        <v>5650</v>
      </c>
      <c r="F1088" s="79" t="s">
        <v>5944</v>
      </c>
      <c r="G1088" s="45"/>
      <c r="H1088" s="80">
        <v>0.00641</v>
      </c>
      <c r="I1088" s="45"/>
      <c r="J1088" s="45"/>
      <c r="K1088" s="45"/>
      <c r="L1088" s="45"/>
      <c r="M1088" s="45"/>
      <c r="N1088" s="45"/>
      <c r="O1088" s="45"/>
      <c r="P1088" s="45"/>
      <c r="Q1088" s="45"/>
      <c r="R1088" s="45"/>
      <c r="S1088" s="45"/>
      <c r="T1088" s="45"/>
      <c r="U1088" s="45"/>
    </row>
    <row r="1089">
      <c r="A1089" s="79" t="s">
        <v>8102</v>
      </c>
      <c r="B1089" s="45"/>
      <c r="C1089" s="79" t="s">
        <v>8103</v>
      </c>
      <c r="D1089" s="45"/>
      <c r="E1089" s="79" t="s">
        <v>5961</v>
      </c>
      <c r="F1089" s="79" t="s">
        <v>5944</v>
      </c>
      <c r="G1089" s="45"/>
      <c r="H1089" s="80">
        <v>0.00629</v>
      </c>
      <c r="I1089" s="45"/>
      <c r="J1089" s="45"/>
      <c r="K1089" s="45"/>
      <c r="L1089" s="45"/>
      <c r="M1089" s="45"/>
      <c r="N1089" s="45"/>
      <c r="O1089" s="45"/>
      <c r="P1089" s="45"/>
      <c r="Q1089" s="45"/>
      <c r="R1089" s="45"/>
      <c r="S1089" s="45"/>
      <c r="T1089" s="45"/>
      <c r="U1089" s="45"/>
    </row>
    <row r="1090">
      <c r="A1090" s="79" t="s">
        <v>8104</v>
      </c>
      <c r="B1090" s="45"/>
      <c r="C1090" s="79" t="s">
        <v>8105</v>
      </c>
      <c r="D1090" s="45"/>
      <c r="E1090" s="79" t="s">
        <v>5961</v>
      </c>
      <c r="F1090" s="79" t="s">
        <v>5944</v>
      </c>
      <c r="G1090" s="45"/>
      <c r="H1090" s="80">
        <v>0.00623</v>
      </c>
      <c r="I1090" s="45"/>
      <c r="J1090" s="45"/>
      <c r="K1090" s="45"/>
      <c r="L1090" s="45"/>
      <c r="M1090" s="45"/>
      <c r="N1090" s="45"/>
      <c r="O1090" s="45"/>
      <c r="P1090" s="45"/>
      <c r="Q1090" s="45"/>
      <c r="R1090" s="45"/>
      <c r="S1090" s="45"/>
      <c r="T1090" s="45"/>
      <c r="U1090" s="45"/>
    </row>
    <row r="1091">
      <c r="A1091" s="79" t="s">
        <v>8106</v>
      </c>
      <c r="B1091" s="45"/>
      <c r="C1091" s="79" t="s">
        <v>8107</v>
      </c>
      <c r="D1091" s="45"/>
      <c r="E1091" s="79" t="s">
        <v>6238</v>
      </c>
      <c r="F1091" s="79" t="s">
        <v>5944</v>
      </c>
      <c r="G1091" s="45"/>
      <c r="H1091" s="80">
        <v>0.0062</v>
      </c>
      <c r="I1091" s="45"/>
      <c r="J1091" s="45"/>
      <c r="K1091" s="45"/>
      <c r="L1091" s="45"/>
      <c r="M1091" s="45"/>
      <c r="N1091" s="45"/>
      <c r="O1091" s="45"/>
      <c r="P1091" s="45"/>
      <c r="Q1091" s="45"/>
      <c r="R1091" s="45"/>
      <c r="S1091" s="45"/>
      <c r="T1091" s="45"/>
      <c r="U1091" s="45"/>
    </row>
    <row r="1092">
      <c r="A1092" s="79" t="s">
        <v>8108</v>
      </c>
      <c r="B1092" s="45"/>
      <c r="C1092" s="79" t="s">
        <v>8109</v>
      </c>
      <c r="D1092" s="45"/>
      <c r="E1092" s="79" t="s">
        <v>8110</v>
      </c>
      <c r="F1092" s="79" t="s">
        <v>5944</v>
      </c>
      <c r="G1092" s="45"/>
      <c r="H1092" s="80">
        <v>0.00616</v>
      </c>
      <c r="I1092" s="45"/>
      <c r="J1092" s="45"/>
      <c r="K1092" s="45"/>
      <c r="L1092" s="45"/>
      <c r="M1092" s="45"/>
      <c r="N1092" s="45"/>
      <c r="O1092" s="45"/>
      <c r="P1092" s="45"/>
      <c r="Q1092" s="45"/>
      <c r="R1092" s="45"/>
      <c r="S1092" s="45"/>
      <c r="T1092" s="45"/>
      <c r="U1092" s="45"/>
    </row>
    <row r="1093">
      <c r="A1093" s="79" t="s">
        <v>8111</v>
      </c>
      <c r="B1093" s="45"/>
      <c r="C1093" s="79" t="s">
        <v>8112</v>
      </c>
      <c r="D1093" s="45"/>
      <c r="E1093" s="79" t="s">
        <v>5218</v>
      </c>
      <c r="F1093" s="79" t="s">
        <v>5944</v>
      </c>
      <c r="G1093" s="45"/>
      <c r="H1093" s="80">
        <v>0.00614</v>
      </c>
      <c r="I1093" s="45"/>
      <c r="J1093" s="45"/>
      <c r="K1093" s="45"/>
      <c r="L1093" s="45"/>
      <c r="M1093" s="45"/>
      <c r="N1093" s="45"/>
      <c r="O1093" s="45"/>
      <c r="P1093" s="45"/>
      <c r="Q1093" s="45"/>
      <c r="R1093" s="45"/>
      <c r="S1093" s="45"/>
      <c r="T1093" s="45"/>
      <c r="U1093" s="45"/>
    </row>
    <row r="1094">
      <c r="A1094" s="79" t="s">
        <v>8113</v>
      </c>
      <c r="B1094" s="45"/>
      <c r="C1094" s="79" t="s">
        <v>8114</v>
      </c>
      <c r="D1094" s="45"/>
      <c r="E1094" s="79" t="s">
        <v>5704</v>
      </c>
      <c r="F1094" s="79" t="s">
        <v>5944</v>
      </c>
      <c r="G1094" s="45"/>
      <c r="H1094" s="80">
        <v>0.0061</v>
      </c>
      <c r="I1094" s="45"/>
      <c r="J1094" s="45"/>
      <c r="K1094" s="45"/>
      <c r="L1094" s="45"/>
      <c r="M1094" s="45"/>
      <c r="N1094" s="45"/>
      <c r="O1094" s="45"/>
      <c r="P1094" s="45"/>
      <c r="Q1094" s="45"/>
      <c r="R1094" s="45"/>
      <c r="S1094" s="45"/>
      <c r="T1094" s="45"/>
      <c r="U1094" s="45"/>
    </row>
    <row r="1095">
      <c r="A1095" s="79" t="s">
        <v>8115</v>
      </c>
      <c r="B1095" s="45"/>
      <c r="C1095" s="79" t="s">
        <v>7077</v>
      </c>
      <c r="D1095" s="45"/>
      <c r="E1095" s="79" t="s">
        <v>5229</v>
      </c>
      <c r="F1095" s="79" t="s">
        <v>5944</v>
      </c>
      <c r="G1095" s="45"/>
      <c r="H1095" s="80">
        <v>0.00609</v>
      </c>
      <c r="I1095" s="45"/>
      <c r="J1095" s="45"/>
      <c r="K1095" s="45"/>
      <c r="L1095" s="45"/>
      <c r="M1095" s="45"/>
      <c r="N1095" s="45"/>
      <c r="O1095" s="45"/>
      <c r="P1095" s="45"/>
      <c r="Q1095" s="45"/>
      <c r="R1095" s="45"/>
      <c r="S1095" s="45"/>
      <c r="T1095" s="45"/>
      <c r="U1095" s="45"/>
    </row>
    <row r="1096">
      <c r="A1096" s="79" t="s">
        <v>8116</v>
      </c>
      <c r="B1096" s="45"/>
      <c r="C1096" s="79" t="s">
        <v>6783</v>
      </c>
      <c r="D1096" s="45"/>
      <c r="E1096" s="79" t="s">
        <v>5354</v>
      </c>
      <c r="F1096" s="79" t="s">
        <v>5944</v>
      </c>
      <c r="G1096" s="45"/>
      <c r="H1096" s="80">
        <v>0.00607</v>
      </c>
      <c r="I1096" s="45"/>
      <c r="J1096" s="45"/>
      <c r="K1096" s="45"/>
      <c r="L1096" s="45"/>
      <c r="M1096" s="45"/>
      <c r="N1096" s="45"/>
      <c r="O1096" s="45"/>
      <c r="P1096" s="45"/>
      <c r="Q1096" s="45"/>
      <c r="R1096" s="45"/>
      <c r="S1096" s="45"/>
      <c r="T1096" s="45"/>
      <c r="U1096" s="45"/>
    </row>
    <row r="1097">
      <c r="A1097" s="79" t="s">
        <v>8117</v>
      </c>
      <c r="B1097" s="45"/>
      <c r="C1097" s="79" t="s">
        <v>8118</v>
      </c>
      <c r="D1097" s="45"/>
      <c r="E1097" s="79" t="s">
        <v>5211</v>
      </c>
      <c r="F1097" s="79" t="s">
        <v>5944</v>
      </c>
      <c r="G1097" s="45"/>
      <c r="H1097" s="80">
        <v>0.00607</v>
      </c>
      <c r="I1097" s="45"/>
      <c r="J1097" s="45"/>
      <c r="K1097" s="45"/>
      <c r="L1097" s="45"/>
      <c r="M1097" s="45"/>
      <c r="N1097" s="45"/>
      <c r="O1097" s="45"/>
      <c r="P1097" s="45"/>
      <c r="Q1097" s="45"/>
      <c r="R1097" s="45"/>
      <c r="S1097" s="45"/>
      <c r="T1097" s="45"/>
      <c r="U1097" s="45"/>
    </row>
    <row r="1098">
      <c r="A1098" s="79" t="s">
        <v>8119</v>
      </c>
      <c r="B1098" s="45"/>
      <c r="C1098" s="79" t="s">
        <v>8120</v>
      </c>
      <c r="D1098" s="45"/>
      <c r="E1098" s="79" t="s">
        <v>6514</v>
      </c>
      <c r="F1098" s="79" t="s">
        <v>5944</v>
      </c>
      <c r="G1098" s="45"/>
      <c r="H1098" s="80">
        <v>0.00606</v>
      </c>
      <c r="I1098" s="45"/>
      <c r="J1098" s="45"/>
      <c r="K1098" s="45"/>
      <c r="L1098" s="45"/>
      <c r="M1098" s="45"/>
      <c r="N1098" s="45"/>
      <c r="O1098" s="45"/>
      <c r="P1098" s="45"/>
      <c r="Q1098" s="45"/>
      <c r="R1098" s="45"/>
      <c r="S1098" s="45"/>
      <c r="T1098" s="45"/>
      <c r="U1098" s="45"/>
    </row>
    <row r="1099">
      <c r="A1099" s="79" t="s">
        <v>8121</v>
      </c>
      <c r="B1099" s="45"/>
      <c r="C1099" s="79" t="s">
        <v>7938</v>
      </c>
      <c r="D1099" s="45"/>
      <c r="E1099" s="79" t="s">
        <v>5478</v>
      </c>
      <c r="F1099" s="79" t="s">
        <v>5944</v>
      </c>
      <c r="G1099" s="45"/>
      <c r="H1099" s="80">
        <v>0.00601</v>
      </c>
      <c r="I1099" s="45"/>
      <c r="J1099" s="45"/>
      <c r="K1099" s="45"/>
      <c r="L1099" s="45"/>
      <c r="M1099" s="45"/>
      <c r="N1099" s="45"/>
      <c r="O1099" s="45"/>
      <c r="P1099" s="45"/>
      <c r="Q1099" s="45"/>
      <c r="R1099" s="45"/>
      <c r="S1099" s="45"/>
      <c r="T1099" s="45"/>
      <c r="U1099" s="45"/>
    </row>
    <row r="1100">
      <c r="A1100" s="79" t="s">
        <v>8122</v>
      </c>
      <c r="B1100" s="45"/>
      <c r="C1100" s="79" t="s">
        <v>8123</v>
      </c>
      <c r="D1100" s="45"/>
      <c r="E1100" s="79" t="s">
        <v>5218</v>
      </c>
      <c r="F1100" s="79" t="s">
        <v>5944</v>
      </c>
      <c r="G1100" s="45"/>
      <c r="H1100" s="80">
        <v>0.006</v>
      </c>
      <c r="I1100" s="45"/>
      <c r="J1100" s="45"/>
      <c r="K1100" s="45"/>
      <c r="L1100" s="45"/>
      <c r="M1100" s="45"/>
      <c r="N1100" s="45"/>
      <c r="O1100" s="45"/>
      <c r="P1100" s="45"/>
      <c r="Q1100" s="45"/>
      <c r="R1100" s="45"/>
      <c r="S1100" s="45"/>
      <c r="T1100" s="45"/>
      <c r="U1100" s="45"/>
    </row>
    <row r="1101">
      <c r="A1101" s="79" t="s">
        <v>8124</v>
      </c>
      <c r="B1101" s="45"/>
      <c r="C1101" s="79" t="s">
        <v>8125</v>
      </c>
      <c r="D1101" s="45"/>
      <c r="E1101" s="79" t="s">
        <v>5811</v>
      </c>
      <c r="F1101" s="79" t="s">
        <v>5944</v>
      </c>
      <c r="G1101" s="45"/>
      <c r="H1101" s="80">
        <v>0.00599</v>
      </c>
      <c r="I1101" s="45"/>
      <c r="J1101" s="45"/>
      <c r="K1101" s="45"/>
      <c r="L1101" s="45"/>
      <c r="M1101" s="45"/>
      <c r="N1101" s="45"/>
      <c r="O1101" s="45"/>
      <c r="P1101" s="45"/>
      <c r="Q1101" s="45"/>
      <c r="R1101" s="45"/>
      <c r="S1101" s="45"/>
      <c r="T1101" s="45"/>
      <c r="U1101" s="45"/>
    </row>
    <row r="1102">
      <c r="A1102" s="79" t="s">
        <v>8126</v>
      </c>
      <c r="B1102" s="45"/>
      <c r="C1102" s="79" t="s">
        <v>8127</v>
      </c>
      <c r="D1102" s="45"/>
      <c r="E1102" s="79" t="s">
        <v>5309</v>
      </c>
      <c r="F1102" s="79" t="s">
        <v>5944</v>
      </c>
      <c r="G1102" s="45"/>
      <c r="H1102" s="80">
        <v>0.00599</v>
      </c>
      <c r="I1102" s="45"/>
      <c r="J1102" s="45"/>
      <c r="K1102" s="45"/>
      <c r="L1102" s="45"/>
      <c r="M1102" s="45"/>
      <c r="N1102" s="45"/>
      <c r="O1102" s="45"/>
      <c r="P1102" s="45"/>
      <c r="Q1102" s="45"/>
      <c r="R1102" s="45"/>
      <c r="S1102" s="45"/>
      <c r="T1102" s="45"/>
      <c r="U1102" s="45"/>
    </row>
    <row r="1103">
      <c r="A1103" s="79" t="s">
        <v>8128</v>
      </c>
      <c r="B1103" s="45"/>
      <c r="C1103" s="79" t="s">
        <v>8129</v>
      </c>
      <c r="D1103" s="45"/>
      <c r="E1103" s="79" t="s">
        <v>5283</v>
      </c>
      <c r="F1103" s="79" t="s">
        <v>5944</v>
      </c>
      <c r="G1103" s="45"/>
      <c r="H1103" s="80">
        <v>0.00597</v>
      </c>
      <c r="I1103" s="45"/>
      <c r="J1103" s="45"/>
      <c r="K1103" s="45"/>
      <c r="L1103" s="45"/>
      <c r="M1103" s="45"/>
      <c r="N1103" s="45"/>
      <c r="O1103" s="45"/>
      <c r="P1103" s="45"/>
      <c r="Q1103" s="45"/>
      <c r="R1103" s="45"/>
      <c r="S1103" s="45"/>
      <c r="T1103" s="45"/>
      <c r="U1103" s="45"/>
    </row>
    <row r="1104">
      <c r="A1104" s="79" t="s">
        <v>8130</v>
      </c>
      <c r="B1104" s="45"/>
      <c r="C1104" s="79" t="s">
        <v>8131</v>
      </c>
      <c r="D1104" s="45"/>
      <c r="E1104" s="79" t="s">
        <v>6110</v>
      </c>
      <c r="F1104" s="79" t="s">
        <v>5944</v>
      </c>
      <c r="G1104" s="45"/>
      <c r="H1104" s="80">
        <v>0.00593</v>
      </c>
      <c r="I1104" s="45"/>
      <c r="J1104" s="45"/>
      <c r="K1104" s="45"/>
      <c r="L1104" s="45"/>
      <c r="M1104" s="45"/>
      <c r="N1104" s="45"/>
      <c r="O1104" s="45"/>
      <c r="P1104" s="45"/>
      <c r="Q1104" s="45"/>
      <c r="R1104" s="45"/>
      <c r="S1104" s="45"/>
      <c r="T1104" s="45"/>
      <c r="U1104" s="45"/>
    </row>
    <row r="1105">
      <c r="A1105" s="79" t="s">
        <v>8132</v>
      </c>
      <c r="B1105" s="45"/>
      <c r="C1105" s="79" t="s">
        <v>8133</v>
      </c>
      <c r="D1105" s="45"/>
      <c r="E1105" s="79" t="s">
        <v>5218</v>
      </c>
      <c r="F1105" s="79" t="s">
        <v>5944</v>
      </c>
      <c r="G1105" s="45"/>
      <c r="H1105" s="80">
        <v>0.00588</v>
      </c>
      <c r="I1105" s="45"/>
      <c r="J1105" s="45"/>
      <c r="K1105" s="45"/>
      <c r="L1105" s="45"/>
      <c r="M1105" s="45"/>
      <c r="N1105" s="45"/>
      <c r="O1105" s="45"/>
      <c r="P1105" s="45"/>
      <c r="Q1105" s="45"/>
      <c r="R1105" s="45"/>
      <c r="S1105" s="45"/>
      <c r="T1105" s="45"/>
      <c r="U1105" s="45"/>
    </row>
    <row r="1106">
      <c r="A1106" s="79" t="s">
        <v>8134</v>
      </c>
      <c r="B1106" s="45"/>
      <c r="C1106" s="79" t="s">
        <v>8135</v>
      </c>
      <c r="D1106" s="45"/>
      <c r="E1106" s="79" t="s">
        <v>5309</v>
      </c>
      <c r="F1106" s="79" t="s">
        <v>5944</v>
      </c>
      <c r="G1106" s="45"/>
      <c r="H1106" s="80">
        <v>0.00588</v>
      </c>
      <c r="I1106" s="45"/>
      <c r="J1106" s="45"/>
      <c r="K1106" s="45"/>
      <c r="L1106" s="45"/>
      <c r="M1106" s="45"/>
      <c r="N1106" s="45"/>
      <c r="O1106" s="45"/>
      <c r="P1106" s="45"/>
      <c r="Q1106" s="45"/>
      <c r="R1106" s="45"/>
      <c r="S1106" s="45"/>
      <c r="T1106" s="45"/>
      <c r="U1106" s="45"/>
    </row>
    <row r="1107">
      <c r="A1107" s="79" t="s">
        <v>8136</v>
      </c>
      <c r="B1107" s="45"/>
      <c r="C1107" s="79" t="s">
        <v>8137</v>
      </c>
      <c r="D1107" s="45"/>
      <c r="E1107" s="79" t="s">
        <v>5691</v>
      </c>
      <c r="F1107" s="79" t="s">
        <v>5944</v>
      </c>
      <c r="G1107" s="45"/>
      <c r="H1107" s="80">
        <v>0.00587</v>
      </c>
      <c r="I1107" s="45"/>
      <c r="J1107" s="45"/>
      <c r="K1107" s="45"/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</row>
    <row r="1108">
      <c r="A1108" s="79" t="s">
        <v>8138</v>
      </c>
      <c r="B1108" s="45"/>
      <c r="C1108" s="79" t="s">
        <v>8139</v>
      </c>
      <c r="D1108" s="45"/>
      <c r="E1108" s="79" t="s">
        <v>5309</v>
      </c>
      <c r="F1108" s="79" t="s">
        <v>5944</v>
      </c>
      <c r="G1108" s="45"/>
      <c r="H1108" s="80">
        <v>0.00585</v>
      </c>
      <c r="I1108" s="45"/>
      <c r="J1108" s="45"/>
      <c r="K1108" s="45"/>
      <c r="L1108" s="45"/>
      <c r="M1108" s="45"/>
      <c r="N1108" s="45"/>
      <c r="O1108" s="45"/>
      <c r="P1108" s="45"/>
      <c r="Q1108" s="45"/>
      <c r="R1108" s="45"/>
      <c r="S1108" s="45"/>
      <c r="T1108" s="45"/>
      <c r="U1108" s="45"/>
    </row>
    <row r="1109">
      <c r="A1109" s="79" t="s">
        <v>8140</v>
      </c>
      <c r="B1109" s="45"/>
      <c r="C1109" s="79" t="s">
        <v>8141</v>
      </c>
      <c r="D1109" s="45"/>
      <c r="E1109" s="79" t="s">
        <v>5964</v>
      </c>
      <c r="F1109" s="79" t="s">
        <v>5944</v>
      </c>
      <c r="G1109" s="45"/>
      <c r="H1109" s="80">
        <v>0.00582</v>
      </c>
      <c r="I1109" s="45"/>
      <c r="J1109" s="45"/>
      <c r="K1109" s="45"/>
      <c r="L1109" s="45"/>
      <c r="M1109" s="45"/>
      <c r="N1109" s="45"/>
      <c r="O1109" s="45"/>
      <c r="P1109" s="45"/>
      <c r="Q1109" s="45"/>
      <c r="R1109" s="45"/>
      <c r="S1109" s="45"/>
      <c r="T1109" s="45"/>
      <c r="U1109" s="45"/>
    </row>
    <row r="1110">
      <c r="A1110" s="79" t="s">
        <v>8142</v>
      </c>
      <c r="B1110" s="45"/>
      <c r="C1110" s="79" t="s">
        <v>8143</v>
      </c>
      <c r="D1110" s="45"/>
      <c r="E1110" s="79" t="s">
        <v>6238</v>
      </c>
      <c r="F1110" s="79" t="s">
        <v>5944</v>
      </c>
      <c r="G1110" s="45"/>
      <c r="H1110" s="80">
        <v>0.00582</v>
      </c>
      <c r="I1110" s="45"/>
      <c r="J1110" s="45"/>
      <c r="K1110" s="45"/>
      <c r="L1110" s="45"/>
      <c r="M1110" s="45"/>
      <c r="N1110" s="45"/>
      <c r="O1110" s="45"/>
      <c r="P1110" s="45"/>
      <c r="Q1110" s="45"/>
      <c r="R1110" s="45"/>
      <c r="S1110" s="45"/>
      <c r="T1110" s="45"/>
      <c r="U1110" s="45"/>
    </row>
    <row r="1111">
      <c r="A1111" s="79" t="s">
        <v>8144</v>
      </c>
      <c r="B1111" s="45"/>
      <c r="C1111" s="79" t="s">
        <v>8145</v>
      </c>
      <c r="D1111" s="45"/>
      <c r="E1111" s="79" t="s">
        <v>6514</v>
      </c>
      <c r="F1111" s="79" t="s">
        <v>5944</v>
      </c>
      <c r="G1111" s="45"/>
      <c r="H1111" s="80">
        <v>0.00571</v>
      </c>
      <c r="I1111" s="45"/>
      <c r="J1111" s="45"/>
      <c r="K1111" s="45"/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</row>
    <row r="1112">
      <c r="A1112" s="79" t="s">
        <v>8146</v>
      </c>
      <c r="B1112" s="45"/>
      <c r="C1112" s="79" t="s">
        <v>8147</v>
      </c>
      <c r="D1112" s="45"/>
      <c r="E1112" s="79" t="s">
        <v>5691</v>
      </c>
      <c r="F1112" s="79" t="s">
        <v>5944</v>
      </c>
      <c r="G1112" s="45"/>
      <c r="H1112" s="80">
        <v>0.00564</v>
      </c>
      <c r="I1112" s="45"/>
      <c r="J1112" s="45"/>
      <c r="K1112" s="45"/>
      <c r="L1112" s="45"/>
      <c r="M1112" s="45"/>
      <c r="N1112" s="45"/>
      <c r="O1112" s="45"/>
      <c r="P1112" s="45"/>
      <c r="Q1112" s="45"/>
      <c r="R1112" s="45"/>
      <c r="S1112" s="45"/>
      <c r="T1112" s="45"/>
      <c r="U1112" s="45"/>
    </row>
    <row r="1113">
      <c r="A1113" s="79" t="s">
        <v>8148</v>
      </c>
      <c r="B1113" s="45"/>
      <c r="C1113" s="79" t="s">
        <v>8149</v>
      </c>
      <c r="D1113" s="45"/>
      <c r="E1113" s="79" t="s">
        <v>5961</v>
      </c>
      <c r="F1113" s="79" t="s">
        <v>5944</v>
      </c>
      <c r="G1113" s="45"/>
      <c r="H1113" s="80">
        <v>0.00563</v>
      </c>
      <c r="I1113" s="45"/>
      <c r="J1113" s="45"/>
      <c r="K1113" s="45"/>
      <c r="L1113" s="45"/>
      <c r="M1113" s="45"/>
      <c r="N1113" s="45"/>
      <c r="O1113" s="45"/>
      <c r="P1113" s="45"/>
      <c r="Q1113" s="45"/>
      <c r="R1113" s="45"/>
      <c r="S1113" s="45"/>
      <c r="T1113" s="45"/>
      <c r="U1113" s="45"/>
    </row>
    <row r="1114">
      <c r="A1114" s="79" t="s">
        <v>8150</v>
      </c>
      <c r="B1114" s="45"/>
      <c r="C1114" s="79" t="s">
        <v>8151</v>
      </c>
      <c r="D1114" s="45"/>
      <c r="E1114" s="79" t="s">
        <v>5961</v>
      </c>
      <c r="F1114" s="79" t="s">
        <v>5944</v>
      </c>
      <c r="G1114" s="45"/>
      <c r="H1114" s="80">
        <v>0.00561</v>
      </c>
      <c r="I1114" s="45"/>
      <c r="J1114" s="45"/>
      <c r="K1114" s="45"/>
      <c r="L1114" s="45"/>
      <c r="M1114" s="45"/>
      <c r="N1114" s="45"/>
      <c r="O1114" s="45"/>
      <c r="P1114" s="45"/>
      <c r="Q1114" s="45"/>
      <c r="R1114" s="45"/>
      <c r="S1114" s="45"/>
      <c r="T1114" s="45"/>
      <c r="U1114" s="45"/>
    </row>
    <row r="1115">
      <c r="A1115" s="79" t="s">
        <v>8152</v>
      </c>
      <c r="B1115" s="45"/>
      <c r="C1115" s="79" t="s">
        <v>8153</v>
      </c>
      <c r="D1115" s="45"/>
      <c r="E1115" s="79" t="s">
        <v>8154</v>
      </c>
      <c r="F1115" s="79" t="s">
        <v>5944</v>
      </c>
      <c r="G1115" s="45"/>
      <c r="H1115" s="80">
        <v>0.0056</v>
      </c>
      <c r="I1115" s="45"/>
      <c r="J1115" s="45"/>
      <c r="K1115" s="45"/>
      <c r="L1115" s="45"/>
      <c r="M1115" s="45"/>
      <c r="N1115" s="45"/>
      <c r="O1115" s="45"/>
      <c r="P1115" s="45"/>
      <c r="Q1115" s="45"/>
      <c r="R1115" s="45"/>
      <c r="S1115" s="45"/>
      <c r="T1115" s="45"/>
      <c r="U1115" s="45"/>
    </row>
    <row r="1116">
      <c r="A1116" s="79" t="s">
        <v>8155</v>
      </c>
      <c r="B1116" s="45"/>
      <c r="C1116" s="79" t="s">
        <v>8156</v>
      </c>
      <c r="D1116" s="45"/>
      <c r="E1116" s="79" t="s">
        <v>5267</v>
      </c>
      <c r="F1116" s="79" t="s">
        <v>5944</v>
      </c>
      <c r="G1116" s="45"/>
      <c r="H1116" s="80">
        <v>0.00559</v>
      </c>
      <c r="I1116" s="45"/>
      <c r="J1116" s="45"/>
      <c r="K1116" s="45"/>
      <c r="L1116" s="45"/>
      <c r="M1116" s="45"/>
      <c r="N1116" s="45"/>
      <c r="O1116" s="45"/>
      <c r="P1116" s="45"/>
      <c r="Q1116" s="45"/>
      <c r="R1116" s="45"/>
      <c r="S1116" s="45"/>
      <c r="T1116" s="45"/>
      <c r="U1116" s="45"/>
    </row>
    <row r="1117">
      <c r="A1117" s="79" t="s">
        <v>8157</v>
      </c>
      <c r="B1117" s="45"/>
      <c r="C1117" s="79" t="s">
        <v>8158</v>
      </c>
      <c r="D1117" s="45"/>
      <c r="E1117" s="79" t="s">
        <v>6115</v>
      </c>
      <c r="F1117" s="79" t="s">
        <v>5944</v>
      </c>
      <c r="G1117" s="45"/>
      <c r="H1117" s="80">
        <v>0.00557</v>
      </c>
      <c r="I1117" s="45"/>
      <c r="J1117" s="45"/>
      <c r="K1117" s="45"/>
      <c r="L1117" s="45"/>
      <c r="M1117" s="45"/>
      <c r="N1117" s="45"/>
      <c r="O1117" s="45"/>
      <c r="P1117" s="45"/>
      <c r="Q1117" s="45"/>
      <c r="R1117" s="45"/>
      <c r="S1117" s="45"/>
      <c r="T1117" s="45"/>
      <c r="U1117" s="45"/>
    </row>
    <row r="1118">
      <c r="A1118" s="79" t="s">
        <v>8159</v>
      </c>
      <c r="B1118" s="45"/>
      <c r="C1118" s="79" t="s">
        <v>8160</v>
      </c>
      <c r="D1118" s="45"/>
      <c r="E1118" s="79" t="s">
        <v>6427</v>
      </c>
      <c r="F1118" s="79" t="s">
        <v>5944</v>
      </c>
      <c r="G1118" s="45"/>
      <c r="H1118" s="80">
        <v>0.00557</v>
      </c>
      <c r="I1118" s="45"/>
      <c r="J1118" s="45"/>
      <c r="K1118" s="45"/>
      <c r="L1118" s="45"/>
      <c r="M1118" s="45"/>
      <c r="N1118" s="45"/>
      <c r="O1118" s="45"/>
      <c r="P1118" s="45"/>
      <c r="Q1118" s="45"/>
      <c r="R1118" s="45"/>
      <c r="S1118" s="45"/>
      <c r="T1118" s="45"/>
      <c r="U1118" s="45"/>
    </row>
    <row r="1119">
      <c r="A1119" s="79" t="s">
        <v>8161</v>
      </c>
      <c r="B1119" s="45"/>
      <c r="C1119" s="79" t="s">
        <v>8162</v>
      </c>
      <c r="D1119" s="45"/>
      <c r="E1119" s="79" t="s">
        <v>6868</v>
      </c>
      <c r="F1119" s="79" t="s">
        <v>5944</v>
      </c>
      <c r="G1119" s="45"/>
      <c r="H1119" s="80">
        <v>0.00556</v>
      </c>
      <c r="I1119" s="45"/>
      <c r="J1119" s="45"/>
      <c r="K1119" s="45"/>
      <c r="L1119" s="45"/>
      <c r="M1119" s="45"/>
      <c r="N1119" s="45"/>
      <c r="O1119" s="45"/>
      <c r="P1119" s="45"/>
      <c r="Q1119" s="45"/>
      <c r="R1119" s="45"/>
      <c r="S1119" s="45"/>
      <c r="T1119" s="45"/>
      <c r="U1119" s="45"/>
    </row>
    <row r="1120">
      <c r="A1120" s="79" t="s">
        <v>8163</v>
      </c>
      <c r="B1120" s="45"/>
      <c r="C1120" s="79" t="s">
        <v>7935</v>
      </c>
      <c r="D1120" s="45"/>
      <c r="E1120" s="79" t="s">
        <v>5775</v>
      </c>
      <c r="F1120" s="79" t="s">
        <v>5944</v>
      </c>
      <c r="G1120" s="45"/>
      <c r="H1120" s="80">
        <v>0.00551</v>
      </c>
      <c r="I1120" s="45"/>
      <c r="J1120" s="45"/>
      <c r="K1120" s="45"/>
      <c r="L1120" s="45"/>
      <c r="M1120" s="45"/>
      <c r="N1120" s="45"/>
      <c r="O1120" s="45"/>
      <c r="P1120" s="45"/>
      <c r="Q1120" s="45"/>
      <c r="R1120" s="45"/>
      <c r="S1120" s="45"/>
      <c r="T1120" s="45"/>
      <c r="U1120" s="45"/>
    </row>
    <row r="1121">
      <c r="A1121" s="79" t="s">
        <v>8164</v>
      </c>
      <c r="B1121" s="45"/>
      <c r="C1121" s="79" t="s">
        <v>7416</v>
      </c>
      <c r="D1121" s="45"/>
      <c r="E1121" s="79" t="s">
        <v>5978</v>
      </c>
      <c r="F1121" s="79" t="s">
        <v>5944</v>
      </c>
      <c r="G1121" s="45"/>
      <c r="H1121" s="80">
        <v>0.00549</v>
      </c>
      <c r="I1121" s="45"/>
      <c r="J1121" s="45"/>
      <c r="K1121" s="45"/>
      <c r="L1121" s="45"/>
      <c r="M1121" s="45"/>
      <c r="N1121" s="45"/>
      <c r="O1121" s="45"/>
      <c r="P1121" s="45"/>
      <c r="Q1121" s="45"/>
      <c r="R1121" s="45"/>
      <c r="S1121" s="45"/>
      <c r="T1121" s="45"/>
      <c r="U1121" s="45"/>
    </row>
    <row r="1122">
      <c r="A1122" s="79" t="s">
        <v>8165</v>
      </c>
      <c r="B1122" s="45"/>
      <c r="C1122" s="79" t="s">
        <v>8166</v>
      </c>
      <c r="D1122" s="45"/>
      <c r="E1122" s="79" t="s">
        <v>5501</v>
      </c>
      <c r="F1122" s="79" t="s">
        <v>5944</v>
      </c>
      <c r="G1122" s="45"/>
      <c r="H1122" s="80">
        <v>0.00547</v>
      </c>
      <c r="I1122" s="45"/>
      <c r="J1122" s="45"/>
      <c r="K1122" s="45"/>
      <c r="L1122" s="45"/>
      <c r="M1122" s="45"/>
      <c r="N1122" s="45"/>
      <c r="O1122" s="45"/>
      <c r="P1122" s="45"/>
      <c r="Q1122" s="45"/>
      <c r="R1122" s="45"/>
      <c r="S1122" s="45"/>
      <c r="T1122" s="45"/>
      <c r="U1122" s="45"/>
    </row>
    <row r="1123">
      <c r="A1123" s="79" t="s">
        <v>8167</v>
      </c>
      <c r="B1123" s="45"/>
      <c r="C1123" s="79" t="s">
        <v>8168</v>
      </c>
      <c r="D1123" s="45"/>
      <c r="E1123" s="79" t="s">
        <v>5742</v>
      </c>
      <c r="F1123" s="79" t="s">
        <v>5944</v>
      </c>
      <c r="G1123" s="45"/>
      <c r="H1123" s="80">
        <v>0.00547</v>
      </c>
      <c r="I1123" s="45"/>
      <c r="J1123" s="45"/>
      <c r="K1123" s="45"/>
      <c r="L1123" s="45"/>
      <c r="M1123" s="45"/>
      <c r="N1123" s="45"/>
      <c r="O1123" s="45"/>
      <c r="P1123" s="45"/>
      <c r="Q1123" s="45"/>
      <c r="R1123" s="45"/>
      <c r="S1123" s="45"/>
      <c r="T1123" s="45"/>
      <c r="U1123" s="45"/>
    </row>
    <row r="1124">
      <c r="A1124" s="79" t="s">
        <v>8169</v>
      </c>
      <c r="B1124" s="45"/>
      <c r="C1124" s="79" t="s">
        <v>8170</v>
      </c>
      <c r="D1124" s="45"/>
      <c r="E1124" s="79" t="s">
        <v>5650</v>
      </c>
      <c r="F1124" s="79" t="s">
        <v>5927</v>
      </c>
      <c r="G1124" s="45"/>
      <c r="H1124" s="80">
        <v>0.00545</v>
      </c>
      <c r="I1124" s="45"/>
      <c r="J1124" s="45"/>
      <c r="K1124" s="45"/>
      <c r="L1124" s="45"/>
      <c r="M1124" s="45"/>
      <c r="N1124" s="45"/>
      <c r="O1124" s="45"/>
      <c r="P1124" s="45"/>
      <c r="Q1124" s="45"/>
      <c r="R1124" s="45"/>
      <c r="S1124" s="45"/>
      <c r="T1124" s="45"/>
      <c r="U1124" s="45"/>
    </row>
    <row r="1125">
      <c r="A1125" s="79" t="s">
        <v>8171</v>
      </c>
      <c r="B1125" s="45"/>
      <c r="C1125" s="79" t="s">
        <v>8172</v>
      </c>
      <c r="D1125" s="45"/>
      <c r="E1125" s="79" t="s">
        <v>5650</v>
      </c>
      <c r="F1125" s="79" t="s">
        <v>5944</v>
      </c>
      <c r="G1125" s="45"/>
      <c r="H1125" s="80">
        <v>0.00542</v>
      </c>
      <c r="I1125" s="45"/>
      <c r="J1125" s="45"/>
      <c r="K1125" s="45"/>
      <c r="L1125" s="45"/>
      <c r="M1125" s="45"/>
      <c r="N1125" s="45"/>
      <c r="O1125" s="45"/>
      <c r="P1125" s="45"/>
      <c r="Q1125" s="45"/>
      <c r="R1125" s="45"/>
      <c r="S1125" s="45"/>
      <c r="T1125" s="45"/>
      <c r="U1125" s="45"/>
    </row>
    <row r="1126">
      <c r="A1126" s="79" t="s">
        <v>8173</v>
      </c>
      <c r="B1126" s="45"/>
      <c r="C1126" s="79" t="s">
        <v>8174</v>
      </c>
      <c r="D1126" s="45"/>
      <c r="E1126" s="79" t="s">
        <v>5296</v>
      </c>
      <c r="F1126" s="79" t="s">
        <v>5944</v>
      </c>
      <c r="G1126" s="45"/>
      <c r="H1126" s="80">
        <v>0.00538</v>
      </c>
      <c r="I1126" s="45"/>
      <c r="J1126" s="45"/>
      <c r="K1126" s="45"/>
      <c r="L1126" s="45"/>
      <c r="M1126" s="45"/>
      <c r="N1126" s="45"/>
      <c r="O1126" s="45"/>
      <c r="P1126" s="45"/>
      <c r="Q1126" s="45"/>
      <c r="R1126" s="45"/>
      <c r="S1126" s="45"/>
      <c r="T1126" s="45"/>
      <c r="U1126" s="45"/>
    </row>
    <row r="1127">
      <c r="A1127" s="79" t="s">
        <v>8175</v>
      </c>
      <c r="B1127" s="45"/>
      <c r="C1127" s="79" t="s">
        <v>8176</v>
      </c>
      <c r="D1127" s="45"/>
      <c r="E1127" s="79" t="s">
        <v>5501</v>
      </c>
      <c r="F1127" s="79" t="s">
        <v>5944</v>
      </c>
      <c r="G1127" s="45"/>
      <c r="H1127" s="80">
        <v>0.00538</v>
      </c>
      <c r="I1127" s="45"/>
      <c r="J1127" s="45"/>
      <c r="K1127" s="45"/>
      <c r="L1127" s="45"/>
      <c r="M1127" s="45"/>
      <c r="N1127" s="45"/>
      <c r="O1127" s="45"/>
      <c r="P1127" s="45"/>
      <c r="Q1127" s="45"/>
      <c r="R1127" s="45"/>
      <c r="S1127" s="45"/>
      <c r="T1127" s="45"/>
      <c r="U1127" s="45"/>
    </row>
    <row r="1128">
      <c r="A1128" s="79" t="s">
        <v>8177</v>
      </c>
      <c r="B1128" s="45"/>
      <c r="C1128" s="79" t="s">
        <v>8178</v>
      </c>
      <c r="D1128" s="45"/>
      <c r="E1128" s="79" t="s">
        <v>5650</v>
      </c>
      <c r="F1128" s="79" t="s">
        <v>5944</v>
      </c>
      <c r="G1128" s="45"/>
      <c r="H1128" s="80">
        <v>0.00537</v>
      </c>
      <c r="I1128" s="45"/>
      <c r="J1128" s="45"/>
      <c r="K1128" s="45"/>
      <c r="L1128" s="45"/>
      <c r="M1128" s="45"/>
      <c r="N1128" s="45"/>
      <c r="O1128" s="45"/>
      <c r="P1128" s="45"/>
      <c r="Q1128" s="45"/>
      <c r="R1128" s="45"/>
      <c r="S1128" s="45"/>
      <c r="T1128" s="45"/>
      <c r="U1128" s="45"/>
    </row>
    <row r="1129">
      <c r="A1129" s="79" t="s">
        <v>8179</v>
      </c>
      <c r="B1129" s="45"/>
      <c r="C1129" s="79" t="s">
        <v>8180</v>
      </c>
      <c r="D1129" s="45"/>
      <c r="E1129" s="79" t="s">
        <v>5501</v>
      </c>
      <c r="F1129" s="79" t="s">
        <v>5944</v>
      </c>
      <c r="G1129" s="45"/>
      <c r="H1129" s="80">
        <v>0.00534</v>
      </c>
      <c r="I1129" s="45"/>
      <c r="J1129" s="45"/>
      <c r="K1129" s="45"/>
      <c r="L1129" s="45"/>
      <c r="M1129" s="45"/>
      <c r="N1129" s="45"/>
      <c r="O1129" s="45"/>
      <c r="P1129" s="45"/>
      <c r="Q1129" s="45"/>
      <c r="R1129" s="45"/>
      <c r="S1129" s="45"/>
      <c r="T1129" s="45"/>
      <c r="U1129" s="45"/>
    </row>
    <row r="1130">
      <c r="A1130" s="79" t="s">
        <v>8181</v>
      </c>
      <c r="B1130" s="45"/>
      <c r="C1130" s="79" t="s">
        <v>8182</v>
      </c>
      <c r="D1130" s="45"/>
      <c r="E1130" s="79" t="s">
        <v>6191</v>
      </c>
      <c r="F1130" s="79" t="s">
        <v>5944</v>
      </c>
      <c r="G1130" s="45"/>
      <c r="H1130" s="80">
        <v>0.00533</v>
      </c>
      <c r="I1130" s="45"/>
      <c r="J1130" s="45"/>
      <c r="K1130" s="45"/>
      <c r="L1130" s="45"/>
      <c r="M1130" s="45"/>
      <c r="N1130" s="45"/>
      <c r="O1130" s="45"/>
      <c r="P1130" s="45"/>
      <c r="Q1130" s="45"/>
      <c r="R1130" s="45"/>
      <c r="S1130" s="45"/>
      <c r="T1130" s="45"/>
      <c r="U1130" s="45"/>
    </row>
    <row r="1131">
      <c r="A1131" s="79" t="s">
        <v>8183</v>
      </c>
      <c r="B1131" s="45"/>
      <c r="C1131" s="79" t="s">
        <v>8184</v>
      </c>
      <c r="D1131" s="45"/>
      <c r="E1131" s="79" t="s">
        <v>5366</v>
      </c>
      <c r="F1131" s="79" t="s">
        <v>5944</v>
      </c>
      <c r="G1131" s="45"/>
      <c r="H1131" s="80">
        <v>0.00532</v>
      </c>
      <c r="I1131" s="45"/>
      <c r="J1131" s="45"/>
      <c r="K1131" s="45"/>
      <c r="L1131" s="45"/>
      <c r="M1131" s="45"/>
      <c r="N1131" s="45"/>
      <c r="O1131" s="45"/>
      <c r="P1131" s="45"/>
      <c r="Q1131" s="45"/>
      <c r="R1131" s="45"/>
      <c r="S1131" s="45"/>
      <c r="T1131" s="45"/>
      <c r="U1131" s="45"/>
    </row>
    <row r="1132">
      <c r="A1132" s="79" t="s">
        <v>8185</v>
      </c>
      <c r="B1132" s="45"/>
      <c r="C1132" s="79" t="s">
        <v>8186</v>
      </c>
      <c r="D1132" s="45"/>
      <c r="E1132" s="79" t="s">
        <v>5855</v>
      </c>
      <c r="F1132" s="79" t="s">
        <v>5944</v>
      </c>
      <c r="G1132" s="45"/>
      <c r="H1132" s="80">
        <v>0.00532</v>
      </c>
      <c r="I1132" s="45"/>
      <c r="J1132" s="45"/>
      <c r="K1132" s="45"/>
      <c r="L1132" s="45"/>
      <c r="M1132" s="45"/>
      <c r="N1132" s="45"/>
      <c r="O1132" s="45"/>
      <c r="P1132" s="45"/>
      <c r="Q1132" s="45"/>
      <c r="R1132" s="45"/>
      <c r="S1132" s="45"/>
      <c r="T1132" s="45"/>
      <c r="U1132" s="45"/>
    </row>
    <row r="1133">
      <c r="A1133" s="79" t="s">
        <v>8187</v>
      </c>
      <c r="B1133" s="45"/>
      <c r="C1133" s="79" t="s">
        <v>8188</v>
      </c>
      <c r="D1133" s="45"/>
      <c r="E1133" s="79" t="s">
        <v>5961</v>
      </c>
      <c r="F1133" s="79" t="s">
        <v>5944</v>
      </c>
      <c r="G1133" s="45"/>
      <c r="H1133" s="80">
        <v>0.0053</v>
      </c>
      <c r="I1133" s="45"/>
      <c r="J1133" s="45"/>
      <c r="K1133" s="45"/>
      <c r="L1133" s="45"/>
      <c r="M1133" s="45"/>
      <c r="N1133" s="45"/>
      <c r="O1133" s="45"/>
      <c r="P1133" s="45"/>
      <c r="Q1133" s="45"/>
      <c r="R1133" s="45"/>
      <c r="S1133" s="45"/>
      <c r="T1133" s="45"/>
      <c r="U1133" s="45"/>
    </row>
    <row r="1134">
      <c r="A1134" s="79" t="s">
        <v>8189</v>
      </c>
      <c r="B1134" s="45"/>
      <c r="C1134" s="79" t="s">
        <v>8190</v>
      </c>
      <c r="D1134" s="45"/>
      <c r="E1134" s="79" t="s">
        <v>5422</v>
      </c>
      <c r="F1134" s="79" t="s">
        <v>5944</v>
      </c>
      <c r="G1134" s="45"/>
      <c r="H1134" s="80">
        <v>0.0053</v>
      </c>
      <c r="I1134" s="45"/>
      <c r="J1134" s="45"/>
      <c r="K1134" s="45"/>
      <c r="L1134" s="45"/>
      <c r="M1134" s="45"/>
      <c r="N1134" s="45"/>
      <c r="O1134" s="45"/>
      <c r="P1134" s="45"/>
      <c r="Q1134" s="45"/>
      <c r="R1134" s="45"/>
      <c r="S1134" s="45"/>
      <c r="T1134" s="45"/>
      <c r="U1134" s="45"/>
    </row>
    <row r="1135">
      <c r="A1135" s="79" t="s">
        <v>8191</v>
      </c>
      <c r="B1135" s="45"/>
      <c r="C1135" s="79" t="s">
        <v>8192</v>
      </c>
      <c r="D1135" s="45"/>
      <c r="E1135" s="79" t="s">
        <v>5516</v>
      </c>
      <c r="F1135" s="79" t="s">
        <v>5944</v>
      </c>
      <c r="G1135" s="45"/>
      <c r="H1135" s="80">
        <v>0.00529</v>
      </c>
      <c r="I1135" s="45"/>
      <c r="J1135" s="45"/>
      <c r="K1135" s="45"/>
      <c r="L1135" s="45"/>
      <c r="M1135" s="45"/>
      <c r="N1135" s="45"/>
      <c r="O1135" s="45"/>
      <c r="P1135" s="45"/>
      <c r="Q1135" s="45"/>
      <c r="R1135" s="45"/>
      <c r="S1135" s="45"/>
      <c r="T1135" s="45"/>
      <c r="U1135" s="45"/>
    </row>
    <row r="1136">
      <c r="A1136" s="79" t="s">
        <v>8193</v>
      </c>
      <c r="B1136" s="45"/>
      <c r="C1136" s="79" t="s">
        <v>8194</v>
      </c>
      <c r="D1136" s="45"/>
      <c r="E1136" s="79" t="s">
        <v>5650</v>
      </c>
      <c r="F1136" s="79" t="s">
        <v>5944</v>
      </c>
      <c r="G1136" s="45"/>
      <c r="H1136" s="80">
        <v>0.00527</v>
      </c>
      <c r="I1136" s="45"/>
      <c r="J1136" s="45"/>
      <c r="K1136" s="45"/>
      <c r="L1136" s="45"/>
      <c r="M1136" s="45"/>
      <c r="N1136" s="45"/>
      <c r="O1136" s="45"/>
      <c r="P1136" s="45"/>
      <c r="Q1136" s="45"/>
      <c r="R1136" s="45"/>
      <c r="S1136" s="45"/>
      <c r="T1136" s="45"/>
      <c r="U1136" s="45"/>
    </row>
    <row r="1137">
      <c r="A1137" s="79" t="s">
        <v>8195</v>
      </c>
      <c r="B1137" s="45"/>
      <c r="C1137" s="79" t="s">
        <v>8196</v>
      </c>
      <c r="D1137" s="45"/>
      <c r="E1137" s="79" t="s">
        <v>5309</v>
      </c>
      <c r="F1137" s="79" t="s">
        <v>5944</v>
      </c>
      <c r="G1137" s="45"/>
      <c r="H1137" s="80">
        <v>0.00527</v>
      </c>
      <c r="I1137" s="45"/>
      <c r="J1137" s="45"/>
      <c r="K1137" s="45"/>
      <c r="L1137" s="45"/>
      <c r="M1137" s="45"/>
      <c r="N1137" s="45"/>
      <c r="O1137" s="45"/>
      <c r="P1137" s="45"/>
      <c r="Q1137" s="45"/>
      <c r="R1137" s="45"/>
      <c r="S1137" s="45"/>
      <c r="T1137" s="45"/>
      <c r="U1137" s="45"/>
    </row>
    <row r="1138">
      <c r="A1138" s="79" t="s">
        <v>8197</v>
      </c>
      <c r="B1138" s="45"/>
      <c r="C1138" s="79" t="s">
        <v>7380</v>
      </c>
      <c r="D1138" s="45"/>
      <c r="E1138" s="79" t="s">
        <v>5326</v>
      </c>
      <c r="F1138" s="79" t="s">
        <v>5927</v>
      </c>
      <c r="G1138" s="45"/>
      <c r="H1138" s="80">
        <v>0.00524</v>
      </c>
      <c r="I1138" s="45"/>
      <c r="J1138" s="45"/>
      <c r="K1138" s="45"/>
      <c r="L1138" s="45"/>
      <c r="M1138" s="45"/>
      <c r="N1138" s="45"/>
      <c r="O1138" s="45"/>
      <c r="P1138" s="45"/>
      <c r="Q1138" s="45"/>
      <c r="R1138" s="45"/>
      <c r="S1138" s="45"/>
      <c r="T1138" s="45"/>
      <c r="U1138" s="45"/>
    </row>
    <row r="1139">
      <c r="A1139" s="79" t="s">
        <v>8198</v>
      </c>
      <c r="B1139" s="45"/>
      <c r="C1139" s="79" t="s">
        <v>8199</v>
      </c>
      <c r="D1139" s="45"/>
      <c r="E1139" s="79" t="s">
        <v>7236</v>
      </c>
      <c r="F1139" s="79" t="s">
        <v>5944</v>
      </c>
      <c r="G1139" s="45"/>
      <c r="H1139" s="80">
        <v>0.00524</v>
      </c>
      <c r="I1139" s="45"/>
      <c r="J1139" s="45"/>
      <c r="K1139" s="45"/>
      <c r="L1139" s="45"/>
      <c r="M1139" s="45"/>
      <c r="N1139" s="45"/>
      <c r="O1139" s="45"/>
      <c r="P1139" s="45"/>
      <c r="Q1139" s="45"/>
      <c r="R1139" s="45"/>
      <c r="S1139" s="45"/>
      <c r="T1139" s="45"/>
      <c r="U1139" s="45"/>
    </row>
    <row r="1140">
      <c r="A1140" s="79" t="s">
        <v>8200</v>
      </c>
      <c r="B1140" s="45"/>
      <c r="C1140" s="79" t="s">
        <v>8201</v>
      </c>
      <c r="D1140" s="45"/>
      <c r="E1140" s="79" t="s">
        <v>5775</v>
      </c>
      <c r="F1140" s="79" t="s">
        <v>5944</v>
      </c>
      <c r="G1140" s="45"/>
      <c r="H1140" s="80">
        <v>0.00523</v>
      </c>
      <c r="I1140" s="45"/>
      <c r="J1140" s="45"/>
      <c r="K1140" s="45"/>
      <c r="L1140" s="45"/>
      <c r="M1140" s="45"/>
      <c r="N1140" s="45"/>
      <c r="O1140" s="45"/>
      <c r="P1140" s="45"/>
      <c r="Q1140" s="45"/>
      <c r="R1140" s="45"/>
      <c r="S1140" s="45"/>
      <c r="T1140" s="45"/>
      <c r="U1140" s="45"/>
    </row>
    <row r="1141">
      <c r="A1141" s="79" t="s">
        <v>8202</v>
      </c>
      <c r="B1141" s="45"/>
      <c r="C1141" s="79" t="s">
        <v>8203</v>
      </c>
      <c r="D1141" s="45"/>
      <c r="E1141" s="79" t="s">
        <v>5354</v>
      </c>
      <c r="F1141" s="79" t="s">
        <v>5944</v>
      </c>
      <c r="G1141" s="45"/>
      <c r="H1141" s="80">
        <v>0.00522</v>
      </c>
      <c r="I1141" s="45"/>
      <c r="J1141" s="45"/>
      <c r="K1141" s="45"/>
      <c r="L1141" s="45"/>
      <c r="M1141" s="45"/>
      <c r="N1141" s="45"/>
      <c r="O1141" s="45"/>
      <c r="P1141" s="45"/>
      <c r="Q1141" s="45"/>
      <c r="R1141" s="45"/>
      <c r="S1141" s="45"/>
      <c r="T1141" s="45"/>
      <c r="U1141" s="45"/>
    </row>
    <row r="1142">
      <c r="A1142" s="79" t="s">
        <v>8204</v>
      </c>
      <c r="B1142" s="45"/>
      <c r="C1142" s="79" t="s">
        <v>8205</v>
      </c>
      <c r="D1142" s="45"/>
      <c r="E1142" s="79" t="s">
        <v>5232</v>
      </c>
      <c r="F1142" s="79" t="s">
        <v>5944</v>
      </c>
      <c r="G1142" s="45"/>
      <c r="H1142" s="80">
        <v>0.00521</v>
      </c>
      <c r="I1142" s="45"/>
      <c r="J1142" s="45"/>
      <c r="K1142" s="45"/>
      <c r="L1142" s="45"/>
      <c r="M1142" s="45"/>
      <c r="N1142" s="45"/>
      <c r="O1142" s="45"/>
      <c r="P1142" s="45"/>
      <c r="Q1142" s="45"/>
      <c r="R1142" s="45"/>
      <c r="S1142" s="45"/>
      <c r="T1142" s="45"/>
      <c r="U1142" s="45"/>
    </row>
    <row r="1143">
      <c r="A1143" s="79" t="s">
        <v>8206</v>
      </c>
      <c r="B1143" s="45"/>
      <c r="C1143" s="79" t="s">
        <v>8207</v>
      </c>
      <c r="D1143" s="45"/>
      <c r="E1143" s="79" t="s">
        <v>5964</v>
      </c>
      <c r="F1143" s="79" t="s">
        <v>5944</v>
      </c>
      <c r="G1143" s="45"/>
      <c r="H1143" s="80">
        <v>0.00521</v>
      </c>
      <c r="I1143" s="45"/>
      <c r="J1143" s="45"/>
      <c r="K1143" s="45"/>
      <c r="L1143" s="45"/>
      <c r="M1143" s="45"/>
      <c r="N1143" s="45"/>
      <c r="O1143" s="45"/>
      <c r="P1143" s="45"/>
      <c r="Q1143" s="45"/>
      <c r="R1143" s="45"/>
      <c r="S1143" s="45"/>
      <c r="T1143" s="45"/>
      <c r="U1143" s="45"/>
    </row>
    <row r="1144">
      <c r="A1144" s="79" t="s">
        <v>8208</v>
      </c>
      <c r="B1144" s="45"/>
      <c r="C1144" s="79" t="s">
        <v>8209</v>
      </c>
      <c r="D1144" s="45"/>
      <c r="E1144" s="79" t="s">
        <v>5351</v>
      </c>
      <c r="F1144" s="79" t="s">
        <v>5944</v>
      </c>
      <c r="G1144" s="45"/>
      <c r="H1144" s="80">
        <v>0.0052</v>
      </c>
      <c r="I1144" s="45"/>
      <c r="J1144" s="45"/>
      <c r="K1144" s="45"/>
      <c r="L1144" s="45"/>
      <c r="M1144" s="45"/>
      <c r="N1144" s="45"/>
      <c r="O1144" s="45"/>
      <c r="P1144" s="45"/>
      <c r="Q1144" s="45"/>
      <c r="R1144" s="45"/>
      <c r="S1144" s="45"/>
      <c r="T1144" s="45"/>
      <c r="U1144" s="45"/>
    </row>
    <row r="1145">
      <c r="A1145" s="79" t="s">
        <v>8210</v>
      </c>
      <c r="B1145" s="45"/>
      <c r="C1145" s="79" t="s">
        <v>8211</v>
      </c>
      <c r="D1145" s="45"/>
      <c r="E1145" s="79" t="s">
        <v>6191</v>
      </c>
      <c r="F1145" s="79" t="s">
        <v>5944</v>
      </c>
      <c r="G1145" s="45"/>
      <c r="H1145" s="80">
        <v>0.00516</v>
      </c>
      <c r="I1145" s="45"/>
      <c r="J1145" s="45"/>
      <c r="K1145" s="45"/>
      <c r="L1145" s="45"/>
      <c r="M1145" s="45"/>
      <c r="N1145" s="45"/>
      <c r="O1145" s="45"/>
      <c r="P1145" s="45"/>
      <c r="Q1145" s="45"/>
      <c r="R1145" s="45"/>
      <c r="S1145" s="45"/>
      <c r="T1145" s="45"/>
      <c r="U1145" s="45"/>
    </row>
    <row r="1146">
      <c r="A1146" s="79" t="s">
        <v>8212</v>
      </c>
      <c r="B1146" s="45"/>
      <c r="C1146" s="79" t="s">
        <v>8213</v>
      </c>
      <c r="D1146" s="45"/>
      <c r="E1146" s="79" t="s">
        <v>6514</v>
      </c>
      <c r="F1146" s="79" t="s">
        <v>5944</v>
      </c>
      <c r="G1146" s="45"/>
      <c r="H1146" s="80">
        <v>0.00515</v>
      </c>
      <c r="I1146" s="45"/>
      <c r="J1146" s="45"/>
      <c r="K1146" s="45"/>
      <c r="L1146" s="45"/>
      <c r="M1146" s="45"/>
      <c r="N1146" s="45"/>
      <c r="O1146" s="45"/>
      <c r="P1146" s="45"/>
      <c r="Q1146" s="45"/>
      <c r="R1146" s="45"/>
      <c r="S1146" s="45"/>
      <c r="T1146" s="45"/>
      <c r="U1146" s="45"/>
    </row>
    <row r="1147">
      <c r="A1147" s="79" t="s">
        <v>8214</v>
      </c>
      <c r="B1147" s="45"/>
      <c r="C1147" s="79" t="s">
        <v>8215</v>
      </c>
      <c r="D1147" s="45"/>
      <c r="E1147" s="79" t="s">
        <v>5467</v>
      </c>
      <c r="F1147" s="79" t="s">
        <v>5944</v>
      </c>
      <c r="G1147" s="45"/>
      <c r="H1147" s="80">
        <v>0.00514</v>
      </c>
      <c r="I1147" s="45"/>
      <c r="J1147" s="45"/>
      <c r="K1147" s="45"/>
      <c r="L1147" s="45"/>
      <c r="M1147" s="45"/>
      <c r="N1147" s="45"/>
      <c r="O1147" s="45"/>
      <c r="P1147" s="45"/>
      <c r="Q1147" s="45"/>
      <c r="R1147" s="45"/>
      <c r="S1147" s="45"/>
      <c r="T1147" s="45"/>
      <c r="U1147" s="45"/>
    </row>
    <row r="1148">
      <c r="A1148" s="79" t="s">
        <v>8216</v>
      </c>
      <c r="B1148" s="45"/>
      <c r="C1148" s="79" t="s">
        <v>8217</v>
      </c>
      <c r="D1148" s="45"/>
      <c r="E1148" s="79" t="s">
        <v>5961</v>
      </c>
      <c r="F1148" s="79" t="s">
        <v>5944</v>
      </c>
      <c r="G1148" s="45"/>
      <c r="H1148" s="80">
        <v>0.00512</v>
      </c>
      <c r="I1148" s="45"/>
      <c r="J1148" s="45"/>
      <c r="K1148" s="45"/>
      <c r="L1148" s="45"/>
      <c r="M1148" s="45"/>
      <c r="N1148" s="45"/>
      <c r="O1148" s="45"/>
      <c r="P1148" s="45"/>
      <c r="Q1148" s="45"/>
      <c r="R1148" s="45"/>
      <c r="S1148" s="45"/>
      <c r="T1148" s="45"/>
      <c r="U1148" s="45"/>
    </row>
    <row r="1149">
      <c r="A1149" s="79" t="s">
        <v>8218</v>
      </c>
      <c r="B1149" s="45"/>
      <c r="C1149" s="79" t="s">
        <v>8219</v>
      </c>
      <c r="D1149" s="45"/>
      <c r="E1149" s="79" t="s">
        <v>5404</v>
      </c>
      <c r="F1149" s="79" t="s">
        <v>5944</v>
      </c>
      <c r="G1149" s="45"/>
      <c r="H1149" s="80">
        <v>0.00508</v>
      </c>
      <c r="I1149" s="45"/>
      <c r="J1149" s="45"/>
      <c r="K1149" s="45"/>
      <c r="L1149" s="45"/>
      <c r="M1149" s="45"/>
      <c r="N1149" s="45"/>
      <c r="O1149" s="45"/>
      <c r="P1149" s="45"/>
      <c r="Q1149" s="45"/>
      <c r="R1149" s="45"/>
      <c r="S1149" s="45"/>
      <c r="T1149" s="45"/>
      <c r="U1149" s="45"/>
    </row>
    <row r="1150">
      <c r="A1150" s="79" t="s">
        <v>8220</v>
      </c>
      <c r="B1150" s="45"/>
      <c r="C1150" s="79" t="s">
        <v>8221</v>
      </c>
      <c r="D1150" s="45"/>
      <c r="E1150" s="79" t="s">
        <v>5258</v>
      </c>
      <c r="F1150" s="79" t="s">
        <v>5944</v>
      </c>
      <c r="G1150" s="45"/>
      <c r="H1150" s="80">
        <v>0.00505</v>
      </c>
      <c r="I1150" s="45"/>
      <c r="J1150" s="45"/>
      <c r="K1150" s="45"/>
      <c r="L1150" s="45"/>
      <c r="M1150" s="45"/>
      <c r="N1150" s="45"/>
      <c r="O1150" s="45"/>
      <c r="P1150" s="45"/>
      <c r="Q1150" s="45"/>
      <c r="R1150" s="45"/>
      <c r="S1150" s="45"/>
      <c r="T1150" s="45"/>
      <c r="U1150" s="45"/>
    </row>
    <row r="1151">
      <c r="A1151" s="79" t="s">
        <v>8222</v>
      </c>
      <c r="B1151" s="45"/>
      <c r="C1151" s="79" t="s">
        <v>8223</v>
      </c>
      <c r="D1151" s="45"/>
      <c r="E1151" s="79" t="s">
        <v>5624</v>
      </c>
      <c r="F1151" s="79" t="s">
        <v>5944</v>
      </c>
      <c r="G1151" s="45"/>
      <c r="H1151" s="80">
        <v>0.00504</v>
      </c>
      <c r="I1151" s="45"/>
      <c r="J1151" s="45"/>
      <c r="K1151" s="45"/>
      <c r="L1151" s="45"/>
      <c r="M1151" s="45"/>
      <c r="N1151" s="45"/>
      <c r="O1151" s="45"/>
      <c r="P1151" s="45"/>
      <c r="Q1151" s="45"/>
      <c r="R1151" s="45"/>
      <c r="S1151" s="45"/>
      <c r="T1151" s="45"/>
      <c r="U1151" s="45"/>
    </row>
    <row r="1152">
      <c r="A1152" s="79" t="s">
        <v>8224</v>
      </c>
      <c r="B1152" s="45"/>
      <c r="C1152" s="79" t="s">
        <v>8225</v>
      </c>
      <c r="D1152" s="45"/>
      <c r="E1152" s="79" t="s">
        <v>5478</v>
      </c>
      <c r="F1152" s="79" t="s">
        <v>5944</v>
      </c>
      <c r="G1152" s="45"/>
      <c r="H1152" s="80">
        <v>0.00502</v>
      </c>
      <c r="I1152" s="45"/>
      <c r="J1152" s="45"/>
      <c r="K1152" s="45"/>
      <c r="L1152" s="45"/>
      <c r="M1152" s="45"/>
      <c r="N1152" s="45"/>
      <c r="O1152" s="45"/>
      <c r="P1152" s="45"/>
      <c r="Q1152" s="45"/>
      <c r="R1152" s="45"/>
      <c r="S1152" s="45"/>
      <c r="T1152" s="45"/>
      <c r="U1152" s="45"/>
    </row>
    <row r="1153">
      <c r="A1153" s="79" t="s">
        <v>8226</v>
      </c>
      <c r="B1153" s="45"/>
      <c r="C1153" s="79" t="s">
        <v>8227</v>
      </c>
      <c r="D1153" s="45"/>
      <c r="E1153" s="79" t="s">
        <v>5561</v>
      </c>
      <c r="F1153" s="79" t="s">
        <v>5944</v>
      </c>
      <c r="G1153" s="45"/>
      <c r="H1153" s="80">
        <v>0.00501</v>
      </c>
      <c r="I1153" s="45"/>
      <c r="J1153" s="45"/>
      <c r="K1153" s="45"/>
      <c r="L1153" s="45"/>
      <c r="M1153" s="45"/>
      <c r="N1153" s="45"/>
      <c r="O1153" s="45"/>
      <c r="P1153" s="45"/>
      <c r="Q1153" s="45"/>
      <c r="R1153" s="45"/>
      <c r="S1153" s="45"/>
      <c r="T1153" s="45"/>
      <c r="U1153" s="45"/>
    </row>
    <row r="1154">
      <c r="A1154" s="79" t="s">
        <v>8228</v>
      </c>
      <c r="B1154" s="45"/>
      <c r="C1154" s="79" t="s">
        <v>8229</v>
      </c>
      <c r="D1154" s="45"/>
      <c r="E1154" s="79" t="s">
        <v>8230</v>
      </c>
      <c r="F1154" s="79" t="s">
        <v>5944</v>
      </c>
      <c r="G1154" s="45"/>
      <c r="H1154" s="80">
        <v>0.00501</v>
      </c>
      <c r="I1154" s="45"/>
      <c r="J1154" s="45"/>
      <c r="K1154" s="45"/>
      <c r="L1154" s="45"/>
      <c r="M1154" s="45"/>
      <c r="N1154" s="45"/>
      <c r="O1154" s="45"/>
      <c r="P1154" s="45"/>
      <c r="Q1154" s="45"/>
      <c r="R1154" s="45"/>
      <c r="S1154" s="45"/>
      <c r="T1154" s="45"/>
      <c r="U1154" s="45"/>
    </row>
    <row r="1155">
      <c r="A1155" s="79" t="s">
        <v>8231</v>
      </c>
      <c r="B1155" s="45"/>
      <c r="C1155" s="79" t="s">
        <v>8232</v>
      </c>
      <c r="D1155" s="45"/>
      <c r="E1155" s="79" t="s">
        <v>7360</v>
      </c>
      <c r="F1155" s="79" t="s">
        <v>5944</v>
      </c>
      <c r="G1155" s="45"/>
      <c r="H1155" s="80">
        <v>0.00498</v>
      </c>
      <c r="I1155" s="45"/>
      <c r="J1155" s="45"/>
      <c r="K1155" s="45"/>
      <c r="L1155" s="45"/>
      <c r="M1155" s="45"/>
      <c r="N1155" s="45"/>
      <c r="O1155" s="45"/>
      <c r="P1155" s="45"/>
      <c r="Q1155" s="45"/>
      <c r="R1155" s="45"/>
      <c r="S1155" s="45"/>
      <c r="T1155" s="45"/>
      <c r="U1155" s="45"/>
    </row>
    <row r="1156">
      <c r="A1156" s="79" t="s">
        <v>8233</v>
      </c>
      <c r="B1156" s="45"/>
      <c r="C1156" s="79" t="s">
        <v>8234</v>
      </c>
      <c r="D1156" s="45"/>
      <c r="E1156" s="79" t="s">
        <v>5422</v>
      </c>
      <c r="F1156" s="79" t="s">
        <v>5944</v>
      </c>
      <c r="G1156" s="45"/>
      <c r="H1156" s="80">
        <v>0.00498</v>
      </c>
      <c r="I1156" s="45"/>
      <c r="J1156" s="45"/>
      <c r="K1156" s="45"/>
      <c r="L1156" s="45"/>
      <c r="M1156" s="45"/>
      <c r="N1156" s="45"/>
      <c r="O1156" s="45"/>
      <c r="P1156" s="45"/>
      <c r="Q1156" s="45"/>
      <c r="R1156" s="45"/>
      <c r="S1156" s="45"/>
      <c r="T1156" s="45"/>
      <c r="U1156" s="45"/>
    </row>
    <row r="1157">
      <c r="A1157" s="79" t="s">
        <v>8235</v>
      </c>
      <c r="B1157" s="45"/>
      <c r="C1157" s="79" t="s">
        <v>8236</v>
      </c>
      <c r="D1157" s="45"/>
      <c r="E1157" s="79" t="s">
        <v>5377</v>
      </c>
      <c r="F1157" s="79" t="s">
        <v>5944</v>
      </c>
      <c r="G1157" s="45"/>
      <c r="H1157" s="80">
        <v>0.00497</v>
      </c>
      <c r="I1157" s="45"/>
      <c r="J1157" s="45"/>
      <c r="K1157" s="45"/>
      <c r="L1157" s="45"/>
      <c r="M1157" s="45"/>
      <c r="N1157" s="45"/>
      <c r="O1157" s="45"/>
      <c r="P1157" s="45"/>
      <c r="Q1157" s="45"/>
      <c r="R1157" s="45"/>
      <c r="S1157" s="45"/>
      <c r="T1157" s="45"/>
      <c r="U1157" s="45"/>
    </row>
    <row r="1158">
      <c r="A1158" s="79" t="s">
        <v>8237</v>
      </c>
      <c r="B1158" s="45"/>
      <c r="C1158" s="79" t="s">
        <v>8238</v>
      </c>
      <c r="D1158" s="45"/>
      <c r="E1158" s="79" t="s">
        <v>5650</v>
      </c>
      <c r="F1158" s="79" t="s">
        <v>5944</v>
      </c>
      <c r="G1158" s="45"/>
      <c r="H1158" s="80">
        <v>0.00497</v>
      </c>
      <c r="I1158" s="45"/>
      <c r="J1158" s="45"/>
      <c r="K1158" s="45"/>
      <c r="L1158" s="45"/>
      <c r="M1158" s="45"/>
      <c r="N1158" s="45"/>
      <c r="O1158" s="45"/>
      <c r="P1158" s="45"/>
      <c r="Q1158" s="45"/>
      <c r="R1158" s="45"/>
      <c r="S1158" s="45"/>
      <c r="T1158" s="45"/>
      <c r="U1158" s="45"/>
    </row>
    <row r="1159">
      <c r="A1159" s="79" t="s">
        <v>8239</v>
      </c>
      <c r="B1159" s="45"/>
      <c r="C1159" s="79" t="s">
        <v>8240</v>
      </c>
      <c r="D1159" s="45"/>
      <c r="E1159" s="79" t="s">
        <v>5338</v>
      </c>
      <c r="F1159" s="79" t="s">
        <v>5944</v>
      </c>
      <c r="G1159" s="45"/>
      <c r="H1159" s="80">
        <v>0.00496</v>
      </c>
      <c r="I1159" s="45"/>
      <c r="J1159" s="45"/>
      <c r="K1159" s="45"/>
      <c r="L1159" s="45"/>
      <c r="M1159" s="45"/>
      <c r="N1159" s="45"/>
      <c r="O1159" s="45"/>
      <c r="P1159" s="45"/>
      <c r="Q1159" s="45"/>
      <c r="R1159" s="45"/>
      <c r="S1159" s="45"/>
      <c r="T1159" s="45"/>
      <c r="U1159" s="45"/>
    </row>
    <row r="1160">
      <c r="A1160" s="79" t="s">
        <v>8241</v>
      </c>
      <c r="B1160" s="45"/>
      <c r="C1160" s="79" t="s">
        <v>8242</v>
      </c>
      <c r="D1160" s="45"/>
      <c r="E1160" s="79" t="s">
        <v>6427</v>
      </c>
      <c r="F1160" s="79" t="s">
        <v>5944</v>
      </c>
      <c r="G1160" s="45"/>
      <c r="H1160" s="80">
        <v>0.00495</v>
      </c>
      <c r="I1160" s="45"/>
      <c r="J1160" s="45"/>
      <c r="K1160" s="45"/>
      <c r="L1160" s="45"/>
      <c r="M1160" s="45"/>
      <c r="N1160" s="45"/>
      <c r="O1160" s="45"/>
      <c r="P1160" s="45"/>
      <c r="Q1160" s="45"/>
      <c r="R1160" s="45"/>
      <c r="S1160" s="45"/>
      <c r="T1160" s="45"/>
      <c r="U1160" s="45"/>
    </row>
    <row r="1161">
      <c r="A1161" s="79" t="s">
        <v>8243</v>
      </c>
      <c r="B1161" s="45"/>
      <c r="C1161" s="79" t="s">
        <v>8244</v>
      </c>
      <c r="D1161" s="45"/>
      <c r="E1161" s="79" t="s">
        <v>5374</v>
      </c>
      <c r="F1161" s="79" t="s">
        <v>5944</v>
      </c>
      <c r="G1161" s="45"/>
      <c r="H1161" s="80">
        <v>0.00495</v>
      </c>
      <c r="I1161" s="45"/>
      <c r="J1161" s="45"/>
      <c r="K1161" s="45"/>
      <c r="L1161" s="45"/>
      <c r="M1161" s="45"/>
      <c r="N1161" s="45"/>
      <c r="O1161" s="45"/>
      <c r="P1161" s="45"/>
      <c r="Q1161" s="45"/>
      <c r="R1161" s="45"/>
      <c r="S1161" s="45"/>
      <c r="T1161" s="45"/>
      <c r="U1161" s="45"/>
    </row>
    <row r="1162">
      <c r="A1162" s="79" t="s">
        <v>8245</v>
      </c>
      <c r="B1162" s="45"/>
      <c r="C1162" s="79" t="s">
        <v>8246</v>
      </c>
      <c r="D1162" s="45"/>
      <c r="E1162" s="79" t="s">
        <v>5241</v>
      </c>
      <c r="F1162" s="79" t="s">
        <v>5944</v>
      </c>
      <c r="G1162" s="45"/>
      <c r="H1162" s="80">
        <v>0.00492</v>
      </c>
      <c r="I1162" s="45"/>
      <c r="J1162" s="45"/>
      <c r="K1162" s="45"/>
      <c r="L1162" s="45"/>
      <c r="M1162" s="45"/>
      <c r="N1162" s="45"/>
      <c r="O1162" s="45"/>
      <c r="P1162" s="45"/>
      <c r="Q1162" s="45"/>
      <c r="R1162" s="45"/>
      <c r="S1162" s="45"/>
      <c r="T1162" s="45"/>
      <c r="U1162" s="45"/>
    </row>
    <row r="1163">
      <c r="A1163" s="79" t="s">
        <v>8247</v>
      </c>
      <c r="B1163" s="45"/>
      <c r="C1163" s="79" t="s">
        <v>8248</v>
      </c>
      <c r="D1163" s="45"/>
      <c r="E1163" s="79" t="s">
        <v>5434</v>
      </c>
      <c r="F1163" s="79" t="s">
        <v>5944</v>
      </c>
      <c r="G1163" s="45"/>
      <c r="H1163" s="80">
        <v>0.00492</v>
      </c>
      <c r="I1163" s="45"/>
      <c r="J1163" s="45"/>
      <c r="K1163" s="45"/>
      <c r="L1163" s="45"/>
      <c r="M1163" s="45"/>
      <c r="N1163" s="45"/>
      <c r="O1163" s="45"/>
      <c r="P1163" s="45"/>
      <c r="Q1163" s="45"/>
      <c r="R1163" s="45"/>
      <c r="S1163" s="45"/>
      <c r="T1163" s="45"/>
      <c r="U1163" s="45"/>
    </row>
    <row r="1164">
      <c r="A1164" s="79" t="s">
        <v>8249</v>
      </c>
      <c r="B1164" s="45"/>
      <c r="C1164" s="79" t="s">
        <v>8250</v>
      </c>
      <c r="D1164" s="45"/>
      <c r="E1164" s="79" t="s">
        <v>6012</v>
      </c>
      <c r="F1164" s="79" t="s">
        <v>5944</v>
      </c>
      <c r="G1164" s="45"/>
      <c r="H1164" s="80">
        <v>0.00489</v>
      </c>
      <c r="I1164" s="45"/>
      <c r="J1164" s="45"/>
      <c r="K1164" s="45"/>
      <c r="L1164" s="45"/>
      <c r="M1164" s="45"/>
      <c r="N1164" s="45"/>
      <c r="O1164" s="45"/>
      <c r="P1164" s="45"/>
      <c r="Q1164" s="45"/>
      <c r="R1164" s="45"/>
      <c r="S1164" s="45"/>
      <c r="T1164" s="45"/>
      <c r="U1164" s="45"/>
    </row>
    <row r="1165">
      <c r="A1165" s="79" t="s">
        <v>8251</v>
      </c>
      <c r="B1165" s="45"/>
      <c r="C1165" s="79" t="s">
        <v>8252</v>
      </c>
      <c r="D1165" s="45"/>
      <c r="E1165" s="79" t="s">
        <v>5501</v>
      </c>
      <c r="F1165" s="79" t="s">
        <v>5944</v>
      </c>
      <c r="G1165" s="45"/>
      <c r="H1165" s="80">
        <v>0.00486</v>
      </c>
      <c r="I1165" s="45"/>
      <c r="J1165" s="45"/>
      <c r="K1165" s="45"/>
      <c r="L1165" s="45"/>
      <c r="M1165" s="45"/>
      <c r="N1165" s="45"/>
      <c r="O1165" s="45"/>
      <c r="P1165" s="45"/>
      <c r="Q1165" s="45"/>
      <c r="R1165" s="45"/>
      <c r="S1165" s="45"/>
      <c r="T1165" s="45"/>
      <c r="U1165" s="45"/>
    </row>
    <row r="1166">
      <c r="A1166" s="79" t="s">
        <v>8253</v>
      </c>
      <c r="B1166" s="45"/>
      <c r="C1166" s="79" t="s">
        <v>8254</v>
      </c>
      <c r="D1166" s="45"/>
      <c r="E1166" s="79" t="s">
        <v>5448</v>
      </c>
      <c r="F1166" s="79" t="s">
        <v>5944</v>
      </c>
      <c r="G1166" s="45"/>
      <c r="H1166" s="80">
        <v>0.00484</v>
      </c>
      <c r="I1166" s="45"/>
      <c r="J1166" s="45"/>
      <c r="K1166" s="45"/>
      <c r="L1166" s="45"/>
      <c r="M1166" s="45"/>
      <c r="N1166" s="45"/>
      <c r="O1166" s="45"/>
      <c r="P1166" s="45"/>
      <c r="Q1166" s="45"/>
      <c r="R1166" s="45"/>
      <c r="S1166" s="45"/>
      <c r="T1166" s="45"/>
      <c r="U1166" s="45"/>
    </row>
    <row r="1167">
      <c r="A1167" s="79" t="s">
        <v>8255</v>
      </c>
      <c r="B1167" s="45"/>
      <c r="C1167" s="79" t="s">
        <v>7497</v>
      </c>
      <c r="D1167" s="45"/>
      <c r="E1167" s="79" t="s">
        <v>5218</v>
      </c>
      <c r="F1167" s="79" t="s">
        <v>5944</v>
      </c>
      <c r="G1167" s="45"/>
      <c r="H1167" s="80">
        <v>0.00482</v>
      </c>
      <c r="I1167" s="45"/>
      <c r="J1167" s="45"/>
      <c r="K1167" s="45"/>
      <c r="L1167" s="45"/>
      <c r="M1167" s="45"/>
      <c r="N1167" s="45"/>
      <c r="O1167" s="45"/>
      <c r="P1167" s="45"/>
      <c r="Q1167" s="45"/>
      <c r="R1167" s="45"/>
      <c r="S1167" s="45"/>
      <c r="T1167" s="45"/>
      <c r="U1167" s="45"/>
    </row>
    <row r="1168">
      <c r="A1168" s="79" t="s">
        <v>8256</v>
      </c>
      <c r="B1168" s="45"/>
      <c r="C1168" s="79" t="s">
        <v>8257</v>
      </c>
      <c r="D1168" s="45"/>
      <c r="E1168" s="79" t="s">
        <v>5756</v>
      </c>
      <c r="F1168" s="79" t="s">
        <v>5944</v>
      </c>
      <c r="G1168" s="45"/>
      <c r="H1168" s="80">
        <v>0.00481</v>
      </c>
      <c r="I1168" s="45"/>
      <c r="J1168" s="45"/>
      <c r="K1168" s="45"/>
      <c r="L1168" s="45"/>
      <c r="M1168" s="45"/>
      <c r="N1168" s="45"/>
      <c r="O1168" s="45"/>
      <c r="P1168" s="45"/>
      <c r="Q1168" s="45"/>
      <c r="R1168" s="45"/>
      <c r="S1168" s="45"/>
      <c r="T1168" s="45"/>
      <c r="U1168" s="45"/>
    </row>
    <row r="1169">
      <c r="A1169" s="79" t="s">
        <v>8258</v>
      </c>
      <c r="B1169" s="45"/>
      <c r="C1169" s="79" t="s">
        <v>8259</v>
      </c>
      <c r="D1169" s="45"/>
      <c r="E1169" s="79" t="s">
        <v>5374</v>
      </c>
      <c r="F1169" s="79" t="s">
        <v>5944</v>
      </c>
      <c r="G1169" s="45"/>
      <c r="H1169" s="80">
        <v>0.00481</v>
      </c>
      <c r="I1169" s="45"/>
      <c r="J1169" s="45"/>
      <c r="K1169" s="45"/>
      <c r="L1169" s="45"/>
      <c r="M1169" s="45"/>
      <c r="N1169" s="45"/>
      <c r="O1169" s="45"/>
      <c r="P1169" s="45"/>
      <c r="Q1169" s="45"/>
      <c r="R1169" s="45"/>
      <c r="S1169" s="45"/>
      <c r="T1169" s="45"/>
      <c r="U1169" s="45"/>
    </row>
    <row r="1170">
      <c r="A1170" s="79" t="s">
        <v>8260</v>
      </c>
      <c r="B1170" s="45"/>
      <c r="C1170" s="79" t="s">
        <v>8261</v>
      </c>
      <c r="D1170" s="45"/>
      <c r="E1170" s="79" t="s">
        <v>5589</v>
      </c>
      <c r="F1170" s="79" t="s">
        <v>5944</v>
      </c>
      <c r="G1170" s="45"/>
      <c r="H1170" s="80">
        <v>0.0048</v>
      </c>
      <c r="I1170" s="45"/>
      <c r="J1170" s="45"/>
      <c r="K1170" s="45"/>
      <c r="L1170" s="45"/>
      <c r="M1170" s="45"/>
      <c r="N1170" s="45"/>
      <c r="O1170" s="45"/>
      <c r="P1170" s="45"/>
      <c r="Q1170" s="45"/>
      <c r="R1170" s="45"/>
      <c r="S1170" s="45"/>
      <c r="T1170" s="45"/>
      <c r="U1170" s="45"/>
    </row>
    <row r="1171">
      <c r="A1171" s="79" t="s">
        <v>8262</v>
      </c>
      <c r="B1171" s="45"/>
      <c r="C1171" s="79" t="s">
        <v>8263</v>
      </c>
      <c r="D1171" s="45"/>
      <c r="E1171" s="79" t="s">
        <v>6130</v>
      </c>
      <c r="F1171" s="79" t="s">
        <v>5944</v>
      </c>
      <c r="G1171" s="45"/>
      <c r="H1171" s="80">
        <v>0.00479</v>
      </c>
      <c r="I1171" s="45"/>
      <c r="J1171" s="45"/>
      <c r="K1171" s="45"/>
      <c r="L1171" s="45"/>
      <c r="M1171" s="45"/>
      <c r="N1171" s="45"/>
      <c r="O1171" s="45"/>
      <c r="P1171" s="45"/>
      <c r="Q1171" s="45"/>
      <c r="R1171" s="45"/>
      <c r="S1171" s="45"/>
      <c r="T1171" s="45"/>
      <c r="U1171" s="45"/>
    </row>
    <row r="1172">
      <c r="A1172" s="79" t="s">
        <v>8264</v>
      </c>
      <c r="B1172" s="45"/>
      <c r="C1172" s="79" t="s">
        <v>8265</v>
      </c>
      <c r="D1172" s="45"/>
      <c r="E1172" s="79" t="s">
        <v>5501</v>
      </c>
      <c r="F1172" s="79" t="s">
        <v>5944</v>
      </c>
      <c r="G1172" s="45"/>
      <c r="H1172" s="80">
        <v>0.00478</v>
      </c>
      <c r="I1172" s="45"/>
      <c r="J1172" s="45"/>
      <c r="K1172" s="45"/>
      <c r="L1172" s="45"/>
      <c r="M1172" s="45"/>
      <c r="N1172" s="45"/>
      <c r="O1172" s="45"/>
      <c r="P1172" s="45"/>
      <c r="Q1172" s="45"/>
      <c r="R1172" s="45"/>
      <c r="S1172" s="45"/>
      <c r="T1172" s="45"/>
      <c r="U1172" s="45"/>
    </row>
    <row r="1173">
      <c r="A1173" s="79" t="s">
        <v>8266</v>
      </c>
      <c r="B1173" s="45"/>
      <c r="C1173" s="79" t="s">
        <v>8267</v>
      </c>
      <c r="D1173" s="45"/>
      <c r="E1173" s="79" t="s">
        <v>5589</v>
      </c>
      <c r="F1173" s="79" t="s">
        <v>5944</v>
      </c>
      <c r="G1173" s="45"/>
      <c r="H1173" s="80">
        <v>0.00478</v>
      </c>
      <c r="I1173" s="45"/>
      <c r="J1173" s="45"/>
      <c r="K1173" s="45"/>
      <c r="L1173" s="45"/>
      <c r="M1173" s="45"/>
      <c r="N1173" s="45"/>
      <c r="O1173" s="45"/>
      <c r="P1173" s="45"/>
      <c r="Q1173" s="45"/>
      <c r="R1173" s="45"/>
      <c r="S1173" s="45"/>
      <c r="T1173" s="45"/>
      <c r="U1173" s="45"/>
    </row>
    <row r="1174">
      <c r="A1174" s="79" t="s">
        <v>8268</v>
      </c>
      <c r="B1174" s="45"/>
      <c r="C1174" s="79" t="s">
        <v>8269</v>
      </c>
      <c r="D1174" s="45"/>
      <c r="E1174" s="79" t="s">
        <v>5561</v>
      </c>
      <c r="F1174" s="79" t="s">
        <v>5944</v>
      </c>
      <c r="G1174" s="45"/>
      <c r="H1174" s="80">
        <v>0.00477</v>
      </c>
      <c r="I1174" s="45"/>
      <c r="J1174" s="45"/>
      <c r="K1174" s="45"/>
      <c r="L1174" s="45"/>
      <c r="M1174" s="45"/>
      <c r="N1174" s="45"/>
      <c r="O1174" s="45"/>
      <c r="P1174" s="45"/>
      <c r="Q1174" s="45"/>
      <c r="R1174" s="45"/>
      <c r="S1174" s="45"/>
      <c r="T1174" s="45"/>
      <c r="U1174" s="45"/>
    </row>
    <row r="1175">
      <c r="A1175" s="79" t="s">
        <v>8270</v>
      </c>
      <c r="B1175" s="45"/>
      <c r="C1175" s="79" t="s">
        <v>8271</v>
      </c>
      <c r="D1175" s="45"/>
      <c r="E1175" s="79" t="s">
        <v>5434</v>
      </c>
      <c r="F1175" s="79" t="s">
        <v>5944</v>
      </c>
      <c r="G1175" s="45"/>
      <c r="H1175" s="80">
        <v>0.00476</v>
      </c>
      <c r="I1175" s="45"/>
      <c r="J1175" s="45"/>
      <c r="K1175" s="45"/>
      <c r="L1175" s="45"/>
      <c r="M1175" s="45"/>
      <c r="N1175" s="45"/>
      <c r="O1175" s="45"/>
      <c r="P1175" s="45"/>
      <c r="Q1175" s="45"/>
      <c r="R1175" s="45"/>
      <c r="S1175" s="45"/>
      <c r="T1175" s="45"/>
      <c r="U1175" s="45"/>
    </row>
    <row r="1176">
      <c r="A1176" s="79" t="s">
        <v>8272</v>
      </c>
      <c r="B1176" s="45"/>
      <c r="C1176" s="79" t="s">
        <v>8273</v>
      </c>
      <c r="D1176" s="45"/>
      <c r="E1176" s="79" t="s">
        <v>5478</v>
      </c>
      <c r="F1176" s="79" t="s">
        <v>5944</v>
      </c>
      <c r="G1176" s="45"/>
      <c r="H1176" s="80">
        <v>0.00475</v>
      </c>
      <c r="I1176" s="45"/>
      <c r="J1176" s="45"/>
      <c r="K1176" s="45"/>
      <c r="L1176" s="45"/>
      <c r="M1176" s="45"/>
      <c r="N1176" s="45"/>
      <c r="O1176" s="45"/>
      <c r="P1176" s="45"/>
      <c r="Q1176" s="45"/>
      <c r="R1176" s="45"/>
      <c r="S1176" s="45"/>
      <c r="T1176" s="45"/>
      <c r="U1176" s="45"/>
    </row>
    <row r="1177">
      <c r="A1177" s="79" t="s">
        <v>8274</v>
      </c>
      <c r="B1177" s="45"/>
      <c r="C1177" s="79" t="s">
        <v>8275</v>
      </c>
      <c r="D1177" s="45"/>
      <c r="E1177" s="79" t="s">
        <v>7846</v>
      </c>
      <c r="F1177" s="79" t="s">
        <v>5944</v>
      </c>
      <c r="G1177" s="45"/>
      <c r="H1177" s="80">
        <v>0.00473</v>
      </c>
      <c r="I1177" s="45"/>
      <c r="J1177" s="45"/>
      <c r="K1177" s="45"/>
      <c r="L1177" s="45"/>
      <c r="M1177" s="45"/>
      <c r="N1177" s="45"/>
      <c r="O1177" s="45"/>
      <c r="P1177" s="45"/>
      <c r="Q1177" s="45"/>
      <c r="R1177" s="45"/>
      <c r="S1177" s="45"/>
      <c r="T1177" s="45"/>
      <c r="U1177" s="45"/>
    </row>
    <row r="1178">
      <c r="A1178" s="79" t="s">
        <v>8276</v>
      </c>
      <c r="B1178" s="45"/>
      <c r="C1178" s="79" t="s">
        <v>8277</v>
      </c>
      <c r="D1178" s="45"/>
      <c r="E1178" s="79" t="s">
        <v>5742</v>
      </c>
      <c r="F1178" s="79" t="s">
        <v>5944</v>
      </c>
      <c r="G1178" s="45"/>
      <c r="H1178" s="80">
        <v>0.00473</v>
      </c>
      <c r="I1178" s="45"/>
      <c r="J1178" s="45"/>
      <c r="K1178" s="45"/>
      <c r="L1178" s="45"/>
      <c r="M1178" s="45"/>
      <c r="N1178" s="45"/>
      <c r="O1178" s="45"/>
      <c r="P1178" s="45"/>
      <c r="Q1178" s="45"/>
      <c r="R1178" s="45"/>
      <c r="S1178" s="45"/>
      <c r="T1178" s="45"/>
      <c r="U1178" s="45"/>
    </row>
    <row r="1179">
      <c r="A1179" s="79" t="s">
        <v>8278</v>
      </c>
      <c r="B1179" s="45"/>
      <c r="C1179" s="79" t="s">
        <v>8279</v>
      </c>
      <c r="D1179" s="45"/>
      <c r="E1179" s="79" t="s">
        <v>5241</v>
      </c>
      <c r="F1179" s="79" t="s">
        <v>5944</v>
      </c>
      <c r="G1179" s="45"/>
      <c r="H1179" s="80">
        <v>0.00467</v>
      </c>
      <c r="I1179" s="45"/>
      <c r="J1179" s="45"/>
      <c r="K1179" s="45"/>
      <c r="L1179" s="45"/>
      <c r="M1179" s="45"/>
      <c r="N1179" s="45"/>
      <c r="O1179" s="45"/>
      <c r="P1179" s="45"/>
      <c r="Q1179" s="45"/>
      <c r="R1179" s="45"/>
      <c r="S1179" s="45"/>
      <c r="T1179" s="45"/>
      <c r="U1179" s="45"/>
    </row>
    <row r="1180">
      <c r="A1180" s="79" t="s">
        <v>8280</v>
      </c>
      <c r="B1180" s="45"/>
      <c r="C1180" s="79" t="s">
        <v>8281</v>
      </c>
      <c r="D1180" s="45"/>
      <c r="E1180" s="79" t="s">
        <v>7248</v>
      </c>
      <c r="F1180" s="79" t="s">
        <v>5944</v>
      </c>
      <c r="G1180" s="45"/>
      <c r="H1180" s="80">
        <v>0.00466</v>
      </c>
      <c r="I1180" s="45"/>
      <c r="J1180" s="45"/>
      <c r="K1180" s="45"/>
      <c r="L1180" s="45"/>
      <c r="M1180" s="45"/>
      <c r="N1180" s="45"/>
      <c r="O1180" s="45"/>
      <c r="P1180" s="45"/>
      <c r="Q1180" s="45"/>
      <c r="R1180" s="45"/>
      <c r="S1180" s="45"/>
      <c r="T1180" s="45"/>
      <c r="U1180" s="45"/>
    </row>
    <row r="1181">
      <c r="A1181" s="79" t="s">
        <v>8282</v>
      </c>
      <c r="B1181" s="45"/>
      <c r="C1181" s="79" t="s">
        <v>8283</v>
      </c>
      <c r="D1181" s="45"/>
      <c r="E1181" s="79" t="s">
        <v>5338</v>
      </c>
      <c r="F1181" s="79" t="s">
        <v>5944</v>
      </c>
      <c r="G1181" s="45"/>
      <c r="H1181" s="80">
        <v>0.00465</v>
      </c>
      <c r="I1181" s="45"/>
      <c r="J1181" s="45"/>
      <c r="K1181" s="45"/>
      <c r="L1181" s="45"/>
      <c r="M1181" s="45"/>
      <c r="N1181" s="45"/>
      <c r="O1181" s="45"/>
      <c r="P1181" s="45"/>
      <c r="Q1181" s="45"/>
      <c r="R1181" s="45"/>
      <c r="S1181" s="45"/>
      <c r="T1181" s="45"/>
      <c r="U1181" s="45"/>
    </row>
    <row r="1182">
      <c r="A1182" s="79" t="s">
        <v>8284</v>
      </c>
      <c r="B1182" s="45"/>
      <c r="C1182" s="79" t="s">
        <v>8285</v>
      </c>
      <c r="D1182" s="45"/>
      <c r="E1182" s="79" t="s">
        <v>5501</v>
      </c>
      <c r="F1182" s="79" t="s">
        <v>5944</v>
      </c>
      <c r="G1182" s="45"/>
      <c r="H1182" s="80">
        <v>0.00462</v>
      </c>
      <c r="I1182" s="45"/>
      <c r="J1182" s="45"/>
      <c r="K1182" s="45"/>
      <c r="L1182" s="45"/>
      <c r="M1182" s="45"/>
      <c r="N1182" s="45"/>
      <c r="O1182" s="45"/>
      <c r="P1182" s="45"/>
      <c r="Q1182" s="45"/>
      <c r="R1182" s="45"/>
      <c r="S1182" s="45"/>
      <c r="T1182" s="45"/>
      <c r="U1182" s="45"/>
    </row>
    <row r="1183">
      <c r="A1183" s="79" t="s">
        <v>8286</v>
      </c>
      <c r="B1183" s="45"/>
      <c r="C1183" s="79" t="s">
        <v>8287</v>
      </c>
      <c r="D1183" s="45"/>
      <c r="E1183" s="79" t="s">
        <v>6191</v>
      </c>
      <c r="F1183" s="79" t="s">
        <v>5944</v>
      </c>
      <c r="G1183" s="45"/>
      <c r="H1183" s="80">
        <v>0.0046</v>
      </c>
      <c r="I1183" s="45"/>
      <c r="J1183" s="45"/>
      <c r="K1183" s="45"/>
      <c r="L1183" s="45"/>
      <c r="M1183" s="45"/>
      <c r="N1183" s="45"/>
      <c r="O1183" s="45"/>
      <c r="P1183" s="45"/>
      <c r="Q1183" s="45"/>
      <c r="R1183" s="45"/>
      <c r="S1183" s="45"/>
      <c r="T1183" s="45"/>
      <c r="U1183" s="45"/>
    </row>
    <row r="1184">
      <c r="A1184" s="79" t="s">
        <v>8288</v>
      </c>
      <c r="B1184" s="45"/>
      <c r="C1184" s="79" t="s">
        <v>8289</v>
      </c>
      <c r="D1184" s="45"/>
      <c r="E1184" s="79" t="s">
        <v>5232</v>
      </c>
      <c r="F1184" s="79" t="s">
        <v>5944</v>
      </c>
      <c r="G1184" s="45"/>
      <c r="H1184" s="80">
        <v>0.0046</v>
      </c>
      <c r="I1184" s="45"/>
      <c r="J1184" s="45"/>
      <c r="K1184" s="45"/>
      <c r="L1184" s="45"/>
      <c r="M1184" s="45"/>
      <c r="N1184" s="45"/>
      <c r="O1184" s="45"/>
      <c r="P1184" s="45"/>
      <c r="Q1184" s="45"/>
      <c r="R1184" s="45"/>
      <c r="S1184" s="45"/>
      <c r="T1184" s="45"/>
      <c r="U1184" s="45"/>
    </row>
    <row r="1185">
      <c r="A1185" s="79" t="s">
        <v>8290</v>
      </c>
      <c r="B1185" s="45"/>
      <c r="C1185" s="79" t="s">
        <v>8291</v>
      </c>
      <c r="D1185" s="45"/>
      <c r="E1185" s="79" t="s">
        <v>5961</v>
      </c>
      <c r="F1185" s="79" t="s">
        <v>5944</v>
      </c>
      <c r="G1185" s="45"/>
      <c r="H1185" s="80">
        <v>0.00458</v>
      </c>
      <c r="I1185" s="45"/>
      <c r="J1185" s="45"/>
      <c r="K1185" s="45"/>
      <c r="L1185" s="45"/>
      <c r="M1185" s="45"/>
      <c r="N1185" s="45"/>
      <c r="O1185" s="45"/>
      <c r="P1185" s="45"/>
      <c r="Q1185" s="45"/>
      <c r="R1185" s="45"/>
      <c r="S1185" s="45"/>
      <c r="T1185" s="45"/>
      <c r="U1185" s="45"/>
    </row>
    <row r="1186">
      <c r="A1186" s="79" t="s">
        <v>8292</v>
      </c>
      <c r="B1186" s="45"/>
      <c r="C1186" s="79" t="s">
        <v>8293</v>
      </c>
      <c r="D1186" s="45"/>
      <c r="E1186" s="79" t="s">
        <v>5401</v>
      </c>
      <c r="F1186" s="79" t="s">
        <v>5944</v>
      </c>
      <c r="G1186" s="45"/>
      <c r="H1186" s="80">
        <v>0.00458</v>
      </c>
      <c r="I1186" s="45"/>
      <c r="J1186" s="45"/>
      <c r="K1186" s="45"/>
      <c r="L1186" s="45"/>
      <c r="M1186" s="45"/>
      <c r="N1186" s="45"/>
      <c r="O1186" s="45"/>
      <c r="P1186" s="45"/>
      <c r="Q1186" s="45"/>
      <c r="R1186" s="45"/>
      <c r="S1186" s="45"/>
      <c r="T1186" s="45"/>
      <c r="U1186" s="45"/>
    </row>
    <row r="1187">
      <c r="A1187" s="79" t="s">
        <v>8294</v>
      </c>
      <c r="B1187" s="45"/>
      <c r="C1187" s="79" t="s">
        <v>8295</v>
      </c>
      <c r="D1187" s="45"/>
      <c r="E1187" s="79" t="s">
        <v>6040</v>
      </c>
      <c r="F1187" s="79" t="s">
        <v>5944</v>
      </c>
      <c r="G1187" s="45"/>
      <c r="H1187" s="80">
        <v>0.00456</v>
      </c>
      <c r="I1187" s="45"/>
      <c r="J1187" s="45"/>
      <c r="K1187" s="45"/>
      <c r="L1187" s="45"/>
      <c r="M1187" s="45"/>
      <c r="N1187" s="45"/>
      <c r="O1187" s="45"/>
      <c r="P1187" s="45"/>
      <c r="Q1187" s="45"/>
      <c r="R1187" s="45"/>
      <c r="S1187" s="45"/>
      <c r="T1187" s="45"/>
      <c r="U1187" s="45"/>
    </row>
    <row r="1188">
      <c r="A1188" s="79" t="s">
        <v>8296</v>
      </c>
      <c r="B1188" s="45"/>
      <c r="C1188" s="79" t="s">
        <v>8297</v>
      </c>
      <c r="D1188" s="45"/>
      <c r="E1188" s="79" t="s">
        <v>5218</v>
      </c>
      <c r="F1188" s="79" t="s">
        <v>5944</v>
      </c>
      <c r="G1188" s="45"/>
      <c r="H1188" s="80">
        <v>0.00451</v>
      </c>
      <c r="I1188" s="45"/>
      <c r="J1188" s="45"/>
      <c r="K1188" s="45"/>
      <c r="L1188" s="45"/>
      <c r="M1188" s="45"/>
      <c r="N1188" s="45"/>
      <c r="O1188" s="45"/>
      <c r="P1188" s="45"/>
      <c r="Q1188" s="45"/>
      <c r="R1188" s="45"/>
      <c r="S1188" s="45"/>
      <c r="T1188" s="45"/>
      <c r="U1188" s="45"/>
    </row>
    <row r="1189">
      <c r="A1189" s="79" t="s">
        <v>8298</v>
      </c>
      <c r="B1189" s="45"/>
      <c r="C1189" s="79" t="s">
        <v>8299</v>
      </c>
      <c r="D1189" s="45"/>
      <c r="E1189" s="79" t="s">
        <v>5288</v>
      </c>
      <c r="F1189" s="79" t="s">
        <v>5944</v>
      </c>
      <c r="G1189" s="45"/>
      <c r="H1189" s="80">
        <v>0.00451</v>
      </c>
      <c r="I1189" s="45"/>
      <c r="J1189" s="45"/>
      <c r="K1189" s="45"/>
      <c r="L1189" s="45"/>
      <c r="M1189" s="45"/>
      <c r="N1189" s="45"/>
      <c r="O1189" s="45"/>
      <c r="P1189" s="45"/>
      <c r="Q1189" s="45"/>
      <c r="R1189" s="45"/>
      <c r="S1189" s="45"/>
      <c r="T1189" s="45"/>
      <c r="U1189" s="45"/>
    </row>
    <row r="1190">
      <c r="A1190" s="79" t="s">
        <v>8300</v>
      </c>
      <c r="B1190" s="45"/>
      <c r="C1190" s="79" t="s">
        <v>8301</v>
      </c>
      <c r="D1190" s="45"/>
      <c r="E1190" s="79" t="s">
        <v>7471</v>
      </c>
      <c r="F1190" s="79" t="s">
        <v>5944</v>
      </c>
      <c r="G1190" s="45"/>
      <c r="H1190" s="80">
        <v>0.00451</v>
      </c>
      <c r="I1190" s="45"/>
      <c r="J1190" s="45"/>
      <c r="K1190" s="45"/>
      <c r="L1190" s="45"/>
      <c r="M1190" s="45"/>
      <c r="N1190" s="45"/>
      <c r="O1190" s="45"/>
      <c r="P1190" s="45"/>
      <c r="Q1190" s="45"/>
      <c r="R1190" s="45"/>
      <c r="S1190" s="45"/>
      <c r="T1190" s="45"/>
      <c r="U1190" s="45"/>
    </row>
    <row r="1191">
      <c r="A1191" s="79" t="s">
        <v>8302</v>
      </c>
      <c r="B1191" s="45"/>
      <c r="C1191" s="79" t="s">
        <v>8303</v>
      </c>
      <c r="D1191" s="45"/>
      <c r="E1191" s="79" t="s">
        <v>5374</v>
      </c>
      <c r="F1191" s="79" t="s">
        <v>5944</v>
      </c>
      <c r="G1191" s="45"/>
      <c r="H1191" s="80">
        <v>0.0045</v>
      </c>
      <c r="I1191" s="45"/>
      <c r="J1191" s="45"/>
      <c r="K1191" s="45"/>
      <c r="L1191" s="45"/>
      <c r="M1191" s="45"/>
      <c r="N1191" s="45"/>
      <c r="O1191" s="45"/>
      <c r="P1191" s="45"/>
      <c r="Q1191" s="45"/>
      <c r="R1191" s="45"/>
      <c r="S1191" s="45"/>
      <c r="T1191" s="45"/>
      <c r="U1191" s="45"/>
    </row>
    <row r="1192">
      <c r="A1192" s="79" t="s">
        <v>8304</v>
      </c>
      <c r="B1192" s="45"/>
      <c r="C1192" s="79" t="s">
        <v>8305</v>
      </c>
      <c r="D1192" s="45"/>
      <c r="E1192" s="79" t="s">
        <v>6729</v>
      </c>
      <c r="F1192" s="79" t="s">
        <v>5944</v>
      </c>
      <c r="G1192" s="45"/>
      <c r="H1192" s="80">
        <v>0.0045</v>
      </c>
      <c r="I1192" s="45"/>
      <c r="J1192" s="45"/>
      <c r="K1192" s="45"/>
      <c r="L1192" s="45"/>
      <c r="M1192" s="45"/>
      <c r="N1192" s="45"/>
      <c r="O1192" s="45"/>
      <c r="P1192" s="45"/>
      <c r="Q1192" s="45"/>
      <c r="R1192" s="45"/>
      <c r="S1192" s="45"/>
      <c r="T1192" s="45"/>
      <c r="U1192" s="45"/>
    </row>
    <row r="1193">
      <c r="A1193" s="79" t="s">
        <v>8306</v>
      </c>
      <c r="B1193" s="45"/>
      <c r="C1193" s="79" t="s">
        <v>8307</v>
      </c>
      <c r="D1193" s="45"/>
      <c r="E1193" s="79" t="s">
        <v>5218</v>
      </c>
      <c r="F1193" s="79" t="s">
        <v>5944</v>
      </c>
      <c r="G1193" s="45"/>
      <c r="H1193" s="80">
        <v>0.00449</v>
      </c>
      <c r="I1193" s="45"/>
      <c r="J1193" s="45"/>
      <c r="K1193" s="45"/>
      <c r="L1193" s="45"/>
      <c r="M1193" s="45"/>
      <c r="N1193" s="45"/>
      <c r="O1193" s="45"/>
      <c r="P1193" s="45"/>
      <c r="Q1193" s="45"/>
      <c r="R1193" s="45"/>
      <c r="S1193" s="45"/>
      <c r="T1193" s="45"/>
      <c r="U1193" s="45"/>
    </row>
    <row r="1194">
      <c r="A1194" s="79" t="s">
        <v>8308</v>
      </c>
      <c r="B1194" s="45"/>
      <c r="C1194" s="79" t="s">
        <v>8309</v>
      </c>
      <c r="D1194" s="45"/>
      <c r="E1194" s="79" t="s">
        <v>5811</v>
      </c>
      <c r="F1194" s="79" t="s">
        <v>5944</v>
      </c>
      <c r="G1194" s="45"/>
      <c r="H1194" s="80">
        <v>0.00449</v>
      </c>
      <c r="I1194" s="45"/>
      <c r="J1194" s="45"/>
      <c r="K1194" s="45"/>
      <c r="L1194" s="45"/>
      <c r="M1194" s="45"/>
      <c r="N1194" s="45"/>
      <c r="O1194" s="45"/>
      <c r="P1194" s="45"/>
      <c r="Q1194" s="45"/>
      <c r="R1194" s="45"/>
      <c r="S1194" s="45"/>
      <c r="T1194" s="45"/>
      <c r="U1194" s="45"/>
    </row>
    <row r="1195">
      <c r="A1195" s="79" t="s">
        <v>8310</v>
      </c>
      <c r="B1195" s="45"/>
      <c r="C1195" s="79" t="s">
        <v>8311</v>
      </c>
      <c r="D1195" s="45"/>
      <c r="E1195" s="79" t="s">
        <v>5229</v>
      </c>
      <c r="F1195" s="79" t="s">
        <v>5944</v>
      </c>
      <c r="G1195" s="45"/>
      <c r="H1195" s="80">
        <v>0.00446</v>
      </c>
      <c r="I1195" s="45"/>
      <c r="J1195" s="45"/>
      <c r="K1195" s="45"/>
      <c r="L1195" s="45"/>
      <c r="M1195" s="45"/>
      <c r="N1195" s="45"/>
      <c r="O1195" s="45"/>
      <c r="P1195" s="45"/>
      <c r="Q1195" s="45"/>
      <c r="R1195" s="45"/>
      <c r="S1195" s="45"/>
      <c r="T1195" s="45"/>
      <c r="U1195" s="45"/>
    </row>
    <row r="1196">
      <c r="A1196" s="79" t="s">
        <v>8312</v>
      </c>
      <c r="B1196" s="45"/>
      <c r="C1196" s="79" t="s">
        <v>8313</v>
      </c>
      <c r="D1196" s="45"/>
      <c r="E1196" s="79" t="s">
        <v>5229</v>
      </c>
      <c r="F1196" s="79" t="s">
        <v>5944</v>
      </c>
      <c r="G1196" s="45"/>
      <c r="H1196" s="80">
        <v>0.00444</v>
      </c>
      <c r="I1196" s="45"/>
      <c r="J1196" s="45"/>
      <c r="K1196" s="45"/>
      <c r="L1196" s="45"/>
      <c r="M1196" s="45"/>
      <c r="N1196" s="45"/>
      <c r="O1196" s="45"/>
      <c r="P1196" s="45"/>
      <c r="Q1196" s="45"/>
      <c r="R1196" s="45"/>
      <c r="S1196" s="45"/>
      <c r="T1196" s="45"/>
      <c r="U1196" s="45"/>
    </row>
    <row r="1197">
      <c r="A1197" s="79" t="s">
        <v>8314</v>
      </c>
      <c r="B1197" s="45"/>
      <c r="C1197" s="79" t="s">
        <v>8315</v>
      </c>
      <c r="D1197" s="45"/>
      <c r="E1197" s="79" t="s">
        <v>6191</v>
      </c>
      <c r="F1197" s="79" t="s">
        <v>5944</v>
      </c>
      <c r="G1197" s="45"/>
      <c r="H1197" s="80">
        <v>0.00442</v>
      </c>
      <c r="I1197" s="45"/>
      <c r="J1197" s="45"/>
      <c r="K1197" s="45"/>
      <c r="L1197" s="45"/>
      <c r="M1197" s="45"/>
      <c r="N1197" s="45"/>
      <c r="O1197" s="45"/>
      <c r="P1197" s="45"/>
      <c r="Q1197" s="45"/>
      <c r="R1197" s="45"/>
      <c r="S1197" s="45"/>
      <c r="T1197" s="45"/>
      <c r="U1197" s="45"/>
    </row>
    <row r="1198">
      <c r="A1198" s="79" t="s">
        <v>8316</v>
      </c>
      <c r="B1198" s="45"/>
      <c r="C1198" s="79" t="s">
        <v>8317</v>
      </c>
      <c r="D1198" s="45"/>
      <c r="E1198" s="79" t="s">
        <v>5366</v>
      </c>
      <c r="F1198" s="79" t="s">
        <v>5944</v>
      </c>
      <c r="G1198" s="45"/>
      <c r="H1198" s="80">
        <v>0.00442</v>
      </c>
      <c r="I1198" s="45"/>
      <c r="J1198" s="45"/>
      <c r="K1198" s="45"/>
      <c r="L1198" s="45"/>
      <c r="M1198" s="45"/>
      <c r="N1198" s="45"/>
      <c r="O1198" s="45"/>
      <c r="P1198" s="45"/>
      <c r="Q1198" s="45"/>
      <c r="R1198" s="45"/>
      <c r="S1198" s="45"/>
      <c r="T1198" s="45"/>
      <c r="U1198" s="45"/>
    </row>
    <row r="1199">
      <c r="A1199" s="79" t="s">
        <v>8318</v>
      </c>
      <c r="B1199" s="45"/>
      <c r="C1199" s="79" t="s">
        <v>8319</v>
      </c>
      <c r="D1199" s="45"/>
      <c r="E1199" s="79" t="s">
        <v>5354</v>
      </c>
      <c r="F1199" s="79" t="s">
        <v>5944</v>
      </c>
      <c r="G1199" s="45"/>
      <c r="H1199" s="80">
        <v>0.00442</v>
      </c>
      <c r="I1199" s="45"/>
      <c r="J1199" s="45"/>
      <c r="K1199" s="45"/>
      <c r="L1199" s="45"/>
      <c r="M1199" s="45"/>
      <c r="N1199" s="45"/>
      <c r="O1199" s="45"/>
      <c r="P1199" s="45"/>
      <c r="Q1199" s="45"/>
      <c r="R1199" s="45"/>
      <c r="S1199" s="45"/>
      <c r="T1199" s="45"/>
      <c r="U1199" s="45"/>
    </row>
    <row r="1200">
      <c r="A1200" s="79" t="s">
        <v>8320</v>
      </c>
      <c r="B1200" s="45"/>
      <c r="C1200" s="79" t="s">
        <v>8321</v>
      </c>
      <c r="D1200" s="45"/>
      <c r="E1200" s="79" t="s">
        <v>5276</v>
      </c>
      <c r="F1200" s="79" t="s">
        <v>5944</v>
      </c>
      <c r="G1200" s="45"/>
      <c r="H1200" s="80">
        <v>0.00441</v>
      </c>
      <c r="I1200" s="45"/>
      <c r="J1200" s="45"/>
      <c r="K1200" s="45"/>
      <c r="L1200" s="45"/>
      <c r="M1200" s="45"/>
      <c r="N1200" s="45"/>
      <c r="O1200" s="45"/>
      <c r="P1200" s="45"/>
      <c r="Q1200" s="45"/>
      <c r="R1200" s="45"/>
      <c r="S1200" s="45"/>
      <c r="T1200" s="45"/>
      <c r="U1200" s="45"/>
    </row>
    <row r="1201">
      <c r="A1201" s="79" t="s">
        <v>8322</v>
      </c>
      <c r="B1201" s="45"/>
      <c r="C1201" s="79" t="s">
        <v>8323</v>
      </c>
      <c r="D1201" s="45"/>
      <c r="E1201" s="79" t="s">
        <v>5338</v>
      </c>
      <c r="F1201" s="79" t="s">
        <v>5944</v>
      </c>
      <c r="G1201" s="45"/>
      <c r="H1201" s="80">
        <v>0.00441</v>
      </c>
      <c r="I1201" s="45"/>
      <c r="J1201" s="45"/>
      <c r="K1201" s="45"/>
      <c r="L1201" s="45"/>
      <c r="M1201" s="45"/>
      <c r="N1201" s="45"/>
      <c r="O1201" s="45"/>
      <c r="P1201" s="45"/>
      <c r="Q1201" s="45"/>
      <c r="R1201" s="45"/>
      <c r="S1201" s="45"/>
      <c r="T1201" s="45"/>
      <c r="U1201" s="45"/>
    </row>
    <row r="1202">
      <c r="A1202" s="79" t="s">
        <v>8324</v>
      </c>
      <c r="B1202" s="45"/>
      <c r="C1202" s="79" t="s">
        <v>8325</v>
      </c>
      <c r="D1202" s="45"/>
      <c r="E1202" s="79" t="s">
        <v>5431</v>
      </c>
      <c r="F1202" s="79" t="s">
        <v>5944</v>
      </c>
      <c r="G1202" s="45"/>
      <c r="H1202" s="80">
        <v>0.00437</v>
      </c>
      <c r="I1202" s="45"/>
      <c r="J1202" s="45"/>
      <c r="K1202" s="45"/>
      <c r="L1202" s="45"/>
      <c r="M1202" s="45"/>
      <c r="N1202" s="45"/>
      <c r="O1202" s="45"/>
      <c r="P1202" s="45"/>
      <c r="Q1202" s="45"/>
      <c r="R1202" s="45"/>
      <c r="S1202" s="45"/>
      <c r="T1202" s="45"/>
      <c r="U1202" s="45"/>
    </row>
    <row r="1203">
      <c r="A1203" s="79" t="s">
        <v>8326</v>
      </c>
      <c r="B1203" s="45"/>
      <c r="C1203" s="79" t="s">
        <v>8327</v>
      </c>
      <c r="D1203" s="45"/>
      <c r="E1203" s="79" t="s">
        <v>5624</v>
      </c>
      <c r="F1203" s="79" t="s">
        <v>5944</v>
      </c>
      <c r="G1203" s="45"/>
      <c r="H1203" s="80">
        <v>0.00437</v>
      </c>
      <c r="I1203" s="45"/>
      <c r="J1203" s="45"/>
      <c r="K1203" s="45"/>
      <c r="L1203" s="45"/>
      <c r="M1203" s="45"/>
      <c r="N1203" s="45"/>
      <c r="O1203" s="45"/>
      <c r="P1203" s="45"/>
      <c r="Q1203" s="45"/>
      <c r="R1203" s="45"/>
      <c r="S1203" s="45"/>
      <c r="T1203" s="45"/>
      <c r="U1203" s="45"/>
    </row>
    <row r="1204">
      <c r="A1204" s="79" t="s">
        <v>8328</v>
      </c>
      <c r="B1204" s="45"/>
      <c r="C1204" s="79" t="s">
        <v>8329</v>
      </c>
      <c r="D1204" s="45"/>
      <c r="E1204" s="79" t="s">
        <v>6266</v>
      </c>
      <c r="F1204" s="79" t="s">
        <v>5944</v>
      </c>
      <c r="G1204" s="45"/>
      <c r="H1204" s="80">
        <v>0.00436</v>
      </c>
      <c r="I1204" s="45"/>
      <c r="J1204" s="45"/>
      <c r="K1204" s="45"/>
      <c r="L1204" s="45"/>
      <c r="M1204" s="45"/>
      <c r="N1204" s="45"/>
      <c r="O1204" s="45"/>
      <c r="P1204" s="45"/>
      <c r="Q1204" s="45"/>
      <c r="R1204" s="45"/>
      <c r="S1204" s="45"/>
      <c r="T1204" s="45"/>
      <c r="U1204" s="45"/>
    </row>
    <row r="1205">
      <c r="A1205" s="79" t="s">
        <v>8330</v>
      </c>
      <c r="B1205" s="45"/>
      <c r="C1205" s="79" t="s">
        <v>8331</v>
      </c>
      <c r="D1205" s="45"/>
      <c r="E1205" s="79" t="s">
        <v>5276</v>
      </c>
      <c r="F1205" s="79" t="s">
        <v>5944</v>
      </c>
      <c r="G1205" s="45"/>
      <c r="H1205" s="80">
        <v>0.00435</v>
      </c>
      <c r="I1205" s="45"/>
      <c r="J1205" s="45"/>
      <c r="K1205" s="45"/>
      <c r="L1205" s="45"/>
      <c r="M1205" s="45"/>
      <c r="N1205" s="45"/>
      <c r="O1205" s="45"/>
      <c r="P1205" s="45"/>
      <c r="Q1205" s="45"/>
      <c r="R1205" s="45"/>
      <c r="S1205" s="45"/>
      <c r="T1205" s="45"/>
      <c r="U1205" s="45"/>
    </row>
    <row r="1206">
      <c r="A1206" s="79" t="s">
        <v>8332</v>
      </c>
      <c r="B1206" s="45"/>
      <c r="C1206" s="79" t="s">
        <v>8333</v>
      </c>
      <c r="D1206" s="45"/>
      <c r="E1206" s="79" t="s">
        <v>5691</v>
      </c>
      <c r="F1206" s="79" t="s">
        <v>5944</v>
      </c>
      <c r="G1206" s="45"/>
      <c r="H1206" s="80">
        <v>0.00435</v>
      </c>
      <c r="I1206" s="45"/>
      <c r="J1206" s="45"/>
      <c r="K1206" s="45"/>
      <c r="L1206" s="45"/>
      <c r="M1206" s="45"/>
      <c r="N1206" s="45"/>
      <c r="O1206" s="45"/>
      <c r="P1206" s="45"/>
      <c r="Q1206" s="45"/>
      <c r="R1206" s="45"/>
      <c r="S1206" s="45"/>
      <c r="T1206" s="45"/>
      <c r="U1206" s="45"/>
    </row>
    <row r="1207">
      <c r="A1207" s="79" t="s">
        <v>8334</v>
      </c>
      <c r="B1207" s="45"/>
      <c r="C1207" s="79" t="s">
        <v>8335</v>
      </c>
      <c r="D1207" s="45"/>
      <c r="E1207" s="79" t="s">
        <v>5351</v>
      </c>
      <c r="F1207" s="79" t="s">
        <v>5944</v>
      </c>
      <c r="G1207" s="45"/>
      <c r="H1207" s="80">
        <v>0.00433</v>
      </c>
      <c r="I1207" s="45"/>
      <c r="J1207" s="45"/>
      <c r="K1207" s="45"/>
      <c r="L1207" s="45"/>
      <c r="M1207" s="45"/>
      <c r="N1207" s="45"/>
      <c r="O1207" s="45"/>
      <c r="P1207" s="45"/>
      <c r="Q1207" s="45"/>
      <c r="R1207" s="45"/>
      <c r="S1207" s="45"/>
      <c r="T1207" s="45"/>
      <c r="U1207" s="45"/>
    </row>
    <row r="1208">
      <c r="A1208" s="79" t="s">
        <v>8336</v>
      </c>
      <c r="B1208" s="45"/>
      <c r="C1208" s="79" t="s">
        <v>8337</v>
      </c>
      <c r="D1208" s="45"/>
      <c r="E1208" s="79" t="s">
        <v>5467</v>
      </c>
      <c r="F1208" s="79" t="s">
        <v>5944</v>
      </c>
      <c r="G1208" s="45"/>
      <c r="H1208" s="80">
        <v>0.00433</v>
      </c>
      <c r="I1208" s="45"/>
      <c r="J1208" s="45"/>
      <c r="K1208" s="45"/>
      <c r="L1208" s="45"/>
      <c r="M1208" s="45"/>
      <c r="N1208" s="45"/>
      <c r="O1208" s="45"/>
      <c r="P1208" s="45"/>
      <c r="Q1208" s="45"/>
      <c r="R1208" s="45"/>
      <c r="S1208" s="45"/>
      <c r="T1208" s="45"/>
      <c r="U1208" s="45"/>
    </row>
    <row r="1209">
      <c r="A1209" s="79" t="s">
        <v>8338</v>
      </c>
      <c r="B1209" s="45"/>
      <c r="C1209" s="79" t="s">
        <v>8339</v>
      </c>
      <c r="D1209" s="45"/>
      <c r="E1209" s="79" t="s">
        <v>5218</v>
      </c>
      <c r="F1209" s="79" t="s">
        <v>5944</v>
      </c>
      <c r="G1209" s="45"/>
      <c r="H1209" s="80">
        <v>0.00433</v>
      </c>
      <c r="I1209" s="45"/>
      <c r="J1209" s="45"/>
      <c r="K1209" s="45"/>
      <c r="L1209" s="45"/>
      <c r="M1209" s="45"/>
      <c r="N1209" s="45"/>
      <c r="O1209" s="45"/>
      <c r="P1209" s="45"/>
      <c r="Q1209" s="45"/>
      <c r="R1209" s="45"/>
      <c r="S1209" s="45"/>
      <c r="T1209" s="45"/>
      <c r="U1209" s="45"/>
    </row>
    <row r="1210">
      <c r="A1210" s="79" t="s">
        <v>8340</v>
      </c>
      <c r="B1210" s="45"/>
      <c r="C1210" s="79" t="s">
        <v>8341</v>
      </c>
      <c r="D1210" s="45"/>
      <c r="E1210" s="79" t="s">
        <v>6223</v>
      </c>
      <c r="F1210" s="79" t="s">
        <v>5944</v>
      </c>
      <c r="G1210" s="45"/>
      <c r="H1210" s="80">
        <v>0.00432</v>
      </c>
      <c r="I1210" s="45"/>
      <c r="J1210" s="45"/>
      <c r="K1210" s="45"/>
      <c r="L1210" s="45"/>
      <c r="M1210" s="45"/>
      <c r="N1210" s="45"/>
      <c r="O1210" s="45"/>
      <c r="P1210" s="45"/>
      <c r="Q1210" s="45"/>
      <c r="R1210" s="45"/>
      <c r="S1210" s="45"/>
      <c r="T1210" s="45"/>
      <c r="U1210" s="45"/>
    </row>
    <row r="1211">
      <c r="A1211" s="79" t="s">
        <v>8342</v>
      </c>
      <c r="B1211" s="45"/>
      <c r="C1211" s="79" t="s">
        <v>8343</v>
      </c>
      <c r="D1211" s="45"/>
      <c r="E1211" s="79" t="s">
        <v>6327</v>
      </c>
      <c r="F1211" s="79" t="s">
        <v>5944</v>
      </c>
      <c r="G1211" s="45"/>
      <c r="H1211" s="80">
        <v>0.00431</v>
      </c>
      <c r="I1211" s="45"/>
      <c r="J1211" s="45"/>
      <c r="K1211" s="45"/>
      <c r="L1211" s="45"/>
      <c r="M1211" s="45"/>
      <c r="N1211" s="45"/>
      <c r="O1211" s="45"/>
      <c r="P1211" s="45"/>
      <c r="Q1211" s="45"/>
      <c r="R1211" s="45"/>
      <c r="S1211" s="45"/>
      <c r="T1211" s="45"/>
      <c r="U1211" s="45"/>
    </row>
    <row r="1212">
      <c r="A1212" s="79" t="s">
        <v>8344</v>
      </c>
      <c r="B1212" s="45"/>
      <c r="C1212" s="79" t="s">
        <v>8345</v>
      </c>
      <c r="D1212" s="45"/>
      <c r="E1212" s="79" t="s">
        <v>5650</v>
      </c>
      <c r="F1212" s="79" t="s">
        <v>5944</v>
      </c>
      <c r="G1212" s="45"/>
      <c r="H1212" s="80">
        <v>0.00431</v>
      </c>
      <c r="I1212" s="45"/>
      <c r="J1212" s="45"/>
      <c r="K1212" s="45"/>
      <c r="L1212" s="45"/>
      <c r="M1212" s="45"/>
      <c r="N1212" s="45"/>
      <c r="O1212" s="45"/>
      <c r="P1212" s="45"/>
      <c r="Q1212" s="45"/>
      <c r="R1212" s="45"/>
      <c r="S1212" s="45"/>
      <c r="T1212" s="45"/>
      <c r="U1212" s="45"/>
    </row>
    <row r="1213">
      <c r="A1213" s="79" t="s">
        <v>8346</v>
      </c>
      <c r="B1213" s="45"/>
      <c r="C1213" s="79" t="s">
        <v>8347</v>
      </c>
      <c r="D1213" s="45"/>
      <c r="E1213" s="79" t="s">
        <v>6475</v>
      </c>
      <c r="F1213" s="79" t="s">
        <v>5944</v>
      </c>
      <c r="G1213" s="45"/>
      <c r="H1213" s="80">
        <v>0.0043</v>
      </c>
      <c r="I1213" s="45"/>
      <c r="J1213" s="45"/>
      <c r="K1213" s="45"/>
      <c r="L1213" s="45"/>
      <c r="M1213" s="45"/>
      <c r="N1213" s="45"/>
      <c r="O1213" s="45"/>
      <c r="P1213" s="45"/>
      <c r="Q1213" s="45"/>
      <c r="R1213" s="45"/>
      <c r="S1213" s="45"/>
      <c r="T1213" s="45"/>
      <c r="U1213" s="45"/>
    </row>
    <row r="1214">
      <c r="A1214" s="79" t="s">
        <v>8348</v>
      </c>
      <c r="B1214" s="45"/>
      <c r="C1214" s="79" t="s">
        <v>8349</v>
      </c>
      <c r="D1214" s="45"/>
      <c r="E1214" s="79" t="s">
        <v>5229</v>
      </c>
      <c r="F1214" s="79" t="s">
        <v>5944</v>
      </c>
      <c r="G1214" s="45"/>
      <c r="H1214" s="80">
        <v>0.0043</v>
      </c>
      <c r="I1214" s="45"/>
      <c r="J1214" s="45"/>
      <c r="K1214" s="45"/>
      <c r="L1214" s="45"/>
      <c r="M1214" s="45"/>
      <c r="N1214" s="45"/>
      <c r="O1214" s="45"/>
      <c r="P1214" s="45"/>
      <c r="Q1214" s="45"/>
      <c r="R1214" s="45"/>
      <c r="S1214" s="45"/>
      <c r="T1214" s="45"/>
      <c r="U1214" s="45"/>
    </row>
    <row r="1215">
      <c r="A1215" s="79" t="s">
        <v>8350</v>
      </c>
      <c r="B1215" s="45"/>
      <c r="C1215" s="79" t="s">
        <v>8351</v>
      </c>
      <c r="D1215" s="45"/>
      <c r="E1215" s="79" t="s">
        <v>5855</v>
      </c>
      <c r="F1215" s="79" t="s">
        <v>5944</v>
      </c>
      <c r="G1215" s="45"/>
      <c r="H1215" s="80">
        <v>0.00428</v>
      </c>
      <c r="I1215" s="45"/>
      <c r="J1215" s="45"/>
      <c r="K1215" s="45"/>
      <c r="L1215" s="45"/>
      <c r="M1215" s="45"/>
      <c r="N1215" s="45"/>
      <c r="O1215" s="45"/>
      <c r="P1215" s="45"/>
      <c r="Q1215" s="45"/>
      <c r="R1215" s="45"/>
      <c r="S1215" s="45"/>
      <c r="T1215" s="45"/>
      <c r="U1215" s="45"/>
    </row>
    <row r="1216">
      <c r="A1216" s="79" t="s">
        <v>8352</v>
      </c>
      <c r="B1216" s="45"/>
      <c r="C1216" s="79" t="s">
        <v>8353</v>
      </c>
      <c r="D1216" s="45"/>
      <c r="E1216" s="79" t="s">
        <v>5218</v>
      </c>
      <c r="F1216" s="79" t="s">
        <v>5944</v>
      </c>
      <c r="G1216" s="45"/>
      <c r="H1216" s="80">
        <v>0.00426</v>
      </c>
      <c r="I1216" s="45"/>
      <c r="J1216" s="45"/>
      <c r="K1216" s="45"/>
      <c r="L1216" s="45"/>
      <c r="M1216" s="45"/>
      <c r="N1216" s="45"/>
      <c r="O1216" s="45"/>
      <c r="P1216" s="45"/>
      <c r="Q1216" s="45"/>
      <c r="R1216" s="45"/>
      <c r="S1216" s="45"/>
      <c r="T1216" s="45"/>
      <c r="U1216" s="45"/>
    </row>
    <row r="1217">
      <c r="A1217" s="79" t="s">
        <v>8354</v>
      </c>
      <c r="B1217" s="45"/>
      <c r="C1217" s="79" t="s">
        <v>8355</v>
      </c>
      <c r="D1217" s="45"/>
      <c r="E1217" s="79" t="s">
        <v>5229</v>
      </c>
      <c r="F1217" s="79" t="s">
        <v>5944</v>
      </c>
      <c r="G1217" s="45"/>
      <c r="H1217" s="80">
        <v>0.00426</v>
      </c>
      <c r="I1217" s="45"/>
      <c r="J1217" s="45"/>
      <c r="K1217" s="45"/>
      <c r="L1217" s="45"/>
      <c r="M1217" s="45"/>
      <c r="N1217" s="45"/>
      <c r="O1217" s="45"/>
      <c r="P1217" s="45"/>
      <c r="Q1217" s="45"/>
      <c r="R1217" s="45"/>
      <c r="S1217" s="45"/>
      <c r="T1217" s="45"/>
      <c r="U1217" s="45"/>
    </row>
    <row r="1218">
      <c r="A1218" s="79" t="s">
        <v>8356</v>
      </c>
      <c r="B1218" s="45"/>
      <c r="C1218" s="79" t="s">
        <v>8357</v>
      </c>
      <c r="D1218" s="45"/>
      <c r="E1218" s="79" t="s">
        <v>5650</v>
      </c>
      <c r="F1218" s="79" t="s">
        <v>5944</v>
      </c>
      <c r="G1218" s="45"/>
      <c r="H1218" s="80">
        <v>0.00424</v>
      </c>
      <c r="I1218" s="45"/>
      <c r="J1218" s="45"/>
      <c r="K1218" s="45"/>
      <c r="L1218" s="45"/>
      <c r="M1218" s="45"/>
      <c r="N1218" s="45"/>
      <c r="O1218" s="45"/>
      <c r="P1218" s="45"/>
      <c r="Q1218" s="45"/>
      <c r="R1218" s="45"/>
      <c r="S1218" s="45"/>
      <c r="T1218" s="45"/>
      <c r="U1218" s="45"/>
    </row>
    <row r="1219">
      <c r="A1219" s="79" t="s">
        <v>8358</v>
      </c>
      <c r="B1219" s="45"/>
      <c r="C1219" s="79" t="s">
        <v>8359</v>
      </c>
      <c r="D1219" s="45"/>
      <c r="E1219" s="79" t="s">
        <v>5382</v>
      </c>
      <c r="F1219" s="79" t="s">
        <v>5944</v>
      </c>
      <c r="G1219" s="45"/>
      <c r="H1219" s="80">
        <v>0.00423</v>
      </c>
      <c r="I1219" s="45"/>
      <c r="J1219" s="45"/>
      <c r="K1219" s="45"/>
      <c r="L1219" s="45"/>
      <c r="M1219" s="45"/>
      <c r="N1219" s="45"/>
      <c r="O1219" s="45"/>
      <c r="P1219" s="45"/>
      <c r="Q1219" s="45"/>
      <c r="R1219" s="45"/>
      <c r="S1219" s="45"/>
      <c r="T1219" s="45"/>
      <c r="U1219" s="45"/>
    </row>
    <row r="1220">
      <c r="A1220" s="79" t="s">
        <v>8360</v>
      </c>
      <c r="B1220" s="45"/>
      <c r="C1220" s="79" t="s">
        <v>8361</v>
      </c>
      <c r="D1220" s="45"/>
      <c r="E1220" s="79" t="s">
        <v>5264</v>
      </c>
      <c r="F1220" s="79" t="s">
        <v>5944</v>
      </c>
      <c r="G1220" s="45"/>
      <c r="H1220" s="80">
        <v>0.00423</v>
      </c>
      <c r="I1220" s="45"/>
      <c r="J1220" s="45"/>
      <c r="K1220" s="45"/>
      <c r="L1220" s="45"/>
      <c r="M1220" s="45"/>
      <c r="N1220" s="45"/>
      <c r="O1220" s="45"/>
      <c r="P1220" s="45"/>
      <c r="Q1220" s="45"/>
      <c r="R1220" s="45"/>
      <c r="S1220" s="45"/>
      <c r="T1220" s="45"/>
      <c r="U1220" s="45"/>
    </row>
    <row r="1221">
      <c r="A1221" s="79" t="s">
        <v>8362</v>
      </c>
      <c r="B1221" s="45"/>
      <c r="C1221" s="79" t="s">
        <v>8363</v>
      </c>
      <c r="D1221" s="45"/>
      <c r="E1221" s="79" t="s">
        <v>5354</v>
      </c>
      <c r="F1221" s="79" t="s">
        <v>5944</v>
      </c>
      <c r="G1221" s="45"/>
      <c r="H1221" s="80">
        <v>0.00422</v>
      </c>
      <c r="I1221" s="45"/>
      <c r="J1221" s="45"/>
      <c r="K1221" s="45"/>
      <c r="L1221" s="45"/>
      <c r="M1221" s="45"/>
      <c r="N1221" s="45"/>
      <c r="O1221" s="45"/>
      <c r="P1221" s="45"/>
      <c r="Q1221" s="45"/>
      <c r="R1221" s="45"/>
      <c r="S1221" s="45"/>
      <c r="T1221" s="45"/>
      <c r="U1221" s="45"/>
    </row>
    <row r="1222">
      <c r="A1222" s="79" t="s">
        <v>8364</v>
      </c>
      <c r="B1222" s="45"/>
      <c r="C1222" s="79" t="s">
        <v>8365</v>
      </c>
      <c r="D1222" s="45"/>
      <c r="E1222" s="79" t="s">
        <v>6012</v>
      </c>
      <c r="F1222" s="79" t="s">
        <v>5944</v>
      </c>
      <c r="G1222" s="45"/>
      <c r="H1222" s="80">
        <v>0.00419</v>
      </c>
      <c r="I1222" s="45"/>
      <c r="J1222" s="45"/>
      <c r="K1222" s="45"/>
      <c r="L1222" s="45"/>
      <c r="M1222" s="45"/>
      <c r="N1222" s="45"/>
      <c r="O1222" s="45"/>
      <c r="P1222" s="45"/>
      <c r="Q1222" s="45"/>
      <c r="R1222" s="45"/>
      <c r="S1222" s="45"/>
      <c r="T1222" s="45"/>
      <c r="U1222" s="45"/>
    </row>
    <row r="1223">
      <c r="A1223" s="79" t="s">
        <v>8366</v>
      </c>
      <c r="B1223" s="45"/>
      <c r="C1223" s="79" t="s">
        <v>8367</v>
      </c>
      <c r="D1223" s="45"/>
      <c r="E1223" s="79" t="s">
        <v>6012</v>
      </c>
      <c r="F1223" s="79" t="s">
        <v>5944</v>
      </c>
      <c r="G1223" s="45"/>
      <c r="H1223" s="80">
        <v>0.00419</v>
      </c>
      <c r="I1223" s="45"/>
      <c r="J1223" s="45"/>
      <c r="K1223" s="45"/>
      <c r="L1223" s="45"/>
      <c r="M1223" s="45"/>
      <c r="N1223" s="45"/>
      <c r="O1223" s="45"/>
      <c r="P1223" s="45"/>
      <c r="Q1223" s="45"/>
      <c r="R1223" s="45"/>
      <c r="S1223" s="45"/>
      <c r="T1223" s="45"/>
      <c r="U1223" s="45"/>
    </row>
    <row r="1224">
      <c r="A1224" s="79" t="s">
        <v>8368</v>
      </c>
      <c r="B1224" s="45"/>
      <c r="C1224" s="79" t="s">
        <v>8369</v>
      </c>
      <c r="D1224" s="45"/>
      <c r="E1224" s="79" t="s">
        <v>5374</v>
      </c>
      <c r="F1224" s="79" t="s">
        <v>5944</v>
      </c>
      <c r="G1224" s="45"/>
      <c r="H1224" s="80">
        <v>0.00419</v>
      </c>
      <c r="I1224" s="45"/>
      <c r="J1224" s="45"/>
      <c r="K1224" s="45"/>
      <c r="L1224" s="45"/>
      <c r="M1224" s="45"/>
      <c r="N1224" s="45"/>
      <c r="O1224" s="45"/>
      <c r="P1224" s="45"/>
      <c r="Q1224" s="45"/>
      <c r="R1224" s="45"/>
      <c r="S1224" s="45"/>
      <c r="T1224" s="45"/>
      <c r="U1224" s="45"/>
    </row>
    <row r="1225">
      <c r="A1225" s="79" t="s">
        <v>8370</v>
      </c>
      <c r="B1225" s="45"/>
      <c r="C1225" s="79" t="s">
        <v>8371</v>
      </c>
      <c r="D1225" s="45"/>
      <c r="E1225" s="79" t="s">
        <v>5704</v>
      </c>
      <c r="F1225" s="79" t="s">
        <v>5944</v>
      </c>
      <c r="G1225" s="45"/>
      <c r="H1225" s="80">
        <v>0.00416</v>
      </c>
      <c r="I1225" s="45"/>
      <c r="J1225" s="45"/>
      <c r="K1225" s="45"/>
      <c r="L1225" s="45"/>
      <c r="M1225" s="45"/>
      <c r="N1225" s="45"/>
      <c r="O1225" s="45"/>
      <c r="P1225" s="45"/>
      <c r="Q1225" s="45"/>
      <c r="R1225" s="45"/>
      <c r="S1225" s="45"/>
      <c r="T1225" s="45"/>
      <c r="U1225" s="45"/>
    </row>
    <row r="1226">
      <c r="A1226" s="79" t="s">
        <v>8372</v>
      </c>
      <c r="B1226" s="45"/>
      <c r="C1226" s="79" t="s">
        <v>8373</v>
      </c>
      <c r="D1226" s="45"/>
      <c r="E1226" s="79" t="s">
        <v>5589</v>
      </c>
      <c r="F1226" s="79" t="s">
        <v>5944</v>
      </c>
      <c r="G1226" s="45"/>
      <c r="H1226" s="80">
        <v>0.00416</v>
      </c>
      <c r="I1226" s="45"/>
      <c r="J1226" s="45"/>
      <c r="K1226" s="45"/>
      <c r="L1226" s="45"/>
      <c r="M1226" s="45"/>
      <c r="N1226" s="45"/>
      <c r="O1226" s="45"/>
      <c r="P1226" s="45"/>
      <c r="Q1226" s="45"/>
      <c r="R1226" s="45"/>
      <c r="S1226" s="45"/>
      <c r="T1226" s="45"/>
      <c r="U1226" s="45"/>
    </row>
    <row r="1227">
      <c r="A1227" s="79" t="s">
        <v>8374</v>
      </c>
      <c r="B1227" s="45"/>
      <c r="C1227" s="79" t="s">
        <v>8375</v>
      </c>
      <c r="D1227" s="45"/>
      <c r="E1227" s="79" t="s">
        <v>5811</v>
      </c>
      <c r="F1227" s="79" t="s">
        <v>5944</v>
      </c>
      <c r="G1227" s="45"/>
      <c r="H1227" s="80">
        <v>0.00415</v>
      </c>
      <c r="I1227" s="45"/>
      <c r="J1227" s="45"/>
      <c r="K1227" s="45"/>
      <c r="L1227" s="45"/>
      <c r="M1227" s="45"/>
      <c r="N1227" s="45"/>
      <c r="O1227" s="45"/>
      <c r="P1227" s="45"/>
      <c r="Q1227" s="45"/>
      <c r="R1227" s="45"/>
      <c r="S1227" s="45"/>
      <c r="T1227" s="45"/>
      <c r="U1227" s="45"/>
    </row>
    <row r="1228">
      <c r="A1228" s="79" t="s">
        <v>8376</v>
      </c>
      <c r="B1228" s="45"/>
      <c r="C1228" s="79" t="s">
        <v>8377</v>
      </c>
      <c r="D1228" s="45"/>
      <c r="E1228" s="79" t="s">
        <v>5650</v>
      </c>
      <c r="F1228" s="79" t="s">
        <v>5944</v>
      </c>
      <c r="G1228" s="45"/>
      <c r="H1228" s="80">
        <v>0.00415</v>
      </c>
      <c r="I1228" s="45"/>
      <c r="J1228" s="45"/>
      <c r="K1228" s="45"/>
      <c r="L1228" s="45"/>
      <c r="M1228" s="45"/>
      <c r="N1228" s="45"/>
      <c r="O1228" s="45"/>
      <c r="P1228" s="45"/>
      <c r="Q1228" s="45"/>
      <c r="R1228" s="45"/>
      <c r="S1228" s="45"/>
      <c r="T1228" s="45"/>
      <c r="U1228" s="45"/>
    </row>
    <row r="1229">
      <c r="A1229" s="79" t="s">
        <v>8378</v>
      </c>
      <c r="B1229" s="45"/>
      <c r="C1229" s="79" t="s">
        <v>8379</v>
      </c>
      <c r="D1229" s="45"/>
      <c r="E1229" s="79" t="s">
        <v>5855</v>
      </c>
      <c r="F1229" s="79" t="s">
        <v>5944</v>
      </c>
      <c r="G1229" s="45"/>
      <c r="H1229" s="80">
        <v>0.00412</v>
      </c>
      <c r="I1229" s="45"/>
      <c r="J1229" s="45"/>
      <c r="K1229" s="45"/>
      <c r="L1229" s="45"/>
      <c r="M1229" s="45"/>
      <c r="N1229" s="45"/>
      <c r="O1229" s="45"/>
      <c r="P1229" s="45"/>
      <c r="Q1229" s="45"/>
      <c r="R1229" s="45"/>
      <c r="S1229" s="45"/>
      <c r="T1229" s="45"/>
      <c r="U1229" s="45"/>
    </row>
    <row r="1230">
      <c r="A1230" s="79" t="s">
        <v>8380</v>
      </c>
      <c r="B1230" s="45"/>
      <c r="C1230" s="79" t="s">
        <v>8381</v>
      </c>
      <c r="D1230" s="45"/>
      <c r="E1230" s="79" t="s">
        <v>5366</v>
      </c>
      <c r="F1230" s="79" t="s">
        <v>5944</v>
      </c>
      <c r="G1230" s="45"/>
      <c r="H1230" s="80">
        <v>0.00412</v>
      </c>
      <c r="I1230" s="45"/>
      <c r="J1230" s="45"/>
      <c r="K1230" s="45"/>
      <c r="L1230" s="45"/>
      <c r="M1230" s="45"/>
      <c r="N1230" s="45"/>
      <c r="O1230" s="45"/>
      <c r="P1230" s="45"/>
      <c r="Q1230" s="45"/>
      <c r="R1230" s="45"/>
      <c r="S1230" s="45"/>
      <c r="T1230" s="45"/>
      <c r="U1230" s="45"/>
    </row>
    <row r="1231">
      <c r="A1231" s="79" t="s">
        <v>8382</v>
      </c>
      <c r="B1231" s="45"/>
      <c r="C1231" s="79" t="s">
        <v>8383</v>
      </c>
      <c r="D1231" s="45"/>
      <c r="E1231" s="79" t="s">
        <v>5218</v>
      </c>
      <c r="F1231" s="79" t="s">
        <v>5944</v>
      </c>
      <c r="G1231" s="45"/>
      <c r="H1231" s="80">
        <v>0.0041</v>
      </c>
      <c r="I1231" s="45"/>
      <c r="J1231" s="45"/>
      <c r="K1231" s="45"/>
      <c r="L1231" s="45"/>
      <c r="M1231" s="45"/>
      <c r="N1231" s="45"/>
      <c r="O1231" s="45"/>
      <c r="P1231" s="45"/>
      <c r="Q1231" s="45"/>
      <c r="R1231" s="45"/>
      <c r="S1231" s="45"/>
      <c r="T1231" s="45"/>
      <c r="U1231" s="45"/>
    </row>
    <row r="1232">
      <c r="A1232" s="79" t="s">
        <v>8384</v>
      </c>
      <c r="B1232" s="45"/>
      <c r="C1232" s="79" t="s">
        <v>8385</v>
      </c>
      <c r="D1232" s="45"/>
      <c r="E1232" s="79" t="s">
        <v>5218</v>
      </c>
      <c r="F1232" s="79" t="s">
        <v>5944</v>
      </c>
      <c r="G1232" s="45"/>
      <c r="H1232" s="80">
        <v>0.00409</v>
      </c>
      <c r="I1232" s="45"/>
      <c r="J1232" s="45"/>
      <c r="K1232" s="45"/>
      <c r="L1232" s="45"/>
      <c r="M1232" s="45"/>
      <c r="N1232" s="45"/>
      <c r="O1232" s="45"/>
      <c r="P1232" s="45"/>
      <c r="Q1232" s="45"/>
      <c r="R1232" s="45"/>
      <c r="S1232" s="45"/>
      <c r="T1232" s="45"/>
      <c r="U1232" s="45"/>
    </row>
    <row r="1233">
      <c r="A1233" s="79" t="s">
        <v>8386</v>
      </c>
      <c r="B1233" s="45"/>
      <c r="C1233" s="79" t="s">
        <v>8387</v>
      </c>
      <c r="D1233" s="45"/>
      <c r="E1233" s="79" t="s">
        <v>5283</v>
      </c>
      <c r="F1233" s="79" t="s">
        <v>5944</v>
      </c>
      <c r="G1233" s="45"/>
      <c r="H1233" s="80">
        <v>0.00409</v>
      </c>
      <c r="I1233" s="45"/>
      <c r="J1233" s="45"/>
      <c r="K1233" s="45"/>
      <c r="L1233" s="45"/>
      <c r="M1233" s="45"/>
      <c r="N1233" s="45"/>
      <c r="O1233" s="45"/>
      <c r="P1233" s="45"/>
      <c r="Q1233" s="45"/>
      <c r="R1233" s="45"/>
      <c r="S1233" s="45"/>
      <c r="T1233" s="45"/>
      <c r="U1233" s="45"/>
    </row>
    <row r="1234">
      <c r="A1234" s="79" t="s">
        <v>8388</v>
      </c>
      <c r="B1234" s="45"/>
      <c r="C1234" s="79" t="s">
        <v>8389</v>
      </c>
      <c r="D1234" s="45"/>
      <c r="E1234" s="79" t="s">
        <v>5513</v>
      </c>
      <c r="F1234" s="79" t="s">
        <v>5944</v>
      </c>
      <c r="G1234" s="45"/>
      <c r="H1234" s="80">
        <v>0.00409</v>
      </c>
      <c r="I1234" s="45"/>
      <c r="J1234" s="45"/>
      <c r="K1234" s="45"/>
      <c r="L1234" s="45"/>
      <c r="M1234" s="45"/>
      <c r="N1234" s="45"/>
      <c r="O1234" s="45"/>
      <c r="P1234" s="45"/>
      <c r="Q1234" s="45"/>
      <c r="R1234" s="45"/>
      <c r="S1234" s="45"/>
      <c r="T1234" s="45"/>
      <c r="U1234" s="45"/>
    </row>
    <row r="1235">
      <c r="A1235" s="79" t="s">
        <v>8390</v>
      </c>
      <c r="B1235" s="45"/>
      <c r="C1235" s="79" t="s">
        <v>8391</v>
      </c>
      <c r="D1235" s="45"/>
      <c r="E1235" s="79" t="s">
        <v>5561</v>
      </c>
      <c r="F1235" s="79" t="s">
        <v>5944</v>
      </c>
      <c r="G1235" s="45"/>
      <c r="H1235" s="80">
        <v>0.00408</v>
      </c>
      <c r="I1235" s="45"/>
      <c r="J1235" s="45"/>
      <c r="K1235" s="45"/>
      <c r="L1235" s="45"/>
      <c r="M1235" s="45"/>
      <c r="N1235" s="45"/>
      <c r="O1235" s="45"/>
      <c r="P1235" s="45"/>
      <c r="Q1235" s="45"/>
      <c r="R1235" s="45"/>
      <c r="S1235" s="45"/>
      <c r="T1235" s="45"/>
      <c r="U1235" s="45"/>
    </row>
    <row r="1236">
      <c r="A1236" s="79" t="s">
        <v>8392</v>
      </c>
      <c r="B1236" s="45"/>
      <c r="C1236" s="79" t="s">
        <v>8393</v>
      </c>
      <c r="D1236" s="45"/>
      <c r="E1236" s="79" t="s">
        <v>5338</v>
      </c>
      <c r="F1236" s="79" t="s">
        <v>5944</v>
      </c>
      <c r="G1236" s="45"/>
      <c r="H1236" s="80">
        <v>0.00407</v>
      </c>
      <c r="I1236" s="45"/>
      <c r="J1236" s="45"/>
      <c r="K1236" s="45"/>
      <c r="L1236" s="45"/>
      <c r="M1236" s="45"/>
      <c r="N1236" s="45"/>
      <c r="O1236" s="45"/>
      <c r="P1236" s="45"/>
      <c r="Q1236" s="45"/>
      <c r="R1236" s="45"/>
      <c r="S1236" s="45"/>
      <c r="T1236" s="45"/>
      <c r="U1236" s="45"/>
    </row>
    <row r="1237">
      <c r="A1237" s="79" t="s">
        <v>8394</v>
      </c>
      <c r="B1237" s="45"/>
      <c r="C1237" s="79" t="s">
        <v>8395</v>
      </c>
      <c r="D1237" s="45"/>
      <c r="E1237" s="79" t="s">
        <v>5691</v>
      </c>
      <c r="F1237" s="79" t="s">
        <v>5944</v>
      </c>
      <c r="G1237" s="45"/>
      <c r="H1237" s="80">
        <v>0.00403</v>
      </c>
      <c r="I1237" s="45"/>
      <c r="J1237" s="45"/>
      <c r="K1237" s="45"/>
      <c r="L1237" s="45"/>
      <c r="M1237" s="45"/>
      <c r="N1237" s="45"/>
      <c r="O1237" s="45"/>
      <c r="P1237" s="45"/>
      <c r="Q1237" s="45"/>
      <c r="R1237" s="45"/>
      <c r="S1237" s="45"/>
      <c r="T1237" s="45"/>
      <c r="U1237" s="45"/>
    </row>
    <row r="1238">
      <c r="A1238" s="79" t="s">
        <v>8396</v>
      </c>
      <c r="B1238" s="45"/>
      <c r="C1238" s="79" t="s">
        <v>8397</v>
      </c>
      <c r="D1238" s="45"/>
      <c r="E1238" s="79" t="s">
        <v>5650</v>
      </c>
      <c r="F1238" s="79" t="s">
        <v>5944</v>
      </c>
      <c r="G1238" s="45"/>
      <c r="H1238" s="80">
        <v>0.00403</v>
      </c>
      <c r="I1238" s="45"/>
      <c r="J1238" s="45"/>
      <c r="K1238" s="45"/>
      <c r="L1238" s="45"/>
      <c r="M1238" s="45"/>
      <c r="N1238" s="45"/>
      <c r="O1238" s="45"/>
      <c r="P1238" s="45"/>
      <c r="Q1238" s="45"/>
      <c r="R1238" s="45"/>
      <c r="S1238" s="45"/>
      <c r="T1238" s="45"/>
      <c r="U1238" s="45"/>
    </row>
    <row r="1239">
      <c r="A1239" s="79" t="s">
        <v>8398</v>
      </c>
      <c r="B1239" s="45"/>
      <c r="C1239" s="79" t="s">
        <v>8399</v>
      </c>
      <c r="D1239" s="45"/>
      <c r="E1239" s="79" t="s">
        <v>5742</v>
      </c>
      <c r="F1239" s="79" t="s">
        <v>5944</v>
      </c>
      <c r="G1239" s="45"/>
      <c r="H1239" s="80">
        <v>0.00402</v>
      </c>
      <c r="I1239" s="45"/>
      <c r="J1239" s="45"/>
      <c r="K1239" s="45"/>
      <c r="L1239" s="45"/>
      <c r="M1239" s="45"/>
      <c r="N1239" s="45"/>
      <c r="O1239" s="45"/>
      <c r="P1239" s="45"/>
      <c r="Q1239" s="45"/>
      <c r="R1239" s="45"/>
      <c r="S1239" s="45"/>
      <c r="T1239" s="45"/>
      <c r="U1239" s="45"/>
    </row>
    <row r="1240">
      <c r="A1240" s="79" t="s">
        <v>8400</v>
      </c>
      <c r="B1240" s="45"/>
      <c r="C1240" s="79" t="s">
        <v>8401</v>
      </c>
      <c r="D1240" s="45"/>
      <c r="E1240" s="79" t="s">
        <v>5434</v>
      </c>
      <c r="F1240" s="79" t="s">
        <v>5944</v>
      </c>
      <c r="G1240" s="45"/>
      <c r="H1240" s="80">
        <v>0.00402</v>
      </c>
      <c r="I1240" s="45"/>
      <c r="J1240" s="45"/>
      <c r="K1240" s="45"/>
      <c r="L1240" s="45"/>
      <c r="M1240" s="45"/>
      <c r="N1240" s="45"/>
      <c r="O1240" s="45"/>
      <c r="P1240" s="45"/>
      <c r="Q1240" s="45"/>
      <c r="R1240" s="45"/>
      <c r="S1240" s="45"/>
      <c r="T1240" s="45"/>
      <c r="U1240" s="45"/>
    </row>
    <row r="1241">
      <c r="A1241" s="79" t="s">
        <v>8402</v>
      </c>
      <c r="B1241" s="45"/>
      <c r="C1241" s="79" t="s">
        <v>8403</v>
      </c>
      <c r="D1241" s="45"/>
      <c r="E1241" s="79" t="s">
        <v>5211</v>
      </c>
      <c r="F1241" s="79" t="s">
        <v>5944</v>
      </c>
      <c r="G1241" s="45"/>
      <c r="H1241" s="80">
        <v>0.00402</v>
      </c>
      <c r="I1241" s="45"/>
      <c r="J1241" s="45"/>
      <c r="K1241" s="45"/>
      <c r="L1241" s="45"/>
      <c r="M1241" s="45"/>
      <c r="N1241" s="45"/>
      <c r="O1241" s="45"/>
      <c r="P1241" s="45"/>
      <c r="Q1241" s="45"/>
      <c r="R1241" s="45"/>
      <c r="S1241" s="45"/>
      <c r="T1241" s="45"/>
      <c r="U1241" s="45"/>
    </row>
    <row r="1242">
      <c r="A1242" s="79" t="s">
        <v>8404</v>
      </c>
      <c r="B1242" s="45"/>
      <c r="C1242" s="79" t="s">
        <v>8405</v>
      </c>
      <c r="D1242" s="45"/>
      <c r="E1242" s="79" t="s">
        <v>5650</v>
      </c>
      <c r="F1242" s="79" t="s">
        <v>5944</v>
      </c>
      <c r="G1242" s="45"/>
      <c r="H1242" s="80">
        <v>0.004</v>
      </c>
      <c r="I1242" s="45"/>
      <c r="J1242" s="45"/>
      <c r="K1242" s="45"/>
      <c r="L1242" s="45"/>
      <c r="M1242" s="45"/>
      <c r="N1242" s="45"/>
      <c r="O1242" s="45"/>
      <c r="P1242" s="45"/>
      <c r="Q1242" s="45"/>
      <c r="R1242" s="45"/>
      <c r="S1242" s="45"/>
      <c r="T1242" s="45"/>
      <c r="U1242" s="45"/>
    </row>
    <row r="1243">
      <c r="A1243" s="79" t="s">
        <v>8406</v>
      </c>
      <c r="B1243" s="45"/>
      <c r="C1243" s="79" t="s">
        <v>8407</v>
      </c>
      <c r="D1243" s="45"/>
      <c r="E1243" s="79" t="s">
        <v>7846</v>
      </c>
      <c r="F1243" s="79" t="s">
        <v>5944</v>
      </c>
      <c r="G1243" s="45"/>
      <c r="H1243" s="80">
        <v>0.00399</v>
      </c>
      <c r="I1243" s="45"/>
      <c r="J1243" s="45"/>
      <c r="K1243" s="45"/>
      <c r="L1243" s="45"/>
      <c r="M1243" s="45"/>
      <c r="N1243" s="45"/>
      <c r="O1243" s="45"/>
      <c r="P1243" s="45"/>
      <c r="Q1243" s="45"/>
      <c r="R1243" s="45"/>
      <c r="S1243" s="45"/>
      <c r="T1243" s="45"/>
      <c r="U1243" s="45"/>
    </row>
    <row r="1244">
      <c r="A1244" s="79" t="s">
        <v>8408</v>
      </c>
      <c r="B1244" s="45"/>
      <c r="C1244" s="79" t="s">
        <v>8409</v>
      </c>
      <c r="D1244" s="45"/>
      <c r="E1244" s="79" t="s">
        <v>5354</v>
      </c>
      <c r="F1244" s="79" t="s">
        <v>5944</v>
      </c>
      <c r="G1244" s="45"/>
      <c r="H1244" s="80">
        <v>0.00399</v>
      </c>
      <c r="I1244" s="45"/>
      <c r="J1244" s="45"/>
      <c r="K1244" s="45"/>
      <c r="L1244" s="45"/>
      <c r="M1244" s="45"/>
      <c r="N1244" s="45"/>
      <c r="O1244" s="45"/>
      <c r="P1244" s="45"/>
      <c r="Q1244" s="45"/>
      <c r="R1244" s="45"/>
      <c r="S1244" s="45"/>
      <c r="T1244" s="45"/>
      <c r="U1244" s="45"/>
    </row>
    <row r="1245">
      <c r="A1245" s="79" t="s">
        <v>8410</v>
      </c>
      <c r="B1245" s="45"/>
      <c r="C1245" s="79" t="s">
        <v>8411</v>
      </c>
      <c r="D1245" s="45"/>
      <c r="E1245" s="79" t="s">
        <v>5855</v>
      </c>
      <c r="F1245" s="79" t="s">
        <v>5944</v>
      </c>
      <c r="G1245" s="45"/>
      <c r="H1245" s="80">
        <v>0.00397</v>
      </c>
      <c r="I1245" s="45"/>
      <c r="J1245" s="45"/>
      <c r="K1245" s="45"/>
      <c r="L1245" s="45"/>
      <c r="M1245" s="45"/>
      <c r="N1245" s="45"/>
      <c r="O1245" s="45"/>
      <c r="P1245" s="45"/>
      <c r="Q1245" s="45"/>
      <c r="R1245" s="45"/>
      <c r="S1245" s="45"/>
      <c r="T1245" s="45"/>
      <c r="U1245" s="45"/>
    </row>
    <row r="1246">
      <c r="A1246" s="79" t="s">
        <v>8412</v>
      </c>
      <c r="B1246" s="45"/>
      <c r="C1246" s="79" t="s">
        <v>8413</v>
      </c>
      <c r="D1246" s="45"/>
      <c r="E1246" s="79" t="s">
        <v>6801</v>
      </c>
      <c r="F1246" s="79" t="s">
        <v>5944</v>
      </c>
      <c r="G1246" s="45"/>
      <c r="H1246" s="80">
        <v>0.00397</v>
      </c>
      <c r="I1246" s="45"/>
      <c r="J1246" s="45"/>
      <c r="K1246" s="45"/>
      <c r="L1246" s="45"/>
      <c r="M1246" s="45"/>
      <c r="N1246" s="45"/>
      <c r="O1246" s="45"/>
      <c r="P1246" s="45"/>
      <c r="Q1246" s="45"/>
      <c r="R1246" s="45"/>
      <c r="S1246" s="45"/>
      <c r="T1246" s="45"/>
      <c r="U1246" s="45"/>
    </row>
    <row r="1247">
      <c r="A1247" s="79" t="s">
        <v>8414</v>
      </c>
      <c r="B1247" s="45"/>
      <c r="C1247" s="79" t="s">
        <v>8415</v>
      </c>
      <c r="D1247" s="45"/>
      <c r="E1247" s="79" t="s">
        <v>5561</v>
      </c>
      <c r="F1247" s="79" t="s">
        <v>5944</v>
      </c>
      <c r="G1247" s="45"/>
      <c r="H1247" s="80">
        <v>0.00396</v>
      </c>
      <c r="I1247" s="45"/>
      <c r="J1247" s="45"/>
      <c r="K1247" s="45"/>
      <c r="L1247" s="45"/>
      <c r="M1247" s="45"/>
      <c r="N1247" s="45"/>
      <c r="O1247" s="45"/>
      <c r="P1247" s="45"/>
      <c r="Q1247" s="45"/>
      <c r="R1247" s="45"/>
      <c r="S1247" s="45"/>
      <c r="T1247" s="45"/>
      <c r="U1247" s="45"/>
    </row>
    <row r="1248">
      <c r="A1248" s="79" t="s">
        <v>8416</v>
      </c>
      <c r="B1248" s="45"/>
      <c r="C1248" s="79" t="s">
        <v>8417</v>
      </c>
      <c r="D1248" s="45"/>
      <c r="E1248" s="79" t="s">
        <v>6110</v>
      </c>
      <c r="F1248" s="79" t="s">
        <v>5944</v>
      </c>
      <c r="G1248" s="45"/>
      <c r="H1248" s="80">
        <v>0.00396</v>
      </c>
      <c r="I1248" s="45"/>
      <c r="J1248" s="45"/>
      <c r="K1248" s="45"/>
      <c r="L1248" s="45"/>
      <c r="M1248" s="45"/>
      <c r="N1248" s="45"/>
      <c r="O1248" s="45"/>
      <c r="P1248" s="45"/>
      <c r="Q1248" s="45"/>
      <c r="R1248" s="45"/>
      <c r="S1248" s="45"/>
      <c r="T1248" s="45"/>
      <c r="U1248" s="45"/>
    </row>
    <row r="1249">
      <c r="A1249" s="79" t="s">
        <v>8418</v>
      </c>
      <c r="B1249" s="45"/>
      <c r="C1249" s="79" t="s">
        <v>8419</v>
      </c>
      <c r="D1249" s="45"/>
      <c r="E1249" s="79" t="s">
        <v>5246</v>
      </c>
      <c r="F1249" s="79" t="s">
        <v>5944</v>
      </c>
      <c r="G1249" s="45"/>
      <c r="H1249" s="80">
        <v>0.00395</v>
      </c>
      <c r="I1249" s="45"/>
      <c r="J1249" s="45"/>
      <c r="K1249" s="45"/>
      <c r="L1249" s="45"/>
      <c r="M1249" s="45"/>
      <c r="N1249" s="45"/>
      <c r="O1249" s="45"/>
      <c r="P1249" s="45"/>
      <c r="Q1249" s="45"/>
      <c r="R1249" s="45"/>
      <c r="S1249" s="45"/>
      <c r="T1249" s="45"/>
      <c r="U1249" s="45"/>
    </row>
    <row r="1250">
      <c r="A1250" s="79" t="s">
        <v>8420</v>
      </c>
      <c r="B1250" s="45"/>
      <c r="C1250" s="79" t="s">
        <v>8421</v>
      </c>
      <c r="D1250" s="45"/>
      <c r="E1250" s="79" t="s">
        <v>5961</v>
      </c>
      <c r="F1250" s="79" t="s">
        <v>5944</v>
      </c>
      <c r="G1250" s="45"/>
      <c r="H1250" s="80">
        <v>0.00395</v>
      </c>
      <c r="I1250" s="45"/>
      <c r="J1250" s="45"/>
      <c r="K1250" s="45"/>
      <c r="L1250" s="45"/>
      <c r="M1250" s="45"/>
      <c r="N1250" s="45"/>
      <c r="O1250" s="45"/>
      <c r="P1250" s="45"/>
      <c r="Q1250" s="45"/>
      <c r="R1250" s="45"/>
      <c r="S1250" s="45"/>
      <c r="T1250" s="45"/>
      <c r="U1250" s="45"/>
    </row>
    <row r="1251">
      <c r="A1251" s="79" t="s">
        <v>8422</v>
      </c>
      <c r="B1251" s="45"/>
      <c r="C1251" s="79" t="s">
        <v>8423</v>
      </c>
      <c r="D1251" s="45"/>
      <c r="E1251" s="79" t="s">
        <v>5462</v>
      </c>
      <c r="F1251" s="79" t="s">
        <v>5944</v>
      </c>
      <c r="G1251" s="45"/>
      <c r="H1251" s="80">
        <v>0.00395</v>
      </c>
      <c r="I1251" s="45"/>
      <c r="J1251" s="45"/>
      <c r="K1251" s="45"/>
      <c r="L1251" s="45"/>
      <c r="M1251" s="45"/>
      <c r="N1251" s="45"/>
      <c r="O1251" s="45"/>
      <c r="P1251" s="45"/>
      <c r="Q1251" s="45"/>
      <c r="R1251" s="45"/>
      <c r="S1251" s="45"/>
      <c r="T1251" s="45"/>
      <c r="U1251" s="45"/>
    </row>
    <row r="1252">
      <c r="A1252" s="79" t="s">
        <v>8424</v>
      </c>
      <c r="B1252" s="45"/>
      <c r="C1252" s="79" t="s">
        <v>8425</v>
      </c>
      <c r="D1252" s="45"/>
      <c r="E1252" s="79" t="s">
        <v>5478</v>
      </c>
      <c r="F1252" s="79" t="s">
        <v>5944</v>
      </c>
      <c r="G1252" s="45"/>
      <c r="H1252" s="80">
        <v>0.00394</v>
      </c>
      <c r="I1252" s="45"/>
      <c r="J1252" s="45"/>
      <c r="K1252" s="45"/>
      <c r="L1252" s="45"/>
      <c r="M1252" s="45"/>
      <c r="N1252" s="45"/>
      <c r="O1252" s="45"/>
      <c r="P1252" s="45"/>
      <c r="Q1252" s="45"/>
      <c r="R1252" s="45"/>
      <c r="S1252" s="45"/>
      <c r="T1252" s="45"/>
      <c r="U1252" s="45"/>
    </row>
    <row r="1253">
      <c r="A1253" s="79" t="s">
        <v>8426</v>
      </c>
      <c r="B1253" s="45"/>
      <c r="C1253" s="79" t="s">
        <v>8427</v>
      </c>
      <c r="D1253" s="45"/>
      <c r="E1253" s="79" t="s">
        <v>5267</v>
      </c>
      <c r="F1253" s="79" t="s">
        <v>5944</v>
      </c>
      <c r="G1253" s="45"/>
      <c r="H1253" s="80">
        <v>0.00393</v>
      </c>
      <c r="I1253" s="45"/>
      <c r="J1253" s="45"/>
      <c r="K1253" s="45"/>
      <c r="L1253" s="45"/>
      <c r="M1253" s="45"/>
      <c r="N1253" s="45"/>
      <c r="O1253" s="45"/>
      <c r="P1253" s="45"/>
      <c r="Q1253" s="45"/>
      <c r="R1253" s="45"/>
      <c r="S1253" s="45"/>
      <c r="T1253" s="45"/>
      <c r="U1253" s="45"/>
    </row>
    <row r="1254">
      <c r="A1254" s="79" t="s">
        <v>8428</v>
      </c>
      <c r="B1254" s="45"/>
      <c r="C1254" s="79" t="s">
        <v>8429</v>
      </c>
      <c r="D1254" s="45"/>
      <c r="E1254" s="79" t="s">
        <v>5218</v>
      </c>
      <c r="F1254" s="79" t="s">
        <v>5944</v>
      </c>
      <c r="G1254" s="45"/>
      <c r="H1254" s="80">
        <v>0.00392</v>
      </c>
      <c r="I1254" s="45"/>
      <c r="J1254" s="45"/>
      <c r="K1254" s="45"/>
      <c r="L1254" s="45"/>
      <c r="M1254" s="45"/>
      <c r="N1254" s="45"/>
      <c r="O1254" s="45"/>
      <c r="P1254" s="45"/>
      <c r="Q1254" s="45"/>
      <c r="R1254" s="45"/>
      <c r="S1254" s="45"/>
      <c r="T1254" s="45"/>
      <c r="U1254" s="45"/>
    </row>
    <row r="1255">
      <c r="A1255" s="79" t="s">
        <v>8430</v>
      </c>
      <c r="B1255" s="45"/>
      <c r="C1255" s="79" t="s">
        <v>8431</v>
      </c>
      <c r="D1255" s="45"/>
      <c r="E1255" s="79" t="s">
        <v>5218</v>
      </c>
      <c r="F1255" s="79" t="s">
        <v>5944</v>
      </c>
      <c r="G1255" s="45"/>
      <c r="H1255" s="80">
        <v>0.00392</v>
      </c>
      <c r="I1255" s="45"/>
      <c r="J1255" s="45"/>
      <c r="K1255" s="45"/>
      <c r="L1255" s="45"/>
      <c r="M1255" s="45"/>
      <c r="N1255" s="45"/>
      <c r="O1255" s="45"/>
      <c r="P1255" s="45"/>
      <c r="Q1255" s="45"/>
      <c r="R1255" s="45"/>
      <c r="S1255" s="45"/>
      <c r="T1255" s="45"/>
      <c r="U1255" s="45"/>
    </row>
    <row r="1256">
      <c r="A1256" s="79" t="s">
        <v>8432</v>
      </c>
      <c r="B1256" s="45"/>
      <c r="C1256" s="79" t="s">
        <v>8433</v>
      </c>
      <c r="D1256" s="45"/>
      <c r="E1256" s="79" t="s">
        <v>5478</v>
      </c>
      <c r="F1256" s="79" t="s">
        <v>5944</v>
      </c>
      <c r="G1256" s="45"/>
      <c r="H1256" s="80">
        <v>0.00391</v>
      </c>
      <c r="I1256" s="45"/>
      <c r="J1256" s="45"/>
      <c r="K1256" s="45"/>
      <c r="L1256" s="45"/>
      <c r="M1256" s="45"/>
      <c r="N1256" s="45"/>
      <c r="O1256" s="45"/>
      <c r="P1256" s="45"/>
      <c r="Q1256" s="45"/>
      <c r="R1256" s="45"/>
      <c r="S1256" s="45"/>
      <c r="T1256" s="45"/>
      <c r="U1256" s="45"/>
    </row>
    <row r="1257">
      <c r="A1257" s="79" t="s">
        <v>8434</v>
      </c>
      <c r="B1257" s="45"/>
      <c r="C1257" s="79" t="s">
        <v>8435</v>
      </c>
      <c r="D1257" s="45"/>
      <c r="E1257" s="79" t="s">
        <v>5229</v>
      </c>
      <c r="F1257" s="79" t="s">
        <v>5944</v>
      </c>
      <c r="G1257" s="45"/>
      <c r="H1257" s="80">
        <v>0.00391</v>
      </c>
      <c r="I1257" s="45"/>
      <c r="J1257" s="45"/>
      <c r="K1257" s="45"/>
      <c r="L1257" s="45"/>
      <c r="M1257" s="45"/>
      <c r="N1257" s="45"/>
      <c r="O1257" s="45"/>
      <c r="P1257" s="45"/>
      <c r="Q1257" s="45"/>
      <c r="R1257" s="45"/>
      <c r="S1257" s="45"/>
      <c r="T1257" s="45"/>
      <c r="U1257" s="45"/>
    </row>
    <row r="1258">
      <c r="A1258" s="79" t="s">
        <v>8436</v>
      </c>
      <c r="B1258" s="45"/>
      <c r="C1258" s="79" t="s">
        <v>8437</v>
      </c>
      <c r="D1258" s="45"/>
      <c r="E1258" s="79" t="s">
        <v>5650</v>
      </c>
      <c r="F1258" s="79" t="s">
        <v>5944</v>
      </c>
      <c r="G1258" s="45"/>
      <c r="H1258" s="80">
        <v>0.00391</v>
      </c>
      <c r="I1258" s="45"/>
      <c r="J1258" s="45"/>
      <c r="K1258" s="45"/>
      <c r="L1258" s="45"/>
      <c r="M1258" s="45"/>
      <c r="N1258" s="45"/>
      <c r="O1258" s="45"/>
      <c r="P1258" s="45"/>
      <c r="Q1258" s="45"/>
      <c r="R1258" s="45"/>
      <c r="S1258" s="45"/>
      <c r="T1258" s="45"/>
      <c r="U1258" s="45"/>
    </row>
    <row r="1259">
      <c r="A1259" s="79" t="s">
        <v>8438</v>
      </c>
      <c r="B1259" s="45"/>
      <c r="C1259" s="79" t="s">
        <v>8439</v>
      </c>
      <c r="D1259" s="45"/>
      <c r="E1259" s="79" t="s">
        <v>5366</v>
      </c>
      <c r="F1259" s="79" t="s">
        <v>5944</v>
      </c>
      <c r="G1259" s="45"/>
      <c r="H1259" s="80">
        <v>0.00391</v>
      </c>
      <c r="I1259" s="45"/>
      <c r="J1259" s="45"/>
      <c r="K1259" s="45"/>
      <c r="L1259" s="45"/>
      <c r="M1259" s="45"/>
      <c r="N1259" s="45"/>
      <c r="O1259" s="45"/>
      <c r="P1259" s="45"/>
      <c r="Q1259" s="45"/>
      <c r="R1259" s="45"/>
      <c r="S1259" s="45"/>
      <c r="T1259" s="45"/>
      <c r="U1259" s="45"/>
    </row>
    <row r="1260">
      <c r="A1260" s="79" t="s">
        <v>8440</v>
      </c>
      <c r="B1260" s="45"/>
      <c r="C1260" s="79" t="s">
        <v>8441</v>
      </c>
      <c r="D1260" s="45"/>
      <c r="E1260" s="79" t="s">
        <v>5448</v>
      </c>
      <c r="F1260" s="79" t="s">
        <v>5944</v>
      </c>
      <c r="G1260" s="45"/>
      <c r="H1260" s="80">
        <v>0.00389</v>
      </c>
      <c r="I1260" s="45"/>
      <c r="J1260" s="45"/>
      <c r="K1260" s="45"/>
      <c r="L1260" s="45"/>
      <c r="M1260" s="45"/>
      <c r="N1260" s="45"/>
      <c r="O1260" s="45"/>
      <c r="P1260" s="45"/>
      <c r="Q1260" s="45"/>
      <c r="R1260" s="45"/>
      <c r="S1260" s="45"/>
      <c r="T1260" s="45"/>
      <c r="U1260" s="45"/>
    </row>
    <row r="1261">
      <c r="A1261" s="79" t="s">
        <v>8442</v>
      </c>
      <c r="B1261" s="45"/>
      <c r="C1261" s="79" t="s">
        <v>8443</v>
      </c>
      <c r="D1261" s="45"/>
      <c r="E1261" s="79" t="s">
        <v>5624</v>
      </c>
      <c r="F1261" s="79" t="s">
        <v>5944</v>
      </c>
      <c r="G1261" s="45"/>
      <c r="H1261" s="80">
        <v>0.00388</v>
      </c>
      <c r="I1261" s="45"/>
      <c r="J1261" s="45"/>
      <c r="K1261" s="45"/>
      <c r="L1261" s="45"/>
      <c r="M1261" s="45"/>
      <c r="N1261" s="45"/>
      <c r="O1261" s="45"/>
      <c r="P1261" s="45"/>
      <c r="Q1261" s="45"/>
      <c r="R1261" s="45"/>
      <c r="S1261" s="45"/>
      <c r="T1261" s="45"/>
      <c r="U1261" s="45"/>
    </row>
    <row r="1262">
      <c r="A1262" s="79" t="s">
        <v>8444</v>
      </c>
      <c r="B1262" s="45"/>
      <c r="C1262" s="79" t="s">
        <v>8445</v>
      </c>
      <c r="D1262" s="45"/>
      <c r="E1262" s="79" t="s">
        <v>5650</v>
      </c>
      <c r="F1262" s="79" t="s">
        <v>5944</v>
      </c>
      <c r="G1262" s="45"/>
      <c r="H1262" s="80">
        <v>0.00385</v>
      </c>
      <c r="I1262" s="45"/>
      <c r="J1262" s="45"/>
      <c r="K1262" s="45"/>
      <c r="L1262" s="45"/>
      <c r="M1262" s="45"/>
      <c r="N1262" s="45"/>
      <c r="O1262" s="45"/>
      <c r="P1262" s="45"/>
      <c r="Q1262" s="45"/>
      <c r="R1262" s="45"/>
      <c r="S1262" s="45"/>
      <c r="T1262" s="45"/>
      <c r="U1262" s="45"/>
    </row>
    <row r="1263">
      <c r="A1263" s="79" t="s">
        <v>8446</v>
      </c>
      <c r="B1263" s="45"/>
      <c r="C1263" s="79" t="s">
        <v>8447</v>
      </c>
      <c r="D1263" s="45"/>
      <c r="E1263" s="79" t="s">
        <v>6172</v>
      </c>
      <c r="F1263" s="79" t="s">
        <v>5944</v>
      </c>
      <c r="G1263" s="45"/>
      <c r="H1263" s="80">
        <v>0.00384</v>
      </c>
      <c r="I1263" s="45"/>
      <c r="J1263" s="45"/>
      <c r="K1263" s="45"/>
      <c r="L1263" s="45"/>
      <c r="M1263" s="45"/>
      <c r="N1263" s="45"/>
      <c r="O1263" s="45"/>
      <c r="P1263" s="45"/>
      <c r="Q1263" s="45"/>
      <c r="R1263" s="45"/>
      <c r="S1263" s="45"/>
      <c r="T1263" s="45"/>
      <c r="U1263" s="45"/>
    </row>
    <row r="1264">
      <c r="A1264" s="79" t="s">
        <v>8448</v>
      </c>
      <c r="B1264" s="45"/>
      <c r="C1264" s="79" t="s">
        <v>8449</v>
      </c>
      <c r="D1264" s="45"/>
      <c r="E1264" s="79" t="s">
        <v>5961</v>
      </c>
      <c r="F1264" s="79" t="s">
        <v>5944</v>
      </c>
      <c r="G1264" s="45"/>
      <c r="H1264" s="80">
        <v>0.00382</v>
      </c>
      <c r="I1264" s="45"/>
      <c r="J1264" s="45"/>
      <c r="K1264" s="45"/>
      <c r="L1264" s="45"/>
      <c r="M1264" s="45"/>
      <c r="N1264" s="45"/>
      <c r="O1264" s="45"/>
      <c r="P1264" s="45"/>
      <c r="Q1264" s="45"/>
      <c r="R1264" s="45"/>
      <c r="S1264" s="45"/>
      <c r="T1264" s="45"/>
      <c r="U1264" s="45"/>
    </row>
    <row r="1265">
      <c r="A1265" s="79" t="s">
        <v>8450</v>
      </c>
      <c r="B1265" s="45"/>
      <c r="C1265" s="79" t="s">
        <v>8451</v>
      </c>
      <c r="D1265" s="45"/>
      <c r="E1265" s="79" t="s">
        <v>5218</v>
      </c>
      <c r="F1265" s="79" t="s">
        <v>5944</v>
      </c>
      <c r="G1265" s="45"/>
      <c r="H1265" s="80">
        <v>0.00382</v>
      </c>
      <c r="I1265" s="45"/>
      <c r="J1265" s="45"/>
      <c r="K1265" s="45"/>
      <c r="L1265" s="45"/>
      <c r="M1265" s="45"/>
      <c r="N1265" s="45"/>
      <c r="O1265" s="45"/>
      <c r="P1265" s="45"/>
      <c r="Q1265" s="45"/>
      <c r="R1265" s="45"/>
      <c r="S1265" s="45"/>
      <c r="T1265" s="45"/>
      <c r="U1265" s="45"/>
    </row>
    <row r="1266">
      <c r="A1266" s="79" t="s">
        <v>8452</v>
      </c>
      <c r="B1266" s="45"/>
      <c r="C1266" s="79" t="s">
        <v>8453</v>
      </c>
      <c r="D1266" s="45"/>
      <c r="E1266" s="79" t="s">
        <v>5650</v>
      </c>
      <c r="F1266" s="79" t="s">
        <v>5944</v>
      </c>
      <c r="G1266" s="45"/>
      <c r="H1266" s="80">
        <v>0.0038</v>
      </c>
      <c r="I1266" s="45"/>
      <c r="J1266" s="45"/>
      <c r="K1266" s="45"/>
      <c r="L1266" s="45"/>
      <c r="M1266" s="45"/>
      <c r="N1266" s="45"/>
      <c r="O1266" s="45"/>
      <c r="P1266" s="45"/>
      <c r="Q1266" s="45"/>
      <c r="R1266" s="45"/>
      <c r="S1266" s="45"/>
      <c r="T1266" s="45"/>
      <c r="U1266" s="45"/>
    </row>
    <row r="1267">
      <c r="A1267" s="79" t="s">
        <v>8454</v>
      </c>
      <c r="B1267" s="45"/>
      <c r="C1267" s="79" t="s">
        <v>8455</v>
      </c>
      <c r="D1267" s="45"/>
      <c r="E1267" s="79" t="s">
        <v>5354</v>
      </c>
      <c r="F1267" s="79" t="s">
        <v>5944</v>
      </c>
      <c r="G1267" s="45"/>
      <c r="H1267" s="80">
        <v>0.00379</v>
      </c>
      <c r="I1267" s="45"/>
      <c r="J1267" s="45"/>
      <c r="K1267" s="45"/>
      <c r="L1267" s="45"/>
      <c r="M1267" s="45"/>
      <c r="N1267" s="45"/>
      <c r="O1267" s="45"/>
      <c r="P1267" s="45"/>
      <c r="Q1267" s="45"/>
      <c r="R1267" s="45"/>
      <c r="S1267" s="45"/>
      <c r="T1267" s="45"/>
      <c r="U1267" s="45"/>
    </row>
    <row r="1268">
      <c r="A1268" s="79" t="s">
        <v>8456</v>
      </c>
      <c r="B1268" s="45"/>
      <c r="C1268" s="79" t="s">
        <v>8457</v>
      </c>
      <c r="D1268" s="45"/>
      <c r="E1268" s="79" t="s">
        <v>5218</v>
      </c>
      <c r="F1268" s="79" t="s">
        <v>5944</v>
      </c>
      <c r="G1268" s="45"/>
      <c r="H1268" s="80">
        <v>0.00377</v>
      </c>
      <c r="I1268" s="45"/>
      <c r="J1268" s="45"/>
      <c r="K1268" s="45"/>
      <c r="L1268" s="45"/>
      <c r="M1268" s="45"/>
      <c r="N1268" s="45"/>
      <c r="O1268" s="45"/>
      <c r="P1268" s="45"/>
      <c r="Q1268" s="45"/>
      <c r="R1268" s="45"/>
      <c r="S1268" s="45"/>
      <c r="T1268" s="45"/>
      <c r="U1268" s="45"/>
    </row>
    <row r="1269">
      <c r="A1269" s="79" t="s">
        <v>8458</v>
      </c>
      <c r="B1269" s="45"/>
      <c r="C1269" s="79" t="s">
        <v>8459</v>
      </c>
      <c r="D1269" s="45"/>
      <c r="E1269" s="79" t="s">
        <v>5434</v>
      </c>
      <c r="F1269" s="79" t="s">
        <v>5944</v>
      </c>
      <c r="G1269" s="45"/>
      <c r="H1269" s="80">
        <v>0.00375</v>
      </c>
      <c r="I1269" s="45"/>
      <c r="J1269" s="45"/>
      <c r="K1269" s="45"/>
      <c r="L1269" s="45"/>
      <c r="M1269" s="45"/>
      <c r="N1269" s="45"/>
      <c r="O1269" s="45"/>
      <c r="P1269" s="45"/>
      <c r="Q1269" s="45"/>
      <c r="R1269" s="45"/>
      <c r="S1269" s="45"/>
      <c r="T1269" s="45"/>
      <c r="U1269" s="45"/>
    </row>
    <row r="1270">
      <c r="A1270" s="79" t="s">
        <v>8460</v>
      </c>
      <c r="B1270" s="45"/>
      <c r="C1270" s="79" t="s">
        <v>8461</v>
      </c>
      <c r="D1270" s="45"/>
      <c r="E1270" s="79" t="s">
        <v>5366</v>
      </c>
      <c r="F1270" s="79" t="s">
        <v>5944</v>
      </c>
      <c r="G1270" s="45"/>
      <c r="H1270" s="80">
        <v>0.00374</v>
      </c>
      <c r="I1270" s="45"/>
      <c r="J1270" s="45"/>
      <c r="K1270" s="45"/>
      <c r="L1270" s="45"/>
      <c r="M1270" s="45"/>
      <c r="N1270" s="45"/>
      <c r="O1270" s="45"/>
      <c r="P1270" s="45"/>
      <c r="Q1270" s="45"/>
      <c r="R1270" s="45"/>
      <c r="S1270" s="45"/>
      <c r="T1270" s="45"/>
      <c r="U1270" s="45"/>
    </row>
    <row r="1271">
      <c r="A1271" s="79" t="s">
        <v>8462</v>
      </c>
      <c r="B1271" s="45"/>
      <c r="C1271" s="79" t="s">
        <v>8463</v>
      </c>
      <c r="D1271" s="45"/>
      <c r="E1271" s="79" t="s">
        <v>5682</v>
      </c>
      <c r="F1271" s="79" t="s">
        <v>5944</v>
      </c>
      <c r="G1271" s="45"/>
      <c r="H1271" s="80">
        <v>0.00374</v>
      </c>
      <c r="I1271" s="45"/>
      <c r="J1271" s="45"/>
      <c r="K1271" s="45"/>
      <c r="L1271" s="45"/>
      <c r="M1271" s="45"/>
      <c r="N1271" s="45"/>
      <c r="O1271" s="45"/>
      <c r="P1271" s="45"/>
      <c r="Q1271" s="45"/>
      <c r="R1271" s="45"/>
      <c r="S1271" s="45"/>
      <c r="T1271" s="45"/>
      <c r="U1271" s="45"/>
    </row>
    <row r="1272">
      <c r="A1272" s="79" t="s">
        <v>8464</v>
      </c>
      <c r="B1272" s="45"/>
      <c r="C1272" s="79" t="s">
        <v>8465</v>
      </c>
      <c r="D1272" s="45"/>
      <c r="E1272" s="79" t="s">
        <v>6514</v>
      </c>
      <c r="F1272" s="79" t="s">
        <v>5944</v>
      </c>
      <c r="G1272" s="45"/>
      <c r="H1272" s="80">
        <v>0.00373</v>
      </c>
      <c r="I1272" s="45"/>
      <c r="J1272" s="45"/>
      <c r="K1272" s="45"/>
      <c r="L1272" s="45"/>
      <c r="M1272" s="45"/>
      <c r="N1272" s="45"/>
      <c r="O1272" s="45"/>
      <c r="P1272" s="45"/>
      <c r="Q1272" s="45"/>
      <c r="R1272" s="45"/>
      <c r="S1272" s="45"/>
      <c r="T1272" s="45"/>
      <c r="U1272" s="45"/>
    </row>
    <row r="1273">
      <c r="A1273" s="79" t="s">
        <v>8466</v>
      </c>
      <c r="B1273" s="45"/>
      <c r="C1273" s="79" t="s">
        <v>8467</v>
      </c>
      <c r="D1273" s="45"/>
      <c r="E1273" s="79" t="s">
        <v>6472</v>
      </c>
      <c r="F1273" s="79" t="s">
        <v>5944</v>
      </c>
      <c r="G1273" s="45"/>
      <c r="H1273" s="80">
        <v>0.00371</v>
      </c>
      <c r="I1273" s="45"/>
      <c r="J1273" s="45"/>
      <c r="K1273" s="45"/>
      <c r="L1273" s="45"/>
      <c r="M1273" s="45"/>
      <c r="N1273" s="45"/>
      <c r="O1273" s="45"/>
      <c r="P1273" s="45"/>
      <c r="Q1273" s="45"/>
      <c r="R1273" s="45"/>
      <c r="S1273" s="45"/>
      <c r="T1273" s="45"/>
      <c r="U1273" s="45"/>
    </row>
    <row r="1274">
      <c r="A1274" s="79" t="s">
        <v>8468</v>
      </c>
      <c r="B1274" s="45"/>
      <c r="C1274" s="79" t="s">
        <v>8469</v>
      </c>
      <c r="D1274" s="45"/>
      <c r="E1274" s="79" t="s">
        <v>6130</v>
      </c>
      <c r="F1274" s="79" t="s">
        <v>5944</v>
      </c>
      <c r="G1274" s="45"/>
      <c r="H1274" s="80">
        <v>0.00371</v>
      </c>
      <c r="I1274" s="45"/>
      <c r="J1274" s="45"/>
      <c r="K1274" s="45"/>
      <c r="L1274" s="45"/>
      <c r="M1274" s="45"/>
      <c r="N1274" s="45"/>
      <c r="O1274" s="45"/>
      <c r="P1274" s="45"/>
      <c r="Q1274" s="45"/>
      <c r="R1274" s="45"/>
      <c r="S1274" s="45"/>
      <c r="T1274" s="45"/>
      <c r="U1274" s="45"/>
    </row>
    <row r="1275">
      <c r="A1275" s="79" t="s">
        <v>8470</v>
      </c>
      <c r="B1275" s="45"/>
      <c r="C1275" s="79" t="s">
        <v>8471</v>
      </c>
      <c r="D1275" s="45"/>
      <c r="E1275" s="79" t="s">
        <v>5589</v>
      </c>
      <c r="F1275" s="79" t="s">
        <v>5944</v>
      </c>
      <c r="G1275" s="45"/>
      <c r="H1275" s="80">
        <v>0.0037</v>
      </c>
      <c r="I1275" s="45"/>
      <c r="J1275" s="45"/>
      <c r="K1275" s="45"/>
      <c r="L1275" s="45"/>
      <c r="M1275" s="45"/>
      <c r="N1275" s="45"/>
      <c r="O1275" s="45"/>
      <c r="P1275" s="45"/>
      <c r="Q1275" s="45"/>
      <c r="R1275" s="45"/>
      <c r="S1275" s="45"/>
      <c r="T1275" s="45"/>
      <c r="U1275" s="45"/>
    </row>
    <row r="1276">
      <c r="A1276" s="79" t="s">
        <v>8472</v>
      </c>
      <c r="B1276" s="45"/>
      <c r="C1276" s="79" t="s">
        <v>8473</v>
      </c>
      <c r="D1276" s="45"/>
      <c r="E1276" s="79" t="s">
        <v>5211</v>
      </c>
      <c r="F1276" s="79" t="s">
        <v>5944</v>
      </c>
      <c r="G1276" s="45"/>
      <c r="H1276" s="80">
        <v>0.00369</v>
      </c>
      <c r="I1276" s="45"/>
      <c r="J1276" s="45"/>
      <c r="K1276" s="45"/>
      <c r="L1276" s="45"/>
      <c r="M1276" s="45"/>
      <c r="N1276" s="45"/>
      <c r="O1276" s="45"/>
      <c r="P1276" s="45"/>
      <c r="Q1276" s="45"/>
      <c r="R1276" s="45"/>
      <c r="S1276" s="45"/>
      <c r="T1276" s="45"/>
      <c r="U1276" s="45"/>
    </row>
    <row r="1277">
      <c r="A1277" s="79" t="s">
        <v>8474</v>
      </c>
      <c r="B1277" s="45"/>
      <c r="C1277" s="79" t="s">
        <v>8475</v>
      </c>
      <c r="D1277" s="45"/>
      <c r="E1277" s="79" t="s">
        <v>5366</v>
      </c>
      <c r="F1277" s="79" t="s">
        <v>5944</v>
      </c>
      <c r="G1277" s="45"/>
      <c r="H1277" s="80">
        <v>0.00369</v>
      </c>
      <c r="I1277" s="45"/>
      <c r="J1277" s="45"/>
      <c r="K1277" s="45"/>
      <c r="L1277" s="45"/>
      <c r="M1277" s="45"/>
      <c r="N1277" s="45"/>
      <c r="O1277" s="45"/>
      <c r="P1277" s="45"/>
      <c r="Q1277" s="45"/>
      <c r="R1277" s="45"/>
      <c r="S1277" s="45"/>
      <c r="T1277" s="45"/>
      <c r="U1277" s="45"/>
    </row>
    <row r="1278">
      <c r="A1278" s="79" t="s">
        <v>8476</v>
      </c>
      <c r="B1278" s="45"/>
      <c r="C1278" s="79" t="s">
        <v>8477</v>
      </c>
      <c r="D1278" s="45"/>
      <c r="E1278" s="79" t="s">
        <v>5561</v>
      </c>
      <c r="F1278" s="79" t="s">
        <v>5944</v>
      </c>
      <c r="G1278" s="45"/>
      <c r="H1278" s="80">
        <v>0.00368</v>
      </c>
      <c r="I1278" s="45"/>
      <c r="J1278" s="45"/>
      <c r="K1278" s="45"/>
      <c r="L1278" s="45"/>
      <c r="M1278" s="45"/>
      <c r="N1278" s="45"/>
      <c r="O1278" s="45"/>
      <c r="P1278" s="45"/>
      <c r="Q1278" s="45"/>
      <c r="R1278" s="45"/>
      <c r="S1278" s="45"/>
      <c r="T1278" s="45"/>
      <c r="U1278" s="45"/>
    </row>
    <row r="1279">
      <c r="A1279" s="79" t="s">
        <v>8478</v>
      </c>
      <c r="B1279" s="45"/>
      <c r="C1279" s="79" t="s">
        <v>8479</v>
      </c>
      <c r="D1279" s="45"/>
      <c r="E1279" s="79" t="s">
        <v>8480</v>
      </c>
      <c r="F1279" s="79" t="s">
        <v>5944</v>
      </c>
      <c r="G1279" s="45"/>
      <c r="H1279" s="80">
        <v>0.00367</v>
      </c>
      <c r="I1279" s="45"/>
      <c r="J1279" s="45"/>
      <c r="K1279" s="45"/>
      <c r="L1279" s="45"/>
      <c r="M1279" s="45"/>
      <c r="N1279" s="45"/>
      <c r="O1279" s="45"/>
      <c r="P1279" s="45"/>
      <c r="Q1279" s="45"/>
      <c r="R1279" s="45"/>
      <c r="S1279" s="45"/>
      <c r="T1279" s="45"/>
      <c r="U1279" s="45"/>
    </row>
    <row r="1280">
      <c r="A1280" s="79" t="s">
        <v>8481</v>
      </c>
      <c r="B1280" s="45"/>
      <c r="C1280" s="79" t="s">
        <v>8482</v>
      </c>
      <c r="D1280" s="45"/>
      <c r="E1280" s="79" t="s">
        <v>6012</v>
      </c>
      <c r="F1280" s="79" t="s">
        <v>5944</v>
      </c>
      <c r="G1280" s="45"/>
      <c r="H1280" s="80">
        <v>0.00365</v>
      </c>
      <c r="I1280" s="45"/>
      <c r="J1280" s="45"/>
      <c r="K1280" s="45"/>
      <c r="L1280" s="45"/>
      <c r="M1280" s="45"/>
      <c r="N1280" s="45"/>
      <c r="O1280" s="45"/>
      <c r="P1280" s="45"/>
      <c r="Q1280" s="45"/>
      <c r="R1280" s="45"/>
      <c r="S1280" s="45"/>
      <c r="T1280" s="45"/>
      <c r="U1280" s="45"/>
    </row>
    <row r="1281">
      <c r="A1281" s="79" t="s">
        <v>8483</v>
      </c>
      <c r="B1281" s="45"/>
      <c r="C1281" s="79" t="s">
        <v>8484</v>
      </c>
      <c r="D1281" s="45"/>
      <c r="E1281" s="79" t="s">
        <v>5374</v>
      </c>
      <c r="F1281" s="79" t="s">
        <v>5944</v>
      </c>
      <c r="G1281" s="45"/>
      <c r="H1281" s="80">
        <v>0.00362</v>
      </c>
      <c r="I1281" s="45"/>
      <c r="J1281" s="45"/>
      <c r="K1281" s="45"/>
      <c r="L1281" s="45"/>
      <c r="M1281" s="45"/>
      <c r="N1281" s="45"/>
      <c r="O1281" s="45"/>
      <c r="P1281" s="45"/>
      <c r="Q1281" s="45"/>
      <c r="R1281" s="45"/>
      <c r="S1281" s="45"/>
      <c r="T1281" s="45"/>
      <c r="U1281" s="45"/>
    </row>
    <row r="1282">
      <c r="A1282" s="79" t="s">
        <v>8485</v>
      </c>
      <c r="B1282" s="45"/>
      <c r="C1282" s="79" t="s">
        <v>8486</v>
      </c>
      <c r="D1282" s="45"/>
      <c r="E1282" s="79" t="s">
        <v>5961</v>
      </c>
      <c r="F1282" s="79" t="s">
        <v>5944</v>
      </c>
      <c r="G1282" s="45"/>
      <c r="H1282" s="80">
        <v>0.00361</v>
      </c>
      <c r="I1282" s="45"/>
      <c r="J1282" s="45"/>
      <c r="K1282" s="45"/>
      <c r="L1282" s="45"/>
      <c r="M1282" s="45"/>
      <c r="N1282" s="45"/>
      <c r="O1282" s="45"/>
      <c r="P1282" s="45"/>
      <c r="Q1282" s="45"/>
      <c r="R1282" s="45"/>
      <c r="S1282" s="45"/>
      <c r="T1282" s="45"/>
      <c r="U1282" s="45"/>
    </row>
    <row r="1283">
      <c r="A1283" s="79" t="s">
        <v>8487</v>
      </c>
      <c r="B1283" s="45"/>
      <c r="C1283" s="79" t="s">
        <v>8488</v>
      </c>
      <c r="D1283" s="45"/>
      <c r="E1283" s="79" t="s">
        <v>6012</v>
      </c>
      <c r="F1283" s="79" t="s">
        <v>5944</v>
      </c>
      <c r="G1283" s="45"/>
      <c r="H1283" s="80">
        <v>0.0036</v>
      </c>
      <c r="I1283" s="45"/>
      <c r="J1283" s="45"/>
      <c r="K1283" s="45"/>
      <c r="L1283" s="45"/>
      <c r="M1283" s="45"/>
      <c r="N1283" s="45"/>
      <c r="O1283" s="45"/>
      <c r="P1283" s="45"/>
      <c r="Q1283" s="45"/>
      <c r="R1283" s="45"/>
      <c r="S1283" s="45"/>
      <c r="T1283" s="45"/>
      <c r="U1283" s="45"/>
    </row>
    <row r="1284">
      <c r="A1284" s="79" t="s">
        <v>8489</v>
      </c>
      <c r="B1284" s="45"/>
      <c r="C1284" s="79" t="s">
        <v>8490</v>
      </c>
      <c r="D1284" s="45"/>
      <c r="E1284" s="79" t="s">
        <v>5624</v>
      </c>
      <c r="F1284" s="79" t="s">
        <v>5944</v>
      </c>
      <c r="G1284" s="45"/>
      <c r="H1284" s="80">
        <v>0.0036</v>
      </c>
      <c r="I1284" s="45"/>
      <c r="J1284" s="45"/>
      <c r="K1284" s="45"/>
      <c r="L1284" s="45"/>
      <c r="M1284" s="45"/>
      <c r="N1284" s="45"/>
      <c r="O1284" s="45"/>
      <c r="P1284" s="45"/>
      <c r="Q1284" s="45"/>
      <c r="R1284" s="45"/>
      <c r="S1284" s="45"/>
      <c r="T1284" s="45"/>
      <c r="U1284" s="45"/>
    </row>
    <row r="1285">
      <c r="A1285" s="79" t="s">
        <v>8491</v>
      </c>
      <c r="B1285" s="45"/>
      <c r="C1285" s="79" t="s">
        <v>8492</v>
      </c>
      <c r="D1285" s="45"/>
      <c r="E1285" s="79" t="s">
        <v>5374</v>
      </c>
      <c r="F1285" s="79" t="s">
        <v>5944</v>
      </c>
      <c r="G1285" s="45"/>
      <c r="H1285" s="80">
        <v>0.00356</v>
      </c>
      <c r="I1285" s="45"/>
      <c r="J1285" s="45"/>
      <c r="K1285" s="45"/>
      <c r="L1285" s="45"/>
      <c r="M1285" s="45"/>
      <c r="N1285" s="45"/>
      <c r="O1285" s="45"/>
      <c r="P1285" s="45"/>
      <c r="Q1285" s="45"/>
      <c r="R1285" s="45"/>
      <c r="S1285" s="45"/>
      <c r="T1285" s="45"/>
      <c r="U1285" s="45"/>
    </row>
    <row r="1286">
      <c r="A1286" s="79" t="s">
        <v>8493</v>
      </c>
      <c r="B1286" s="45"/>
      <c r="C1286" s="79" t="s">
        <v>8494</v>
      </c>
      <c r="D1286" s="45"/>
      <c r="E1286" s="79" t="s">
        <v>5354</v>
      </c>
      <c r="F1286" s="79" t="s">
        <v>5944</v>
      </c>
      <c r="G1286" s="45"/>
      <c r="H1286" s="80">
        <v>0.00356</v>
      </c>
      <c r="I1286" s="45"/>
      <c r="J1286" s="45"/>
      <c r="K1286" s="45"/>
      <c r="L1286" s="45"/>
      <c r="M1286" s="45"/>
      <c r="N1286" s="45"/>
      <c r="O1286" s="45"/>
      <c r="P1286" s="45"/>
      <c r="Q1286" s="45"/>
      <c r="R1286" s="45"/>
      <c r="S1286" s="45"/>
      <c r="T1286" s="45"/>
      <c r="U1286" s="45"/>
    </row>
    <row r="1287">
      <c r="A1287" s="79" t="s">
        <v>8495</v>
      </c>
      <c r="B1287" s="45"/>
      <c r="C1287" s="79" t="s">
        <v>8496</v>
      </c>
      <c r="D1287" s="45"/>
      <c r="E1287" s="79" t="s">
        <v>5351</v>
      </c>
      <c r="F1287" s="79" t="s">
        <v>5944</v>
      </c>
      <c r="G1287" s="45"/>
      <c r="H1287" s="80">
        <v>0.00355</v>
      </c>
      <c r="I1287" s="45"/>
      <c r="J1287" s="45"/>
      <c r="K1287" s="45"/>
      <c r="L1287" s="45"/>
      <c r="M1287" s="45"/>
      <c r="N1287" s="45"/>
      <c r="O1287" s="45"/>
      <c r="P1287" s="45"/>
      <c r="Q1287" s="45"/>
      <c r="R1287" s="45"/>
      <c r="S1287" s="45"/>
      <c r="T1287" s="45"/>
      <c r="U1287" s="45"/>
    </row>
    <row r="1288">
      <c r="A1288" s="79" t="s">
        <v>8497</v>
      </c>
      <c r="B1288" s="45"/>
      <c r="C1288" s="79" t="s">
        <v>8498</v>
      </c>
      <c r="D1288" s="45"/>
      <c r="E1288" s="79" t="s">
        <v>5374</v>
      </c>
      <c r="F1288" s="79" t="s">
        <v>5944</v>
      </c>
      <c r="G1288" s="45"/>
      <c r="H1288" s="80">
        <v>0.00355</v>
      </c>
      <c r="I1288" s="45"/>
      <c r="J1288" s="45"/>
      <c r="K1288" s="45"/>
      <c r="L1288" s="45"/>
      <c r="M1288" s="45"/>
      <c r="N1288" s="45"/>
      <c r="O1288" s="45"/>
      <c r="P1288" s="45"/>
      <c r="Q1288" s="45"/>
      <c r="R1288" s="45"/>
      <c r="S1288" s="45"/>
      <c r="T1288" s="45"/>
      <c r="U1288" s="45"/>
    </row>
    <row r="1289">
      <c r="A1289" s="79" t="s">
        <v>8499</v>
      </c>
      <c r="B1289" s="45"/>
      <c r="C1289" s="79" t="s">
        <v>6603</v>
      </c>
      <c r="D1289" s="45"/>
      <c r="E1289" s="79" t="s">
        <v>5756</v>
      </c>
      <c r="F1289" s="79" t="s">
        <v>5944</v>
      </c>
      <c r="G1289" s="45"/>
      <c r="H1289" s="80">
        <v>0.00354</v>
      </c>
      <c r="I1289" s="45"/>
      <c r="J1289" s="45"/>
      <c r="K1289" s="45"/>
      <c r="L1289" s="45"/>
      <c r="M1289" s="45"/>
      <c r="N1289" s="45"/>
      <c r="O1289" s="45"/>
      <c r="P1289" s="45"/>
      <c r="Q1289" s="45"/>
      <c r="R1289" s="45"/>
      <c r="S1289" s="45"/>
      <c r="T1289" s="45"/>
      <c r="U1289" s="45"/>
    </row>
    <row r="1290">
      <c r="A1290" s="79" t="s">
        <v>8500</v>
      </c>
      <c r="B1290" s="45"/>
      <c r="C1290" s="79" t="s">
        <v>8501</v>
      </c>
      <c r="D1290" s="45"/>
      <c r="E1290" s="79" t="s">
        <v>5366</v>
      </c>
      <c r="F1290" s="79" t="s">
        <v>5944</v>
      </c>
      <c r="G1290" s="45"/>
      <c r="H1290" s="80">
        <v>0.00353</v>
      </c>
      <c r="I1290" s="45"/>
      <c r="J1290" s="45"/>
      <c r="K1290" s="45"/>
      <c r="L1290" s="45"/>
      <c r="M1290" s="45"/>
      <c r="N1290" s="45"/>
      <c r="O1290" s="45"/>
      <c r="P1290" s="45"/>
      <c r="Q1290" s="45"/>
      <c r="R1290" s="45"/>
      <c r="S1290" s="45"/>
      <c r="T1290" s="45"/>
      <c r="U1290" s="45"/>
    </row>
    <row r="1291">
      <c r="A1291" s="79" t="s">
        <v>8502</v>
      </c>
      <c r="B1291" s="45"/>
      <c r="C1291" s="79" t="s">
        <v>8503</v>
      </c>
      <c r="D1291" s="45"/>
      <c r="E1291" s="79" t="s">
        <v>5742</v>
      </c>
      <c r="F1291" s="79" t="s">
        <v>5944</v>
      </c>
      <c r="G1291" s="45"/>
      <c r="H1291" s="80">
        <v>0.00352</v>
      </c>
      <c r="I1291" s="45"/>
      <c r="J1291" s="45"/>
      <c r="K1291" s="45"/>
      <c r="L1291" s="45"/>
      <c r="M1291" s="45"/>
      <c r="N1291" s="45"/>
      <c r="O1291" s="45"/>
      <c r="P1291" s="45"/>
      <c r="Q1291" s="45"/>
      <c r="R1291" s="45"/>
      <c r="S1291" s="45"/>
      <c r="T1291" s="45"/>
      <c r="U1291" s="45"/>
    </row>
    <row r="1292">
      <c r="A1292" s="79" t="s">
        <v>8504</v>
      </c>
      <c r="B1292" s="45"/>
      <c r="C1292" s="79" t="s">
        <v>8505</v>
      </c>
      <c r="D1292" s="45"/>
      <c r="E1292" s="79" t="s">
        <v>8110</v>
      </c>
      <c r="F1292" s="79" t="s">
        <v>5944</v>
      </c>
      <c r="G1292" s="45"/>
      <c r="H1292" s="80">
        <v>0.00352</v>
      </c>
      <c r="I1292" s="45"/>
      <c r="J1292" s="45"/>
      <c r="K1292" s="45"/>
      <c r="L1292" s="45"/>
      <c r="M1292" s="45"/>
      <c r="N1292" s="45"/>
      <c r="O1292" s="45"/>
      <c r="P1292" s="45"/>
      <c r="Q1292" s="45"/>
      <c r="R1292" s="45"/>
      <c r="S1292" s="45"/>
      <c r="T1292" s="45"/>
      <c r="U1292" s="45"/>
    </row>
    <row r="1293">
      <c r="A1293" s="79" t="s">
        <v>8506</v>
      </c>
      <c r="B1293" s="45"/>
      <c r="C1293" s="79" t="s">
        <v>8507</v>
      </c>
      <c r="D1293" s="45"/>
      <c r="E1293" s="79" t="s">
        <v>5756</v>
      </c>
      <c r="F1293" s="79" t="s">
        <v>5944</v>
      </c>
      <c r="G1293" s="45"/>
      <c r="H1293" s="80">
        <v>0.00351</v>
      </c>
      <c r="I1293" s="45"/>
      <c r="J1293" s="45"/>
      <c r="K1293" s="45"/>
      <c r="L1293" s="45"/>
      <c r="M1293" s="45"/>
      <c r="N1293" s="45"/>
      <c r="O1293" s="45"/>
      <c r="P1293" s="45"/>
      <c r="Q1293" s="45"/>
      <c r="R1293" s="45"/>
      <c r="S1293" s="45"/>
      <c r="T1293" s="45"/>
      <c r="U1293" s="45"/>
    </row>
    <row r="1294">
      <c r="A1294" s="79" t="s">
        <v>8508</v>
      </c>
      <c r="B1294" s="45"/>
      <c r="C1294" s="79" t="s">
        <v>8509</v>
      </c>
      <c r="D1294" s="45"/>
      <c r="E1294" s="79" t="s">
        <v>5235</v>
      </c>
      <c r="F1294" s="79" t="s">
        <v>5944</v>
      </c>
      <c r="G1294" s="45"/>
      <c r="H1294" s="80">
        <v>0.00351</v>
      </c>
      <c r="I1294" s="45"/>
      <c r="J1294" s="45"/>
      <c r="K1294" s="45"/>
      <c r="L1294" s="45"/>
      <c r="M1294" s="45"/>
      <c r="N1294" s="45"/>
      <c r="O1294" s="45"/>
      <c r="P1294" s="45"/>
      <c r="Q1294" s="45"/>
      <c r="R1294" s="45"/>
      <c r="S1294" s="45"/>
      <c r="T1294" s="45"/>
      <c r="U1294" s="45"/>
    </row>
    <row r="1295">
      <c r="A1295" s="79" t="s">
        <v>8510</v>
      </c>
      <c r="B1295" s="45"/>
      <c r="C1295" s="79" t="s">
        <v>8511</v>
      </c>
      <c r="D1295" s="45"/>
      <c r="E1295" s="79" t="s">
        <v>5478</v>
      </c>
      <c r="F1295" s="79" t="s">
        <v>5944</v>
      </c>
      <c r="G1295" s="45"/>
      <c r="H1295" s="80">
        <v>0.00349</v>
      </c>
      <c r="I1295" s="45"/>
      <c r="J1295" s="45"/>
      <c r="K1295" s="45"/>
      <c r="L1295" s="45"/>
      <c r="M1295" s="45"/>
      <c r="N1295" s="45"/>
      <c r="O1295" s="45"/>
      <c r="P1295" s="45"/>
      <c r="Q1295" s="45"/>
      <c r="R1295" s="45"/>
      <c r="S1295" s="45"/>
      <c r="T1295" s="45"/>
      <c r="U1295" s="45"/>
    </row>
    <row r="1296">
      <c r="A1296" s="79" t="s">
        <v>8512</v>
      </c>
      <c r="B1296" s="45"/>
      <c r="C1296" s="79" t="s">
        <v>8513</v>
      </c>
      <c r="D1296" s="45"/>
      <c r="E1296" s="79" t="s">
        <v>5478</v>
      </c>
      <c r="F1296" s="79" t="s">
        <v>5944</v>
      </c>
      <c r="G1296" s="45"/>
      <c r="H1296" s="80">
        <v>0.00348</v>
      </c>
      <c r="I1296" s="45"/>
      <c r="J1296" s="45"/>
      <c r="K1296" s="45"/>
      <c r="L1296" s="45"/>
      <c r="M1296" s="45"/>
      <c r="N1296" s="45"/>
      <c r="O1296" s="45"/>
      <c r="P1296" s="45"/>
      <c r="Q1296" s="45"/>
      <c r="R1296" s="45"/>
      <c r="S1296" s="45"/>
      <c r="T1296" s="45"/>
      <c r="U1296" s="45"/>
    </row>
    <row r="1297">
      <c r="A1297" s="79" t="s">
        <v>8514</v>
      </c>
      <c r="B1297" s="45"/>
      <c r="C1297" s="79" t="s">
        <v>8515</v>
      </c>
      <c r="D1297" s="45"/>
      <c r="E1297" s="79" t="s">
        <v>5246</v>
      </c>
      <c r="F1297" s="79" t="s">
        <v>5944</v>
      </c>
      <c r="G1297" s="45"/>
      <c r="H1297" s="80">
        <v>0.00347</v>
      </c>
      <c r="I1297" s="45"/>
      <c r="J1297" s="45"/>
      <c r="K1297" s="45"/>
      <c r="L1297" s="45"/>
      <c r="M1297" s="45"/>
      <c r="N1297" s="45"/>
      <c r="O1297" s="45"/>
      <c r="P1297" s="45"/>
      <c r="Q1297" s="45"/>
      <c r="R1297" s="45"/>
      <c r="S1297" s="45"/>
      <c r="T1297" s="45"/>
      <c r="U1297" s="45"/>
    </row>
    <row r="1298">
      <c r="A1298" s="79" t="s">
        <v>8516</v>
      </c>
      <c r="B1298" s="45"/>
      <c r="C1298" s="79" t="s">
        <v>8517</v>
      </c>
      <c r="D1298" s="45"/>
      <c r="E1298" s="79" t="s">
        <v>5855</v>
      </c>
      <c r="F1298" s="79" t="s">
        <v>5944</v>
      </c>
      <c r="G1298" s="45"/>
      <c r="H1298" s="80">
        <v>0.00345</v>
      </c>
      <c r="I1298" s="45"/>
      <c r="J1298" s="45"/>
      <c r="K1298" s="45"/>
      <c r="L1298" s="45"/>
      <c r="M1298" s="45"/>
      <c r="N1298" s="45"/>
      <c r="O1298" s="45"/>
      <c r="P1298" s="45"/>
      <c r="Q1298" s="45"/>
      <c r="R1298" s="45"/>
      <c r="S1298" s="45"/>
      <c r="T1298" s="45"/>
      <c r="U1298" s="45"/>
    </row>
    <row r="1299">
      <c r="A1299" s="79" t="s">
        <v>8518</v>
      </c>
      <c r="B1299" s="45"/>
      <c r="C1299" s="79" t="s">
        <v>8519</v>
      </c>
      <c r="D1299" s="45"/>
      <c r="E1299" s="79" t="s">
        <v>6514</v>
      </c>
      <c r="F1299" s="79" t="s">
        <v>5944</v>
      </c>
      <c r="G1299" s="45"/>
      <c r="H1299" s="80">
        <v>0.00344</v>
      </c>
      <c r="I1299" s="45"/>
      <c r="J1299" s="45"/>
      <c r="K1299" s="45"/>
      <c r="L1299" s="45"/>
      <c r="M1299" s="45"/>
      <c r="N1299" s="45"/>
      <c r="O1299" s="45"/>
      <c r="P1299" s="45"/>
      <c r="Q1299" s="45"/>
      <c r="R1299" s="45"/>
      <c r="S1299" s="45"/>
      <c r="T1299" s="45"/>
      <c r="U1299" s="45"/>
    </row>
    <row r="1300">
      <c r="A1300" s="79" t="s">
        <v>8520</v>
      </c>
      <c r="B1300" s="45"/>
      <c r="C1300" s="79" t="s">
        <v>8521</v>
      </c>
      <c r="D1300" s="45"/>
      <c r="E1300" s="79" t="s">
        <v>6427</v>
      </c>
      <c r="F1300" s="79" t="s">
        <v>5944</v>
      </c>
      <c r="G1300" s="45"/>
      <c r="H1300" s="80">
        <v>0.00343</v>
      </c>
      <c r="I1300" s="45"/>
      <c r="J1300" s="45"/>
      <c r="K1300" s="45"/>
      <c r="L1300" s="45"/>
      <c r="M1300" s="45"/>
      <c r="N1300" s="45"/>
      <c r="O1300" s="45"/>
      <c r="P1300" s="45"/>
      <c r="Q1300" s="45"/>
      <c r="R1300" s="45"/>
      <c r="S1300" s="45"/>
      <c r="T1300" s="45"/>
      <c r="U1300" s="45"/>
    </row>
    <row r="1301">
      <c r="A1301" s="79" t="s">
        <v>8522</v>
      </c>
      <c r="B1301" s="45"/>
      <c r="C1301" s="79" t="s">
        <v>8523</v>
      </c>
      <c r="D1301" s="45"/>
      <c r="E1301" s="79" t="s">
        <v>5434</v>
      </c>
      <c r="F1301" s="79" t="s">
        <v>5944</v>
      </c>
      <c r="G1301" s="45"/>
      <c r="H1301" s="80">
        <v>0.00342</v>
      </c>
      <c r="I1301" s="45"/>
      <c r="J1301" s="45"/>
      <c r="K1301" s="45"/>
      <c r="L1301" s="45"/>
      <c r="M1301" s="45"/>
      <c r="N1301" s="45"/>
      <c r="O1301" s="45"/>
      <c r="P1301" s="45"/>
      <c r="Q1301" s="45"/>
      <c r="R1301" s="45"/>
      <c r="S1301" s="45"/>
      <c r="T1301" s="45"/>
      <c r="U1301" s="45"/>
    </row>
    <row r="1302">
      <c r="A1302" s="79" t="s">
        <v>8524</v>
      </c>
      <c r="B1302" s="45"/>
      <c r="C1302" s="79" t="s">
        <v>8525</v>
      </c>
      <c r="D1302" s="45"/>
      <c r="E1302" s="79" t="s">
        <v>6115</v>
      </c>
      <c r="F1302" s="79" t="s">
        <v>5944</v>
      </c>
      <c r="G1302" s="45"/>
      <c r="H1302" s="80">
        <v>0.00341</v>
      </c>
      <c r="I1302" s="45"/>
      <c r="J1302" s="45"/>
      <c r="K1302" s="45"/>
      <c r="L1302" s="45"/>
      <c r="M1302" s="45"/>
      <c r="N1302" s="45"/>
      <c r="O1302" s="45"/>
      <c r="P1302" s="45"/>
      <c r="Q1302" s="45"/>
      <c r="R1302" s="45"/>
      <c r="S1302" s="45"/>
      <c r="T1302" s="45"/>
      <c r="U1302" s="45"/>
    </row>
    <row r="1303">
      <c r="A1303" s="79" t="s">
        <v>8526</v>
      </c>
      <c r="B1303" s="45"/>
      <c r="C1303" s="79" t="s">
        <v>8527</v>
      </c>
      <c r="D1303" s="45"/>
      <c r="E1303" s="79" t="s">
        <v>5366</v>
      </c>
      <c r="F1303" s="79" t="s">
        <v>5944</v>
      </c>
      <c r="G1303" s="45"/>
      <c r="H1303" s="80">
        <v>0.00341</v>
      </c>
      <c r="I1303" s="45"/>
      <c r="J1303" s="45"/>
      <c r="K1303" s="45"/>
      <c r="L1303" s="45"/>
      <c r="M1303" s="45"/>
      <c r="N1303" s="45"/>
      <c r="O1303" s="45"/>
      <c r="P1303" s="45"/>
      <c r="Q1303" s="45"/>
      <c r="R1303" s="45"/>
      <c r="S1303" s="45"/>
      <c r="T1303" s="45"/>
      <c r="U1303" s="45"/>
    </row>
    <row r="1304">
      <c r="A1304" s="79" t="s">
        <v>8528</v>
      </c>
      <c r="B1304" s="45"/>
      <c r="C1304" s="79" t="s">
        <v>8529</v>
      </c>
      <c r="D1304" s="45"/>
      <c r="E1304" s="79" t="s">
        <v>5246</v>
      </c>
      <c r="F1304" s="79" t="s">
        <v>5944</v>
      </c>
      <c r="G1304" s="45"/>
      <c r="H1304" s="80">
        <v>0.0034</v>
      </c>
      <c r="I1304" s="45"/>
      <c r="J1304" s="45"/>
      <c r="K1304" s="45"/>
      <c r="L1304" s="45"/>
      <c r="M1304" s="45"/>
      <c r="N1304" s="45"/>
      <c r="O1304" s="45"/>
      <c r="P1304" s="45"/>
      <c r="Q1304" s="45"/>
      <c r="R1304" s="45"/>
      <c r="S1304" s="45"/>
      <c r="T1304" s="45"/>
      <c r="U1304" s="45"/>
    </row>
    <row r="1305">
      <c r="A1305" s="79" t="s">
        <v>8530</v>
      </c>
      <c r="B1305" s="45"/>
      <c r="C1305" s="79" t="s">
        <v>8531</v>
      </c>
      <c r="D1305" s="45"/>
      <c r="E1305" s="79" t="s">
        <v>5390</v>
      </c>
      <c r="F1305" s="79" t="s">
        <v>5944</v>
      </c>
      <c r="G1305" s="45"/>
      <c r="H1305" s="80">
        <v>0.0034</v>
      </c>
      <c r="I1305" s="45"/>
      <c r="J1305" s="45"/>
      <c r="K1305" s="45"/>
      <c r="L1305" s="45"/>
      <c r="M1305" s="45"/>
      <c r="N1305" s="45"/>
      <c r="O1305" s="45"/>
      <c r="P1305" s="45"/>
      <c r="Q1305" s="45"/>
      <c r="R1305" s="45"/>
      <c r="S1305" s="45"/>
      <c r="T1305" s="45"/>
      <c r="U1305" s="45"/>
    </row>
    <row r="1306">
      <c r="A1306" s="79" t="s">
        <v>8532</v>
      </c>
      <c r="B1306" s="45"/>
      <c r="C1306" s="79" t="s">
        <v>8533</v>
      </c>
      <c r="D1306" s="45"/>
      <c r="E1306" s="79" t="s">
        <v>5218</v>
      </c>
      <c r="F1306" s="79" t="s">
        <v>5944</v>
      </c>
      <c r="G1306" s="45"/>
      <c r="H1306" s="80">
        <v>0.00338</v>
      </c>
      <c r="I1306" s="45"/>
      <c r="J1306" s="45"/>
      <c r="K1306" s="45"/>
      <c r="L1306" s="45"/>
      <c r="M1306" s="45"/>
      <c r="N1306" s="45"/>
      <c r="O1306" s="45"/>
      <c r="P1306" s="45"/>
      <c r="Q1306" s="45"/>
      <c r="R1306" s="45"/>
      <c r="S1306" s="45"/>
      <c r="T1306" s="45"/>
      <c r="U1306" s="45"/>
    </row>
    <row r="1307">
      <c r="A1307" s="79" t="s">
        <v>8534</v>
      </c>
      <c r="B1307" s="45"/>
      <c r="C1307" s="79" t="s">
        <v>8535</v>
      </c>
      <c r="D1307" s="45"/>
      <c r="E1307" s="79" t="s">
        <v>5229</v>
      </c>
      <c r="F1307" s="79" t="s">
        <v>5944</v>
      </c>
      <c r="G1307" s="45"/>
      <c r="H1307" s="80">
        <v>0.00337</v>
      </c>
      <c r="I1307" s="45"/>
      <c r="J1307" s="45"/>
      <c r="K1307" s="45"/>
      <c r="L1307" s="45"/>
      <c r="M1307" s="45"/>
      <c r="N1307" s="45"/>
      <c r="O1307" s="45"/>
      <c r="P1307" s="45"/>
      <c r="Q1307" s="45"/>
      <c r="R1307" s="45"/>
      <c r="S1307" s="45"/>
      <c r="T1307" s="45"/>
      <c r="U1307" s="45"/>
    </row>
    <row r="1308">
      <c r="A1308" s="79" t="s">
        <v>8536</v>
      </c>
      <c r="B1308" s="45"/>
      <c r="C1308" s="79" t="s">
        <v>8537</v>
      </c>
      <c r="D1308" s="45"/>
      <c r="E1308" s="79" t="s">
        <v>5742</v>
      </c>
      <c r="F1308" s="79" t="s">
        <v>5944</v>
      </c>
      <c r="G1308" s="45"/>
      <c r="H1308" s="80">
        <v>0.00336</v>
      </c>
      <c r="I1308" s="45"/>
      <c r="J1308" s="45"/>
      <c r="K1308" s="45"/>
      <c r="L1308" s="45"/>
      <c r="M1308" s="45"/>
      <c r="N1308" s="45"/>
      <c r="O1308" s="45"/>
      <c r="P1308" s="45"/>
      <c r="Q1308" s="45"/>
      <c r="R1308" s="45"/>
      <c r="S1308" s="45"/>
      <c r="T1308" s="45"/>
      <c r="U1308" s="45"/>
    </row>
    <row r="1309">
      <c r="A1309" s="79" t="s">
        <v>8538</v>
      </c>
      <c r="B1309" s="45"/>
      <c r="C1309" s="79" t="s">
        <v>8539</v>
      </c>
      <c r="D1309" s="45"/>
      <c r="E1309" s="79" t="s">
        <v>5366</v>
      </c>
      <c r="F1309" s="79" t="s">
        <v>5944</v>
      </c>
      <c r="G1309" s="45"/>
      <c r="H1309" s="80">
        <v>0.00334</v>
      </c>
      <c r="I1309" s="45"/>
      <c r="J1309" s="45"/>
      <c r="K1309" s="45"/>
      <c r="L1309" s="45"/>
      <c r="M1309" s="45"/>
      <c r="N1309" s="45"/>
      <c r="O1309" s="45"/>
      <c r="P1309" s="45"/>
      <c r="Q1309" s="45"/>
      <c r="R1309" s="45"/>
      <c r="S1309" s="45"/>
      <c r="T1309" s="45"/>
      <c r="U1309" s="45"/>
    </row>
    <row r="1310">
      <c r="A1310" s="79" t="s">
        <v>8540</v>
      </c>
      <c r="B1310" s="45"/>
      <c r="C1310" s="79" t="s">
        <v>8541</v>
      </c>
      <c r="D1310" s="45"/>
      <c r="E1310" s="79" t="s">
        <v>5357</v>
      </c>
      <c r="F1310" s="79" t="s">
        <v>5944</v>
      </c>
      <c r="G1310" s="45"/>
      <c r="H1310" s="80">
        <v>0.00334</v>
      </c>
      <c r="I1310" s="45"/>
      <c r="J1310" s="45"/>
      <c r="K1310" s="45"/>
      <c r="L1310" s="45"/>
      <c r="M1310" s="45"/>
      <c r="N1310" s="45"/>
      <c r="O1310" s="45"/>
      <c r="P1310" s="45"/>
      <c r="Q1310" s="45"/>
      <c r="R1310" s="45"/>
      <c r="S1310" s="45"/>
      <c r="T1310" s="45"/>
      <c r="U1310" s="45"/>
    </row>
    <row r="1311">
      <c r="A1311" s="79" t="s">
        <v>8542</v>
      </c>
      <c r="B1311" s="45"/>
      <c r="C1311" s="79" t="s">
        <v>8543</v>
      </c>
      <c r="D1311" s="45"/>
      <c r="E1311" s="79" t="s">
        <v>5961</v>
      </c>
      <c r="F1311" s="79" t="s">
        <v>5944</v>
      </c>
      <c r="G1311" s="45"/>
      <c r="H1311" s="80">
        <v>0.00333</v>
      </c>
      <c r="I1311" s="45"/>
      <c r="J1311" s="45"/>
      <c r="K1311" s="45"/>
      <c r="L1311" s="45"/>
      <c r="M1311" s="45"/>
      <c r="N1311" s="45"/>
      <c r="O1311" s="45"/>
      <c r="P1311" s="45"/>
      <c r="Q1311" s="45"/>
      <c r="R1311" s="45"/>
      <c r="S1311" s="45"/>
      <c r="T1311" s="45"/>
      <c r="U1311" s="45"/>
    </row>
    <row r="1312">
      <c r="A1312" s="79" t="s">
        <v>8544</v>
      </c>
      <c r="B1312" s="45"/>
      <c r="C1312" s="79" t="s">
        <v>8545</v>
      </c>
      <c r="D1312" s="45"/>
      <c r="E1312" s="79" t="s">
        <v>5742</v>
      </c>
      <c r="F1312" s="79" t="s">
        <v>5944</v>
      </c>
      <c r="G1312" s="45"/>
      <c r="H1312" s="80">
        <v>0.00331</v>
      </c>
      <c r="I1312" s="45"/>
      <c r="J1312" s="45"/>
      <c r="K1312" s="45"/>
      <c r="L1312" s="45"/>
      <c r="M1312" s="45"/>
      <c r="N1312" s="45"/>
      <c r="O1312" s="45"/>
      <c r="P1312" s="45"/>
      <c r="Q1312" s="45"/>
      <c r="R1312" s="45"/>
      <c r="S1312" s="45"/>
      <c r="T1312" s="45"/>
      <c r="U1312" s="45"/>
    </row>
    <row r="1313">
      <c r="A1313" s="79" t="s">
        <v>8546</v>
      </c>
      <c r="B1313" s="45"/>
      <c r="C1313" s="79" t="s">
        <v>8547</v>
      </c>
      <c r="D1313" s="45"/>
      <c r="E1313" s="79" t="s">
        <v>5246</v>
      </c>
      <c r="F1313" s="79" t="s">
        <v>5944</v>
      </c>
      <c r="G1313" s="45"/>
      <c r="H1313" s="80">
        <v>0.00329</v>
      </c>
      <c r="I1313" s="45"/>
      <c r="J1313" s="45"/>
      <c r="K1313" s="45"/>
      <c r="L1313" s="45"/>
      <c r="M1313" s="45"/>
      <c r="N1313" s="45"/>
      <c r="O1313" s="45"/>
      <c r="P1313" s="45"/>
      <c r="Q1313" s="45"/>
      <c r="R1313" s="45"/>
      <c r="S1313" s="45"/>
      <c r="T1313" s="45"/>
      <c r="U1313" s="45"/>
    </row>
    <row r="1314">
      <c r="A1314" s="79" t="s">
        <v>8548</v>
      </c>
      <c r="B1314" s="45"/>
      <c r="C1314" s="79" t="s">
        <v>8549</v>
      </c>
      <c r="D1314" s="45"/>
      <c r="E1314" s="79" t="s">
        <v>5366</v>
      </c>
      <c r="F1314" s="79" t="s">
        <v>5944</v>
      </c>
      <c r="G1314" s="45"/>
      <c r="H1314" s="80">
        <v>0.00327</v>
      </c>
      <c r="I1314" s="45"/>
      <c r="J1314" s="45"/>
      <c r="K1314" s="45"/>
      <c r="L1314" s="45"/>
      <c r="M1314" s="45"/>
      <c r="N1314" s="45"/>
      <c r="O1314" s="45"/>
      <c r="P1314" s="45"/>
      <c r="Q1314" s="45"/>
      <c r="R1314" s="45"/>
      <c r="S1314" s="45"/>
      <c r="T1314" s="45"/>
      <c r="U1314" s="45"/>
    </row>
    <row r="1315">
      <c r="A1315" s="79" t="s">
        <v>8550</v>
      </c>
      <c r="B1315" s="45"/>
      <c r="C1315" s="79" t="s">
        <v>6990</v>
      </c>
      <c r="D1315" s="45"/>
      <c r="E1315" s="79" t="s">
        <v>6238</v>
      </c>
      <c r="F1315" s="79" t="s">
        <v>6204</v>
      </c>
      <c r="G1315" s="45"/>
      <c r="H1315" s="80">
        <v>0.00326</v>
      </c>
      <c r="I1315" s="45"/>
      <c r="J1315" s="45"/>
      <c r="K1315" s="45"/>
      <c r="L1315" s="45"/>
      <c r="M1315" s="45"/>
      <c r="N1315" s="45"/>
      <c r="O1315" s="45"/>
      <c r="P1315" s="45"/>
      <c r="Q1315" s="45"/>
      <c r="R1315" s="45"/>
      <c r="S1315" s="45"/>
      <c r="T1315" s="45"/>
      <c r="U1315" s="45"/>
    </row>
    <row r="1316">
      <c r="A1316" s="79" t="s">
        <v>8551</v>
      </c>
      <c r="B1316" s="45"/>
      <c r="C1316" s="79" t="s">
        <v>8552</v>
      </c>
      <c r="D1316" s="45"/>
      <c r="E1316" s="79" t="s">
        <v>5448</v>
      </c>
      <c r="F1316" s="79" t="s">
        <v>5944</v>
      </c>
      <c r="G1316" s="45"/>
      <c r="H1316" s="80">
        <v>0.00326</v>
      </c>
      <c r="I1316" s="45"/>
      <c r="J1316" s="45"/>
      <c r="K1316" s="45"/>
      <c r="L1316" s="45"/>
      <c r="M1316" s="45"/>
      <c r="N1316" s="45"/>
      <c r="O1316" s="45"/>
      <c r="P1316" s="45"/>
      <c r="Q1316" s="45"/>
      <c r="R1316" s="45"/>
      <c r="S1316" s="45"/>
      <c r="T1316" s="45"/>
      <c r="U1316" s="45"/>
    </row>
    <row r="1317">
      <c r="A1317" s="79" t="s">
        <v>8553</v>
      </c>
      <c r="B1317" s="45"/>
      <c r="C1317" s="79" t="s">
        <v>8554</v>
      </c>
      <c r="D1317" s="45"/>
      <c r="E1317" s="79" t="s">
        <v>5501</v>
      </c>
      <c r="F1317" s="79" t="s">
        <v>5944</v>
      </c>
      <c r="G1317" s="45"/>
      <c r="H1317" s="80">
        <v>0.00325</v>
      </c>
      <c r="I1317" s="45"/>
      <c r="J1317" s="45"/>
      <c r="K1317" s="45"/>
      <c r="L1317" s="45"/>
      <c r="M1317" s="45"/>
      <c r="N1317" s="45"/>
      <c r="O1317" s="45"/>
      <c r="P1317" s="45"/>
      <c r="Q1317" s="45"/>
      <c r="R1317" s="45"/>
      <c r="S1317" s="45"/>
      <c r="T1317" s="45"/>
      <c r="U1317" s="45"/>
    </row>
    <row r="1318">
      <c r="A1318" s="79" t="s">
        <v>8555</v>
      </c>
      <c r="B1318" s="45"/>
      <c r="C1318" s="79" t="s">
        <v>7928</v>
      </c>
      <c r="D1318" s="45"/>
      <c r="E1318" s="79" t="s">
        <v>5650</v>
      </c>
      <c r="F1318" s="79" t="s">
        <v>5944</v>
      </c>
      <c r="G1318" s="45"/>
      <c r="H1318" s="80">
        <v>0.00325</v>
      </c>
      <c r="I1318" s="45"/>
      <c r="J1318" s="45"/>
      <c r="K1318" s="45"/>
      <c r="L1318" s="45"/>
      <c r="M1318" s="45"/>
      <c r="N1318" s="45"/>
      <c r="O1318" s="45"/>
      <c r="P1318" s="45"/>
      <c r="Q1318" s="45"/>
      <c r="R1318" s="45"/>
      <c r="S1318" s="45"/>
      <c r="T1318" s="45"/>
      <c r="U1318" s="45"/>
    </row>
    <row r="1319">
      <c r="A1319" s="79" t="s">
        <v>8556</v>
      </c>
      <c r="B1319" s="45"/>
      <c r="C1319" s="79" t="s">
        <v>8557</v>
      </c>
      <c r="D1319" s="45"/>
      <c r="E1319" s="79" t="s">
        <v>6514</v>
      </c>
      <c r="F1319" s="79" t="s">
        <v>5944</v>
      </c>
      <c r="G1319" s="45"/>
      <c r="H1319" s="80">
        <v>0.00324</v>
      </c>
      <c r="I1319" s="45"/>
      <c r="J1319" s="45"/>
      <c r="K1319" s="45"/>
      <c r="L1319" s="45"/>
      <c r="M1319" s="45"/>
      <c r="N1319" s="45"/>
      <c r="O1319" s="45"/>
      <c r="P1319" s="45"/>
      <c r="Q1319" s="45"/>
      <c r="R1319" s="45"/>
      <c r="S1319" s="45"/>
      <c r="T1319" s="45"/>
      <c r="U1319" s="45"/>
    </row>
    <row r="1320">
      <c r="A1320" s="79" t="s">
        <v>8558</v>
      </c>
      <c r="B1320" s="45"/>
      <c r="C1320" s="79" t="s">
        <v>8559</v>
      </c>
      <c r="D1320" s="45"/>
      <c r="E1320" s="79" t="s">
        <v>5525</v>
      </c>
      <c r="F1320" s="79" t="s">
        <v>5944</v>
      </c>
      <c r="G1320" s="45"/>
      <c r="H1320" s="80">
        <v>0.00323</v>
      </c>
      <c r="I1320" s="45"/>
      <c r="J1320" s="45"/>
      <c r="K1320" s="45"/>
      <c r="L1320" s="45"/>
      <c r="M1320" s="45"/>
      <c r="N1320" s="45"/>
      <c r="O1320" s="45"/>
      <c r="P1320" s="45"/>
      <c r="Q1320" s="45"/>
      <c r="R1320" s="45"/>
      <c r="S1320" s="45"/>
      <c r="T1320" s="45"/>
      <c r="U1320" s="45"/>
    </row>
    <row r="1321">
      <c r="A1321" s="79" t="s">
        <v>8560</v>
      </c>
      <c r="B1321" s="45"/>
      <c r="C1321" s="79" t="s">
        <v>8561</v>
      </c>
      <c r="D1321" s="45"/>
      <c r="E1321" s="79" t="s">
        <v>5267</v>
      </c>
      <c r="F1321" s="79" t="s">
        <v>5944</v>
      </c>
      <c r="G1321" s="45"/>
      <c r="H1321" s="80">
        <v>0.00322</v>
      </c>
      <c r="I1321" s="45"/>
      <c r="J1321" s="45"/>
      <c r="K1321" s="45"/>
      <c r="L1321" s="45"/>
      <c r="M1321" s="45"/>
      <c r="N1321" s="45"/>
      <c r="O1321" s="45"/>
      <c r="P1321" s="45"/>
      <c r="Q1321" s="45"/>
      <c r="R1321" s="45"/>
      <c r="S1321" s="45"/>
      <c r="T1321" s="45"/>
      <c r="U1321" s="45"/>
    </row>
    <row r="1322">
      <c r="A1322" s="79" t="s">
        <v>8562</v>
      </c>
      <c r="B1322" s="45"/>
      <c r="C1322" s="79" t="s">
        <v>8563</v>
      </c>
      <c r="D1322" s="45"/>
      <c r="E1322" s="79" t="s">
        <v>5650</v>
      </c>
      <c r="F1322" s="79" t="s">
        <v>5944</v>
      </c>
      <c r="G1322" s="45"/>
      <c r="H1322" s="80">
        <v>0.00321</v>
      </c>
      <c r="I1322" s="45"/>
      <c r="J1322" s="45"/>
      <c r="K1322" s="45"/>
      <c r="L1322" s="45"/>
      <c r="M1322" s="45"/>
      <c r="N1322" s="45"/>
      <c r="O1322" s="45"/>
      <c r="P1322" s="45"/>
      <c r="Q1322" s="45"/>
      <c r="R1322" s="45"/>
      <c r="S1322" s="45"/>
      <c r="T1322" s="45"/>
      <c r="U1322" s="45"/>
    </row>
    <row r="1323">
      <c r="A1323" s="79" t="s">
        <v>8564</v>
      </c>
      <c r="B1323" s="45"/>
      <c r="C1323" s="79" t="s">
        <v>8565</v>
      </c>
      <c r="D1323" s="45"/>
      <c r="E1323" s="79" t="s">
        <v>5448</v>
      </c>
      <c r="F1323" s="79" t="s">
        <v>5944</v>
      </c>
      <c r="G1323" s="45"/>
      <c r="H1323" s="80">
        <v>0.0032</v>
      </c>
      <c r="I1323" s="45"/>
      <c r="J1323" s="45"/>
      <c r="K1323" s="45"/>
      <c r="L1323" s="45"/>
      <c r="M1323" s="45"/>
      <c r="N1323" s="45"/>
      <c r="O1323" s="45"/>
      <c r="P1323" s="45"/>
      <c r="Q1323" s="45"/>
      <c r="R1323" s="45"/>
      <c r="S1323" s="45"/>
      <c r="T1323" s="45"/>
      <c r="U1323" s="45"/>
    </row>
    <row r="1324">
      <c r="A1324" s="79" t="s">
        <v>8566</v>
      </c>
      <c r="B1324" s="45"/>
      <c r="C1324" s="79" t="s">
        <v>8567</v>
      </c>
      <c r="D1324" s="45"/>
      <c r="E1324" s="79" t="s">
        <v>5366</v>
      </c>
      <c r="F1324" s="79" t="s">
        <v>5944</v>
      </c>
      <c r="G1324" s="45"/>
      <c r="H1324" s="80">
        <v>0.0032</v>
      </c>
      <c r="I1324" s="45"/>
      <c r="J1324" s="45"/>
      <c r="K1324" s="45"/>
      <c r="L1324" s="45"/>
      <c r="M1324" s="45"/>
      <c r="N1324" s="45"/>
      <c r="O1324" s="45"/>
      <c r="P1324" s="45"/>
      <c r="Q1324" s="45"/>
      <c r="R1324" s="45"/>
      <c r="S1324" s="45"/>
      <c r="T1324" s="45"/>
      <c r="U1324" s="45"/>
    </row>
    <row r="1325">
      <c r="A1325" s="79" t="s">
        <v>8568</v>
      </c>
      <c r="B1325" s="45"/>
      <c r="C1325" s="79" t="s">
        <v>8569</v>
      </c>
      <c r="D1325" s="45"/>
      <c r="E1325" s="79" t="s">
        <v>5338</v>
      </c>
      <c r="F1325" s="79" t="s">
        <v>5944</v>
      </c>
      <c r="G1325" s="45"/>
      <c r="H1325" s="80">
        <v>0.00318</v>
      </c>
      <c r="I1325" s="45"/>
      <c r="J1325" s="45"/>
      <c r="K1325" s="45"/>
      <c r="L1325" s="45"/>
      <c r="M1325" s="45"/>
      <c r="N1325" s="45"/>
      <c r="O1325" s="45"/>
      <c r="P1325" s="45"/>
      <c r="Q1325" s="45"/>
      <c r="R1325" s="45"/>
      <c r="S1325" s="45"/>
      <c r="T1325" s="45"/>
      <c r="U1325" s="45"/>
    </row>
    <row r="1326">
      <c r="A1326" s="79" t="s">
        <v>8570</v>
      </c>
      <c r="B1326" s="45"/>
      <c r="C1326" s="79" t="s">
        <v>8571</v>
      </c>
      <c r="D1326" s="45"/>
      <c r="E1326" s="79" t="s">
        <v>6012</v>
      </c>
      <c r="F1326" s="79" t="s">
        <v>5944</v>
      </c>
      <c r="G1326" s="45"/>
      <c r="H1326" s="80">
        <v>0.00318</v>
      </c>
      <c r="I1326" s="45"/>
      <c r="J1326" s="45"/>
      <c r="K1326" s="45"/>
      <c r="L1326" s="45"/>
      <c r="M1326" s="45"/>
      <c r="N1326" s="45"/>
      <c r="O1326" s="45"/>
      <c r="P1326" s="45"/>
      <c r="Q1326" s="45"/>
      <c r="R1326" s="45"/>
      <c r="S1326" s="45"/>
      <c r="T1326" s="45"/>
      <c r="U1326" s="45"/>
    </row>
    <row r="1327">
      <c r="A1327" s="79" t="s">
        <v>8572</v>
      </c>
      <c r="B1327" s="45"/>
      <c r="C1327" s="79" t="s">
        <v>8573</v>
      </c>
      <c r="D1327" s="45"/>
      <c r="E1327" s="79" t="s">
        <v>5366</v>
      </c>
      <c r="F1327" s="79" t="s">
        <v>5944</v>
      </c>
      <c r="G1327" s="45"/>
      <c r="H1327" s="80">
        <v>0.00317</v>
      </c>
      <c r="I1327" s="45"/>
      <c r="J1327" s="45"/>
      <c r="K1327" s="45"/>
      <c r="L1327" s="45"/>
      <c r="M1327" s="45"/>
      <c r="N1327" s="45"/>
      <c r="O1327" s="45"/>
      <c r="P1327" s="45"/>
      <c r="Q1327" s="45"/>
      <c r="R1327" s="45"/>
      <c r="S1327" s="45"/>
      <c r="T1327" s="45"/>
      <c r="U1327" s="45"/>
    </row>
    <row r="1328">
      <c r="A1328" s="79" t="s">
        <v>8574</v>
      </c>
      <c r="B1328" s="45"/>
      <c r="C1328" s="79" t="s">
        <v>8575</v>
      </c>
      <c r="D1328" s="45"/>
      <c r="E1328" s="79" t="s">
        <v>5283</v>
      </c>
      <c r="F1328" s="79" t="s">
        <v>5944</v>
      </c>
      <c r="G1328" s="45"/>
      <c r="H1328" s="80">
        <v>0.00316</v>
      </c>
      <c r="I1328" s="45"/>
      <c r="J1328" s="45"/>
      <c r="K1328" s="45"/>
      <c r="L1328" s="45"/>
      <c r="M1328" s="45"/>
      <c r="N1328" s="45"/>
      <c r="O1328" s="45"/>
      <c r="P1328" s="45"/>
      <c r="Q1328" s="45"/>
      <c r="R1328" s="45"/>
      <c r="S1328" s="45"/>
      <c r="T1328" s="45"/>
      <c r="U1328" s="45"/>
    </row>
    <row r="1329">
      <c r="A1329" s="79" t="s">
        <v>8576</v>
      </c>
      <c r="B1329" s="45"/>
      <c r="C1329" s="79" t="s">
        <v>8577</v>
      </c>
      <c r="D1329" s="45"/>
      <c r="E1329" s="79" t="s">
        <v>5229</v>
      </c>
      <c r="F1329" s="79" t="s">
        <v>5944</v>
      </c>
      <c r="G1329" s="45"/>
      <c r="H1329" s="80">
        <v>0.00313</v>
      </c>
      <c r="I1329" s="45"/>
      <c r="J1329" s="45"/>
      <c r="K1329" s="45"/>
      <c r="L1329" s="45"/>
      <c r="M1329" s="45"/>
      <c r="N1329" s="45"/>
      <c r="O1329" s="45"/>
      <c r="P1329" s="45"/>
      <c r="Q1329" s="45"/>
      <c r="R1329" s="45"/>
      <c r="S1329" s="45"/>
      <c r="T1329" s="45"/>
      <c r="U1329" s="45"/>
    </row>
    <row r="1330">
      <c r="A1330" s="79" t="s">
        <v>8578</v>
      </c>
      <c r="B1330" s="45"/>
      <c r="C1330" s="79" t="s">
        <v>8579</v>
      </c>
      <c r="D1330" s="45"/>
      <c r="E1330" s="79" t="s">
        <v>5354</v>
      </c>
      <c r="F1330" s="79" t="s">
        <v>5944</v>
      </c>
      <c r="G1330" s="45"/>
      <c r="H1330" s="80">
        <v>0.00313</v>
      </c>
      <c r="I1330" s="45"/>
      <c r="J1330" s="45"/>
      <c r="K1330" s="45"/>
      <c r="L1330" s="45"/>
      <c r="M1330" s="45"/>
      <c r="N1330" s="45"/>
      <c r="O1330" s="45"/>
      <c r="P1330" s="45"/>
      <c r="Q1330" s="45"/>
      <c r="R1330" s="45"/>
      <c r="S1330" s="45"/>
      <c r="T1330" s="45"/>
      <c r="U1330" s="45"/>
    </row>
    <row r="1331">
      <c r="A1331" s="79" t="s">
        <v>8580</v>
      </c>
      <c r="B1331" s="45"/>
      <c r="C1331" s="79" t="s">
        <v>8581</v>
      </c>
      <c r="D1331" s="45"/>
      <c r="E1331" s="79" t="s">
        <v>5211</v>
      </c>
      <c r="F1331" s="79" t="s">
        <v>5944</v>
      </c>
      <c r="G1331" s="45"/>
      <c r="H1331" s="80">
        <v>0.00312</v>
      </c>
      <c r="I1331" s="45"/>
      <c r="J1331" s="45"/>
      <c r="K1331" s="45"/>
      <c r="L1331" s="45"/>
      <c r="M1331" s="45"/>
      <c r="N1331" s="45"/>
      <c r="O1331" s="45"/>
      <c r="P1331" s="45"/>
      <c r="Q1331" s="45"/>
      <c r="R1331" s="45"/>
      <c r="S1331" s="45"/>
      <c r="T1331" s="45"/>
      <c r="U1331" s="45"/>
    </row>
    <row r="1332">
      <c r="A1332" s="79" t="s">
        <v>8582</v>
      </c>
      <c r="B1332" s="45"/>
      <c r="C1332" s="79" t="s">
        <v>8583</v>
      </c>
      <c r="D1332" s="45"/>
      <c r="E1332" s="79" t="s">
        <v>5855</v>
      </c>
      <c r="F1332" s="79" t="s">
        <v>5944</v>
      </c>
      <c r="G1332" s="45"/>
      <c r="H1332" s="80">
        <v>0.00312</v>
      </c>
      <c r="I1332" s="45"/>
      <c r="J1332" s="45"/>
      <c r="K1332" s="45"/>
      <c r="L1332" s="45"/>
      <c r="M1332" s="45"/>
      <c r="N1332" s="45"/>
      <c r="O1332" s="45"/>
      <c r="P1332" s="45"/>
      <c r="Q1332" s="45"/>
      <c r="R1332" s="45"/>
      <c r="S1332" s="45"/>
      <c r="T1332" s="45"/>
      <c r="U1332" s="45"/>
    </row>
    <row r="1333">
      <c r="A1333" s="79" t="s">
        <v>8584</v>
      </c>
      <c r="B1333" s="45"/>
      <c r="C1333" s="79" t="s">
        <v>8585</v>
      </c>
      <c r="D1333" s="45"/>
      <c r="E1333" s="79" t="s">
        <v>5229</v>
      </c>
      <c r="F1333" s="79" t="s">
        <v>5944</v>
      </c>
      <c r="G1333" s="45"/>
      <c r="H1333" s="80">
        <v>0.00311</v>
      </c>
      <c r="I1333" s="45"/>
      <c r="J1333" s="45"/>
      <c r="K1333" s="45"/>
      <c r="L1333" s="45"/>
      <c r="M1333" s="45"/>
      <c r="N1333" s="45"/>
      <c r="O1333" s="45"/>
      <c r="P1333" s="45"/>
      <c r="Q1333" s="45"/>
      <c r="R1333" s="45"/>
      <c r="S1333" s="45"/>
      <c r="T1333" s="45"/>
      <c r="U1333" s="45"/>
    </row>
    <row r="1334">
      <c r="A1334" s="79" t="s">
        <v>8586</v>
      </c>
      <c r="B1334" s="45"/>
      <c r="C1334" s="79" t="s">
        <v>8587</v>
      </c>
      <c r="D1334" s="45"/>
      <c r="E1334" s="79" t="s">
        <v>6012</v>
      </c>
      <c r="F1334" s="79" t="s">
        <v>5944</v>
      </c>
      <c r="G1334" s="45"/>
      <c r="H1334" s="80">
        <v>0.00307</v>
      </c>
      <c r="I1334" s="45"/>
      <c r="J1334" s="45"/>
      <c r="K1334" s="45"/>
      <c r="L1334" s="45"/>
      <c r="M1334" s="45"/>
      <c r="N1334" s="45"/>
      <c r="O1334" s="45"/>
      <c r="P1334" s="45"/>
      <c r="Q1334" s="45"/>
      <c r="R1334" s="45"/>
      <c r="S1334" s="45"/>
      <c r="T1334" s="45"/>
      <c r="U1334" s="45"/>
    </row>
    <row r="1335">
      <c r="A1335" s="79" t="s">
        <v>8588</v>
      </c>
      <c r="B1335" s="45"/>
      <c r="C1335" s="79" t="s">
        <v>8589</v>
      </c>
      <c r="D1335" s="45"/>
      <c r="E1335" s="79" t="s">
        <v>5351</v>
      </c>
      <c r="F1335" s="79" t="s">
        <v>5944</v>
      </c>
      <c r="G1335" s="45"/>
      <c r="H1335" s="80">
        <v>0.00305</v>
      </c>
      <c r="I1335" s="45"/>
      <c r="J1335" s="45"/>
      <c r="K1335" s="45"/>
      <c r="L1335" s="45"/>
      <c r="M1335" s="45"/>
      <c r="N1335" s="45"/>
      <c r="O1335" s="45"/>
      <c r="P1335" s="45"/>
      <c r="Q1335" s="45"/>
      <c r="R1335" s="45"/>
      <c r="S1335" s="45"/>
      <c r="T1335" s="45"/>
      <c r="U1335" s="45"/>
    </row>
    <row r="1336">
      <c r="A1336" s="79" t="s">
        <v>8590</v>
      </c>
      <c r="B1336" s="45"/>
      <c r="C1336" s="79" t="s">
        <v>8591</v>
      </c>
      <c r="D1336" s="45"/>
      <c r="E1336" s="79" t="s">
        <v>6130</v>
      </c>
      <c r="F1336" s="79" t="s">
        <v>5944</v>
      </c>
      <c r="G1336" s="45"/>
      <c r="H1336" s="80">
        <v>0.00304</v>
      </c>
      <c r="I1336" s="45"/>
      <c r="J1336" s="45"/>
      <c r="K1336" s="45"/>
      <c r="L1336" s="45"/>
      <c r="M1336" s="45"/>
      <c r="N1336" s="45"/>
      <c r="O1336" s="45"/>
      <c r="P1336" s="45"/>
      <c r="Q1336" s="45"/>
      <c r="R1336" s="45"/>
      <c r="S1336" s="45"/>
      <c r="T1336" s="45"/>
      <c r="U1336" s="45"/>
    </row>
    <row r="1337">
      <c r="A1337" s="79" t="s">
        <v>8592</v>
      </c>
      <c r="B1337" s="45"/>
      <c r="C1337" s="79" t="s">
        <v>8593</v>
      </c>
      <c r="D1337" s="45"/>
      <c r="E1337" s="79" t="s">
        <v>5525</v>
      </c>
      <c r="F1337" s="79" t="s">
        <v>5944</v>
      </c>
      <c r="G1337" s="45"/>
      <c r="H1337" s="80">
        <v>0.00303</v>
      </c>
      <c r="I1337" s="45"/>
      <c r="J1337" s="45"/>
      <c r="K1337" s="45"/>
      <c r="L1337" s="45"/>
      <c r="M1337" s="45"/>
      <c r="N1337" s="45"/>
      <c r="O1337" s="45"/>
      <c r="P1337" s="45"/>
      <c r="Q1337" s="45"/>
      <c r="R1337" s="45"/>
      <c r="S1337" s="45"/>
      <c r="T1337" s="45"/>
      <c r="U1337" s="45"/>
    </row>
    <row r="1338">
      <c r="A1338" s="79" t="s">
        <v>8594</v>
      </c>
      <c r="B1338" s="45"/>
      <c r="C1338" s="79" t="s">
        <v>8595</v>
      </c>
      <c r="D1338" s="45"/>
      <c r="E1338" s="79" t="s">
        <v>5382</v>
      </c>
      <c r="F1338" s="79" t="s">
        <v>5944</v>
      </c>
      <c r="G1338" s="45"/>
      <c r="H1338" s="80">
        <v>0.00303</v>
      </c>
      <c r="I1338" s="45"/>
      <c r="J1338" s="45"/>
      <c r="K1338" s="45"/>
      <c r="L1338" s="45"/>
      <c r="M1338" s="45"/>
      <c r="N1338" s="45"/>
      <c r="O1338" s="45"/>
      <c r="P1338" s="45"/>
      <c r="Q1338" s="45"/>
      <c r="R1338" s="45"/>
      <c r="S1338" s="45"/>
      <c r="T1338" s="45"/>
      <c r="U1338" s="45"/>
    </row>
    <row r="1339">
      <c r="A1339" s="79" t="s">
        <v>8596</v>
      </c>
      <c r="B1339" s="45"/>
      <c r="C1339" s="79" t="s">
        <v>8597</v>
      </c>
      <c r="D1339" s="45"/>
      <c r="E1339" s="79" t="s">
        <v>6514</v>
      </c>
      <c r="F1339" s="79" t="s">
        <v>5944</v>
      </c>
      <c r="G1339" s="45"/>
      <c r="H1339" s="80">
        <v>0.00302</v>
      </c>
      <c r="I1339" s="45"/>
      <c r="J1339" s="45"/>
      <c r="K1339" s="45"/>
      <c r="L1339" s="45"/>
      <c r="M1339" s="45"/>
      <c r="N1339" s="45"/>
      <c r="O1339" s="45"/>
      <c r="P1339" s="45"/>
      <c r="Q1339" s="45"/>
      <c r="R1339" s="45"/>
      <c r="S1339" s="45"/>
      <c r="T1339" s="45"/>
      <c r="U1339" s="45"/>
    </row>
    <row r="1340">
      <c r="A1340" s="79" t="s">
        <v>8598</v>
      </c>
      <c r="B1340" s="45"/>
      <c r="C1340" s="79" t="s">
        <v>8599</v>
      </c>
      <c r="D1340" s="45"/>
      <c r="E1340" s="79" t="s">
        <v>5229</v>
      </c>
      <c r="F1340" s="79" t="s">
        <v>5944</v>
      </c>
      <c r="G1340" s="45"/>
      <c r="H1340" s="80">
        <v>0.00302</v>
      </c>
      <c r="I1340" s="45"/>
      <c r="J1340" s="45"/>
      <c r="K1340" s="45"/>
      <c r="L1340" s="45"/>
      <c r="M1340" s="45"/>
      <c r="N1340" s="45"/>
      <c r="O1340" s="45"/>
      <c r="P1340" s="45"/>
      <c r="Q1340" s="45"/>
      <c r="R1340" s="45"/>
      <c r="S1340" s="45"/>
      <c r="T1340" s="45"/>
      <c r="U1340" s="45"/>
    </row>
    <row r="1341">
      <c r="A1341" s="79" t="s">
        <v>8600</v>
      </c>
      <c r="B1341" s="45"/>
      <c r="C1341" s="79" t="s">
        <v>8601</v>
      </c>
      <c r="D1341" s="45"/>
      <c r="E1341" s="79" t="s">
        <v>6012</v>
      </c>
      <c r="F1341" s="79" t="s">
        <v>5944</v>
      </c>
      <c r="G1341" s="45"/>
      <c r="H1341" s="80">
        <v>0.003</v>
      </c>
      <c r="I1341" s="45"/>
      <c r="J1341" s="45"/>
      <c r="K1341" s="45"/>
      <c r="L1341" s="45"/>
      <c r="M1341" s="45"/>
      <c r="N1341" s="45"/>
      <c r="O1341" s="45"/>
      <c r="P1341" s="45"/>
      <c r="Q1341" s="45"/>
      <c r="R1341" s="45"/>
      <c r="S1341" s="45"/>
      <c r="T1341" s="45"/>
      <c r="U1341" s="45"/>
    </row>
    <row r="1342">
      <c r="A1342" s="79" t="s">
        <v>8602</v>
      </c>
      <c r="B1342" s="45"/>
      <c r="C1342" s="79" t="s">
        <v>8603</v>
      </c>
      <c r="D1342" s="45"/>
      <c r="E1342" s="79" t="s">
        <v>5229</v>
      </c>
      <c r="F1342" s="79" t="s">
        <v>5944</v>
      </c>
      <c r="G1342" s="45"/>
      <c r="H1342" s="80">
        <v>0.00299</v>
      </c>
      <c r="I1342" s="45"/>
      <c r="J1342" s="45"/>
      <c r="K1342" s="45"/>
      <c r="L1342" s="45"/>
      <c r="M1342" s="45"/>
      <c r="N1342" s="45"/>
      <c r="O1342" s="45"/>
      <c r="P1342" s="45"/>
      <c r="Q1342" s="45"/>
      <c r="R1342" s="45"/>
      <c r="S1342" s="45"/>
      <c r="T1342" s="45"/>
      <c r="U1342" s="45"/>
    </row>
    <row r="1343">
      <c r="A1343" s="79" t="s">
        <v>8604</v>
      </c>
      <c r="B1343" s="45"/>
      <c r="C1343" s="79" t="s">
        <v>8605</v>
      </c>
      <c r="D1343" s="45"/>
      <c r="E1343" s="79" t="s">
        <v>5366</v>
      </c>
      <c r="F1343" s="79" t="s">
        <v>5944</v>
      </c>
      <c r="G1343" s="45"/>
      <c r="H1343" s="80">
        <v>0.00299</v>
      </c>
      <c r="I1343" s="45"/>
      <c r="J1343" s="45"/>
      <c r="K1343" s="45"/>
      <c r="L1343" s="45"/>
      <c r="M1343" s="45"/>
      <c r="N1343" s="45"/>
      <c r="O1343" s="45"/>
      <c r="P1343" s="45"/>
      <c r="Q1343" s="45"/>
      <c r="R1343" s="45"/>
      <c r="S1343" s="45"/>
      <c r="T1343" s="45"/>
      <c r="U1343" s="45"/>
    </row>
    <row r="1344">
      <c r="A1344" s="79" t="s">
        <v>8606</v>
      </c>
      <c r="B1344" s="45"/>
      <c r="C1344" s="79" t="s">
        <v>8607</v>
      </c>
      <c r="D1344" s="45"/>
      <c r="E1344" s="79" t="s">
        <v>5229</v>
      </c>
      <c r="F1344" s="79" t="s">
        <v>5944</v>
      </c>
      <c r="G1344" s="45"/>
      <c r="H1344" s="80">
        <v>0.00299</v>
      </c>
      <c r="I1344" s="45"/>
      <c r="J1344" s="45"/>
      <c r="K1344" s="45"/>
      <c r="L1344" s="45"/>
      <c r="M1344" s="45"/>
      <c r="N1344" s="45"/>
      <c r="O1344" s="45"/>
      <c r="P1344" s="45"/>
      <c r="Q1344" s="45"/>
      <c r="R1344" s="45"/>
      <c r="S1344" s="45"/>
      <c r="T1344" s="45"/>
      <c r="U1344" s="45"/>
    </row>
    <row r="1345">
      <c r="A1345" s="79" t="s">
        <v>8608</v>
      </c>
      <c r="B1345" s="45"/>
      <c r="C1345" s="79" t="s">
        <v>8609</v>
      </c>
      <c r="D1345" s="45"/>
      <c r="E1345" s="79" t="s">
        <v>7098</v>
      </c>
      <c r="F1345" s="79" t="s">
        <v>5944</v>
      </c>
      <c r="G1345" s="45"/>
      <c r="H1345" s="80">
        <v>0.00298</v>
      </c>
      <c r="I1345" s="45"/>
      <c r="J1345" s="45"/>
      <c r="K1345" s="45"/>
      <c r="L1345" s="45"/>
      <c r="M1345" s="45"/>
      <c r="N1345" s="45"/>
      <c r="O1345" s="45"/>
      <c r="P1345" s="45"/>
      <c r="Q1345" s="45"/>
      <c r="R1345" s="45"/>
      <c r="S1345" s="45"/>
      <c r="T1345" s="45"/>
      <c r="U1345" s="45"/>
    </row>
    <row r="1346">
      <c r="A1346" s="79" t="s">
        <v>8610</v>
      </c>
      <c r="B1346" s="45"/>
      <c r="C1346" s="79" t="s">
        <v>8611</v>
      </c>
      <c r="D1346" s="45"/>
      <c r="E1346" s="79" t="s">
        <v>5868</v>
      </c>
      <c r="F1346" s="79" t="s">
        <v>5944</v>
      </c>
      <c r="G1346" s="45"/>
      <c r="H1346" s="80">
        <v>0.00298</v>
      </c>
      <c r="I1346" s="45"/>
      <c r="J1346" s="45"/>
      <c r="K1346" s="45"/>
      <c r="L1346" s="45"/>
      <c r="M1346" s="45"/>
      <c r="N1346" s="45"/>
      <c r="O1346" s="45"/>
      <c r="P1346" s="45"/>
      <c r="Q1346" s="45"/>
      <c r="R1346" s="45"/>
      <c r="S1346" s="45"/>
      <c r="T1346" s="45"/>
      <c r="U1346" s="45"/>
    </row>
    <row r="1347">
      <c r="A1347" s="79" t="s">
        <v>8612</v>
      </c>
      <c r="B1347" s="45"/>
      <c r="C1347" s="79" t="s">
        <v>8613</v>
      </c>
      <c r="D1347" s="45"/>
      <c r="E1347" s="79" t="s">
        <v>6514</v>
      </c>
      <c r="F1347" s="79" t="s">
        <v>5944</v>
      </c>
      <c r="G1347" s="45"/>
      <c r="H1347" s="80">
        <v>0.00296</v>
      </c>
      <c r="I1347" s="45"/>
      <c r="J1347" s="45"/>
      <c r="K1347" s="45"/>
      <c r="L1347" s="45"/>
      <c r="M1347" s="45"/>
      <c r="N1347" s="45"/>
      <c r="O1347" s="45"/>
      <c r="P1347" s="45"/>
      <c r="Q1347" s="45"/>
      <c r="R1347" s="45"/>
      <c r="S1347" s="45"/>
      <c r="T1347" s="45"/>
      <c r="U1347" s="45"/>
    </row>
    <row r="1348">
      <c r="A1348" s="79" t="s">
        <v>8614</v>
      </c>
      <c r="B1348" s="45"/>
      <c r="C1348" s="79" t="s">
        <v>8615</v>
      </c>
      <c r="D1348" s="45"/>
      <c r="E1348" s="79" t="s">
        <v>6012</v>
      </c>
      <c r="F1348" s="79" t="s">
        <v>5944</v>
      </c>
      <c r="G1348" s="45"/>
      <c r="H1348" s="80">
        <v>0.00296</v>
      </c>
      <c r="I1348" s="45"/>
      <c r="J1348" s="45"/>
      <c r="K1348" s="45"/>
      <c r="L1348" s="45"/>
      <c r="M1348" s="45"/>
      <c r="N1348" s="45"/>
      <c r="O1348" s="45"/>
      <c r="P1348" s="45"/>
      <c r="Q1348" s="45"/>
      <c r="R1348" s="45"/>
      <c r="S1348" s="45"/>
      <c r="T1348" s="45"/>
      <c r="U1348" s="45"/>
    </row>
    <row r="1349">
      <c r="A1349" s="79" t="s">
        <v>8616</v>
      </c>
      <c r="B1349" s="45"/>
      <c r="C1349" s="79" t="s">
        <v>8617</v>
      </c>
      <c r="D1349" s="45"/>
      <c r="E1349" s="79" t="s">
        <v>5267</v>
      </c>
      <c r="F1349" s="79" t="s">
        <v>5944</v>
      </c>
      <c r="G1349" s="45"/>
      <c r="H1349" s="80">
        <v>0.00296</v>
      </c>
      <c r="I1349" s="45"/>
      <c r="J1349" s="45"/>
      <c r="K1349" s="45"/>
      <c r="L1349" s="45"/>
      <c r="M1349" s="45"/>
      <c r="N1349" s="45"/>
      <c r="O1349" s="45"/>
      <c r="P1349" s="45"/>
      <c r="Q1349" s="45"/>
      <c r="R1349" s="45"/>
      <c r="S1349" s="45"/>
      <c r="T1349" s="45"/>
      <c r="U1349" s="45"/>
    </row>
    <row r="1350">
      <c r="A1350" s="79" t="s">
        <v>8618</v>
      </c>
      <c r="B1350" s="45"/>
      <c r="C1350" s="79" t="s">
        <v>8619</v>
      </c>
      <c r="D1350" s="45"/>
      <c r="E1350" s="79" t="s">
        <v>5246</v>
      </c>
      <c r="F1350" s="79" t="s">
        <v>5944</v>
      </c>
      <c r="G1350" s="45"/>
      <c r="H1350" s="80">
        <v>0.00293</v>
      </c>
      <c r="I1350" s="45"/>
      <c r="J1350" s="45"/>
      <c r="K1350" s="45"/>
      <c r="L1350" s="45"/>
      <c r="M1350" s="45"/>
      <c r="N1350" s="45"/>
      <c r="O1350" s="45"/>
      <c r="P1350" s="45"/>
      <c r="Q1350" s="45"/>
      <c r="R1350" s="45"/>
      <c r="S1350" s="45"/>
      <c r="T1350" s="45"/>
      <c r="U1350" s="45"/>
    </row>
    <row r="1351">
      <c r="A1351" s="79" t="s">
        <v>8620</v>
      </c>
      <c r="B1351" s="45"/>
      <c r="C1351" s="79" t="s">
        <v>8621</v>
      </c>
      <c r="D1351" s="45"/>
      <c r="E1351" s="79" t="s">
        <v>5283</v>
      </c>
      <c r="F1351" s="79" t="s">
        <v>5944</v>
      </c>
      <c r="G1351" s="45"/>
      <c r="H1351" s="80">
        <v>0.00293</v>
      </c>
      <c r="I1351" s="45"/>
      <c r="J1351" s="45"/>
      <c r="K1351" s="45"/>
      <c r="L1351" s="45"/>
      <c r="M1351" s="45"/>
      <c r="N1351" s="45"/>
      <c r="O1351" s="45"/>
      <c r="P1351" s="45"/>
      <c r="Q1351" s="45"/>
      <c r="R1351" s="45"/>
      <c r="S1351" s="45"/>
      <c r="T1351" s="45"/>
      <c r="U1351" s="45"/>
    </row>
    <row r="1352">
      <c r="A1352" s="79" t="s">
        <v>8622</v>
      </c>
      <c r="B1352" s="45"/>
      <c r="C1352" s="79" t="s">
        <v>8623</v>
      </c>
      <c r="D1352" s="45"/>
      <c r="E1352" s="79" t="s">
        <v>5283</v>
      </c>
      <c r="F1352" s="79" t="s">
        <v>5944</v>
      </c>
      <c r="G1352" s="45"/>
      <c r="H1352" s="80">
        <v>0.00293</v>
      </c>
      <c r="I1352" s="45"/>
      <c r="J1352" s="45"/>
      <c r="K1352" s="45"/>
      <c r="L1352" s="45"/>
      <c r="M1352" s="45"/>
      <c r="N1352" s="45"/>
      <c r="O1352" s="45"/>
      <c r="P1352" s="45"/>
      <c r="Q1352" s="45"/>
      <c r="R1352" s="45"/>
      <c r="S1352" s="45"/>
      <c r="T1352" s="45"/>
      <c r="U1352" s="45"/>
    </row>
    <row r="1353">
      <c r="A1353" s="79" t="s">
        <v>8624</v>
      </c>
      <c r="B1353" s="45"/>
      <c r="C1353" s="79" t="s">
        <v>8625</v>
      </c>
      <c r="D1353" s="45"/>
      <c r="E1353" s="79" t="s">
        <v>5775</v>
      </c>
      <c r="F1353" s="79" t="s">
        <v>5944</v>
      </c>
      <c r="G1353" s="45"/>
      <c r="H1353" s="80">
        <v>0.00292</v>
      </c>
      <c r="I1353" s="45"/>
      <c r="J1353" s="45"/>
      <c r="K1353" s="45"/>
      <c r="L1353" s="45"/>
      <c r="M1353" s="45"/>
      <c r="N1353" s="45"/>
      <c r="O1353" s="45"/>
      <c r="P1353" s="45"/>
      <c r="Q1353" s="45"/>
      <c r="R1353" s="45"/>
      <c r="S1353" s="45"/>
      <c r="T1353" s="45"/>
      <c r="U1353" s="45"/>
    </row>
    <row r="1354">
      <c r="A1354" s="79" t="s">
        <v>8626</v>
      </c>
      <c r="B1354" s="45"/>
      <c r="C1354" s="79" t="s">
        <v>8627</v>
      </c>
      <c r="D1354" s="45"/>
      <c r="E1354" s="79" t="s">
        <v>5855</v>
      </c>
      <c r="F1354" s="79" t="s">
        <v>5944</v>
      </c>
      <c r="G1354" s="45"/>
      <c r="H1354" s="80">
        <v>0.00287</v>
      </c>
      <c r="I1354" s="45"/>
      <c r="J1354" s="45"/>
      <c r="K1354" s="45"/>
      <c r="L1354" s="45"/>
      <c r="M1354" s="45"/>
      <c r="N1354" s="45"/>
      <c r="O1354" s="45"/>
      <c r="P1354" s="45"/>
      <c r="Q1354" s="45"/>
      <c r="R1354" s="45"/>
      <c r="S1354" s="45"/>
      <c r="T1354" s="45"/>
      <c r="U1354" s="45"/>
    </row>
    <row r="1355">
      <c r="A1355" s="79" t="s">
        <v>8628</v>
      </c>
      <c r="B1355" s="45"/>
      <c r="C1355" s="79" t="s">
        <v>8629</v>
      </c>
      <c r="D1355" s="45"/>
      <c r="E1355" s="79" t="s">
        <v>7248</v>
      </c>
      <c r="F1355" s="79" t="s">
        <v>5944</v>
      </c>
      <c r="G1355" s="45"/>
      <c r="H1355" s="80">
        <v>0.00285</v>
      </c>
      <c r="I1355" s="45"/>
      <c r="J1355" s="45"/>
      <c r="K1355" s="45"/>
      <c r="L1355" s="45"/>
      <c r="M1355" s="45"/>
      <c r="N1355" s="45"/>
      <c r="O1355" s="45"/>
      <c r="P1355" s="45"/>
      <c r="Q1355" s="45"/>
      <c r="R1355" s="45"/>
      <c r="S1355" s="45"/>
      <c r="T1355" s="45"/>
      <c r="U1355" s="45"/>
    </row>
    <row r="1356">
      <c r="A1356" s="79" t="s">
        <v>8630</v>
      </c>
      <c r="B1356" s="45"/>
      <c r="C1356" s="79" t="s">
        <v>8631</v>
      </c>
      <c r="D1356" s="45"/>
      <c r="E1356" s="79" t="s">
        <v>5650</v>
      </c>
      <c r="F1356" s="79" t="s">
        <v>5944</v>
      </c>
      <c r="G1356" s="45"/>
      <c r="H1356" s="80">
        <v>0.00285</v>
      </c>
      <c r="I1356" s="45"/>
      <c r="J1356" s="45"/>
      <c r="K1356" s="45"/>
      <c r="L1356" s="45"/>
      <c r="M1356" s="45"/>
      <c r="N1356" s="45"/>
      <c r="O1356" s="45"/>
      <c r="P1356" s="45"/>
      <c r="Q1356" s="45"/>
      <c r="R1356" s="45"/>
      <c r="S1356" s="45"/>
      <c r="T1356" s="45"/>
      <c r="U1356" s="45"/>
    </row>
    <row r="1357">
      <c r="A1357" s="79" t="s">
        <v>8632</v>
      </c>
      <c r="B1357" s="45"/>
      <c r="C1357" s="79" t="s">
        <v>8633</v>
      </c>
      <c r="D1357" s="45"/>
      <c r="E1357" s="79" t="s">
        <v>6012</v>
      </c>
      <c r="F1357" s="79" t="s">
        <v>5944</v>
      </c>
      <c r="G1357" s="45"/>
      <c r="H1357" s="80">
        <v>0.00284</v>
      </c>
      <c r="I1357" s="45"/>
      <c r="J1357" s="45"/>
      <c r="K1357" s="45"/>
      <c r="L1357" s="45"/>
      <c r="M1357" s="45"/>
      <c r="N1357" s="45"/>
      <c r="O1357" s="45"/>
      <c r="P1357" s="45"/>
      <c r="Q1357" s="45"/>
      <c r="R1357" s="45"/>
      <c r="S1357" s="45"/>
      <c r="T1357" s="45"/>
      <c r="U1357" s="45"/>
    </row>
    <row r="1358">
      <c r="A1358" s="79" t="s">
        <v>8634</v>
      </c>
      <c r="B1358" s="45"/>
      <c r="C1358" s="79" t="s">
        <v>8635</v>
      </c>
      <c r="D1358" s="45"/>
      <c r="E1358" s="79" t="s">
        <v>5589</v>
      </c>
      <c r="F1358" s="79" t="s">
        <v>5944</v>
      </c>
      <c r="G1358" s="45"/>
      <c r="H1358" s="80">
        <v>0.00283</v>
      </c>
      <c r="I1358" s="45"/>
      <c r="J1358" s="45"/>
      <c r="K1358" s="45"/>
      <c r="L1358" s="45"/>
      <c r="M1358" s="45"/>
      <c r="N1358" s="45"/>
      <c r="O1358" s="45"/>
      <c r="P1358" s="45"/>
      <c r="Q1358" s="45"/>
      <c r="R1358" s="45"/>
      <c r="S1358" s="45"/>
      <c r="T1358" s="45"/>
      <c r="U1358" s="45"/>
    </row>
    <row r="1359">
      <c r="A1359" s="79" t="s">
        <v>8636</v>
      </c>
      <c r="B1359" s="45"/>
      <c r="C1359" s="79" t="s">
        <v>8637</v>
      </c>
      <c r="D1359" s="45"/>
      <c r="E1359" s="79" t="s">
        <v>6012</v>
      </c>
      <c r="F1359" s="79" t="s">
        <v>5944</v>
      </c>
      <c r="G1359" s="45"/>
      <c r="H1359" s="80">
        <v>0.00282</v>
      </c>
      <c r="I1359" s="45"/>
      <c r="J1359" s="45"/>
      <c r="K1359" s="45"/>
      <c r="L1359" s="45"/>
      <c r="M1359" s="45"/>
      <c r="N1359" s="45"/>
      <c r="O1359" s="45"/>
      <c r="P1359" s="45"/>
      <c r="Q1359" s="45"/>
      <c r="R1359" s="45"/>
      <c r="S1359" s="45"/>
      <c r="T1359" s="45"/>
      <c r="U1359" s="45"/>
    </row>
    <row r="1360">
      <c r="A1360" s="79" t="s">
        <v>8638</v>
      </c>
      <c r="B1360" s="45"/>
      <c r="C1360" s="79" t="s">
        <v>8639</v>
      </c>
      <c r="D1360" s="45"/>
      <c r="E1360" s="79" t="s">
        <v>5404</v>
      </c>
      <c r="F1360" s="79" t="s">
        <v>5944</v>
      </c>
      <c r="G1360" s="45"/>
      <c r="H1360" s="80">
        <v>0.00282</v>
      </c>
      <c r="I1360" s="45"/>
      <c r="J1360" s="45"/>
      <c r="K1360" s="45"/>
      <c r="L1360" s="45"/>
      <c r="M1360" s="45"/>
      <c r="N1360" s="45"/>
      <c r="O1360" s="45"/>
      <c r="P1360" s="45"/>
      <c r="Q1360" s="45"/>
      <c r="R1360" s="45"/>
      <c r="S1360" s="45"/>
      <c r="T1360" s="45"/>
      <c r="U1360" s="45"/>
    </row>
    <row r="1361">
      <c r="A1361" s="79" t="s">
        <v>8640</v>
      </c>
      <c r="B1361" s="45"/>
      <c r="C1361" s="79" t="s">
        <v>8641</v>
      </c>
      <c r="D1361" s="45"/>
      <c r="E1361" s="79" t="s">
        <v>5218</v>
      </c>
      <c r="F1361" s="79" t="s">
        <v>5944</v>
      </c>
      <c r="G1361" s="45"/>
      <c r="H1361" s="80">
        <v>0.00282</v>
      </c>
      <c r="I1361" s="45"/>
      <c r="J1361" s="45"/>
      <c r="K1361" s="45"/>
      <c r="L1361" s="45"/>
      <c r="M1361" s="45"/>
      <c r="N1361" s="45"/>
      <c r="O1361" s="45"/>
      <c r="P1361" s="45"/>
      <c r="Q1361" s="45"/>
      <c r="R1361" s="45"/>
      <c r="S1361" s="45"/>
      <c r="T1361" s="45"/>
      <c r="U1361" s="45"/>
    </row>
    <row r="1362">
      <c r="A1362" s="79" t="s">
        <v>8642</v>
      </c>
      <c r="B1362" s="45"/>
      <c r="C1362" s="79" t="s">
        <v>8643</v>
      </c>
      <c r="D1362" s="45"/>
      <c r="E1362" s="79" t="s">
        <v>5855</v>
      </c>
      <c r="F1362" s="79" t="s">
        <v>5944</v>
      </c>
      <c r="G1362" s="45"/>
      <c r="H1362" s="80">
        <v>0.00282</v>
      </c>
      <c r="I1362" s="45"/>
      <c r="J1362" s="45"/>
      <c r="K1362" s="45"/>
      <c r="L1362" s="45"/>
      <c r="M1362" s="45"/>
      <c r="N1362" s="45"/>
      <c r="O1362" s="45"/>
      <c r="P1362" s="45"/>
      <c r="Q1362" s="45"/>
      <c r="R1362" s="45"/>
      <c r="S1362" s="45"/>
      <c r="T1362" s="45"/>
      <c r="U1362" s="45"/>
    </row>
    <row r="1363">
      <c r="A1363" s="79" t="s">
        <v>8644</v>
      </c>
      <c r="B1363" s="45"/>
      <c r="C1363" s="79" t="s">
        <v>8645</v>
      </c>
      <c r="D1363" s="45"/>
      <c r="E1363" s="79" t="s">
        <v>5374</v>
      </c>
      <c r="F1363" s="79" t="s">
        <v>5944</v>
      </c>
      <c r="G1363" s="45"/>
      <c r="H1363" s="80">
        <v>0.00281</v>
      </c>
      <c r="I1363" s="45"/>
      <c r="J1363" s="45"/>
      <c r="K1363" s="45"/>
      <c r="L1363" s="45"/>
      <c r="M1363" s="45"/>
      <c r="N1363" s="45"/>
      <c r="O1363" s="45"/>
      <c r="P1363" s="45"/>
      <c r="Q1363" s="45"/>
      <c r="R1363" s="45"/>
      <c r="S1363" s="45"/>
      <c r="T1363" s="45"/>
      <c r="U1363" s="45"/>
    </row>
    <row r="1364">
      <c r="A1364" s="79" t="s">
        <v>8646</v>
      </c>
      <c r="B1364" s="45"/>
      <c r="C1364" s="79" t="s">
        <v>8647</v>
      </c>
      <c r="D1364" s="45"/>
      <c r="E1364" s="79" t="s">
        <v>8648</v>
      </c>
      <c r="F1364" s="79" t="s">
        <v>5944</v>
      </c>
      <c r="G1364" s="45"/>
      <c r="H1364" s="80">
        <v>0.00279</v>
      </c>
      <c r="I1364" s="45"/>
      <c r="J1364" s="45"/>
      <c r="K1364" s="45"/>
      <c r="L1364" s="45"/>
      <c r="M1364" s="45"/>
      <c r="N1364" s="45"/>
      <c r="O1364" s="45"/>
      <c r="P1364" s="45"/>
      <c r="Q1364" s="45"/>
      <c r="R1364" s="45"/>
      <c r="S1364" s="45"/>
      <c r="T1364" s="45"/>
      <c r="U1364" s="45"/>
    </row>
    <row r="1365">
      <c r="A1365" s="79" t="s">
        <v>8649</v>
      </c>
      <c r="B1365" s="45"/>
      <c r="C1365" s="79" t="s">
        <v>8650</v>
      </c>
      <c r="D1365" s="45"/>
      <c r="E1365" s="79" t="s">
        <v>5434</v>
      </c>
      <c r="F1365" s="79" t="s">
        <v>5944</v>
      </c>
      <c r="G1365" s="45"/>
      <c r="H1365" s="80">
        <v>0.00274</v>
      </c>
      <c r="I1365" s="45"/>
      <c r="J1365" s="45"/>
      <c r="K1365" s="45"/>
      <c r="L1365" s="45"/>
      <c r="M1365" s="45"/>
      <c r="N1365" s="45"/>
      <c r="O1365" s="45"/>
      <c r="P1365" s="45"/>
      <c r="Q1365" s="45"/>
      <c r="R1365" s="45"/>
      <c r="S1365" s="45"/>
      <c r="T1365" s="45"/>
      <c r="U1365" s="45"/>
    </row>
    <row r="1366">
      <c r="A1366" s="79" t="s">
        <v>8651</v>
      </c>
      <c r="B1366" s="45"/>
      <c r="C1366" s="79" t="s">
        <v>8652</v>
      </c>
      <c r="D1366" s="45"/>
      <c r="E1366" s="79" t="s">
        <v>6012</v>
      </c>
      <c r="F1366" s="79" t="s">
        <v>5944</v>
      </c>
      <c r="G1366" s="45"/>
      <c r="H1366" s="80">
        <v>0.00269</v>
      </c>
      <c r="I1366" s="45"/>
      <c r="J1366" s="45"/>
      <c r="K1366" s="45"/>
      <c r="L1366" s="45"/>
      <c r="M1366" s="45"/>
      <c r="N1366" s="45"/>
      <c r="O1366" s="45"/>
      <c r="P1366" s="45"/>
      <c r="Q1366" s="45"/>
      <c r="R1366" s="45"/>
      <c r="S1366" s="45"/>
      <c r="T1366" s="45"/>
      <c r="U1366" s="45"/>
    </row>
    <row r="1367">
      <c r="A1367" s="79" t="s">
        <v>8653</v>
      </c>
      <c r="B1367" s="45"/>
      <c r="C1367" s="79" t="s">
        <v>8654</v>
      </c>
      <c r="D1367" s="45"/>
      <c r="E1367" s="79" t="s">
        <v>5218</v>
      </c>
      <c r="F1367" s="79" t="s">
        <v>5944</v>
      </c>
      <c r="G1367" s="45"/>
      <c r="H1367" s="80">
        <v>0.00266</v>
      </c>
      <c r="I1367" s="45"/>
      <c r="J1367" s="45"/>
      <c r="K1367" s="45"/>
      <c r="L1367" s="45"/>
      <c r="M1367" s="45"/>
      <c r="N1367" s="45"/>
      <c r="O1367" s="45"/>
      <c r="P1367" s="45"/>
      <c r="Q1367" s="45"/>
      <c r="R1367" s="45"/>
      <c r="S1367" s="45"/>
      <c r="T1367" s="45"/>
      <c r="U1367" s="45"/>
    </row>
    <row r="1368">
      <c r="A1368" s="79" t="s">
        <v>8655</v>
      </c>
      <c r="B1368" s="45"/>
      <c r="C1368" s="79" t="s">
        <v>8656</v>
      </c>
      <c r="D1368" s="45"/>
      <c r="E1368" s="79" t="s">
        <v>5961</v>
      </c>
      <c r="F1368" s="79" t="s">
        <v>5944</v>
      </c>
      <c r="G1368" s="45"/>
      <c r="H1368" s="80">
        <v>0.00266</v>
      </c>
      <c r="I1368" s="45"/>
      <c r="J1368" s="45"/>
      <c r="K1368" s="45"/>
      <c r="L1368" s="45"/>
      <c r="M1368" s="45"/>
      <c r="N1368" s="45"/>
      <c r="O1368" s="45"/>
      <c r="P1368" s="45"/>
      <c r="Q1368" s="45"/>
      <c r="R1368" s="45"/>
      <c r="S1368" s="45"/>
      <c r="T1368" s="45"/>
      <c r="U1368" s="45"/>
    </row>
    <row r="1369">
      <c r="A1369" s="79" t="s">
        <v>8657</v>
      </c>
      <c r="B1369" s="45"/>
      <c r="C1369" s="79" t="s">
        <v>8658</v>
      </c>
      <c r="D1369" s="45"/>
      <c r="E1369" s="79" t="s">
        <v>5961</v>
      </c>
      <c r="F1369" s="79" t="s">
        <v>5944</v>
      </c>
      <c r="G1369" s="45"/>
      <c r="H1369" s="80">
        <v>0.00262</v>
      </c>
      <c r="I1369" s="45"/>
      <c r="J1369" s="45"/>
      <c r="K1369" s="45"/>
      <c r="L1369" s="45"/>
      <c r="M1369" s="45"/>
      <c r="N1369" s="45"/>
      <c r="O1369" s="45"/>
      <c r="P1369" s="45"/>
      <c r="Q1369" s="45"/>
      <c r="R1369" s="45"/>
      <c r="S1369" s="45"/>
      <c r="T1369" s="45"/>
      <c r="U1369" s="45"/>
    </row>
    <row r="1370">
      <c r="A1370" s="79" t="s">
        <v>8659</v>
      </c>
      <c r="B1370" s="45"/>
      <c r="C1370" s="79" t="s">
        <v>8660</v>
      </c>
      <c r="D1370" s="45"/>
      <c r="E1370" s="79" t="s">
        <v>7236</v>
      </c>
      <c r="F1370" s="79" t="s">
        <v>5944</v>
      </c>
      <c r="G1370" s="45"/>
      <c r="H1370" s="80">
        <v>0.00262</v>
      </c>
      <c r="I1370" s="45"/>
      <c r="J1370" s="45"/>
      <c r="K1370" s="45"/>
      <c r="L1370" s="45"/>
      <c r="M1370" s="45"/>
      <c r="N1370" s="45"/>
      <c r="O1370" s="45"/>
      <c r="P1370" s="45"/>
      <c r="Q1370" s="45"/>
      <c r="R1370" s="45"/>
      <c r="S1370" s="45"/>
      <c r="T1370" s="45"/>
      <c r="U1370" s="45"/>
    </row>
    <row r="1371">
      <c r="A1371" s="79" t="s">
        <v>8661</v>
      </c>
      <c r="B1371" s="45"/>
      <c r="C1371" s="79" t="s">
        <v>8662</v>
      </c>
      <c r="D1371" s="45"/>
      <c r="E1371" s="79" t="s">
        <v>5351</v>
      </c>
      <c r="F1371" s="79" t="s">
        <v>5944</v>
      </c>
      <c r="G1371" s="45"/>
      <c r="H1371" s="80">
        <v>0.0026</v>
      </c>
      <c r="I1371" s="45"/>
      <c r="J1371" s="45"/>
      <c r="K1371" s="45"/>
      <c r="L1371" s="45"/>
      <c r="M1371" s="45"/>
      <c r="N1371" s="45"/>
      <c r="O1371" s="45"/>
      <c r="P1371" s="45"/>
      <c r="Q1371" s="45"/>
      <c r="R1371" s="45"/>
      <c r="S1371" s="45"/>
      <c r="T1371" s="45"/>
      <c r="U1371" s="45"/>
    </row>
    <row r="1372">
      <c r="A1372" s="79" t="s">
        <v>8663</v>
      </c>
      <c r="B1372" s="45"/>
      <c r="C1372" s="79" t="s">
        <v>6677</v>
      </c>
      <c r="D1372" s="45"/>
      <c r="E1372" s="79" t="s">
        <v>5215</v>
      </c>
      <c r="F1372" s="79" t="s">
        <v>5944</v>
      </c>
      <c r="G1372" s="45"/>
      <c r="H1372" s="80">
        <v>0.00255</v>
      </c>
      <c r="I1372" s="45"/>
      <c r="J1372" s="45"/>
      <c r="K1372" s="45"/>
      <c r="L1372" s="45"/>
      <c r="M1372" s="45"/>
      <c r="N1372" s="45"/>
      <c r="O1372" s="45"/>
      <c r="P1372" s="45"/>
      <c r="Q1372" s="45"/>
      <c r="R1372" s="45"/>
      <c r="S1372" s="45"/>
      <c r="T1372" s="45"/>
      <c r="U1372" s="45"/>
    </row>
    <row r="1373">
      <c r="A1373" s="79" t="s">
        <v>8664</v>
      </c>
      <c r="B1373" s="45"/>
      <c r="C1373" s="79" t="s">
        <v>8665</v>
      </c>
      <c r="D1373" s="45"/>
      <c r="E1373" s="79" t="s">
        <v>5478</v>
      </c>
      <c r="F1373" s="79" t="s">
        <v>5944</v>
      </c>
      <c r="G1373" s="45"/>
      <c r="H1373" s="80">
        <v>0.00253</v>
      </c>
      <c r="I1373" s="45"/>
      <c r="J1373" s="45"/>
      <c r="K1373" s="45"/>
      <c r="L1373" s="45"/>
      <c r="M1373" s="45"/>
      <c r="N1373" s="45"/>
      <c r="O1373" s="45"/>
      <c r="P1373" s="45"/>
      <c r="Q1373" s="45"/>
      <c r="R1373" s="45"/>
      <c r="S1373" s="45"/>
      <c r="T1373" s="45"/>
      <c r="U1373" s="45"/>
    </row>
    <row r="1374">
      <c r="A1374" s="79" t="s">
        <v>8666</v>
      </c>
      <c r="B1374" s="45"/>
      <c r="C1374" s="79" t="s">
        <v>8667</v>
      </c>
      <c r="D1374" s="45"/>
      <c r="E1374" s="79" t="s">
        <v>5650</v>
      </c>
      <c r="F1374" s="79" t="s">
        <v>5944</v>
      </c>
      <c r="G1374" s="45"/>
      <c r="H1374" s="80">
        <v>0.00251</v>
      </c>
      <c r="I1374" s="45"/>
      <c r="J1374" s="45"/>
      <c r="K1374" s="45"/>
      <c r="L1374" s="45"/>
      <c r="M1374" s="45"/>
      <c r="N1374" s="45"/>
      <c r="O1374" s="45"/>
      <c r="P1374" s="45"/>
      <c r="Q1374" s="45"/>
      <c r="R1374" s="45"/>
      <c r="S1374" s="45"/>
      <c r="T1374" s="45"/>
      <c r="U1374" s="45"/>
    </row>
    <row r="1375">
      <c r="A1375" s="79" t="s">
        <v>8668</v>
      </c>
      <c r="B1375" s="45"/>
      <c r="C1375" s="79" t="s">
        <v>8669</v>
      </c>
      <c r="D1375" s="45"/>
      <c r="E1375" s="79" t="s">
        <v>5478</v>
      </c>
      <c r="F1375" s="79" t="s">
        <v>5944</v>
      </c>
      <c r="G1375" s="45"/>
      <c r="H1375" s="80">
        <v>0.00246</v>
      </c>
      <c r="I1375" s="45"/>
      <c r="J1375" s="45"/>
      <c r="K1375" s="45"/>
      <c r="L1375" s="45"/>
      <c r="M1375" s="45"/>
      <c r="N1375" s="45"/>
      <c r="O1375" s="45"/>
      <c r="P1375" s="45"/>
      <c r="Q1375" s="45"/>
      <c r="R1375" s="45"/>
      <c r="S1375" s="45"/>
      <c r="T1375" s="45"/>
      <c r="U1375" s="45"/>
    </row>
    <row r="1376">
      <c r="A1376" s="79" t="s">
        <v>8670</v>
      </c>
      <c r="B1376" s="45"/>
      <c r="C1376" s="79" t="s">
        <v>8671</v>
      </c>
      <c r="D1376" s="45"/>
      <c r="E1376" s="79" t="s">
        <v>6012</v>
      </c>
      <c r="F1376" s="79" t="s">
        <v>5944</v>
      </c>
      <c r="G1376" s="45"/>
      <c r="H1376" s="80">
        <v>0.00245</v>
      </c>
      <c r="I1376" s="45"/>
      <c r="J1376" s="45"/>
      <c r="K1376" s="45"/>
      <c r="L1376" s="45"/>
      <c r="M1376" s="45"/>
      <c r="N1376" s="45"/>
      <c r="O1376" s="45"/>
      <c r="P1376" s="45"/>
      <c r="Q1376" s="45"/>
      <c r="R1376" s="45"/>
      <c r="S1376" s="45"/>
      <c r="T1376" s="45"/>
      <c r="U1376" s="45"/>
    </row>
    <row r="1377">
      <c r="A1377" s="79" t="s">
        <v>8672</v>
      </c>
      <c r="B1377" s="45"/>
      <c r="C1377" s="79" t="s">
        <v>8673</v>
      </c>
      <c r="D1377" s="45"/>
      <c r="E1377" s="79" t="s">
        <v>5218</v>
      </c>
      <c r="F1377" s="79" t="s">
        <v>5944</v>
      </c>
      <c r="G1377" s="45"/>
      <c r="H1377" s="80">
        <v>0.00242</v>
      </c>
      <c r="I1377" s="45"/>
      <c r="J1377" s="45"/>
      <c r="K1377" s="45"/>
      <c r="L1377" s="45"/>
      <c r="M1377" s="45"/>
      <c r="N1377" s="45"/>
      <c r="O1377" s="45"/>
      <c r="P1377" s="45"/>
      <c r="Q1377" s="45"/>
      <c r="R1377" s="45"/>
      <c r="S1377" s="45"/>
      <c r="T1377" s="45"/>
      <c r="U1377" s="45"/>
    </row>
    <row r="1378">
      <c r="A1378" s="79" t="s">
        <v>8674</v>
      </c>
      <c r="B1378" s="45"/>
      <c r="C1378" s="79" t="s">
        <v>8675</v>
      </c>
      <c r="D1378" s="45"/>
      <c r="E1378" s="79" t="s">
        <v>5855</v>
      </c>
      <c r="F1378" s="79" t="s">
        <v>5944</v>
      </c>
      <c r="G1378" s="45"/>
      <c r="H1378" s="80">
        <v>0.00235</v>
      </c>
      <c r="I1378" s="45"/>
      <c r="J1378" s="45"/>
      <c r="K1378" s="45"/>
      <c r="L1378" s="45"/>
      <c r="M1378" s="45"/>
      <c r="N1378" s="45"/>
      <c r="O1378" s="45"/>
      <c r="P1378" s="45"/>
      <c r="Q1378" s="45"/>
      <c r="R1378" s="45"/>
      <c r="S1378" s="45"/>
      <c r="T1378" s="45"/>
      <c r="U1378" s="45"/>
    </row>
    <row r="1379">
      <c r="A1379" s="79" t="s">
        <v>8676</v>
      </c>
      <c r="B1379" s="45"/>
      <c r="C1379" s="79" t="s">
        <v>8677</v>
      </c>
      <c r="D1379" s="45"/>
      <c r="E1379" s="79" t="s">
        <v>6012</v>
      </c>
      <c r="F1379" s="79" t="s">
        <v>5944</v>
      </c>
      <c r="G1379" s="45"/>
      <c r="H1379" s="80">
        <v>0.00232</v>
      </c>
      <c r="I1379" s="45"/>
      <c r="J1379" s="45"/>
      <c r="K1379" s="45"/>
      <c r="L1379" s="45"/>
      <c r="M1379" s="45"/>
      <c r="N1379" s="45"/>
      <c r="O1379" s="45"/>
      <c r="P1379" s="45"/>
      <c r="Q1379" s="45"/>
      <c r="R1379" s="45"/>
      <c r="S1379" s="45"/>
      <c r="T1379" s="45"/>
      <c r="U1379" s="45"/>
    </row>
    <row r="1380">
      <c r="A1380" s="79" t="s">
        <v>8678</v>
      </c>
      <c r="B1380" s="45"/>
      <c r="C1380" s="79" t="s">
        <v>8679</v>
      </c>
      <c r="D1380" s="45"/>
      <c r="E1380" s="79" t="s">
        <v>6012</v>
      </c>
      <c r="F1380" s="79" t="s">
        <v>5944</v>
      </c>
      <c r="G1380" s="45"/>
      <c r="H1380" s="80">
        <v>0.00222</v>
      </c>
      <c r="I1380" s="45"/>
      <c r="J1380" s="45"/>
      <c r="K1380" s="45"/>
      <c r="L1380" s="45"/>
      <c r="M1380" s="45"/>
      <c r="N1380" s="45"/>
      <c r="O1380" s="45"/>
      <c r="P1380" s="45"/>
      <c r="Q1380" s="45"/>
      <c r="R1380" s="45"/>
      <c r="S1380" s="45"/>
      <c r="T1380" s="45"/>
      <c r="U1380" s="45"/>
    </row>
    <row r="1381">
      <c r="A1381" s="79" t="s">
        <v>8680</v>
      </c>
      <c r="B1381" s="45"/>
      <c r="C1381" s="79" t="s">
        <v>8681</v>
      </c>
      <c r="D1381" s="45"/>
      <c r="E1381" s="79" t="s">
        <v>6130</v>
      </c>
      <c r="F1381" s="79" t="s">
        <v>5944</v>
      </c>
      <c r="G1381" s="45"/>
      <c r="H1381" s="80">
        <v>0.00221</v>
      </c>
      <c r="I1381" s="45"/>
      <c r="J1381" s="45"/>
      <c r="K1381" s="45"/>
      <c r="L1381" s="45"/>
      <c r="M1381" s="45"/>
      <c r="N1381" s="45"/>
      <c r="O1381" s="45"/>
      <c r="P1381" s="45"/>
      <c r="Q1381" s="45"/>
      <c r="R1381" s="45"/>
      <c r="S1381" s="45"/>
      <c r="T1381" s="45"/>
      <c r="U1381" s="45"/>
    </row>
    <row r="1382">
      <c r="A1382" s="79" t="s">
        <v>8682</v>
      </c>
      <c r="B1382" s="45"/>
      <c r="C1382" s="79" t="s">
        <v>8683</v>
      </c>
      <c r="D1382" s="45"/>
      <c r="E1382" s="79" t="s">
        <v>5280</v>
      </c>
      <c r="F1382" s="79" t="s">
        <v>5944</v>
      </c>
      <c r="G1382" s="45"/>
      <c r="H1382" s="80">
        <v>0.00219</v>
      </c>
      <c r="I1382" s="45"/>
      <c r="J1382" s="45"/>
      <c r="K1382" s="45"/>
      <c r="L1382" s="45"/>
      <c r="M1382" s="45"/>
      <c r="N1382" s="45"/>
      <c r="O1382" s="45"/>
      <c r="P1382" s="45"/>
      <c r="Q1382" s="45"/>
      <c r="R1382" s="45"/>
      <c r="S1382" s="45"/>
      <c r="T1382" s="45"/>
      <c r="U1382" s="45"/>
    </row>
    <row r="1383">
      <c r="A1383" s="79" t="s">
        <v>8684</v>
      </c>
      <c r="B1383" s="45"/>
      <c r="C1383" s="79" t="s">
        <v>8685</v>
      </c>
      <c r="D1383" s="45"/>
      <c r="E1383" s="79" t="s">
        <v>5354</v>
      </c>
      <c r="F1383" s="79" t="s">
        <v>5944</v>
      </c>
      <c r="G1383" s="45"/>
      <c r="H1383" s="80">
        <v>0.00218</v>
      </c>
      <c r="I1383" s="45"/>
      <c r="J1383" s="45"/>
      <c r="K1383" s="45"/>
      <c r="L1383" s="45"/>
      <c r="M1383" s="45"/>
      <c r="N1383" s="45"/>
      <c r="O1383" s="45"/>
      <c r="P1383" s="45"/>
      <c r="Q1383" s="45"/>
      <c r="R1383" s="45"/>
      <c r="S1383" s="45"/>
      <c r="T1383" s="45"/>
      <c r="U1383" s="45"/>
    </row>
    <row r="1384">
      <c r="A1384" s="79" t="s">
        <v>8686</v>
      </c>
      <c r="B1384" s="45"/>
      <c r="C1384" s="79" t="s">
        <v>6924</v>
      </c>
      <c r="D1384" s="45"/>
      <c r="E1384" s="79" t="s">
        <v>5650</v>
      </c>
      <c r="F1384" s="79" t="s">
        <v>5924</v>
      </c>
      <c r="G1384" s="45"/>
      <c r="H1384" s="80">
        <v>0.00215</v>
      </c>
      <c r="I1384" s="45"/>
      <c r="J1384" s="45"/>
      <c r="K1384" s="45"/>
      <c r="L1384" s="45"/>
      <c r="M1384" s="45"/>
      <c r="N1384" s="45"/>
      <c r="O1384" s="45"/>
      <c r="P1384" s="45"/>
      <c r="Q1384" s="45"/>
      <c r="R1384" s="45"/>
      <c r="S1384" s="45"/>
      <c r="T1384" s="45"/>
      <c r="U1384" s="45"/>
    </row>
    <row r="1385">
      <c r="A1385" s="79" t="s">
        <v>8687</v>
      </c>
      <c r="B1385" s="45"/>
      <c r="C1385" s="79" t="s">
        <v>8688</v>
      </c>
      <c r="D1385" s="45"/>
      <c r="E1385" s="79" t="s">
        <v>7098</v>
      </c>
      <c r="F1385" s="79" t="s">
        <v>5944</v>
      </c>
      <c r="G1385" s="45"/>
      <c r="H1385" s="80">
        <v>0.00209</v>
      </c>
      <c r="I1385" s="45"/>
      <c r="J1385" s="45"/>
      <c r="K1385" s="45"/>
      <c r="L1385" s="45"/>
      <c r="M1385" s="45"/>
      <c r="N1385" s="45"/>
      <c r="O1385" s="45"/>
      <c r="P1385" s="45"/>
      <c r="Q1385" s="45"/>
      <c r="R1385" s="45"/>
      <c r="S1385" s="45"/>
      <c r="T1385" s="45"/>
      <c r="U1385" s="45"/>
    </row>
    <row r="1386">
      <c r="A1386" s="79" t="s">
        <v>8689</v>
      </c>
      <c r="B1386" s="45"/>
      <c r="C1386" s="79" t="s">
        <v>8690</v>
      </c>
      <c r="D1386" s="45"/>
      <c r="E1386" s="79" t="s">
        <v>5246</v>
      </c>
      <c r="F1386" s="79" t="s">
        <v>5944</v>
      </c>
      <c r="G1386" s="45"/>
      <c r="H1386" s="80">
        <v>0.00202</v>
      </c>
      <c r="I1386" s="45"/>
      <c r="J1386" s="45"/>
      <c r="K1386" s="45"/>
      <c r="L1386" s="45"/>
      <c r="M1386" s="45"/>
      <c r="N1386" s="45"/>
      <c r="O1386" s="45"/>
      <c r="P1386" s="45"/>
      <c r="Q1386" s="45"/>
      <c r="R1386" s="45"/>
      <c r="S1386" s="45"/>
      <c r="T1386" s="45"/>
      <c r="U1386" s="45"/>
    </row>
    <row r="1387">
      <c r="A1387" s="79" t="s">
        <v>8691</v>
      </c>
      <c r="B1387" s="45"/>
      <c r="C1387" s="79" t="s">
        <v>8692</v>
      </c>
      <c r="D1387" s="45"/>
      <c r="E1387" s="79" t="s">
        <v>5478</v>
      </c>
      <c r="F1387" s="79" t="s">
        <v>5944</v>
      </c>
      <c r="G1387" s="45"/>
      <c r="H1387" s="80">
        <v>0.00202</v>
      </c>
      <c r="I1387" s="45"/>
      <c r="J1387" s="45"/>
      <c r="K1387" s="45"/>
      <c r="L1387" s="45"/>
      <c r="M1387" s="45"/>
      <c r="N1387" s="45"/>
      <c r="O1387" s="45"/>
      <c r="P1387" s="45"/>
      <c r="Q1387" s="45"/>
      <c r="R1387" s="45"/>
      <c r="S1387" s="45"/>
      <c r="T1387" s="45"/>
      <c r="U1387" s="45"/>
    </row>
    <row r="1388">
      <c r="A1388" s="79" t="s">
        <v>8693</v>
      </c>
      <c r="B1388" s="45"/>
      <c r="C1388" s="79" t="s">
        <v>8694</v>
      </c>
      <c r="D1388" s="45"/>
      <c r="E1388" s="79" t="s">
        <v>5691</v>
      </c>
      <c r="F1388" s="79" t="s">
        <v>5944</v>
      </c>
      <c r="G1388" s="45"/>
      <c r="H1388" s="80">
        <v>0.00202</v>
      </c>
      <c r="I1388" s="45"/>
      <c r="J1388" s="45"/>
      <c r="K1388" s="45"/>
      <c r="L1388" s="45"/>
      <c r="M1388" s="45"/>
      <c r="N1388" s="45"/>
      <c r="O1388" s="45"/>
      <c r="P1388" s="45"/>
      <c r="Q1388" s="45"/>
      <c r="R1388" s="45"/>
      <c r="S1388" s="45"/>
      <c r="T1388" s="45"/>
      <c r="U1388" s="45"/>
    </row>
    <row r="1389">
      <c r="A1389" s="79" t="s">
        <v>8695</v>
      </c>
      <c r="B1389" s="45"/>
      <c r="C1389" s="79" t="s">
        <v>8696</v>
      </c>
      <c r="D1389" s="45"/>
      <c r="E1389" s="79" t="s">
        <v>6759</v>
      </c>
      <c r="F1389" s="79" t="s">
        <v>5944</v>
      </c>
      <c r="G1389" s="45"/>
      <c r="H1389" s="80">
        <v>0.00201</v>
      </c>
      <c r="I1389" s="45"/>
      <c r="J1389" s="45"/>
      <c r="K1389" s="45"/>
      <c r="L1389" s="45"/>
      <c r="M1389" s="45"/>
      <c r="N1389" s="45"/>
      <c r="O1389" s="45"/>
      <c r="P1389" s="45"/>
      <c r="Q1389" s="45"/>
      <c r="R1389" s="45"/>
      <c r="S1389" s="45"/>
      <c r="T1389" s="45"/>
      <c r="U1389" s="45"/>
    </row>
    <row r="1390">
      <c r="A1390" s="79" t="s">
        <v>8697</v>
      </c>
      <c r="B1390" s="45"/>
      <c r="C1390" s="79" t="s">
        <v>8698</v>
      </c>
      <c r="D1390" s="45"/>
      <c r="E1390" s="79" t="s">
        <v>5682</v>
      </c>
      <c r="F1390" s="79" t="s">
        <v>5944</v>
      </c>
      <c r="G1390" s="45"/>
      <c r="H1390" s="80">
        <v>0.00194</v>
      </c>
      <c r="I1390" s="45"/>
      <c r="J1390" s="45"/>
      <c r="K1390" s="45"/>
      <c r="L1390" s="45"/>
      <c r="M1390" s="45"/>
      <c r="N1390" s="45"/>
      <c r="O1390" s="45"/>
      <c r="P1390" s="45"/>
      <c r="Q1390" s="45"/>
      <c r="R1390" s="45"/>
      <c r="S1390" s="45"/>
      <c r="T1390" s="45"/>
      <c r="U1390" s="45"/>
    </row>
    <row r="1391">
      <c r="A1391" s="79" t="s">
        <v>8699</v>
      </c>
      <c r="B1391" s="45"/>
      <c r="C1391" s="79" t="s">
        <v>8700</v>
      </c>
      <c r="D1391" s="45"/>
      <c r="E1391" s="79" t="s">
        <v>6514</v>
      </c>
      <c r="F1391" s="79" t="s">
        <v>5944</v>
      </c>
      <c r="G1391" s="45"/>
      <c r="H1391" s="80">
        <v>0.00176</v>
      </c>
      <c r="I1391" s="45"/>
      <c r="J1391" s="45"/>
      <c r="K1391" s="45"/>
      <c r="L1391" s="45"/>
      <c r="M1391" s="45"/>
      <c r="N1391" s="45"/>
      <c r="O1391" s="45"/>
      <c r="P1391" s="45"/>
      <c r="Q1391" s="45"/>
      <c r="R1391" s="45"/>
      <c r="S1391" s="45"/>
      <c r="T1391" s="45"/>
      <c r="U1391" s="45"/>
    </row>
    <row r="1392">
      <c r="A1392" s="79" t="s">
        <v>8701</v>
      </c>
      <c r="B1392" s="45"/>
      <c r="C1392" s="79" t="s">
        <v>8702</v>
      </c>
      <c r="D1392" s="45"/>
      <c r="E1392" s="79" t="s">
        <v>5525</v>
      </c>
      <c r="F1392" s="79" t="s">
        <v>5944</v>
      </c>
      <c r="G1392" s="45"/>
      <c r="H1392" s="80">
        <v>0.00176</v>
      </c>
      <c r="I1392" s="45"/>
      <c r="J1392" s="45"/>
      <c r="K1392" s="45"/>
      <c r="L1392" s="45"/>
      <c r="M1392" s="45"/>
      <c r="N1392" s="45"/>
      <c r="O1392" s="45"/>
      <c r="P1392" s="45"/>
      <c r="Q1392" s="45"/>
      <c r="R1392" s="45"/>
      <c r="S1392" s="45"/>
      <c r="T1392" s="45"/>
      <c r="U1392" s="45"/>
    </row>
    <row r="1393">
      <c r="A1393" s="79" t="s">
        <v>8703</v>
      </c>
      <c r="B1393" s="45"/>
      <c r="C1393" s="79" t="s">
        <v>8704</v>
      </c>
      <c r="D1393" s="45"/>
      <c r="E1393" s="79" t="s">
        <v>6729</v>
      </c>
      <c r="F1393" s="79" t="s">
        <v>5944</v>
      </c>
      <c r="G1393" s="45"/>
      <c r="H1393" s="80">
        <v>0.00169</v>
      </c>
      <c r="I1393" s="45"/>
      <c r="J1393" s="45"/>
      <c r="K1393" s="45"/>
      <c r="L1393" s="45"/>
      <c r="M1393" s="45"/>
      <c r="N1393" s="45"/>
      <c r="O1393" s="45"/>
      <c r="P1393" s="45"/>
      <c r="Q1393" s="45"/>
      <c r="R1393" s="45"/>
      <c r="S1393" s="45"/>
      <c r="T1393" s="45"/>
      <c r="U1393" s="45"/>
    </row>
    <row r="1394">
      <c r="A1394" s="79" t="s">
        <v>8705</v>
      </c>
      <c r="B1394" s="45"/>
      <c r="C1394" s="79" t="s">
        <v>8706</v>
      </c>
      <c r="D1394" s="45"/>
      <c r="E1394" s="79" t="s">
        <v>5267</v>
      </c>
      <c r="F1394" s="79" t="s">
        <v>5944</v>
      </c>
      <c r="G1394" s="45"/>
      <c r="H1394" s="80">
        <v>0.00167</v>
      </c>
      <c r="I1394" s="45"/>
      <c r="J1394" s="45"/>
      <c r="K1394" s="45"/>
      <c r="L1394" s="45"/>
      <c r="M1394" s="45"/>
      <c r="N1394" s="45"/>
      <c r="O1394" s="45"/>
      <c r="P1394" s="45"/>
      <c r="Q1394" s="45"/>
      <c r="R1394" s="45"/>
      <c r="S1394" s="45"/>
      <c r="T1394" s="45"/>
      <c r="U1394" s="45"/>
    </row>
    <row r="1395">
      <c r="A1395" s="79" t="s">
        <v>8707</v>
      </c>
      <c r="B1395" s="45"/>
      <c r="C1395" s="79" t="s">
        <v>8708</v>
      </c>
      <c r="D1395" s="45"/>
      <c r="E1395" s="79" t="s">
        <v>5961</v>
      </c>
      <c r="F1395" s="79" t="s">
        <v>5944</v>
      </c>
      <c r="G1395" s="45"/>
      <c r="H1395" s="80">
        <v>0.00166</v>
      </c>
      <c r="I1395" s="45"/>
      <c r="J1395" s="45"/>
      <c r="K1395" s="45"/>
      <c r="L1395" s="45"/>
      <c r="M1395" s="45"/>
      <c r="N1395" s="45"/>
      <c r="O1395" s="45"/>
      <c r="P1395" s="45"/>
      <c r="Q1395" s="45"/>
      <c r="R1395" s="45"/>
      <c r="S1395" s="45"/>
      <c r="T1395" s="45"/>
      <c r="U1395" s="45"/>
    </row>
    <row r="1396">
      <c r="A1396" s="79" t="s">
        <v>8709</v>
      </c>
      <c r="B1396" s="45"/>
      <c r="C1396" s="79" t="s">
        <v>8710</v>
      </c>
      <c r="D1396" s="45"/>
      <c r="E1396" s="79" t="s">
        <v>6759</v>
      </c>
      <c r="F1396" s="79" t="s">
        <v>5944</v>
      </c>
      <c r="G1396" s="45"/>
      <c r="H1396" s="80">
        <v>0.0016</v>
      </c>
      <c r="I1396" s="45"/>
      <c r="J1396" s="45"/>
      <c r="K1396" s="45"/>
      <c r="L1396" s="45"/>
      <c r="M1396" s="45"/>
      <c r="N1396" s="45"/>
      <c r="O1396" s="45"/>
      <c r="P1396" s="45"/>
      <c r="Q1396" s="45"/>
      <c r="R1396" s="45"/>
      <c r="S1396" s="45"/>
      <c r="T1396" s="45"/>
      <c r="U1396" s="45"/>
    </row>
    <row r="1397">
      <c r="A1397" s="79" t="s">
        <v>8711</v>
      </c>
      <c r="B1397" s="45"/>
      <c r="C1397" s="79" t="s">
        <v>8712</v>
      </c>
      <c r="D1397" s="45"/>
      <c r="E1397" s="79" t="s">
        <v>5478</v>
      </c>
      <c r="F1397" s="79" t="s">
        <v>5944</v>
      </c>
      <c r="G1397" s="45"/>
      <c r="H1397" s="80">
        <v>0.00156</v>
      </c>
      <c r="I1397" s="45"/>
      <c r="J1397" s="45"/>
      <c r="K1397" s="45"/>
      <c r="L1397" s="45"/>
      <c r="M1397" s="45"/>
      <c r="N1397" s="45"/>
      <c r="O1397" s="45"/>
      <c r="P1397" s="45"/>
      <c r="Q1397" s="45"/>
      <c r="R1397" s="45"/>
      <c r="S1397" s="45"/>
      <c r="T1397" s="45"/>
      <c r="U1397" s="45"/>
    </row>
    <row r="1398">
      <c r="A1398" s="79" t="s">
        <v>8713</v>
      </c>
      <c r="B1398" s="45"/>
      <c r="C1398" s="79" t="s">
        <v>8714</v>
      </c>
      <c r="D1398" s="45"/>
      <c r="E1398" s="79" t="s">
        <v>5561</v>
      </c>
      <c r="F1398" s="79" t="s">
        <v>5927</v>
      </c>
      <c r="G1398" s="45"/>
      <c r="H1398" s="80">
        <v>0.00151</v>
      </c>
      <c r="I1398" s="45"/>
      <c r="J1398" s="45"/>
      <c r="K1398" s="45"/>
      <c r="L1398" s="45"/>
      <c r="M1398" s="45"/>
      <c r="N1398" s="45"/>
      <c r="O1398" s="45"/>
      <c r="P1398" s="45"/>
      <c r="Q1398" s="45"/>
      <c r="R1398" s="45"/>
      <c r="S1398" s="45"/>
      <c r="T1398" s="45"/>
      <c r="U1398" s="45"/>
    </row>
    <row r="1399">
      <c r="A1399" s="79" t="s">
        <v>8715</v>
      </c>
      <c r="B1399" s="45"/>
      <c r="C1399" s="79" t="s">
        <v>8716</v>
      </c>
      <c r="D1399" s="45"/>
      <c r="E1399" s="79" t="s">
        <v>5404</v>
      </c>
      <c r="F1399" s="79" t="s">
        <v>5944</v>
      </c>
      <c r="G1399" s="45"/>
      <c r="H1399" s="80">
        <v>0.00148</v>
      </c>
      <c r="I1399" s="45"/>
      <c r="J1399" s="45"/>
      <c r="K1399" s="45"/>
      <c r="L1399" s="45"/>
      <c r="M1399" s="45"/>
      <c r="N1399" s="45"/>
      <c r="O1399" s="45"/>
      <c r="P1399" s="45"/>
      <c r="Q1399" s="45"/>
      <c r="R1399" s="45"/>
      <c r="S1399" s="45"/>
      <c r="T1399" s="45"/>
      <c r="U1399" s="45"/>
    </row>
    <row r="1400">
      <c r="A1400" s="79" t="s">
        <v>8717</v>
      </c>
      <c r="B1400" s="45"/>
      <c r="C1400" s="79" t="s">
        <v>8718</v>
      </c>
      <c r="D1400" s="45"/>
      <c r="E1400" s="79" t="s">
        <v>6238</v>
      </c>
      <c r="F1400" s="79" t="s">
        <v>5944</v>
      </c>
      <c r="G1400" s="45"/>
      <c r="H1400" s="80">
        <v>0.00124</v>
      </c>
      <c r="I1400" s="45"/>
      <c r="J1400" s="45"/>
      <c r="K1400" s="45"/>
      <c r="L1400" s="45"/>
      <c r="M1400" s="45"/>
      <c r="N1400" s="45"/>
      <c r="O1400" s="45"/>
      <c r="P1400" s="45"/>
      <c r="Q1400" s="45"/>
      <c r="R1400" s="45"/>
      <c r="S1400" s="45"/>
      <c r="T1400" s="45"/>
      <c r="U1400" s="45"/>
    </row>
    <row r="1401">
      <c r="A1401" s="79" t="s">
        <v>8719</v>
      </c>
      <c r="B1401" s="45"/>
      <c r="C1401" s="79" t="s">
        <v>8720</v>
      </c>
      <c r="D1401" s="45"/>
      <c r="E1401" s="79" t="s">
        <v>6191</v>
      </c>
      <c r="F1401" s="79" t="s">
        <v>4204</v>
      </c>
      <c r="G1401" s="45"/>
      <c r="H1401" s="80">
        <v>0.0012</v>
      </c>
      <c r="I1401" s="45"/>
      <c r="J1401" s="45"/>
      <c r="K1401" s="45"/>
      <c r="L1401" s="45"/>
      <c r="M1401" s="45"/>
      <c r="N1401" s="45"/>
      <c r="O1401" s="45"/>
      <c r="P1401" s="45"/>
      <c r="Q1401" s="45"/>
      <c r="R1401" s="45"/>
      <c r="S1401" s="45"/>
      <c r="T1401" s="45"/>
      <c r="U1401" s="45"/>
    </row>
    <row r="1402">
      <c r="A1402" s="79" t="s">
        <v>8721</v>
      </c>
      <c r="B1402" s="45"/>
      <c r="C1402" s="79" t="s">
        <v>8722</v>
      </c>
      <c r="D1402" s="45"/>
      <c r="E1402" s="79" t="s">
        <v>5218</v>
      </c>
      <c r="F1402" s="79" t="s">
        <v>5944</v>
      </c>
      <c r="G1402" s="45"/>
      <c r="H1402" s="80">
        <v>0.00116</v>
      </c>
      <c r="I1402" s="45"/>
      <c r="J1402" s="45"/>
      <c r="K1402" s="45"/>
      <c r="L1402" s="45"/>
      <c r="M1402" s="45"/>
      <c r="N1402" s="45"/>
      <c r="O1402" s="45"/>
      <c r="P1402" s="45"/>
      <c r="Q1402" s="45"/>
      <c r="R1402" s="45"/>
      <c r="S1402" s="45"/>
      <c r="T1402" s="45"/>
      <c r="U1402" s="45"/>
    </row>
    <row r="1403">
      <c r="A1403" s="79" t="s">
        <v>8723</v>
      </c>
      <c r="B1403" s="45"/>
      <c r="C1403" s="79" t="s">
        <v>8724</v>
      </c>
      <c r="D1403" s="45"/>
      <c r="E1403" s="79" t="s">
        <v>5978</v>
      </c>
      <c r="F1403" s="79" t="s">
        <v>5944</v>
      </c>
      <c r="G1403" s="45"/>
      <c r="H1403" s="80">
        <v>0.00114</v>
      </c>
      <c r="I1403" s="45"/>
      <c r="J1403" s="45"/>
      <c r="K1403" s="45"/>
      <c r="L1403" s="45"/>
      <c r="M1403" s="45"/>
      <c r="N1403" s="45"/>
      <c r="O1403" s="45"/>
      <c r="P1403" s="45"/>
      <c r="Q1403" s="45"/>
      <c r="R1403" s="45"/>
      <c r="S1403" s="45"/>
      <c r="T1403" s="45"/>
      <c r="U1403" s="45"/>
    </row>
    <row r="1404">
      <c r="A1404" s="79" t="s">
        <v>8725</v>
      </c>
      <c r="B1404" s="45"/>
      <c r="C1404" s="79" t="s">
        <v>8013</v>
      </c>
      <c r="D1404" s="45"/>
      <c r="E1404" s="79" t="s">
        <v>5390</v>
      </c>
      <c r="F1404" s="79" t="s">
        <v>5944</v>
      </c>
      <c r="G1404" s="45"/>
      <c r="H1404" s="80">
        <v>0.00109</v>
      </c>
      <c r="I1404" s="45"/>
      <c r="J1404" s="45"/>
      <c r="K1404" s="45"/>
      <c r="L1404" s="45"/>
      <c r="M1404" s="45"/>
      <c r="N1404" s="45"/>
      <c r="O1404" s="45"/>
      <c r="P1404" s="45"/>
      <c r="Q1404" s="45"/>
      <c r="R1404" s="45"/>
      <c r="S1404" s="45"/>
      <c r="T1404" s="45"/>
      <c r="U1404" s="45"/>
    </row>
    <row r="1405">
      <c r="A1405" s="79" t="s">
        <v>8726</v>
      </c>
      <c r="B1405" s="45"/>
      <c r="C1405" s="79" t="s">
        <v>8727</v>
      </c>
      <c r="D1405" s="45"/>
      <c r="E1405" s="79" t="s">
        <v>5218</v>
      </c>
      <c r="F1405" s="79" t="s">
        <v>5944</v>
      </c>
      <c r="G1405" s="45"/>
      <c r="H1405" s="80">
        <v>8.5E-4</v>
      </c>
      <c r="I1405" s="45"/>
      <c r="J1405" s="45"/>
      <c r="K1405" s="45"/>
      <c r="L1405" s="45"/>
      <c r="M1405" s="45"/>
      <c r="N1405" s="45"/>
      <c r="O1405" s="45"/>
      <c r="P1405" s="45"/>
      <c r="Q1405" s="45"/>
      <c r="R1405" s="45"/>
      <c r="S1405" s="45"/>
      <c r="T1405" s="45"/>
      <c r="U1405" s="45"/>
    </row>
    <row r="1406">
      <c r="A1406" s="79" t="s">
        <v>8728</v>
      </c>
      <c r="B1406" s="45"/>
      <c r="C1406" s="79" t="s">
        <v>8729</v>
      </c>
      <c r="D1406" s="45"/>
      <c r="E1406" s="79" t="s">
        <v>5338</v>
      </c>
      <c r="F1406" s="79" t="s">
        <v>5944</v>
      </c>
      <c r="G1406" s="45"/>
      <c r="H1406" s="80">
        <v>8.3E-4</v>
      </c>
      <c r="I1406" s="45"/>
      <c r="J1406" s="45"/>
      <c r="K1406" s="45"/>
      <c r="L1406" s="45"/>
      <c r="M1406" s="45"/>
      <c r="N1406" s="45"/>
      <c r="O1406" s="45"/>
      <c r="P1406" s="45"/>
      <c r="Q1406" s="45"/>
      <c r="R1406" s="45"/>
      <c r="S1406" s="45"/>
      <c r="T1406" s="45"/>
      <c r="U1406" s="45"/>
    </row>
    <row r="1407">
      <c r="A1407" s="79" t="s">
        <v>8730</v>
      </c>
      <c r="B1407" s="45"/>
      <c r="C1407" s="79" t="s">
        <v>8731</v>
      </c>
      <c r="D1407" s="45"/>
      <c r="E1407" s="79" t="s">
        <v>6238</v>
      </c>
      <c r="F1407" s="79" t="s">
        <v>5944</v>
      </c>
      <c r="G1407" s="45"/>
      <c r="H1407" s="80">
        <v>8.1E-4</v>
      </c>
      <c r="I1407" s="45"/>
      <c r="J1407" s="45"/>
      <c r="K1407" s="45"/>
      <c r="L1407" s="45"/>
      <c r="M1407" s="45"/>
      <c r="N1407" s="45"/>
      <c r="O1407" s="45"/>
      <c r="P1407" s="45"/>
      <c r="Q1407" s="45"/>
      <c r="R1407" s="45"/>
      <c r="S1407" s="45"/>
      <c r="T1407" s="45"/>
      <c r="U1407" s="45"/>
    </row>
    <row r="1408">
      <c r="A1408" s="79" t="s">
        <v>8732</v>
      </c>
      <c r="B1408" s="45"/>
      <c r="C1408" s="79" t="s">
        <v>8733</v>
      </c>
      <c r="D1408" s="45"/>
      <c r="E1408" s="79" t="s">
        <v>5682</v>
      </c>
      <c r="F1408" s="79" t="s">
        <v>5944</v>
      </c>
      <c r="G1408" s="45"/>
      <c r="H1408" s="80">
        <v>7.5E-4</v>
      </c>
      <c r="I1408" s="45"/>
      <c r="J1408" s="45"/>
      <c r="K1408" s="45"/>
      <c r="L1408" s="45"/>
      <c r="M1408" s="45"/>
      <c r="N1408" s="45"/>
      <c r="O1408" s="45"/>
      <c r="P1408" s="45"/>
      <c r="Q1408" s="45"/>
      <c r="R1408" s="45"/>
      <c r="S1408" s="45"/>
      <c r="T1408" s="45"/>
      <c r="U1408" s="45"/>
    </row>
    <row r="1409">
      <c r="A1409" s="79" t="s">
        <v>8734</v>
      </c>
      <c r="B1409" s="45"/>
      <c r="C1409" s="79" t="s">
        <v>8735</v>
      </c>
      <c r="D1409" s="45"/>
      <c r="E1409" s="79" t="s">
        <v>5229</v>
      </c>
      <c r="F1409" s="79" t="s">
        <v>5944</v>
      </c>
      <c r="G1409" s="45"/>
      <c r="H1409" s="80">
        <v>7.2E-4</v>
      </c>
      <c r="I1409" s="45"/>
      <c r="J1409" s="45"/>
      <c r="K1409" s="45"/>
      <c r="L1409" s="45"/>
      <c r="M1409" s="45"/>
      <c r="N1409" s="45"/>
      <c r="O1409" s="45"/>
      <c r="P1409" s="45"/>
      <c r="Q1409" s="45"/>
      <c r="R1409" s="45"/>
      <c r="S1409" s="45"/>
      <c r="T1409" s="45"/>
      <c r="U1409" s="45"/>
    </row>
    <row r="1410">
      <c r="A1410" s="79" t="s">
        <v>8736</v>
      </c>
      <c r="B1410" s="45"/>
      <c r="C1410" s="79" t="s">
        <v>8737</v>
      </c>
      <c r="D1410" s="45"/>
      <c r="E1410" s="79" t="s">
        <v>5338</v>
      </c>
      <c r="F1410" s="79" t="s">
        <v>5944</v>
      </c>
      <c r="G1410" s="45"/>
      <c r="H1410" s="80">
        <v>6.8E-4</v>
      </c>
      <c r="I1410" s="45"/>
      <c r="J1410" s="45"/>
      <c r="K1410" s="45"/>
      <c r="L1410" s="45"/>
      <c r="M1410" s="45"/>
      <c r="N1410" s="45"/>
      <c r="O1410" s="45"/>
      <c r="P1410" s="45"/>
      <c r="Q1410" s="45"/>
      <c r="R1410" s="45"/>
      <c r="S1410" s="45"/>
      <c r="T1410" s="45"/>
      <c r="U1410" s="45"/>
    </row>
    <row r="1411">
      <c r="A1411" s="79" t="s">
        <v>8738</v>
      </c>
      <c r="B1411" s="45"/>
      <c r="C1411" s="79" t="s">
        <v>6451</v>
      </c>
      <c r="D1411" s="45"/>
      <c r="E1411" s="79" t="s">
        <v>5271</v>
      </c>
      <c r="F1411" s="79" t="s">
        <v>5924</v>
      </c>
      <c r="G1411" s="45"/>
      <c r="H1411" s="80">
        <v>4.0E-4</v>
      </c>
      <c r="I1411" s="45"/>
      <c r="J1411" s="45"/>
      <c r="K1411" s="45"/>
      <c r="L1411" s="45"/>
      <c r="M1411" s="45"/>
      <c r="N1411" s="45"/>
      <c r="O1411" s="45"/>
      <c r="P1411" s="45"/>
      <c r="Q1411" s="45"/>
      <c r="R1411" s="45"/>
      <c r="S1411" s="45"/>
      <c r="T1411" s="45"/>
      <c r="U1411" s="45"/>
    </row>
    <row r="1412">
      <c r="A1412" s="79" t="s">
        <v>8739</v>
      </c>
      <c r="B1412" s="45"/>
      <c r="C1412" s="79" t="s">
        <v>8740</v>
      </c>
      <c r="D1412" s="45"/>
      <c r="E1412" s="79" t="s">
        <v>5215</v>
      </c>
      <c r="F1412" s="79" t="s">
        <v>5944</v>
      </c>
      <c r="G1412" s="45"/>
      <c r="H1412" s="80">
        <v>1.0E-4</v>
      </c>
      <c r="I1412" s="45"/>
      <c r="J1412" s="45"/>
      <c r="K1412" s="45"/>
      <c r="L1412" s="45"/>
      <c r="M1412" s="45"/>
      <c r="N1412" s="45"/>
      <c r="O1412" s="45"/>
      <c r="P1412" s="45"/>
      <c r="Q1412" s="45"/>
      <c r="R1412" s="45"/>
      <c r="S1412" s="45"/>
      <c r="T1412" s="45"/>
      <c r="U1412" s="45"/>
    </row>
    <row r="1413">
      <c r="A1413" s="79" t="s">
        <v>6260</v>
      </c>
      <c r="B1413" s="45"/>
      <c r="C1413" s="79" t="s">
        <v>8741</v>
      </c>
      <c r="D1413" s="45"/>
      <c r="E1413" s="79" t="s">
        <v>6260</v>
      </c>
      <c r="F1413" s="79" t="s">
        <v>4424</v>
      </c>
      <c r="G1413" s="45"/>
      <c r="H1413" s="80">
        <v>1.0E-5</v>
      </c>
      <c r="I1413" s="45"/>
      <c r="J1413" s="45"/>
      <c r="K1413" s="45"/>
      <c r="L1413" s="45"/>
      <c r="M1413" s="45"/>
      <c r="N1413" s="45"/>
      <c r="O1413" s="45"/>
      <c r="P1413" s="45"/>
      <c r="Q1413" s="45"/>
      <c r="R1413" s="45"/>
      <c r="S1413" s="45"/>
      <c r="T1413" s="45"/>
      <c r="U1413" s="45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88"/>
    <col customWidth="1" min="2" max="2" width="5.5"/>
    <col customWidth="1" min="3" max="3" width="33.0"/>
    <col customWidth="1" min="4" max="4" width="8.0"/>
    <col customWidth="1" min="5" max="5" width="27.13"/>
    <col customWidth="1" min="6" max="6" width="5.63"/>
    <col customWidth="1" min="7" max="7" width="6.38"/>
    <col customWidth="1" min="8" max="8" width="7.63"/>
    <col customWidth="1" min="9" max="9" width="10.63"/>
    <col customWidth="1" min="10" max="10" width="12.88"/>
  </cols>
  <sheetData>
    <row r="1">
      <c r="A1" s="35" t="s">
        <v>80</v>
      </c>
      <c r="B1" s="35" t="s">
        <v>81</v>
      </c>
      <c r="C1" s="35" t="s">
        <v>82</v>
      </c>
      <c r="D1" s="35" t="s">
        <v>83</v>
      </c>
      <c r="E1" s="35" t="s">
        <v>84</v>
      </c>
      <c r="F1" s="35" t="s">
        <v>85</v>
      </c>
      <c r="G1" s="35" t="s">
        <v>86</v>
      </c>
      <c r="H1" s="37" t="s">
        <v>87</v>
      </c>
      <c r="I1" s="37" t="s">
        <v>88</v>
      </c>
      <c r="J1" s="37" t="s">
        <v>89</v>
      </c>
      <c r="K1" s="35" t="s">
        <v>90</v>
      </c>
      <c r="L1" s="44"/>
      <c r="M1" s="44"/>
      <c r="N1" s="44"/>
      <c r="O1" s="44"/>
      <c r="P1" s="44"/>
      <c r="Q1" s="44"/>
      <c r="R1" s="44"/>
      <c r="S1" s="44"/>
      <c r="T1" s="44"/>
      <c r="U1" s="44"/>
    </row>
    <row r="2">
      <c r="A2" s="48" t="s">
        <v>3996</v>
      </c>
      <c r="B2" s="44"/>
      <c r="C2" s="48" t="s">
        <v>8742</v>
      </c>
      <c r="D2" s="44"/>
      <c r="E2" s="48" t="s">
        <v>5811</v>
      </c>
      <c r="F2" s="48" t="s">
        <v>5300</v>
      </c>
      <c r="G2" s="55" t="s">
        <v>96</v>
      </c>
      <c r="H2" s="64">
        <v>6.29866</v>
      </c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</row>
    <row r="3">
      <c r="A3" s="48" t="s">
        <v>3998</v>
      </c>
      <c r="B3" s="44"/>
      <c r="C3" s="48" t="s">
        <v>8743</v>
      </c>
      <c r="D3" s="44"/>
      <c r="E3" s="48" t="s">
        <v>5276</v>
      </c>
      <c r="F3" s="48" t="s">
        <v>5300</v>
      </c>
      <c r="G3" s="55" t="s">
        <v>96</v>
      </c>
      <c r="H3" s="64">
        <v>5.37157</v>
      </c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</row>
    <row r="4">
      <c r="A4" s="48" t="s">
        <v>3999</v>
      </c>
      <c r="B4" s="44"/>
      <c r="C4" s="48" t="s">
        <v>8744</v>
      </c>
      <c r="D4" s="44"/>
      <c r="E4" s="48" t="s">
        <v>5232</v>
      </c>
      <c r="F4" s="48" t="s">
        <v>5300</v>
      </c>
      <c r="G4" s="55" t="s">
        <v>96</v>
      </c>
      <c r="H4" s="64">
        <v>2.58697</v>
      </c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</row>
    <row r="5">
      <c r="A5" s="48" t="s">
        <v>4001</v>
      </c>
      <c r="B5" s="44"/>
      <c r="C5" s="48" t="s">
        <v>8745</v>
      </c>
      <c r="D5" s="44"/>
      <c r="E5" s="48" t="s">
        <v>5650</v>
      </c>
      <c r="F5" s="48" t="s">
        <v>5300</v>
      </c>
      <c r="G5" s="55" t="s">
        <v>96</v>
      </c>
      <c r="H5" s="64">
        <v>2.38621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</row>
    <row r="6">
      <c r="A6" s="48" t="s">
        <v>4002</v>
      </c>
      <c r="B6" s="44"/>
      <c r="C6" s="48" t="s">
        <v>8746</v>
      </c>
      <c r="D6" s="44"/>
      <c r="E6" s="48" t="s">
        <v>5326</v>
      </c>
      <c r="F6" s="48" t="s">
        <v>5300</v>
      </c>
      <c r="G6" s="55" t="s">
        <v>96</v>
      </c>
      <c r="H6" s="64">
        <v>1.69396</v>
      </c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</row>
    <row r="7">
      <c r="A7" s="48" t="s">
        <v>4005</v>
      </c>
      <c r="B7" s="44"/>
      <c r="C7" s="48" t="s">
        <v>8747</v>
      </c>
      <c r="D7" s="44"/>
      <c r="E7" s="48" t="s">
        <v>5978</v>
      </c>
      <c r="F7" s="48" t="s">
        <v>5300</v>
      </c>
      <c r="G7" s="55" t="s">
        <v>96</v>
      </c>
      <c r="H7" s="64">
        <v>1.58503</v>
      </c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</row>
    <row r="8">
      <c r="A8" s="48" t="s">
        <v>4006</v>
      </c>
      <c r="B8" s="44"/>
      <c r="C8" s="48" t="s">
        <v>8748</v>
      </c>
      <c r="D8" s="44"/>
      <c r="E8" s="48" t="s">
        <v>5326</v>
      </c>
      <c r="F8" s="48" t="s">
        <v>5300</v>
      </c>
      <c r="G8" s="55" t="s">
        <v>96</v>
      </c>
      <c r="H8" s="64">
        <v>1.51427</v>
      </c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</row>
    <row r="9">
      <c r="A9" s="48" t="s">
        <v>4008</v>
      </c>
      <c r="B9" s="44"/>
      <c r="C9" s="48" t="s">
        <v>8746</v>
      </c>
      <c r="D9" s="44"/>
      <c r="E9" s="48" t="s">
        <v>5326</v>
      </c>
      <c r="F9" s="48" t="s">
        <v>5300</v>
      </c>
      <c r="G9" s="55" t="s">
        <v>96</v>
      </c>
      <c r="H9" s="64">
        <v>1.47311</v>
      </c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</row>
    <row r="10">
      <c r="A10" s="48" t="s">
        <v>4013</v>
      </c>
      <c r="B10" s="44"/>
      <c r="C10" s="48" t="s">
        <v>8749</v>
      </c>
      <c r="D10" s="44"/>
      <c r="E10" s="48" t="s">
        <v>6487</v>
      </c>
      <c r="F10" s="48" t="s">
        <v>5300</v>
      </c>
      <c r="G10" s="55" t="s">
        <v>96</v>
      </c>
      <c r="H10" s="64">
        <v>1.00848</v>
      </c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</row>
    <row r="11">
      <c r="A11" s="48" t="s">
        <v>4017</v>
      </c>
      <c r="B11" s="44"/>
      <c r="C11" s="48" t="s">
        <v>8750</v>
      </c>
      <c r="D11" s="44"/>
      <c r="E11" s="48" t="s">
        <v>5215</v>
      </c>
      <c r="F11" s="48" t="s">
        <v>5300</v>
      </c>
      <c r="G11" s="55" t="s">
        <v>96</v>
      </c>
      <c r="H11" s="64">
        <v>0.99108</v>
      </c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</row>
    <row r="12">
      <c r="A12" s="48" t="s">
        <v>4019</v>
      </c>
      <c r="B12" s="44"/>
      <c r="C12" s="48" t="s">
        <v>8751</v>
      </c>
      <c r="D12" s="44"/>
      <c r="E12" s="48" t="s">
        <v>5445</v>
      </c>
      <c r="F12" s="48" t="s">
        <v>5300</v>
      </c>
      <c r="G12" s="55" t="s">
        <v>96</v>
      </c>
      <c r="H12" s="64">
        <v>0.82826</v>
      </c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</row>
    <row r="13">
      <c r="A13" s="48" t="s">
        <v>4015</v>
      </c>
      <c r="B13" s="44"/>
      <c r="C13" s="48" t="s">
        <v>8752</v>
      </c>
      <c r="D13" s="44"/>
      <c r="E13" s="48" t="s">
        <v>5218</v>
      </c>
      <c r="F13" s="48" t="s">
        <v>5300</v>
      </c>
      <c r="G13" s="55" t="s">
        <v>96</v>
      </c>
      <c r="H13" s="64">
        <v>0.82668</v>
      </c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</row>
    <row r="14">
      <c r="A14" s="48" t="s">
        <v>4023</v>
      </c>
      <c r="B14" s="44"/>
      <c r="C14" s="48" t="s">
        <v>8753</v>
      </c>
      <c r="D14" s="44"/>
      <c r="E14" s="48" t="s">
        <v>5650</v>
      </c>
      <c r="F14" s="48" t="s">
        <v>5300</v>
      </c>
      <c r="G14" s="55" t="s">
        <v>96</v>
      </c>
      <c r="H14" s="64">
        <v>0.79064</v>
      </c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</row>
    <row r="15">
      <c r="A15" s="48" t="s">
        <v>4021</v>
      </c>
      <c r="B15" s="44"/>
      <c r="C15" s="48" t="s">
        <v>8754</v>
      </c>
      <c r="D15" s="44"/>
      <c r="E15" s="48" t="s">
        <v>6009</v>
      </c>
      <c r="F15" s="48" t="s">
        <v>5300</v>
      </c>
      <c r="G15" s="55" t="s">
        <v>96</v>
      </c>
      <c r="H15" s="64">
        <v>0.78783</v>
      </c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</row>
    <row r="16">
      <c r="A16" s="48" t="s">
        <v>4026</v>
      </c>
      <c r="B16" s="44"/>
      <c r="C16" s="48" t="s">
        <v>8755</v>
      </c>
      <c r="D16" s="44"/>
      <c r="E16" s="48" t="s">
        <v>5735</v>
      </c>
      <c r="F16" s="48" t="s">
        <v>5300</v>
      </c>
      <c r="G16" s="55" t="s">
        <v>96</v>
      </c>
      <c r="H16" s="64">
        <v>0.72751</v>
      </c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</row>
    <row r="17">
      <c r="A17" s="48" t="s">
        <v>4024</v>
      </c>
      <c r="B17" s="44"/>
      <c r="C17" s="48" t="s">
        <v>8756</v>
      </c>
      <c r="D17" s="44"/>
      <c r="E17" s="48" t="s">
        <v>5445</v>
      </c>
      <c r="F17" s="48" t="s">
        <v>5300</v>
      </c>
      <c r="G17" s="55" t="s">
        <v>96</v>
      </c>
      <c r="H17" s="64">
        <v>0.7117</v>
      </c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</row>
    <row r="18">
      <c r="A18" s="48" t="s">
        <v>8757</v>
      </c>
      <c r="B18" s="44"/>
      <c r="C18" s="48" t="s">
        <v>8758</v>
      </c>
      <c r="D18" s="44"/>
      <c r="E18" s="48" t="s">
        <v>5434</v>
      </c>
      <c r="F18" s="48" t="s">
        <v>8759</v>
      </c>
      <c r="G18" s="55" t="s">
        <v>96</v>
      </c>
      <c r="H18" s="64">
        <v>0.70567</v>
      </c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</row>
    <row r="19">
      <c r="A19" s="48" t="s">
        <v>8760</v>
      </c>
      <c r="B19" s="44"/>
      <c r="C19" s="48" t="s">
        <v>8761</v>
      </c>
      <c r="D19" s="44"/>
      <c r="E19" s="48" t="s">
        <v>5742</v>
      </c>
      <c r="F19" s="48" t="s">
        <v>6988</v>
      </c>
      <c r="G19" s="55" t="s">
        <v>96</v>
      </c>
      <c r="H19" s="64">
        <v>0.6084</v>
      </c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</row>
    <row r="20">
      <c r="A20" s="48" t="s">
        <v>4030</v>
      </c>
      <c r="B20" s="44"/>
      <c r="C20" s="48" t="s">
        <v>8762</v>
      </c>
      <c r="D20" s="44"/>
      <c r="E20" s="48" t="s">
        <v>5218</v>
      </c>
      <c r="F20" s="48" t="s">
        <v>5300</v>
      </c>
      <c r="G20" s="55" t="s">
        <v>96</v>
      </c>
      <c r="H20" s="64">
        <v>0.58189</v>
      </c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</row>
    <row r="21">
      <c r="A21" s="48" t="s">
        <v>4029</v>
      </c>
      <c r="B21" s="44"/>
      <c r="C21" s="48" t="s">
        <v>8763</v>
      </c>
      <c r="D21" s="44"/>
      <c r="E21" s="48" t="s">
        <v>5218</v>
      </c>
      <c r="F21" s="48" t="s">
        <v>5300</v>
      </c>
      <c r="G21" s="55" t="s">
        <v>96</v>
      </c>
      <c r="H21" s="64">
        <v>0.56681</v>
      </c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</row>
    <row r="22">
      <c r="A22" s="48" t="s">
        <v>4032</v>
      </c>
      <c r="B22" s="44"/>
      <c r="C22" s="48" t="s">
        <v>8764</v>
      </c>
      <c r="D22" s="44"/>
      <c r="E22" s="48" t="s">
        <v>6040</v>
      </c>
      <c r="F22" s="48" t="s">
        <v>5300</v>
      </c>
      <c r="G22" s="55" t="s">
        <v>96</v>
      </c>
      <c r="H22" s="64">
        <v>0.55768</v>
      </c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</row>
    <row r="23">
      <c r="A23" s="48" t="s">
        <v>5928</v>
      </c>
      <c r="B23" s="44"/>
      <c r="C23" s="48" t="s">
        <v>5929</v>
      </c>
      <c r="D23" s="44"/>
      <c r="E23" s="48" t="s">
        <v>5691</v>
      </c>
      <c r="F23" s="48" t="s">
        <v>4340</v>
      </c>
      <c r="G23" s="55" t="s">
        <v>96</v>
      </c>
      <c r="H23" s="64">
        <v>0.54594</v>
      </c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</row>
    <row r="24">
      <c r="A24" s="48" t="s">
        <v>8765</v>
      </c>
      <c r="B24" s="44"/>
      <c r="C24" s="48" t="s">
        <v>8766</v>
      </c>
      <c r="D24" s="44"/>
      <c r="E24" s="48" t="s">
        <v>5218</v>
      </c>
      <c r="F24" s="48" t="s">
        <v>8767</v>
      </c>
      <c r="G24" s="55" t="s">
        <v>96</v>
      </c>
      <c r="H24" s="64">
        <v>0.54385</v>
      </c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</row>
    <row r="25">
      <c r="A25" s="48" t="s">
        <v>4034</v>
      </c>
      <c r="B25" s="44"/>
      <c r="C25" s="48" t="s">
        <v>8768</v>
      </c>
      <c r="D25" s="44"/>
      <c r="E25" s="48" t="s">
        <v>5276</v>
      </c>
      <c r="F25" s="48" t="s">
        <v>5300</v>
      </c>
      <c r="G25" s="55" t="s">
        <v>96</v>
      </c>
      <c r="H25" s="64">
        <v>0.53561</v>
      </c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</row>
    <row r="26">
      <c r="A26" s="48" t="s">
        <v>4031</v>
      </c>
      <c r="B26" s="44"/>
      <c r="C26" s="48" t="s">
        <v>8769</v>
      </c>
      <c r="D26" s="44"/>
      <c r="E26" s="48" t="s">
        <v>5232</v>
      </c>
      <c r="F26" s="48" t="s">
        <v>5300</v>
      </c>
      <c r="G26" s="55" t="s">
        <v>96</v>
      </c>
      <c r="H26" s="64">
        <v>0.5344</v>
      </c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</row>
    <row r="27">
      <c r="A27" s="48" t="s">
        <v>61</v>
      </c>
      <c r="B27" s="44"/>
      <c r="C27" s="48" t="s">
        <v>8770</v>
      </c>
      <c r="D27" s="44"/>
      <c r="E27" s="48" t="s">
        <v>6040</v>
      </c>
      <c r="F27" s="48" t="s">
        <v>5300</v>
      </c>
      <c r="G27" s="55" t="s">
        <v>96</v>
      </c>
      <c r="H27" s="64">
        <v>0.52053</v>
      </c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</row>
    <row r="28">
      <c r="A28" s="48" t="s">
        <v>4041</v>
      </c>
      <c r="B28" s="44"/>
      <c r="C28" s="48" t="s">
        <v>8771</v>
      </c>
      <c r="D28" s="44"/>
      <c r="E28" s="48" t="s">
        <v>5215</v>
      </c>
      <c r="F28" s="48" t="s">
        <v>5300</v>
      </c>
      <c r="G28" s="55" t="s">
        <v>96</v>
      </c>
      <c r="H28" s="64">
        <v>0.47694</v>
      </c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</row>
    <row r="29">
      <c r="A29" s="48" t="s">
        <v>4039</v>
      </c>
      <c r="B29" s="44"/>
      <c r="C29" s="48" t="s">
        <v>8772</v>
      </c>
      <c r="D29" s="44"/>
      <c r="E29" s="48" t="s">
        <v>5456</v>
      </c>
      <c r="F29" s="48" t="s">
        <v>5300</v>
      </c>
      <c r="G29" s="55" t="s">
        <v>96</v>
      </c>
      <c r="H29" s="64">
        <v>0.46353</v>
      </c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</row>
    <row r="30">
      <c r="A30" s="48" t="s">
        <v>4035</v>
      </c>
      <c r="B30" s="44"/>
      <c r="C30" s="48" t="s">
        <v>8773</v>
      </c>
      <c r="D30" s="44"/>
      <c r="E30" s="48" t="s">
        <v>5691</v>
      </c>
      <c r="F30" s="48" t="s">
        <v>5300</v>
      </c>
      <c r="G30" s="55" t="s">
        <v>96</v>
      </c>
      <c r="H30" s="64">
        <v>0.45982</v>
      </c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</row>
    <row r="31">
      <c r="A31" s="48" t="s">
        <v>4037</v>
      </c>
      <c r="B31" s="44"/>
      <c r="C31" s="48" t="s">
        <v>8774</v>
      </c>
      <c r="D31" s="44"/>
      <c r="E31" s="48" t="s">
        <v>5276</v>
      </c>
      <c r="F31" s="48" t="s">
        <v>5300</v>
      </c>
      <c r="G31" s="55" t="s">
        <v>96</v>
      </c>
      <c r="H31" s="64">
        <v>0.45818</v>
      </c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</row>
    <row r="32">
      <c r="A32" s="48" t="s">
        <v>8775</v>
      </c>
      <c r="B32" s="44"/>
      <c r="C32" s="48" t="s">
        <v>8776</v>
      </c>
      <c r="D32" s="44"/>
      <c r="E32" s="48" t="s">
        <v>5218</v>
      </c>
      <c r="F32" s="48" t="s">
        <v>8759</v>
      </c>
      <c r="G32" s="55" t="s">
        <v>96</v>
      </c>
      <c r="H32" s="64">
        <v>0.45528</v>
      </c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</row>
    <row r="33">
      <c r="A33" s="48" t="s">
        <v>8777</v>
      </c>
      <c r="B33" s="44"/>
      <c r="C33" s="48" t="s">
        <v>8778</v>
      </c>
      <c r="D33" s="44"/>
      <c r="E33" s="48" t="s">
        <v>5218</v>
      </c>
      <c r="F33" s="48" t="s">
        <v>5425</v>
      </c>
      <c r="G33" s="55" t="s">
        <v>96</v>
      </c>
      <c r="H33" s="64">
        <v>0.45394</v>
      </c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</row>
    <row r="34">
      <c r="A34" s="48" t="s">
        <v>8779</v>
      </c>
      <c r="B34" s="44"/>
      <c r="C34" s="48" t="s">
        <v>8780</v>
      </c>
      <c r="D34" s="44"/>
      <c r="E34" s="48" t="s">
        <v>5218</v>
      </c>
      <c r="F34" s="48" t="s">
        <v>8759</v>
      </c>
      <c r="G34" s="55" t="s">
        <v>96</v>
      </c>
      <c r="H34" s="64">
        <v>0.44979</v>
      </c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</row>
    <row r="35">
      <c r="A35" s="48" t="s">
        <v>4038</v>
      </c>
      <c r="B35" s="44"/>
      <c r="C35" s="48" t="s">
        <v>8781</v>
      </c>
      <c r="D35" s="44"/>
      <c r="E35" s="48" t="s">
        <v>5283</v>
      </c>
      <c r="F35" s="48" t="s">
        <v>5300</v>
      </c>
      <c r="G35" s="55" t="s">
        <v>96</v>
      </c>
      <c r="H35" s="64">
        <v>0.44748</v>
      </c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</row>
    <row r="36">
      <c r="A36" s="48" t="s">
        <v>4047</v>
      </c>
      <c r="B36" s="44"/>
      <c r="C36" s="48" t="s">
        <v>8782</v>
      </c>
      <c r="D36" s="44"/>
      <c r="E36" s="48" t="s">
        <v>5218</v>
      </c>
      <c r="F36" s="48" t="s">
        <v>5300</v>
      </c>
      <c r="G36" s="55" t="s">
        <v>96</v>
      </c>
      <c r="H36" s="64">
        <v>0.43753</v>
      </c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</row>
    <row r="37">
      <c r="A37" s="48" t="s">
        <v>6643</v>
      </c>
      <c r="B37" s="44"/>
      <c r="C37" s="48" t="s">
        <v>8783</v>
      </c>
      <c r="D37" s="44"/>
      <c r="E37" s="48" t="s">
        <v>5978</v>
      </c>
      <c r="F37" s="48" t="s">
        <v>8784</v>
      </c>
      <c r="G37" s="55" t="s">
        <v>96</v>
      </c>
      <c r="H37" s="64">
        <v>0.43156</v>
      </c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</row>
    <row r="38">
      <c r="A38" s="48" t="s">
        <v>4042</v>
      </c>
      <c r="B38" s="44"/>
      <c r="C38" s="48" t="s">
        <v>8785</v>
      </c>
      <c r="D38" s="44"/>
      <c r="E38" s="48" t="s">
        <v>5395</v>
      </c>
      <c r="F38" s="48" t="s">
        <v>5268</v>
      </c>
      <c r="G38" s="55" t="s">
        <v>96</v>
      </c>
      <c r="H38" s="64">
        <v>0.42869</v>
      </c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</row>
    <row r="39">
      <c r="A39" s="48" t="s">
        <v>4048</v>
      </c>
      <c r="B39" s="44"/>
      <c r="C39" s="48" t="s">
        <v>8786</v>
      </c>
      <c r="D39" s="44"/>
      <c r="E39" s="48" t="s">
        <v>5283</v>
      </c>
      <c r="F39" s="48" t="s">
        <v>5300</v>
      </c>
      <c r="G39" s="55" t="s">
        <v>96</v>
      </c>
      <c r="H39" s="64">
        <v>0.41294</v>
      </c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</row>
    <row r="40">
      <c r="A40" s="48" t="s">
        <v>4050</v>
      </c>
      <c r="B40" s="44"/>
      <c r="C40" s="48" t="s">
        <v>8787</v>
      </c>
      <c r="D40" s="44"/>
      <c r="E40" s="48" t="s">
        <v>5624</v>
      </c>
      <c r="F40" s="48" t="s">
        <v>5300</v>
      </c>
      <c r="G40" s="55" t="s">
        <v>96</v>
      </c>
      <c r="H40" s="64">
        <v>0.4121</v>
      </c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</row>
    <row r="41">
      <c r="A41" s="48" t="s">
        <v>4046</v>
      </c>
      <c r="B41" s="44"/>
      <c r="C41" s="48" t="s">
        <v>8788</v>
      </c>
      <c r="D41" s="44"/>
      <c r="E41" s="48" t="s">
        <v>5366</v>
      </c>
      <c r="F41" s="48" t="s">
        <v>5268</v>
      </c>
      <c r="G41" s="55" t="s">
        <v>96</v>
      </c>
      <c r="H41" s="64">
        <v>0.40705</v>
      </c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</row>
    <row r="42">
      <c r="A42" s="48" t="s">
        <v>4044</v>
      </c>
      <c r="B42" s="44"/>
      <c r="C42" s="48" t="s">
        <v>8789</v>
      </c>
      <c r="D42" s="44"/>
      <c r="E42" s="48" t="s">
        <v>7476</v>
      </c>
      <c r="F42" s="48" t="s">
        <v>5300</v>
      </c>
      <c r="G42" s="55" t="s">
        <v>96</v>
      </c>
      <c r="H42" s="64">
        <v>0.40295</v>
      </c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</row>
    <row r="43">
      <c r="A43" s="48" t="s">
        <v>4051</v>
      </c>
      <c r="B43" s="44"/>
      <c r="C43" s="48" t="s">
        <v>8790</v>
      </c>
      <c r="D43" s="44"/>
      <c r="E43" s="48" t="s">
        <v>5650</v>
      </c>
      <c r="F43" s="48" t="s">
        <v>5300</v>
      </c>
      <c r="G43" s="55" t="s">
        <v>96</v>
      </c>
      <c r="H43" s="64">
        <v>0.39033</v>
      </c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</row>
    <row r="44">
      <c r="A44" s="48" t="s">
        <v>4049</v>
      </c>
      <c r="B44" s="44"/>
      <c r="C44" s="48" t="s">
        <v>8791</v>
      </c>
      <c r="D44" s="44"/>
      <c r="E44" s="48" t="s">
        <v>5276</v>
      </c>
      <c r="F44" s="48" t="s">
        <v>5300</v>
      </c>
      <c r="G44" s="55" t="s">
        <v>96</v>
      </c>
      <c r="H44" s="64">
        <v>0.3846</v>
      </c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</row>
    <row r="45">
      <c r="A45" s="48" t="s">
        <v>4052</v>
      </c>
      <c r="B45" s="44"/>
      <c r="C45" s="48" t="s">
        <v>8792</v>
      </c>
      <c r="D45" s="44"/>
      <c r="E45" s="48" t="s">
        <v>5283</v>
      </c>
      <c r="F45" s="48" t="s">
        <v>5300</v>
      </c>
      <c r="G45" s="55" t="s">
        <v>96</v>
      </c>
      <c r="H45" s="64">
        <v>0.35738</v>
      </c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</row>
    <row r="46">
      <c r="A46" s="48" t="s">
        <v>4058</v>
      </c>
      <c r="B46" s="44"/>
      <c r="C46" s="48" t="s">
        <v>8793</v>
      </c>
      <c r="D46" s="44"/>
      <c r="E46" s="48" t="s">
        <v>5624</v>
      </c>
      <c r="F46" s="48" t="s">
        <v>5300</v>
      </c>
      <c r="G46" s="55" t="s">
        <v>96</v>
      </c>
      <c r="H46" s="64">
        <v>0.34903</v>
      </c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</row>
    <row r="47">
      <c r="A47" s="48" t="s">
        <v>4061</v>
      </c>
      <c r="B47" s="44"/>
      <c r="C47" s="48" t="s">
        <v>8794</v>
      </c>
      <c r="D47" s="44"/>
      <c r="E47" s="48" t="s">
        <v>5650</v>
      </c>
      <c r="F47" s="48" t="s">
        <v>5300</v>
      </c>
      <c r="G47" s="55" t="s">
        <v>96</v>
      </c>
      <c r="H47" s="64">
        <v>0.34678</v>
      </c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</row>
    <row r="48">
      <c r="A48" s="48" t="s">
        <v>8795</v>
      </c>
      <c r="B48" s="44"/>
      <c r="C48" s="48" t="s">
        <v>973</v>
      </c>
      <c r="D48" s="44"/>
      <c r="E48" s="48" t="s">
        <v>5276</v>
      </c>
      <c r="F48" s="48" t="s">
        <v>4095</v>
      </c>
      <c r="G48" s="55" t="s">
        <v>96</v>
      </c>
      <c r="H48" s="64">
        <v>0.32434</v>
      </c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</row>
    <row r="49">
      <c r="A49" s="48" t="s">
        <v>4055</v>
      </c>
      <c r="B49" s="44"/>
      <c r="C49" s="48" t="s">
        <v>8796</v>
      </c>
      <c r="D49" s="44"/>
      <c r="E49" s="48" t="s">
        <v>5650</v>
      </c>
      <c r="F49" s="48" t="s">
        <v>5300</v>
      </c>
      <c r="G49" s="55" t="s">
        <v>96</v>
      </c>
      <c r="H49" s="64">
        <v>0.32219</v>
      </c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</row>
    <row r="50">
      <c r="A50" s="48" t="s">
        <v>4072</v>
      </c>
      <c r="B50" s="44"/>
      <c r="C50" s="48" t="s">
        <v>8797</v>
      </c>
      <c r="D50" s="44"/>
      <c r="E50" s="48" t="s">
        <v>5650</v>
      </c>
      <c r="F50" s="48" t="s">
        <v>5300</v>
      </c>
      <c r="G50" s="55" t="s">
        <v>96</v>
      </c>
      <c r="H50" s="64">
        <v>0.3133</v>
      </c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</row>
    <row r="51">
      <c r="A51" s="48" t="s">
        <v>4067</v>
      </c>
      <c r="B51" s="44"/>
      <c r="C51" s="48" t="s">
        <v>8798</v>
      </c>
      <c r="D51" s="44"/>
      <c r="E51" s="48" t="s">
        <v>5235</v>
      </c>
      <c r="F51" s="48" t="s">
        <v>5300</v>
      </c>
      <c r="G51" s="55" t="s">
        <v>96</v>
      </c>
      <c r="H51" s="64">
        <v>0.30682</v>
      </c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</row>
    <row r="52">
      <c r="A52" s="48" t="s">
        <v>4070</v>
      </c>
      <c r="B52" s="44"/>
      <c r="C52" s="48" t="s">
        <v>8799</v>
      </c>
      <c r="D52" s="44"/>
      <c r="E52" s="48" t="s">
        <v>5369</v>
      </c>
      <c r="F52" s="48" t="s">
        <v>5300</v>
      </c>
      <c r="G52" s="55" t="s">
        <v>96</v>
      </c>
      <c r="H52" s="64">
        <v>0.3043</v>
      </c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</row>
    <row r="53">
      <c r="A53" s="48" t="s">
        <v>4075</v>
      </c>
      <c r="B53" s="44"/>
      <c r="C53" s="48" t="s">
        <v>8800</v>
      </c>
      <c r="D53" s="44"/>
      <c r="E53" s="48" t="s">
        <v>5735</v>
      </c>
      <c r="F53" s="48" t="s">
        <v>5300</v>
      </c>
      <c r="G53" s="55" t="s">
        <v>96</v>
      </c>
      <c r="H53" s="64">
        <v>0.29944</v>
      </c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</row>
    <row r="54">
      <c r="A54" s="48" t="s">
        <v>4065</v>
      </c>
      <c r="B54" s="44"/>
      <c r="C54" s="48" t="s">
        <v>8801</v>
      </c>
      <c r="D54" s="44"/>
      <c r="E54" s="48" t="s">
        <v>5276</v>
      </c>
      <c r="F54" s="48" t="s">
        <v>5300</v>
      </c>
      <c r="G54" s="55" t="s">
        <v>96</v>
      </c>
      <c r="H54" s="64">
        <v>0.29899</v>
      </c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</row>
    <row r="55">
      <c r="A55" s="48" t="s">
        <v>8802</v>
      </c>
      <c r="B55" s="44"/>
      <c r="C55" s="48" t="s">
        <v>8803</v>
      </c>
      <c r="D55" s="44"/>
      <c r="E55" s="48" t="s">
        <v>5215</v>
      </c>
      <c r="F55" s="48" t="s">
        <v>5836</v>
      </c>
      <c r="G55" s="55" t="s">
        <v>96</v>
      </c>
      <c r="H55" s="64">
        <v>0.29348</v>
      </c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</row>
    <row r="56">
      <c r="A56" s="48" t="s">
        <v>4084</v>
      </c>
      <c r="B56" s="44"/>
      <c r="C56" s="48" t="s">
        <v>8804</v>
      </c>
      <c r="D56" s="44"/>
      <c r="E56" s="48" t="s">
        <v>6172</v>
      </c>
      <c r="F56" s="48" t="s">
        <v>5300</v>
      </c>
      <c r="G56" s="55" t="s">
        <v>96</v>
      </c>
      <c r="H56" s="64">
        <v>0.29149</v>
      </c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</row>
    <row r="57">
      <c r="A57" s="48" t="s">
        <v>4066</v>
      </c>
      <c r="B57" s="44"/>
      <c r="C57" s="48" t="s">
        <v>8805</v>
      </c>
      <c r="D57" s="44"/>
      <c r="E57" s="48" t="s">
        <v>5422</v>
      </c>
      <c r="F57" s="48" t="s">
        <v>5300</v>
      </c>
      <c r="G57" s="55" t="s">
        <v>96</v>
      </c>
      <c r="H57" s="64">
        <v>0.29069</v>
      </c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</row>
    <row r="58">
      <c r="A58" s="48" t="s">
        <v>4087</v>
      </c>
      <c r="B58" s="44"/>
      <c r="C58" s="48" t="s">
        <v>8806</v>
      </c>
      <c r="D58" s="44"/>
      <c r="E58" s="48" t="s">
        <v>6947</v>
      </c>
      <c r="F58" s="48" t="s">
        <v>5300</v>
      </c>
      <c r="G58" s="55" t="s">
        <v>96</v>
      </c>
      <c r="H58" s="64">
        <v>0.27945</v>
      </c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</row>
    <row r="59">
      <c r="A59" s="48" t="s">
        <v>4077</v>
      </c>
      <c r="B59" s="44"/>
      <c r="C59" s="48" t="s">
        <v>8807</v>
      </c>
      <c r="D59" s="44"/>
      <c r="E59" s="48" t="s">
        <v>5218</v>
      </c>
      <c r="F59" s="48" t="s">
        <v>5300</v>
      </c>
      <c r="G59" s="55" t="s">
        <v>96</v>
      </c>
      <c r="H59" s="64">
        <v>0.27795</v>
      </c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</row>
    <row r="60">
      <c r="A60" s="48" t="s">
        <v>4080</v>
      </c>
      <c r="B60" s="44"/>
      <c r="C60" s="48" t="s">
        <v>8808</v>
      </c>
      <c r="D60" s="44"/>
      <c r="E60" s="48" t="s">
        <v>5742</v>
      </c>
      <c r="F60" s="48" t="s">
        <v>5300</v>
      </c>
      <c r="G60" s="55" t="s">
        <v>96</v>
      </c>
      <c r="H60" s="64">
        <v>0.27654</v>
      </c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</row>
    <row r="61">
      <c r="A61" s="48" t="s">
        <v>4060</v>
      </c>
      <c r="B61" s="44"/>
      <c r="C61" s="48" t="s">
        <v>8809</v>
      </c>
      <c r="D61" s="44"/>
      <c r="E61" s="48" t="s">
        <v>5218</v>
      </c>
      <c r="F61" s="48" t="s">
        <v>5300</v>
      </c>
      <c r="G61" s="55" t="s">
        <v>96</v>
      </c>
      <c r="H61" s="64">
        <v>0.26749</v>
      </c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</row>
    <row r="62">
      <c r="A62" s="48" t="s">
        <v>4079</v>
      </c>
      <c r="B62" s="44"/>
      <c r="C62" s="48" t="s">
        <v>8810</v>
      </c>
      <c r="D62" s="44"/>
      <c r="E62" s="48" t="s">
        <v>7260</v>
      </c>
      <c r="F62" s="48" t="s">
        <v>5300</v>
      </c>
      <c r="G62" s="55" t="s">
        <v>96</v>
      </c>
      <c r="H62" s="64">
        <v>0.26685</v>
      </c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</row>
    <row r="63">
      <c r="A63" s="48" t="s">
        <v>8811</v>
      </c>
      <c r="B63" s="44"/>
      <c r="C63" s="48" t="s">
        <v>8812</v>
      </c>
      <c r="D63" s="44"/>
      <c r="E63" s="48" t="s">
        <v>5215</v>
      </c>
      <c r="F63" s="48" t="s">
        <v>5836</v>
      </c>
      <c r="G63" s="55" t="s">
        <v>96</v>
      </c>
      <c r="H63" s="64">
        <v>0.25848</v>
      </c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</row>
    <row r="64">
      <c r="A64" s="48" t="s">
        <v>4095</v>
      </c>
      <c r="B64" s="44"/>
      <c r="C64" s="48" t="s">
        <v>8813</v>
      </c>
      <c r="D64" s="44"/>
      <c r="E64" s="48" t="s">
        <v>8480</v>
      </c>
      <c r="F64" s="48" t="s">
        <v>5300</v>
      </c>
      <c r="G64" s="55" t="s">
        <v>96</v>
      </c>
      <c r="H64" s="64">
        <v>0.25238</v>
      </c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</row>
    <row r="65">
      <c r="A65" s="48" t="s">
        <v>4083</v>
      </c>
      <c r="B65" s="44"/>
      <c r="C65" s="48" t="s">
        <v>8814</v>
      </c>
      <c r="D65" s="44"/>
      <c r="E65" s="48" t="s">
        <v>5276</v>
      </c>
      <c r="F65" s="48" t="s">
        <v>5300</v>
      </c>
      <c r="G65" s="55" t="s">
        <v>96</v>
      </c>
      <c r="H65" s="64">
        <v>0.25161</v>
      </c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</row>
    <row r="66">
      <c r="A66" s="48" t="s">
        <v>8815</v>
      </c>
      <c r="B66" s="44"/>
      <c r="C66" s="48" t="s">
        <v>8816</v>
      </c>
      <c r="D66" s="44"/>
      <c r="E66" s="48" t="s">
        <v>5271</v>
      </c>
      <c r="F66" s="48" t="s">
        <v>6220</v>
      </c>
      <c r="G66" s="55" t="s">
        <v>96</v>
      </c>
      <c r="H66" s="64">
        <v>0.25142</v>
      </c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</row>
    <row r="67">
      <c r="A67" s="48" t="s">
        <v>8817</v>
      </c>
      <c r="B67" s="44"/>
      <c r="C67" s="48" t="s">
        <v>8818</v>
      </c>
      <c r="D67" s="44"/>
      <c r="E67" s="48" t="s">
        <v>5218</v>
      </c>
      <c r="F67" s="48" t="s">
        <v>5747</v>
      </c>
      <c r="G67" s="55" t="s">
        <v>96</v>
      </c>
      <c r="H67" s="64">
        <v>0.24958</v>
      </c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</row>
    <row r="68">
      <c r="A68" s="48" t="s">
        <v>4100</v>
      </c>
      <c r="B68" s="44"/>
      <c r="C68" s="48" t="s">
        <v>8819</v>
      </c>
      <c r="D68" s="44"/>
      <c r="E68" s="48" t="s">
        <v>5283</v>
      </c>
      <c r="F68" s="48" t="s">
        <v>5268</v>
      </c>
      <c r="G68" s="55" t="s">
        <v>96</v>
      </c>
      <c r="H68" s="64">
        <v>0.24777</v>
      </c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</row>
    <row r="69">
      <c r="A69" s="48" t="s">
        <v>4101</v>
      </c>
      <c r="B69" s="44"/>
      <c r="C69" s="48" t="s">
        <v>8820</v>
      </c>
      <c r="D69" s="44"/>
      <c r="E69" s="48" t="s">
        <v>5456</v>
      </c>
      <c r="F69" s="48" t="s">
        <v>5300</v>
      </c>
      <c r="G69" s="55" t="s">
        <v>96</v>
      </c>
      <c r="H69" s="64">
        <v>0.24714</v>
      </c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</row>
    <row r="70">
      <c r="A70" s="48" t="s">
        <v>4103</v>
      </c>
      <c r="B70" s="44"/>
      <c r="C70" s="48" t="s">
        <v>8821</v>
      </c>
      <c r="D70" s="44"/>
      <c r="E70" s="48" t="s">
        <v>5564</v>
      </c>
      <c r="F70" s="48" t="s">
        <v>5300</v>
      </c>
      <c r="G70" s="55" t="s">
        <v>96</v>
      </c>
      <c r="H70" s="64">
        <v>0.24713</v>
      </c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</row>
    <row r="71">
      <c r="A71" s="48" t="s">
        <v>4092</v>
      </c>
      <c r="B71" s="44"/>
      <c r="C71" s="48" t="s">
        <v>8822</v>
      </c>
      <c r="D71" s="44"/>
      <c r="E71" s="48" t="s">
        <v>5229</v>
      </c>
      <c r="F71" s="48" t="s">
        <v>5300</v>
      </c>
      <c r="G71" s="55" t="s">
        <v>96</v>
      </c>
      <c r="H71" s="64">
        <v>0.24582</v>
      </c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</row>
    <row r="72">
      <c r="A72" s="48" t="s">
        <v>8823</v>
      </c>
      <c r="B72" s="44"/>
      <c r="C72" s="48" t="s">
        <v>8824</v>
      </c>
      <c r="D72" s="44"/>
      <c r="E72" s="48" t="s">
        <v>6275</v>
      </c>
      <c r="F72" s="48" t="s">
        <v>8784</v>
      </c>
      <c r="G72" s="55" t="s">
        <v>96</v>
      </c>
      <c r="H72" s="64">
        <v>0.24535</v>
      </c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</row>
    <row r="73">
      <c r="A73" s="48" t="s">
        <v>4102</v>
      </c>
      <c r="B73" s="44"/>
      <c r="C73" s="48" t="s">
        <v>8825</v>
      </c>
      <c r="D73" s="44"/>
      <c r="E73" s="48" t="s">
        <v>5283</v>
      </c>
      <c r="F73" s="48" t="s">
        <v>5300</v>
      </c>
      <c r="G73" s="55" t="s">
        <v>96</v>
      </c>
      <c r="H73" s="64">
        <v>0.24314</v>
      </c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</row>
    <row r="74">
      <c r="A74" s="48" t="s">
        <v>4094</v>
      </c>
      <c r="B74" s="44"/>
      <c r="C74" s="48" t="s">
        <v>8826</v>
      </c>
      <c r="D74" s="44"/>
      <c r="E74" s="48" t="s">
        <v>6487</v>
      </c>
      <c r="F74" s="48" t="s">
        <v>5300</v>
      </c>
      <c r="G74" s="55" t="s">
        <v>96</v>
      </c>
      <c r="H74" s="64">
        <v>0.23928</v>
      </c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</row>
    <row r="75">
      <c r="A75" s="48" t="s">
        <v>4116</v>
      </c>
      <c r="B75" s="44"/>
      <c r="C75" s="48" t="s">
        <v>8827</v>
      </c>
      <c r="D75" s="44"/>
      <c r="E75" s="48" t="s">
        <v>5450</v>
      </c>
      <c r="F75" s="48" t="s">
        <v>5300</v>
      </c>
      <c r="G75" s="55" t="s">
        <v>96</v>
      </c>
      <c r="H75" s="64">
        <v>0.23687</v>
      </c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</row>
    <row r="76">
      <c r="A76" s="48" t="s">
        <v>4097</v>
      </c>
      <c r="B76" s="44"/>
      <c r="C76" s="48" t="s">
        <v>8828</v>
      </c>
      <c r="D76" s="44"/>
      <c r="E76" s="48" t="s">
        <v>5229</v>
      </c>
      <c r="F76" s="48" t="s">
        <v>5300</v>
      </c>
      <c r="G76" s="55" t="s">
        <v>96</v>
      </c>
      <c r="H76" s="64">
        <v>0.23547</v>
      </c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</row>
    <row r="77">
      <c r="A77" s="48" t="s">
        <v>4086</v>
      </c>
      <c r="B77" s="44"/>
      <c r="C77" s="48" t="s">
        <v>8829</v>
      </c>
      <c r="D77" s="44"/>
      <c r="E77" s="48" t="s">
        <v>5431</v>
      </c>
      <c r="F77" s="48" t="s">
        <v>5300</v>
      </c>
      <c r="G77" s="55" t="s">
        <v>96</v>
      </c>
      <c r="H77" s="64">
        <v>0.23542</v>
      </c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</row>
    <row r="78">
      <c r="A78" s="48" t="s">
        <v>4091</v>
      </c>
      <c r="B78" s="44"/>
      <c r="C78" s="48" t="s">
        <v>5051</v>
      </c>
      <c r="D78" s="44"/>
      <c r="E78" s="48" t="s">
        <v>5235</v>
      </c>
      <c r="F78" s="48" t="s">
        <v>5300</v>
      </c>
      <c r="G78" s="55" t="s">
        <v>96</v>
      </c>
      <c r="H78" s="64">
        <v>0.22043</v>
      </c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</row>
    <row r="79">
      <c r="A79" s="48" t="s">
        <v>4107</v>
      </c>
      <c r="B79" s="44"/>
      <c r="C79" s="48" t="s">
        <v>8830</v>
      </c>
      <c r="D79" s="44"/>
      <c r="E79" s="48" t="s">
        <v>5395</v>
      </c>
      <c r="F79" s="48" t="s">
        <v>5300</v>
      </c>
      <c r="G79" s="55" t="s">
        <v>96</v>
      </c>
      <c r="H79" s="64">
        <v>0.2174</v>
      </c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</row>
    <row r="80">
      <c r="A80" s="48" t="s">
        <v>4113</v>
      </c>
      <c r="B80" s="44"/>
      <c r="C80" s="48" t="s">
        <v>8831</v>
      </c>
      <c r="D80" s="44"/>
      <c r="E80" s="48" t="s">
        <v>5283</v>
      </c>
      <c r="F80" s="48" t="s">
        <v>5300</v>
      </c>
      <c r="G80" s="55" t="s">
        <v>96</v>
      </c>
      <c r="H80" s="64">
        <v>0.21655</v>
      </c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</row>
    <row r="81">
      <c r="A81" s="48" t="s">
        <v>4110</v>
      </c>
      <c r="B81" s="44"/>
      <c r="C81" s="48" t="s">
        <v>8832</v>
      </c>
      <c r="D81" s="44"/>
      <c r="E81" s="48" t="s">
        <v>5434</v>
      </c>
      <c r="F81" s="48" t="s">
        <v>5300</v>
      </c>
      <c r="G81" s="55" t="s">
        <v>96</v>
      </c>
      <c r="H81" s="64">
        <v>0.21524</v>
      </c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</row>
    <row r="82">
      <c r="A82" s="48" t="s">
        <v>4105</v>
      </c>
      <c r="B82" s="44"/>
      <c r="C82" s="48" t="s">
        <v>8833</v>
      </c>
      <c r="D82" s="44"/>
      <c r="E82" s="48" t="s">
        <v>5516</v>
      </c>
      <c r="F82" s="48" t="s">
        <v>5300</v>
      </c>
      <c r="G82" s="55" t="s">
        <v>96</v>
      </c>
      <c r="H82" s="64">
        <v>0.21465</v>
      </c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</row>
    <row r="83">
      <c r="A83" s="48" t="s">
        <v>4120</v>
      </c>
      <c r="B83" s="44"/>
      <c r="C83" s="48" t="s">
        <v>8834</v>
      </c>
      <c r="D83" s="44"/>
      <c r="E83" s="48" t="s">
        <v>5445</v>
      </c>
      <c r="F83" s="48" t="s">
        <v>5300</v>
      </c>
      <c r="G83" s="55" t="s">
        <v>96</v>
      </c>
      <c r="H83" s="64">
        <v>0.2119</v>
      </c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</row>
    <row r="84">
      <c r="A84" s="48" t="s">
        <v>4131</v>
      </c>
      <c r="B84" s="44"/>
      <c r="C84" s="48" t="s">
        <v>8835</v>
      </c>
      <c r="D84" s="44"/>
      <c r="E84" s="48" t="s">
        <v>5229</v>
      </c>
      <c r="F84" s="48" t="s">
        <v>5300</v>
      </c>
      <c r="G84" s="55" t="s">
        <v>96</v>
      </c>
      <c r="H84" s="64">
        <v>0.21025</v>
      </c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</row>
    <row r="85">
      <c r="A85" s="48" t="s">
        <v>4117</v>
      </c>
      <c r="B85" s="44"/>
      <c r="C85" s="48" t="s">
        <v>8836</v>
      </c>
      <c r="D85" s="44"/>
      <c r="E85" s="48" t="s">
        <v>5704</v>
      </c>
      <c r="F85" s="48" t="s">
        <v>5300</v>
      </c>
      <c r="G85" s="55" t="s">
        <v>96</v>
      </c>
      <c r="H85" s="64">
        <v>0.20692</v>
      </c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</row>
    <row r="86">
      <c r="A86" s="48" t="s">
        <v>8837</v>
      </c>
      <c r="B86" s="44"/>
      <c r="C86" s="48" t="s">
        <v>8838</v>
      </c>
      <c r="D86" s="44"/>
      <c r="E86" s="48" t="s">
        <v>6338</v>
      </c>
      <c r="F86" s="48" t="s">
        <v>4095</v>
      </c>
      <c r="G86" s="55" t="s">
        <v>96</v>
      </c>
      <c r="H86" s="64">
        <v>0.20463</v>
      </c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</row>
    <row r="87">
      <c r="A87" s="48" t="s">
        <v>8839</v>
      </c>
      <c r="B87" s="44"/>
      <c r="C87" s="48" t="s">
        <v>8840</v>
      </c>
      <c r="D87" s="44"/>
      <c r="E87" s="48" t="s">
        <v>5759</v>
      </c>
      <c r="F87" s="48" t="s">
        <v>5300</v>
      </c>
      <c r="G87" s="55" t="s">
        <v>96</v>
      </c>
      <c r="H87" s="64">
        <v>0.20445</v>
      </c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</row>
    <row r="88">
      <c r="A88" s="48" t="s">
        <v>4128</v>
      </c>
      <c r="B88" s="44"/>
      <c r="C88" s="48" t="s">
        <v>8841</v>
      </c>
      <c r="D88" s="44"/>
      <c r="E88" s="48" t="s">
        <v>5742</v>
      </c>
      <c r="F88" s="48" t="s">
        <v>5300</v>
      </c>
      <c r="G88" s="55" t="s">
        <v>96</v>
      </c>
      <c r="H88" s="64">
        <v>0.20414</v>
      </c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</row>
    <row r="89">
      <c r="A89" s="48" t="s">
        <v>4112</v>
      </c>
      <c r="B89" s="44"/>
      <c r="C89" s="48" t="s">
        <v>8842</v>
      </c>
      <c r="D89" s="44"/>
      <c r="E89" s="48" t="s">
        <v>5218</v>
      </c>
      <c r="F89" s="48" t="s">
        <v>5300</v>
      </c>
      <c r="G89" s="55" t="s">
        <v>96</v>
      </c>
      <c r="H89" s="64">
        <v>0.20125</v>
      </c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</row>
    <row r="90">
      <c r="A90" s="48" t="s">
        <v>4108</v>
      </c>
      <c r="B90" s="44"/>
      <c r="C90" s="48" t="s">
        <v>8843</v>
      </c>
      <c r="D90" s="44"/>
      <c r="E90" s="48" t="s">
        <v>5387</v>
      </c>
      <c r="F90" s="48" t="s">
        <v>5300</v>
      </c>
      <c r="G90" s="55" t="s">
        <v>96</v>
      </c>
      <c r="H90" s="64">
        <v>0.19986</v>
      </c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</row>
    <row r="91">
      <c r="A91" s="48" t="s">
        <v>8844</v>
      </c>
      <c r="B91" s="44"/>
      <c r="C91" s="48" t="s">
        <v>8845</v>
      </c>
      <c r="D91" s="44"/>
      <c r="E91" s="48" t="s">
        <v>5215</v>
      </c>
      <c r="F91" s="48" t="s">
        <v>8784</v>
      </c>
      <c r="G91" s="55" t="s">
        <v>96</v>
      </c>
      <c r="H91" s="64">
        <v>0.19897</v>
      </c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</row>
    <row r="92">
      <c r="A92" s="48" t="s">
        <v>4115</v>
      </c>
      <c r="B92" s="44"/>
      <c r="C92" s="48" t="s">
        <v>8846</v>
      </c>
      <c r="D92" s="44"/>
      <c r="E92" s="48" t="s">
        <v>5218</v>
      </c>
      <c r="F92" s="48" t="s">
        <v>5300</v>
      </c>
      <c r="G92" s="55" t="s">
        <v>96</v>
      </c>
      <c r="H92" s="64">
        <v>0.19547</v>
      </c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</row>
    <row r="93">
      <c r="A93" s="48" t="s">
        <v>4135</v>
      </c>
      <c r="B93" s="44"/>
      <c r="C93" s="48" t="s">
        <v>8847</v>
      </c>
      <c r="D93" s="44"/>
      <c r="E93" s="48" t="s">
        <v>5215</v>
      </c>
      <c r="F93" s="48" t="s">
        <v>5300</v>
      </c>
      <c r="G93" s="55" t="s">
        <v>96</v>
      </c>
      <c r="H93" s="64">
        <v>0.19402</v>
      </c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</row>
    <row r="94">
      <c r="A94" s="48" t="s">
        <v>8848</v>
      </c>
      <c r="B94" s="44"/>
      <c r="C94" s="48" t="s">
        <v>8849</v>
      </c>
      <c r="D94" s="44"/>
      <c r="E94" s="48" t="s">
        <v>7611</v>
      </c>
      <c r="F94" s="48" t="s">
        <v>8784</v>
      </c>
      <c r="G94" s="55" t="s">
        <v>96</v>
      </c>
      <c r="H94" s="64">
        <v>0.19026</v>
      </c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</row>
    <row r="95">
      <c r="A95" s="48" t="s">
        <v>4140</v>
      </c>
      <c r="B95" s="44"/>
      <c r="C95" s="48" t="s">
        <v>8850</v>
      </c>
      <c r="D95" s="44"/>
      <c r="E95" s="48" t="s">
        <v>8851</v>
      </c>
      <c r="F95" s="48" t="s">
        <v>5300</v>
      </c>
      <c r="G95" s="55" t="s">
        <v>96</v>
      </c>
      <c r="H95" s="64">
        <v>0.18961</v>
      </c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</row>
    <row r="96">
      <c r="A96" s="48" t="s">
        <v>4126</v>
      </c>
      <c r="B96" s="44"/>
      <c r="C96" s="48" t="s">
        <v>8852</v>
      </c>
      <c r="D96" s="44"/>
      <c r="E96" s="48" t="s">
        <v>6487</v>
      </c>
      <c r="F96" s="48" t="s">
        <v>5300</v>
      </c>
      <c r="G96" s="55" t="s">
        <v>96</v>
      </c>
      <c r="H96" s="64">
        <v>0.18465</v>
      </c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</row>
    <row r="97">
      <c r="A97" s="48" t="s">
        <v>4133</v>
      </c>
      <c r="B97" s="44"/>
      <c r="C97" s="48" t="s">
        <v>8853</v>
      </c>
      <c r="D97" s="44"/>
      <c r="E97" s="48" t="s">
        <v>5218</v>
      </c>
      <c r="F97" s="48" t="s">
        <v>5300</v>
      </c>
      <c r="G97" s="55" t="s">
        <v>96</v>
      </c>
      <c r="H97" s="64">
        <v>0.18448</v>
      </c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</row>
    <row r="98">
      <c r="A98" s="48" t="s">
        <v>4160</v>
      </c>
      <c r="B98" s="44"/>
      <c r="C98" s="48" t="s">
        <v>8854</v>
      </c>
      <c r="D98" s="44"/>
      <c r="E98" s="48" t="s">
        <v>5445</v>
      </c>
      <c r="F98" s="48" t="s">
        <v>5300</v>
      </c>
      <c r="G98" s="55" t="s">
        <v>96</v>
      </c>
      <c r="H98" s="64">
        <v>0.1785</v>
      </c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</row>
    <row r="99">
      <c r="A99" s="48" t="s">
        <v>4122</v>
      </c>
      <c r="B99" s="44"/>
      <c r="C99" s="48" t="s">
        <v>8855</v>
      </c>
      <c r="D99" s="44"/>
      <c r="E99" s="48" t="s">
        <v>5261</v>
      </c>
      <c r="F99" s="48" t="s">
        <v>8759</v>
      </c>
      <c r="G99" s="55" t="s">
        <v>96</v>
      </c>
      <c r="H99" s="64">
        <v>0.17729</v>
      </c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</row>
    <row r="100">
      <c r="A100" s="48" t="s">
        <v>4138</v>
      </c>
      <c r="B100" s="44"/>
      <c r="C100" s="48" t="s">
        <v>8856</v>
      </c>
      <c r="D100" s="44"/>
      <c r="E100" s="48" t="s">
        <v>5467</v>
      </c>
      <c r="F100" s="48" t="s">
        <v>5300</v>
      </c>
      <c r="G100" s="55" t="s">
        <v>96</v>
      </c>
      <c r="H100" s="64">
        <v>0.17129</v>
      </c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</row>
    <row r="101">
      <c r="A101" s="48" t="s">
        <v>4161</v>
      </c>
      <c r="B101" s="44"/>
      <c r="C101" s="48" t="s">
        <v>8857</v>
      </c>
      <c r="D101" s="44"/>
      <c r="E101" s="48" t="s">
        <v>6389</v>
      </c>
      <c r="F101" s="48" t="s">
        <v>5300</v>
      </c>
      <c r="G101" s="55" t="s">
        <v>96</v>
      </c>
      <c r="H101" s="64">
        <v>0.1705</v>
      </c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</row>
    <row r="102">
      <c r="A102" s="48" t="s">
        <v>4149</v>
      </c>
      <c r="B102" s="44"/>
      <c r="C102" s="48" t="s">
        <v>8858</v>
      </c>
      <c r="D102" s="44"/>
      <c r="E102" s="48" t="s">
        <v>5650</v>
      </c>
      <c r="F102" s="48" t="s">
        <v>5300</v>
      </c>
      <c r="G102" s="55" t="s">
        <v>96</v>
      </c>
      <c r="H102" s="64">
        <v>0.16764</v>
      </c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</row>
    <row r="103">
      <c r="A103" s="48" t="s">
        <v>4153</v>
      </c>
      <c r="B103" s="44"/>
      <c r="C103" s="48" t="s">
        <v>8859</v>
      </c>
      <c r="D103" s="44"/>
      <c r="E103" s="48" t="s">
        <v>5445</v>
      </c>
      <c r="F103" s="48" t="s">
        <v>5300</v>
      </c>
      <c r="G103" s="55" t="s">
        <v>96</v>
      </c>
      <c r="H103" s="64">
        <v>0.16684</v>
      </c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</row>
    <row r="104">
      <c r="A104" s="48" t="s">
        <v>4118</v>
      </c>
      <c r="B104" s="44"/>
      <c r="C104" s="48" t="s">
        <v>8860</v>
      </c>
      <c r="D104" s="44"/>
      <c r="E104" s="48" t="s">
        <v>5478</v>
      </c>
      <c r="F104" s="48" t="s">
        <v>5300</v>
      </c>
      <c r="G104" s="55" t="s">
        <v>96</v>
      </c>
      <c r="H104" s="64">
        <v>0.16622</v>
      </c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</row>
    <row r="105">
      <c r="A105" s="48" t="s">
        <v>8861</v>
      </c>
      <c r="B105" s="44"/>
      <c r="C105" s="48" t="s">
        <v>8862</v>
      </c>
      <c r="D105" s="44"/>
      <c r="E105" s="48" t="s">
        <v>5369</v>
      </c>
      <c r="F105" s="48" t="s">
        <v>5836</v>
      </c>
      <c r="G105" s="55" t="s">
        <v>96</v>
      </c>
      <c r="H105" s="64">
        <v>0.16569</v>
      </c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</row>
    <row r="106">
      <c r="A106" s="48" t="s">
        <v>5631</v>
      </c>
      <c r="B106" s="44"/>
      <c r="C106" s="48" t="s">
        <v>8863</v>
      </c>
      <c r="D106" s="44"/>
      <c r="E106" s="48" t="s">
        <v>6115</v>
      </c>
      <c r="F106" s="48" t="s">
        <v>5747</v>
      </c>
      <c r="G106" s="55" t="s">
        <v>96</v>
      </c>
      <c r="H106" s="64">
        <v>0.16565</v>
      </c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</row>
    <row r="107">
      <c r="A107" s="48" t="s">
        <v>4429</v>
      </c>
      <c r="B107" s="44"/>
      <c r="C107" s="48" t="s">
        <v>8864</v>
      </c>
      <c r="D107" s="44"/>
      <c r="E107" s="48" t="s">
        <v>5235</v>
      </c>
      <c r="F107" s="48" t="s">
        <v>4095</v>
      </c>
      <c r="G107" s="55" t="s">
        <v>96</v>
      </c>
      <c r="H107" s="64">
        <v>0.16023</v>
      </c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</row>
    <row r="108">
      <c r="A108" s="48" t="s">
        <v>4155</v>
      </c>
      <c r="B108" s="44"/>
      <c r="C108" s="48" t="s">
        <v>8865</v>
      </c>
      <c r="D108" s="44"/>
      <c r="E108" s="48" t="s">
        <v>5675</v>
      </c>
      <c r="F108" s="48" t="s">
        <v>5300</v>
      </c>
      <c r="G108" s="55" t="s">
        <v>96</v>
      </c>
      <c r="H108" s="64">
        <v>0.15958</v>
      </c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</row>
    <row r="109">
      <c r="A109" s="48" t="s">
        <v>4136</v>
      </c>
      <c r="B109" s="44"/>
      <c r="C109" s="48" t="s">
        <v>8866</v>
      </c>
      <c r="D109" s="44"/>
      <c r="E109" s="48" t="s">
        <v>5283</v>
      </c>
      <c r="F109" s="48" t="s">
        <v>5300</v>
      </c>
      <c r="G109" s="55" t="s">
        <v>96</v>
      </c>
      <c r="H109" s="64">
        <v>0.15935</v>
      </c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</row>
    <row r="110">
      <c r="A110" s="48" t="s">
        <v>4146</v>
      </c>
      <c r="B110" s="44"/>
      <c r="C110" s="48" t="s">
        <v>8867</v>
      </c>
      <c r="D110" s="44"/>
      <c r="E110" s="48" t="s">
        <v>5235</v>
      </c>
      <c r="F110" s="48" t="s">
        <v>5300</v>
      </c>
      <c r="G110" s="55" t="s">
        <v>96</v>
      </c>
      <c r="H110" s="64">
        <v>0.15935</v>
      </c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</row>
    <row r="111">
      <c r="A111" s="48" t="s">
        <v>4148</v>
      </c>
      <c r="B111" s="44"/>
      <c r="C111" s="48" t="s">
        <v>8868</v>
      </c>
      <c r="D111" s="44"/>
      <c r="E111" s="48" t="s">
        <v>5276</v>
      </c>
      <c r="F111" s="48" t="s">
        <v>5300</v>
      </c>
      <c r="G111" s="55" t="s">
        <v>96</v>
      </c>
      <c r="H111" s="64">
        <v>0.15694</v>
      </c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</row>
    <row r="112">
      <c r="A112" s="48" t="s">
        <v>8869</v>
      </c>
      <c r="B112" s="44"/>
      <c r="C112" s="48" t="s">
        <v>8870</v>
      </c>
      <c r="D112" s="44"/>
      <c r="E112" s="48" t="s">
        <v>5369</v>
      </c>
      <c r="F112" s="48" t="s">
        <v>5836</v>
      </c>
      <c r="G112" s="55" t="s">
        <v>96</v>
      </c>
      <c r="H112" s="64">
        <v>0.15611</v>
      </c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</row>
    <row r="113">
      <c r="A113" s="48" t="s">
        <v>4129</v>
      </c>
      <c r="B113" s="44"/>
      <c r="C113" s="48" t="s">
        <v>8871</v>
      </c>
      <c r="D113" s="44"/>
      <c r="E113" s="48" t="s">
        <v>5261</v>
      </c>
      <c r="F113" s="48" t="s">
        <v>5300</v>
      </c>
      <c r="G113" s="55" t="s">
        <v>96</v>
      </c>
      <c r="H113" s="64">
        <v>0.15602</v>
      </c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</row>
    <row r="114">
      <c r="A114" s="48" t="s">
        <v>8872</v>
      </c>
      <c r="B114" s="44"/>
      <c r="C114" s="48" t="s">
        <v>8873</v>
      </c>
      <c r="D114" s="44"/>
      <c r="E114" s="48" t="s">
        <v>6338</v>
      </c>
      <c r="F114" s="48" t="s">
        <v>8759</v>
      </c>
      <c r="G114" s="55" t="s">
        <v>96</v>
      </c>
      <c r="H114" s="64">
        <v>0.15552</v>
      </c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</row>
    <row r="115">
      <c r="A115" s="48" t="s">
        <v>4137</v>
      </c>
      <c r="B115" s="44"/>
      <c r="C115" s="48" t="s">
        <v>8874</v>
      </c>
      <c r="D115" s="44"/>
      <c r="E115" s="48" t="s">
        <v>5450</v>
      </c>
      <c r="F115" s="48" t="s">
        <v>5300</v>
      </c>
      <c r="G115" s="55" t="s">
        <v>96</v>
      </c>
      <c r="H115" s="64">
        <v>0.15525</v>
      </c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</row>
    <row r="116">
      <c r="A116" s="48" t="s">
        <v>4157</v>
      </c>
      <c r="B116" s="44"/>
      <c r="C116" s="48" t="s">
        <v>8875</v>
      </c>
      <c r="D116" s="44"/>
      <c r="E116" s="48" t="s">
        <v>5964</v>
      </c>
      <c r="F116" s="48" t="s">
        <v>5300</v>
      </c>
      <c r="G116" s="55" t="s">
        <v>96</v>
      </c>
      <c r="H116" s="64">
        <v>0.15517</v>
      </c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</row>
    <row r="117">
      <c r="A117" s="48" t="s">
        <v>8876</v>
      </c>
      <c r="B117" s="44"/>
      <c r="C117" s="48" t="s">
        <v>8877</v>
      </c>
      <c r="D117" s="44"/>
      <c r="E117" s="48" t="s">
        <v>5218</v>
      </c>
      <c r="F117" s="48" t="s">
        <v>5425</v>
      </c>
      <c r="G117" s="55" t="s">
        <v>96</v>
      </c>
      <c r="H117" s="64">
        <v>0.1546</v>
      </c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</row>
    <row r="118">
      <c r="A118" s="48" t="s">
        <v>8878</v>
      </c>
      <c r="B118" s="44"/>
      <c r="C118" s="48" t="s">
        <v>8879</v>
      </c>
      <c r="D118" s="44"/>
      <c r="E118" s="48" t="s">
        <v>5215</v>
      </c>
      <c r="F118" s="48" t="s">
        <v>5747</v>
      </c>
      <c r="G118" s="55" t="s">
        <v>96</v>
      </c>
      <c r="H118" s="64">
        <v>0.15434</v>
      </c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</row>
    <row r="119">
      <c r="A119" s="48" t="s">
        <v>4144</v>
      </c>
      <c r="B119" s="44"/>
      <c r="C119" s="48" t="s">
        <v>8880</v>
      </c>
      <c r="D119" s="44"/>
      <c r="E119" s="48" t="s">
        <v>5229</v>
      </c>
      <c r="F119" s="48" t="s">
        <v>5300</v>
      </c>
      <c r="G119" s="55" t="s">
        <v>96</v>
      </c>
      <c r="H119" s="64">
        <v>0.15322</v>
      </c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</row>
    <row r="120">
      <c r="A120" s="48" t="s">
        <v>4166</v>
      </c>
      <c r="B120" s="44"/>
      <c r="C120" s="48" t="s">
        <v>8881</v>
      </c>
      <c r="D120" s="44"/>
      <c r="E120" s="48" t="s">
        <v>5742</v>
      </c>
      <c r="F120" s="48" t="s">
        <v>5300</v>
      </c>
      <c r="G120" s="55" t="s">
        <v>96</v>
      </c>
      <c r="H120" s="64">
        <v>0.1496</v>
      </c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</row>
    <row r="121">
      <c r="A121" s="48" t="s">
        <v>8882</v>
      </c>
      <c r="B121" s="44"/>
      <c r="C121" s="48" t="s">
        <v>8883</v>
      </c>
      <c r="D121" s="44"/>
      <c r="E121" s="48" t="s">
        <v>5978</v>
      </c>
      <c r="F121" s="48" t="s">
        <v>4095</v>
      </c>
      <c r="G121" s="55" t="s">
        <v>96</v>
      </c>
      <c r="H121" s="64">
        <v>0.14788</v>
      </c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</row>
    <row r="122">
      <c r="A122" s="48" t="s">
        <v>4152</v>
      </c>
      <c r="B122" s="44"/>
      <c r="C122" s="48" t="s">
        <v>8884</v>
      </c>
      <c r="D122" s="44"/>
      <c r="E122" s="48" t="s">
        <v>5276</v>
      </c>
      <c r="F122" s="48" t="s">
        <v>5300</v>
      </c>
      <c r="G122" s="55" t="s">
        <v>96</v>
      </c>
      <c r="H122" s="64">
        <v>0.14719</v>
      </c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</row>
    <row r="123">
      <c r="A123" s="48" t="s">
        <v>4179</v>
      </c>
      <c r="B123" s="44"/>
      <c r="C123" s="48" t="s">
        <v>8885</v>
      </c>
      <c r="D123" s="44"/>
      <c r="E123" s="48" t="s">
        <v>5382</v>
      </c>
      <c r="F123" s="48" t="s">
        <v>5300</v>
      </c>
      <c r="G123" s="55" t="s">
        <v>96</v>
      </c>
      <c r="H123" s="64">
        <v>0.14549</v>
      </c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</row>
    <row r="124">
      <c r="A124" s="48" t="s">
        <v>8886</v>
      </c>
      <c r="B124" s="44"/>
      <c r="C124" s="48" t="s">
        <v>8887</v>
      </c>
      <c r="D124" s="44"/>
      <c r="E124" s="48" t="s">
        <v>5450</v>
      </c>
      <c r="F124" s="48" t="s">
        <v>8759</v>
      </c>
      <c r="G124" s="55" t="s">
        <v>96</v>
      </c>
      <c r="H124" s="64">
        <v>0.1454</v>
      </c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</row>
    <row r="125">
      <c r="A125" s="48" t="s">
        <v>8888</v>
      </c>
      <c r="B125" s="44"/>
      <c r="C125" s="48" t="s">
        <v>8889</v>
      </c>
      <c r="D125" s="44"/>
      <c r="E125" s="48" t="s">
        <v>6009</v>
      </c>
      <c r="F125" s="48" t="s">
        <v>5425</v>
      </c>
      <c r="G125" s="55" t="s">
        <v>96</v>
      </c>
      <c r="H125" s="64">
        <v>0.1449</v>
      </c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</row>
    <row r="126">
      <c r="A126" s="48" t="s">
        <v>4171</v>
      </c>
      <c r="B126" s="44"/>
      <c r="C126" s="48" t="s">
        <v>8890</v>
      </c>
      <c r="D126" s="44"/>
      <c r="E126" s="48" t="s">
        <v>5369</v>
      </c>
      <c r="F126" s="48" t="s">
        <v>5300</v>
      </c>
      <c r="G126" s="55" t="s">
        <v>96</v>
      </c>
      <c r="H126" s="64">
        <v>0.14451</v>
      </c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</row>
    <row r="127">
      <c r="A127" s="48" t="s">
        <v>8891</v>
      </c>
      <c r="B127" s="44"/>
      <c r="C127" s="48" t="s">
        <v>8889</v>
      </c>
      <c r="D127" s="44"/>
      <c r="E127" s="48" t="s">
        <v>6009</v>
      </c>
      <c r="F127" s="48" t="s">
        <v>5425</v>
      </c>
      <c r="G127" s="55" t="s">
        <v>96</v>
      </c>
      <c r="H127" s="64">
        <v>0.14422</v>
      </c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</row>
    <row r="128">
      <c r="A128" s="48" t="s">
        <v>4163</v>
      </c>
      <c r="B128" s="44"/>
      <c r="C128" s="48" t="s">
        <v>8892</v>
      </c>
      <c r="D128" s="44"/>
      <c r="E128" s="48" t="s">
        <v>6012</v>
      </c>
      <c r="F128" s="48" t="s">
        <v>5300</v>
      </c>
      <c r="G128" s="55" t="s">
        <v>96</v>
      </c>
      <c r="H128" s="64">
        <v>0.14379</v>
      </c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</row>
    <row r="129">
      <c r="A129" s="48" t="s">
        <v>8817</v>
      </c>
      <c r="B129" s="44"/>
      <c r="C129" s="48" t="s">
        <v>8893</v>
      </c>
      <c r="D129" s="44"/>
      <c r="E129" s="48" t="s">
        <v>5215</v>
      </c>
      <c r="F129" s="48" t="s">
        <v>4436</v>
      </c>
      <c r="G129" s="55" t="s">
        <v>96</v>
      </c>
      <c r="H129" s="64">
        <v>0.14219</v>
      </c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</row>
    <row r="130">
      <c r="A130" s="48" t="s">
        <v>4172</v>
      </c>
      <c r="B130" s="44"/>
      <c r="C130" s="48" t="s">
        <v>8894</v>
      </c>
      <c r="D130" s="44"/>
      <c r="E130" s="48" t="s">
        <v>6090</v>
      </c>
      <c r="F130" s="48" t="s">
        <v>5300</v>
      </c>
      <c r="G130" s="55" t="s">
        <v>96</v>
      </c>
      <c r="H130" s="64">
        <v>0.14124</v>
      </c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</row>
    <row r="131">
      <c r="A131" s="48" t="s">
        <v>8895</v>
      </c>
      <c r="B131" s="44"/>
      <c r="C131" s="48" t="s">
        <v>8896</v>
      </c>
      <c r="D131" s="44"/>
      <c r="E131" s="48" t="s">
        <v>5670</v>
      </c>
      <c r="F131" s="48" t="s">
        <v>5425</v>
      </c>
      <c r="G131" s="55" t="s">
        <v>96</v>
      </c>
      <c r="H131" s="64">
        <v>0.13998</v>
      </c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</row>
    <row r="132">
      <c r="A132" s="48" t="s">
        <v>8897</v>
      </c>
      <c r="B132" s="44"/>
      <c r="C132" s="48" t="s">
        <v>8898</v>
      </c>
      <c r="D132" s="44"/>
      <c r="E132" s="48" t="s">
        <v>5742</v>
      </c>
      <c r="F132" s="48" t="s">
        <v>8784</v>
      </c>
      <c r="G132" s="55" t="s">
        <v>96</v>
      </c>
      <c r="H132" s="64">
        <v>0.13947</v>
      </c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</row>
    <row r="133">
      <c r="A133" s="48" t="s">
        <v>8899</v>
      </c>
      <c r="B133" s="44"/>
      <c r="C133" s="48" t="s">
        <v>8900</v>
      </c>
      <c r="D133" s="44"/>
      <c r="E133" s="48" t="s">
        <v>5215</v>
      </c>
      <c r="F133" s="48" t="s">
        <v>5836</v>
      </c>
      <c r="G133" s="55" t="s">
        <v>96</v>
      </c>
      <c r="H133" s="64">
        <v>0.13837</v>
      </c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</row>
    <row r="134">
      <c r="A134" s="48" t="s">
        <v>4158</v>
      </c>
      <c r="B134" s="44"/>
      <c r="C134" s="48" t="s">
        <v>8901</v>
      </c>
      <c r="D134" s="44"/>
      <c r="E134" s="48" t="s">
        <v>5387</v>
      </c>
      <c r="F134" s="48" t="s">
        <v>5268</v>
      </c>
      <c r="G134" s="55" t="s">
        <v>96</v>
      </c>
      <c r="H134" s="64">
        <v>0.13626</v>
      </c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</row>
    <row r="135">
      <c r="A135" s="48" t="s">
        <v>4164</v>
      </c>
      <c r="B135" s="44"/>
      <c r="C135" s="48" t="s">
        <v>8902</v>
      </c>
      <c r="D135" s="44"/>
      <c r="E135" s="48" t="s">
        <v>5276</v>
      </c>
      <c r="F135" s="48" t="s">
        <v>5300</v>
      </c>
      <c r="G135" s="55" t="s">
        <v>96</v>
      </c>
      <c r="H135" s="64">
        <v>0.13625</v>
      </c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</row>
    <row r="136">
      <c r="A136" s="48" t="s">
        <v>4200</v>
      </c>
      <c r="B136" s="44"/>
      <c r="C136" s="48" t="s">
        <v>8903</v>
      </c>
      <c r="D136" s="44"/>
      <c r="E136" s="48" t="s">
        <v>5232</v>
      </c>
      <c r="F136" s="48" t="s">
        <v>5300</v>
      </c>
      <c r="G136" s="55" t="s">
        <v>96</v>
      </c>
      <c r="H136" s="64">
        <v>0.13592</v>
      </c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</row>
    <row r="137">
      <c r="A137" s="48" t="s">
        <v>4177</v>
      </c>
      <c r="B137" s="44"/>
      <c r="C137" s="48" t="s">
        <v>8904</v>
      </c>
      <c r="D137" s="44"/>
      <c r="E137" s="48" t="s">
        <v>5431</v>
      </c>
      <c r="F137" s="48" t="s">
        <v>5300</v>
      </c>
      <c r="G137" s="55" t="s">
        <v>96</v>
      </c>
      <c r="H137" s="64">
        <v>0.13479</v>
      </c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</row>
    <row r="138">
      <c r="A138" s="48" t="s">
        <v>8905</v>
      </c>
      <c r="B138" s="44"/>
      <c r="C138" s="48" t="s">
        <v>8906</v>
      </c>
      <c r="D138" s="44"/>
      <c r="E138" s="48" t="s">
        <v>5366</v>
      </c>
      <c r="F138" s="48" t="s">
        <v>8784</v>
      </c>
      <c r="G138" s="55" t="s">
        <v>96</v>
      </c>
      <c r="H138" s="64">
        <v>0.1345</v>
      </c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</row>
    <row r="139">
      <c r="A139" s="48" t="s">
        <v>4165</v>
      </c>
      <c r="B139" s="44"/>
      <c r="C139" s="48" t="s">
        <v>8907</v>
      </c>
      <c r="D139" s="44"/>
      <c r="E139" s="48" t="s">
        <v>5229</v>
      </c>
      <c r="F139" s="48" t="s">
        <v>5300</v>
      </c>
      <c r="G139" s="55" t="s">
        <v>96</v>
      </c>
      <c r="H139" s="64">
        <v>0.13376</v>
      </c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</row>
    <row r="140">
      <c r="A140" s="48" t="s">
        <v>4169</v>
      </c>
      <c r="B140" s="44"/>
      <c r="C140" s="48" t="s">
        <v>8908</v>
      </c>
      <c r="D140" s="44"/>
      <c r="E140" s="48" t="s">
        <v>6172</v>
      </c>
      <c r="F140" s="48" t="s">
        <v>5300</v>
      </c>
      <c r="G140" s="55" t="s">
        <v>96</v>
      </c>
      <c r="H140" s="64">
        <v>0.13256</v>
      </c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</row>
    <row r="141">
      <c r="A141" s="48" t="s">
        <v>4316</v>
      </c>
      <c r="B141" s="44"/>
      <c r="C141" s="48" t="s">
        <v>8909</v>
      </c>
      <c r="D141" s="44"/>
      <c r="E141" s="48" t="s">
        <v>5467</v>
      </c>
      <c r="F141" s="48" t="s">
        <v>5747</v>
      </c>
      <c r="G141" s="55" t="s">
        <v>96</v>
      </c>
      <c r="H141" s="64">
        <v>0.13255</v>
      </c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</row>
    <row r="142">
      <c r="A142" s="48" t="s">
        <v>4175</v>
      </c>
      <c r="B142" s="44"/>
      <c r="C142" s="48" t="s">
        <v>8910</v>
      </c>
      <c r="D142" s="44"/>
      <c r="E142" s="48" t="s">
        <v>6009</v>
      </c>
      <c r="F142" s="48" t="s">
        <v>5300</v>
      </c>
      <c r="G142" s="55" t="s">
        <v>96</v>
      </c>
      <c r="H142" s="64">
        <v>0.13132</v>
      </c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</row>
    <row r="143">
      <c r="A143" s="48" t="s">
        <v>4201</v>
      </c>
      <c r="B143" s="44"/>
      <c r="C143" s="48" t="s">
        <v>8911</v>
      </c>
      <c r="D143" s="44"/>
      <c r="E143" s="48" t="s">
        <v>5215</v>
      </c>
      <c r="F143" s="48" t="s">
        <v>5300</v>
      </c>
      <c r="G143" s="55" t="s">
        <v>96</v>
      </c>
      <c r="H143" s="64">
        <v>0.12996</v>
      </c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</row>
    <row r="144">
      <c r="A144" s="48" t="s">
        <v>8912</v>
      </c>
      <c r="B144" s="44"/>
      <c r="C144" s="48" t="s">
        <v>8913</v>
      </c>
      <c r="D144" s="44"/>
      <c r="E144" s="48" t="s">
        <v>5215</v>
      </c>
      <c r="F144" s="48" t="s">
        <v>5836</v>
      </c>
      <c r="G144" s="55" t="s">
        <v>96</v>
      </c>
      <c r="H144" s="64">
        <v>0.128</v>
      </c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</row>
    <row r="145">
      <c r="A145" s="48" t="s">
        <v>8914</v>
      </c>
      <c r="B145" s="44"/>
      <c r="C145" s="48" t="s">
        <v>8915</v>
      </c>
      <c r="D145" s="44"/>
      <c r="E145" s="48" t="s">
        <v>5215</v>
      </c>
      <c r="F145" s="48" t="s">
        <v>8784</v>
      </c>
      <c r="G145" s="55" t="s">
        <v>96</v>
      </c>
      <c r="H145" s="64">
        <v>0.12664</v>
      </c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</row>
    <row r="146">
      <c r="A146" s="48" t="s">
        <v>8916</v>
      </c>
      <c r="B146" s="44"/>
      <c r="C146" s="48" t="s">
        <v>8917</v>
      </c>
      <c r="D146" s="44"/>
      <c r="E146" s="48" t="s">
        <v>5650</v>
      </c>
      <c r="F146" s="48" t="s">
        <v>4095</v>
      </c>
      <c r="G146" s="55" t="s">
        <v>96</v>
      </c>
      <c r="H146" s="64">
        <v>0.12562</v>
      </c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</row>
    <row r="147">
      <c r="A147" s="48" t="s">
        <v>8918</v>
      </c>
      <c r="B147" s="44"/>
      <c r="C147" s="48" t="s">
        <v>8919</v>
      </c>
      <c r="D147" s="44"/>
      <c r="E147" s="48" t="s">
        <v>5218</v>
      </c>
      <c r="F147" s="48" t="s">
        <v>4095</v>
      </c>
      <c r="G147" s="55" t="s">
        <v>96</v>
      </c>
      <c r="H147" s="64">
        <v>0.12429</v>
      </c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</row>
    <row r="148">
      <c r="A148" s="48" t="s">
        <v>4170</v>
      </c>
      <c r="B148" s="44"/>
      <c r="C148" s="48" t="s">
        <v>8920</v>
      </c>
      <c r="D148" s="44"/>
      <c r="E148" s="48" t="s">
        <v>6487</v>
      </c>
      <c r="F148" s="48" t="s">
        <v>5300</v>
      </c>
      <c r="G148" s="55" t="s">
        <v>96</v>
      </c>
      <c r="H148" s="64">
        <v>0.12324</v>
      </c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</row>
    <row r="149">
      <c r="A149" s="48" t="s">
        <v>8921</v>
      </c>
      <c r="B149" s="44"/>
      <c r="C149" s="48" t="s">
        <v>8922</v>
      </c>
      <c r="D149" s="44"/>
      <c r="E149" s="48" t="s">
        <v>5218</v>
      </c>
      <c r="F149" s="48" t="s">
        <v>8784</v>
      </c>
      <c r="G149" s="55" t="s">
        <v>96</v>
      </c>
      <c r="H149" s="64">
        <v>0.12246</v>
      </c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</row>
    <row r="150">
      <c r="A150" s="48" t="s">
        <v>8923</v>
      </c>
      <c r="B150" s="44"/>
      <c r="C150" s="48" t="s">
        <v>8924</v>
      </c>
      <c r="D150" s="44"/>
      <c r="E150" s="48" t="s">
        <v>5759</v>
      </c>
      <c r="F150" s="48" t="s">
        <v>5300</v>
      </c>
      <c r="G150" s="55" t="s">
        <v>96</v>
      </c>
      <c r="H150" s="64">
        <v>0.12211</v>
      </c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</row>
    <row r="151">
      <c r="A151" s="48" t="s">
        <v>8925</v>
      </c>
      <c r="B151" s="44"/>
      <c r="C151" s="48" t="s">
        <v>8926</v>
      </c>
      <c r="D151" s="44"/>
      <c r="E151" s="48" t="s">
        <v>5650</v>
      </c>
      <c r="F151" s="48" t="s">
        <v>5300</v>
      </c>
      <c r="G151" s="55" t="s">
        <v>96</v>
      </c>
      <c r="H151" s="64">
        <v>0.12147</v>
      </c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</row>
    <row r="152">
      <c r="A152" s="48" t="s">
        <v>4182</v>
      </c>
      <c r="B152" s="44"/>
      <c r="C152" s="48" t="s">
        <v>8927</v>
      </c>
      <c r="D152" s="44"/>
      <c r="E152" s="48" t="s">
        <v>5407</v>
      </c>
      <c r="F152" s="48" t="s">
        <v>5300</v>
      </c>
      <c r="G152" s="55" t="s">
        <v>96</v>
      </c>
      <c r="H152" s="64">
        <v>0.12145</v>
      </c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</row>
    <row r="153">
      <c r="A153" s="48" t="s">
        <v>4192</v>
      </c>
      <c r="B153" s="44"/>
      <c r="C153" s="48" t="s">
        <v>8928</v>
      </c>
      <c r="D153" s="44"/>
      <c r="E153" s="48" t="s">
        <v>5650</v>
      </c>
      <c r="F153" s="48" t="s">
        <v>6988</v>
      </c>
      <c r="G153" s="55" t="s">
        <v>96</v>
      </c>
      <c r="H153" s="64">
        <v>0.12134</v>
      </c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</row>
    <row r="154">
      <c r="A154" s="48" t="s">
        <v>4205</v>
      </c>
      <c r="B154" s="44"/>
      <c r="C154" s="48" t="s">
        <v>8929</v>
      </c>
      <c r="D154" s="44"/>
      <c r="E154" s="48" t="s">
        <v>7260</v>
      </c>
      <c r="F154" s="48" t="s">
        <v>5300</v>
      </c>
      <c r="G154" s="55" t="s">
        <v>96</v>
      </c>
      <c r="H154" s="64">
        <v>0.12009</v>
      </c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</row>
    <row r="155">
      <c r="A155" s="48" t="s">
        <v>4174</v>
      </c>
      <c r="B155" s="44"/>
      <c r="C155" s="48" t="s">
        <v>8930</v>
      </c>
      <c r="D155" s="44"/>
      <c r="E155" s="48" t="s">
        <v>5704</v>
      </c>
      <c r="F155" s="48" t="s">
        <v>5300</v>
      </c>
      <c r="G155" s="55" t="s">
        <v>96</v>
      </c>
      <c r="H155" s="64">
        <v>0.11966</v>
      </c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</row>
    <row r="156">
      <c r="A156" s="48" t="s">
        <v>8931</v>
      </c>
      <c r="B156" s="44"/>
      <c r="C156" s="48" t="s">
        <v>8932</v>
      </c>
      <c r="D156" s="44"/>
      <c r="E156" s="48" t="s">
        <v>5326</v>
      </c>
      <c r="F156" s="48" t="s">
        <v>6988</v>
      </c>
      <c r="G156" s="55" t="s">
        <v>96</v>
      </c>
      <c r="H156" s="64">
        <v>0.11965</v>
      </c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</row>
    <row r="157">
      <c r="A157" s="48" t="s">
        <v>4202</v>
      </c>
      <c r="B157" s="44"/>
      <c r="C157" s="48" t="s">
        <v>8933</v>
      </c>
      <c r="D157" s="44"/>
      <c r="E157" s="48" t="s">
        <v>5316</v>
      </c>
      <c r="F157" s="48" t="s">
        <v>5300</v>
      </c>
      <c r="G157" s="55" t="s">
        <v>96</v>
      </c>
      <c r="H157" s="64">
        <v>0.11879</v>
      </c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</row>
    <row r="158">
      <c r="A158" s="48" t="s">
        <v>8934</v>
      </c>
      <c r="B158" s="44"/>
      <c r="C158" s="48" t="s">
        <v>8935</v>
      </c>
      <c r="D158" s="44"/>
      <c r="E158" s="48" t="s">
        <v>5445</v>
      </c>
      <c r="F158" s="48" t="s">
        <v>6988</v>
      </c>
      <c r="G158" s="55" t="s">
        <v>96</v>
      </c>
      <c r="H158" s="64">
        <v>0.11786</v>
      </c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</row>
    <row r="159">
      <c r="A159" s="48" t="s">
        <v>8936</v>
      </c>
      <c r="B159" s="44"/>
      <c r="C159" s="48" t="s">
        <v>8937</v>
      </c>
      <c r="D159" s="44"/>
      <c r="E159" s="48" t="s">
        <v>5374</v>
      </c>
      <c r="F159" s="48" t="s">
        <v>5300</v>
      </c>
      <c r="G159" s="55" t="s">
        <v>96</v>
      </c>
      <c r="H159" s="64">
        <v>0.11737</v>
      </c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</row>
    <row r="160">
      <c r="A160" s="48" t="s">
        <v>4199</v>
      </c>
      <c r="B160" s="44"/>
      <c r="C160" s="48" t="s">
        <v>8938</v>
      </c>
      <c r="D160" s="44"/>
      <c r="E160" s="48" t="s">
        <v>5456</v>
      </c>
      <c r="F160" s="48" t="s">
        <v>5300</v>
      </c>
      <c r="G160" s="55" t="s">
        <v>96</v>
      </c>
      <c r="H160" s="64">
        <v>0.11717</v>
      </c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</row>
    <row r="161">
      <c r="A161" s="48" t="s">
        <v>4214</v>
      </c>
      <c r="B161" s="44"/>
      <c r="C161" s="48" t="s">
        <v>8939</v>
      </c>
      <c r="D161" s="44"/>
      <c r="E161" s="48" t="s">
        <v>5215</v>
      </c>
      <c r="F161" s="48" t="s">
        <v>5300</v>
      </c>
      <c r="G161" s="55" t="s">
        <v>96</v>
      </c>
      <c r="H161" s="64">
        <v>0.11713</v>
      </c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</row>
    <row r="162">
      <c r="A162" s="48" t="s">
        <v>8940</v>
      </c>
      <c r="B162" s="44"/>
      <c r="C162" s="48" t="s">
        <v>8941</v>
      </c>
      <c r="D162" s="44"/>
      <c r="E162" s="48" t="s">
        <v>5229</v>
      </c>
      <c r="F162" s="48" t="s">
        <v>6220</v>
      </c>
      <c r="G162" s="55" t="s">
        <v>96</v>
      </c>
      <c r="H162" s="64">
        <v>0.11659</v>
      </c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</row>
    <row r="163">
      <c r="A163" s="48" t="s">
        <v>8942</v>
      </c>
      <c r="B163" s="44"/>
      <c r="C163" s="48" t="s">
        <v>8943</v>
      </c>
      <c r="D163" s="44"/>
      <c r="E163" s="48" t="s">
        <v>7846</v>
      </c>
      <c r="F163" s="48" t="s">
        <v>5425</v>
      </c>
      <c r="G163" s="55" t="s">
        <v>96</v>
      </c>
      <c r="H163" s="64">
        <v>0.1158</v>
      </c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</row>
    <row r="164">
      <c r="A164" s="48" t="s">
        <v>8944</v>
      </c>
      <c r="B164" s="44"/>
      <c r="C164" s="48" t="s">
        <v>1295</v>
      </c>
      <c r="D164" s="44"/>
      <c r="E164" s="48" t="s">
        <v>6338</v>
      </c>
      <c r="F164" s="48" t="s">
        <v>5747</v>
      </c>
      <c r="G164" s="55" t="s">
        <v>96</v>
      </c>
      <c r="H164" s="64">
        <v>0.11552</v>
      </c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</row>
    <row r="165">
      <c r="A165" s="48" t="s">
        <v>5947</v>
      </c>
      <c r="B165" s="44"/>
      <c r="C165" s="48" t="s">
        <v>5948</v>
      </c>
      <c r="D165" s="44"/>
      <c r="E165" s="48" t="s">
        <v>5650</v>
      </c>
      <c r="F165" s="48" t="s">
        <v>4340</v>
      </c>
      <c r="G165" s="55" t="s">
        <v>96</v>
      </c>
      <c r="H165" s="64">
        <v>0.11482</v>
      </c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</row>
    <row r="166">
      <c r="A166" s="48" t="s">
        <v>8945</v>
      </c>
      <c r="B166" s="44"/>
      <c r="C166" s="48" t="s">
        <v>8946</v>
      </c>
      <c r="D166" s="44"/>
      <c r="E166" s="48" t="s">
        <v>5978</v>
      </c>
      <c r="F166" s="48" t="s">
        <v>8784</v>
      </c>
      <c r="G166" s="55" t="s">
        <v>96</v>
      </c>
      <c r="H166" s="64">
        <v>0.11138</v>
      </c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</row>
    <row r="167">
      <c r="A167" s="48" t="s">
        <v>4234</v>
      </c>
      <c r="B167" s="44"/>
      <c r="C167" s="48" t="s">
        <v>8947</v>
      </c>
      <c r="D167" s="44"/>
      <c r="E167" s="48" t="s">
        <v>5650</v>
      </c>
      <c r="F167" s="48" t="s">
        <v>5300</v>
      </c>
      <c r="G167" s="55" t="s">
        <v>96</v>
      </c>
      <c r="H167" s="64">
        <v>0.11065</v>
      </c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</row>
    <row r="168">
      <c r="A168" s="48" t="s">
        <v>4263</v>
      </c>
      <c r="B168" s="44"/>
      <c r="C168" s="48" t="s">
        <v>8948</v>
      </c>
      <c r="D168" s="44"/>
      <c r="E168" s="48" t="s">
        <v>5276</v>
      </c>
      <c r="F168" s="48" t="s">
        <v>5300</v>
      </c>
      <c r="G168" s="55" t="s">
        <v>96</v>
      </c>
      <c r="H168" s="64">
        <v>0.11012</v>
      </c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</row>
    <row r="169">
      <c r="A169" s="48" t="s">
        <v>4213</v>
      </c>
      <c r="B169" s="44"/>
      <c r="C169" s="48" t="s">
        <v>8949</v>
      </c>
      <c r="D169" s="44"/>
      <c r="E169" s="48" t="s">
        <v>5978</v>
      </c>
      <c r="F169" s="48" t="s">
        <v>5300</v>
      </c>
      <c r="G169" s="55" t="s">
        <v>96</v>
      </c>
      <c r="H169" s="64">
        <v>0.1096</v>
      </c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</row>
    <row r="170">
      <c r="A170" s="48" t="s">
        <v>4216</v>
      </c>
      <c r="B170" s="44"/>
      <c r="C170" s="48" t="s">
        <v>8950</v>
      </c>
      <c r="D170" s="44"/>
      <c r="E170" s="48" t="s">
        <v>8951</v>
      </c>
      <c r="F170" s="48" t="s">
        <v>5300</v>
      </c>
      <c r="G170" s="55" t="s">
        <v>96</v>
      </c>
      <c r="H170" s="64">
        <v>0.10858</v>
      </c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</row>
    <row r="171">
      <c r="A171" s="48" t="s">
        <v>4237</v>
      </c>
      <c r="B171" s="44"/>
      <c r="C171" s="48" t="s">
        <v>8952</v>
      </c>
      <c r="D171" s="44"/>
      <c r="E171" s="48" t="s">
        <v>5467</v>
      </c>
      <c r="F171" s="48" t="s">
        <v>5300</v>
      </c>
      <c r="G171" s="55" t="s">
        <v>96</v>
      </c>
      <c r="H171" s="64">
        <v>0.10764</v>
      </c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</row>
    <row r="172">
      <c r="A172" s="48" t="s">
        <v>8953</v>
      </c>
      <c r="B172" s="44"/>
      <c r="C172" s="48" t="s">
        <v>8954</v>
      </c>
      <c r="D172" s="44"/>
      <c r="E172" s="48" t="s">
        <v>5215</v>
      </c>
      <c r="F172" s="48" t="s">
        <v>6988</v>
      </c>
      <c r="G172" s="55" t="s">
        <v>96</v>
      </c>
      <c r="H172" s="64">
        <v>0.10763</v>
      </c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</row>
    <row r="173">
      <c r="A173" s="48" t="s">
        <v>8955</v>
      </c>
      <c r="B173" s="44"/>
      <c r="C173" s="48" t="s">
        <v>8956</v>
      </c>
      <c r="D173" s="44"/>
      <c r="E173" s="48" t="s">
        <v>6172</v>
      </c>
      <c r="F173" s="48" t="s">
        <v>4095</v>
      </c>
      <c r="G173" s="55" t="s">
        <v>96</v>
      </c>
      <c r="H173" s="64">
        <v>0.10691</v>
      </c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</row>
    <row r="174">
      <c r="A174" s="48" t="s">
        <v>8957</v>
      </c>
      <c r="B174" s="44"/>
      <c r="C174" s="48" t="s">
        <v>8958</v>
      </c>
      <c r="D174" s="44"/>
      <c r="E174" s="48" t="s">
        <v>5235</v>
      </c>
      <c r="F174" s="48" t="s">
        <v>8784</v>
      </c>
      <c r="G174" s="55" t="s">
        <v>96</v>
      </c>
      <c r="H174" s="64">
        <v>0.10681</v>
      </c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</row>
    <row r="175">
      <c r="A175" s="48" t="s">
        <v>4209</v>
      </c>
      <c r="B175" s="44"/>
      <c r="C175" s="48" t="s">
        <v>8959</v>
      </c>
      <c r="D175" s="44"/>
      <c r="E175" s="48" t="s">
        <v>6266</v>
      </c>
      <c r="F175" s="48" t="s">
        <v>5300</v>
      </c>
      <c r="G175" s="55" t="s">
        <v>96</v>
      </c>
      <c r="H175" s="64">
        <v>0.10548</v>
      </c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</row>
    <row r="176">
      <c r="A176" s="48" t="s">
        <v>8960</v>
      </c>
      <c r="B176" s="44"/>
      <c r="C176" s="48" t="s">
        <v>8961</v>
      </c>
      <c r="D176" s="44"/>
      <c r="E176" s="48" t="s">
        <v>5215</v>
      </c>
      <c r="F176" s="48" t="s">
        <v>4357</v>
      </c>
      <c r="G176" s="55" t="s">
        <v>96</v>
      </c>
      <c r="H176" s="64">
        <v>0.10271</v>
      </c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</row>
    <row r="177">
      <c r="A177" s="48" t="s">
        <v>8962</v>
      </c>
      <c r="B177" s="44"/>
      <c r="C177" s="48" t="s">
        <v>8963</v>
      </c>
      <c r="D177" s="44"/>
      <c r="E177" s="48" t="s">
        <v>5964</v>
      </c>
      <c r="F177" s="48" t="s">
        <v>8784</v>
      </c>
      <c r="G177" s="55" t="s">
        <v>96</v>
      </c>
      <c r="H177" s="64">
        <v>0.10261</v>
      </c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</row>
    <row r="178">
      <c r="A178" s="48" t="s">
        <v>8964</v>
      </c>
      <c r="B178" s="44"/>
      <c r="C178" s="48" t="s">
        <v>8965</v>
      </c>
      <c r="D178" s="44"/>
      <c r="E178" s="48" t="s">
        <v>5218</v>
      </c>
      <c r="F178" s="48" t="s">
        <v>8784</v>
      </c>
      <c r="G178" s="55" t="s">
        <v>96</v>
      </c>
      <c r="H178" s="64">
        <v>0.10178</v>
      </c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</row>
    <row r="179">
      <c r="A179" s="48" t="s">
        <v>4275</v>
      </c>
      <c r="B179" s="44"/>
      <c r="C179" s="48" t="s">
        <v>8966</v>
      </c>
      <c r="D179" s="44"/>
      <c r="E179" s="48" t="s">
        <v>5283</v>
      </c>
      <c r="F179" s="48" t="s">
        <v>5300</v>
      </c>
      <c r="G179" s="55" t="s">
        <v>96</v>
      </c>
      <c r="H179" s="64">
        <v>0.10163</v>
      </c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</row>
    <row r="180">
      <c r="A180" s="48" t="s">
        <v>7078</v>
      </c>
      <c r="B180" s="44"/>
      <c r="C180" s="48" t="s">
        <v>8967</v>
      </c>
      <c r="D180" s="44"/>
      <c r="E180" s="48" t="s">
        <v>5335</v>
      </c>
      <c r="F180" s="48" t="s">
        <v>8784</v>
      </c>
      <c r="G180" s="55" t="s">
        <v>96</v>
      </c>
      <c r="H180" s="64">
        <v>0.1016</v>
      </c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</row>
    <row r="181">
      <c r="A181" s="48" t="s">
        <v>8968</v>
      </c>
      <c r="B181" s="44"/>
      <c r="C181" s="48" t="s">
        <v>8969</v>
      </c>
      <c r="D181" s="44"/>
      <c r="E181" s="48" t="s">
        <v>5215</v>
      </c>
      <c r="F181" s="48" t="s">
        <v>5941</v>
      </c>
      <c r="G181" s="55" t="s">
        <v>96</v>
      </c>
      <c r="H181" s="64">
        <v>0.10145</v>
      </c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</row>
    <row r="182">
      <c r="A182" s="48" t="s">
        <v>8970</v>
      </c>
      <c r="B182" s="44"/>
      <c r="C182" s="48" t="s">
        <v>8971</v>
      </c>
      <c r="D182" s="44"/>
      <c r="E182" s="48" t="s">
        <v>7260</v>
      </c>
      <c r="F182" s="48" t="s">
        <v>5425</v>
      </c>
      <c r="G182" s="55" t="s">
        <v>96</v>
      </c>
      <c r="H182" s="64">
        <v>0.10133</v>
      </c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</row>
    <row r="183">
      <c r="A183" s="48" t="s">
        <v>4283</v>
      </c>
      <c r="B183" s="44"/>
      <c r="C183" s="48" t="s">
        <v>8972</v>
      </c>
      <c r="D183" s="44"/>
      <c r="E183" s="48" t="s">
        <v>8230</v>
      </c>
      <c r="F183" s="48" t="s">
        <v>5268</v>
      </c>
      <c r="G183" s="55" t="s">
        <v>96</v>
      </c>
      <c r="H183" s="64">
        <v>0.10083</v>
      </c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</row>
    <row r="184">
      <c r="A184" s="48" t="s">
        <v>8973</v>
      </c>
      <c r="B184" s="44"/>
      <c r="C184" s="48" t="s">
        <v>8974</v>
      </c>
      <c r="D184" s="44"/>
      <c r="E184" s="48" t="s">
        <v>5215</v>
      </c>
      <c r="F184" s="48" t="s">
        <v>4436</v>
      </c>
      <c r="G184" s="55" t="s">
        <v>96</v>
      </c>
      <c r="H184" s="64">
        <v>0.09962</v>
      </c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</row>
    <row r="185">
      <c r="A185" s="48" t="s">
        <v>8975</v>
      </c>
      <c r="B185" s="44"/>
      <c r="C185" s="48" t="s">
        <v>8976</v>
      </c>
      <c r="D185" s="44"/>
      <c r="E185" s="48" t="s">
        <v>7222</v>
      </c>
      <c r="F185" s="48" t="s">
        <v>5425</v>
      </c>
      <c r="G185" s="55" t="s">
        <v>96</v>
      </c>
      <c r="H185" s="64">
        <v>0.09949</v>
      </c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</row>
    <row r="186">
      <c r="A186" s="48" t="s">
        <v>4254</v>
      </c>
      <c r="B186" s="44"/>
      <c r="C186" s="48" t="s">
        <v>8977</v>
      </c>
      <c r="D186" s="44"/>
      <c r="E186" s="48" t="s">
        <v>8851</v>
      </c>
      <c r="F186" s="48" t="s">
        <v>5300</v>
      </c>
      <c r="G186" s="55" t="s">
        <v>96</v>
      </c>
      <c r="H186" s="64">
        <v>0.09948</v>
      </c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</row>
    <row r="187">
      <c r="A187" s="48" t="s">
        <v>4221</v>
      </c>
      <c r="B187" s="44"/>
      <c r="C187" s="48" t="s">
        <v>8978</v>
      </c>
      <c r="D187" s="44"/>
      <c r="E187" s="48" t="s">
        <v>5691</v>
      </c>
      <c r="F187" s="48" t="s">
        <v>5300</v>
      </c>
      <c r="G187" s="55" t="s">
        <v>96</v>
      </c>
      <c r="H187" s="64">
        <v>0.09929</v>
      </c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</row>
    <row r="188">
      <c r="A188" s="48" t="s">
        <v>8979</v>
      </c>
      <c r="B188" s="44"/>
      <c r="C188" s="48" t="s">
        <v>8980</v>
      </c>
      <c r="D188" s="44"/>
      <c r="E188" s="48" t="s">
        <v>5276</v>
      </c>
      <c r="F188" s="48" t="s">
        <v>5300</v>
      </c>
      <c r="G188" s="55" t="s">
        <v>96</v>
      </c>
      <c r="H188" s="64">
        <v>0.09841</v>
      </c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</row>
    <row r="189">
      <c r="A189" s="48" t="s">
        <v>4248</v>
      </c>
      <c r="B189" s="44"/>
      <c r="C189" s="48" t="s">
        <v>8981</v>
      </c>
      <c r="D189" s="44"/>
      <c r="E189" s="48" t="s">
        <v>5550</v>
      </c>
      <c r="F189" s="48" t="s">
        <v>5300</v>
      </c>
      <c r="G189" s="55" t="s">
        <v>96</v>
      </c>
      <c r="H189" s="64">
        <v>0.09806</v>
      </c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</row>
    <row r="190">
      <c r="A190" s="48" t="s">
        <v>8982</v>
      </c>
      <c r="B190" s="44"/>
      <c r="C190" s="48" t="s">
        <v>8983</v>
      </c>
      <c r="D190" s="44"/>
      <c r="E190" s="48" t="s">
        <v>5235</v>
      </c>
      <c r="F190" s="48" t="s">
        <v>8784</v>
      </c>
      <c r="G190" s="55" t="s">
        <v>96</v>
      </c>
      <c r="H190" s="64">
        <v>0.09694</v>
      </c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</row>
    <row r="191">
      <c r="A191" s="48" t="s">
        <v>4250</v>
      </c>
      <c r="B191" s="44"/>
      <c r="C191" s="48" t="s">
        <v>8984</v>
      </c>
      <c r="D191" s="44"/>
      <c r="E191" s="48" t="s">
        <v>5650</v>
      </c>
      <c r="F191" s="48" t="s">
        <v>5300</v>
      </c>
      <c r="G191" s="55" t="s">
        <v>96</v>
      </c>
      <c r="H191" s="64">
        <v>0.0969</v>
      </c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</row>
    <row r="192">
      <c r="A192" s="48" t="s">
        <v>4211</v>
      </c>
      <c r="B192" s="44"/>
      <c r="C192" s="48" t="s">
        <v>8985</v>
      </c>
      <c r="D192" s="44"/>
      <c r="E192" s="48" t="s">
        <v>5387</v>
      </c>
      <c r="F192" s="48" t="s">
        <v>5300</v>
      </c>
      <c r="G192" s="55" t="s">
        <v>96</v>
      </c>
      <c r="H192" s="64">
        <v>0.09676</v>
      </c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</row>
    <row r="193">
      <c r="A193" s="48" t="s">
        <v>8986</v>
      </c>
      <c r="B193" s="44"/>
      <c r="C193" s="48" t="s">
        <v>8987</v>
      </c>
      <c r="D193" s="44"/>
      <c r="E193" s="48" t="s">
        <v>5326</v>
      </c>
      <c r="F193" s="48" t="s">
        <v>5836</v>
      </c>
      <c r="G193" s="55" t="s">
        <v>96</v>
      </c>
      <c r="H193" s="64">
        <v>0.09666</v>
      </c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</row>
    <row r="194">
      <c r="A194" s="48" t="s">
        <v>8988</v>
      </c>
      <c r="B194" s="44"/>
      <c r="C194" s="48" t="s">
        <v>5444</v>
      </c>
      <c r="D194" s="44"/>
      <c r="E194" s="48" t="s">
        <v>5445</v>
      </c>
      <c r="F194" s="48" t="s">
        <v>5300</v>
      </c>
      <c r="G194" s="55" t="s">
        <v>96</v>
      </c>
      <c r="H194" s="64">
        <v>0.09641</v>
      </c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</row>
    <row r="195">
      <c r="A195" s="48" t="s">
        <v>4227</v>
      </c>
      <c r="B195" s="44"/>
      <c r="C195" s="48" t="s">
        <v>8989</v>
      </c>
      <c r="D195" s="44"/>
      <c r="E195" s="48" t="s">
        <v>7169</v>
      </c>
      <c r="F195" s="48" t="s">
        <v>5300</v>
      </c>
      <c r="G195" s="55" t="s">
        <v>96</v>
      </c>
      <c r="H195" s="64">
        <v>0.09636</v>
      </c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</row>
    <row r="196">
      <c r="A196" s="48" t="s">
        <v>8990</v>
      </c>
      <c r="B196" s="44"/>
      <c r="C196" s="48" t="s">
        <v>8991</v>
      </c>
      <c r="D196" s="44"/>
      <c r="E196" s="48" t="s">
        <v>5682</v>
      </c>
      <c r="F196" s="48" t="s">
        <v>5268</v>
      </c>
      <c r="G196" s="55" t="s">
        <v>96</v>
      </c>
      <c r="H196" s="64">
        <v>0.09621</v>
      </c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</row>
    <row r="197">
      <c r="A197" s="48" t="s">
        <v>4241</v>
      </c>
      <c r="B197" s="44"/>
      <c r="C197" s="48" t="s">
        <v>8992</v>
      </c>
      <c r="D197" s="44"/>
      <c r="E197" s="48" t="s">
        <v>5404</v>
      </c>
      <c r="F197" s="48" t="s">
        <v>5300</v>
      </c>
      <c r="G197" s="55" t="s">
        <v>96</v>
      </c>
      <c r="H197" s="64">
        <v>0.09598</v>
      </c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</row>
    <row r="198">
      <c r="A198" s="48" t="s">
        <v>4219</v>
      </c>
      <c r="B198" s="44"/>
      <c r="C198" s="48" t="s">
        <v>8993</v>
      </c>
      <c r="D198" s="44"/>
      <c r="E198" s="48" t="s">
        <v>5407</v>
      </c>
      <c r="F198" s="48" t="s">
        <v>5300</v>
      </c>
      <c r="G198" s="55" t="s">
        <v>96</v>
      </c>
      <c r="H198" s="64">
        <v>0.09548</v>
      </c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</row>
    <row r="199">
      <c r="A199" s="48" t="s">
        <v>8994</v>
      </c>
      <c r="B199" s="44"/>
      <c r="C199" s="48" t="s">
        <v>8995</v>
      </c>
      <c r="D199" s="44"/>
      <c r="E199" s="48" t="s">
        <v>5478</v>
      </c>
      <c r="F199" s="48" t="s">
        <v>8759</v>
      </c>
      <c r="G199" s="55" t="s">
        <v>96</v>
      </c>
      <c r="H199" s="64">
        <v>0.09538</v>
      </c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</row>
    <row r="200">
      <c r="A200" s="48" t="s">
        <v>4228</v>
      </c>
      <c r="B200" s="44"/>
      <c r="C200" s="48" t="s">
        <v>8996</v>
      </c>
      <c r="D200" s="44"/>
      <c r="E200" s="48" t="s">
        <v>5276</v>
      </c>
      <c r="F200" s="48" t="s">
        <v>5300</v>
      </c>
      <c r="G200" s="55" t="s">
        <v>96</v>
      </c>
      <c r="H200" s="64">
        <v>0.09516</v>
      </c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</row>
    <row r="201">
      <c r="A201" s="48" t="s">
        <v>8997</v>
      </c>
      <c r="B201" s="44"/>
      <c r="C201" s="48" t="s">
        <v>8998</v>
      </c>
      <c r="D201" s="44"/>
      <c r="E201" s="48" t="s">
        <v>5215</v>
      </c>
      <c r="F201" s="48" t="s">
        <v>8784</v>
      </c>
      <c r="G201" s="55" t="s">
        <v>96</v>
      </c>
      <c r="H201" s="64">
        <v>0.09508</v>
      </c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</row>
    <row r="202">
      <c r="A202" s="48" t="s">
        <v>4246</v>
      </c>
      <c r="B202" s="44"/>
      <c r="C202" s="48" t="s">
        <v>8999</v>
      </c>
      <c r="D202" s="44"/>
      <c r="E202" s="48" t="s">
        <v>6009</v>
      </c>
      <c r="F202" s="48" t="s">
        <v>5300</v>
      </c>
      <c r="G202" s="55" t="s">
        <v>96</v>
      </c>
      <c r="H202" s="64">
        <v>0.09493</v>
      </c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</row>
    <row r="203">
      <c r="A203" s="48" t="s">
        <v>4281</v>
      </c>
      <c r="B203" s="44"/>
      <c r="C203" s="48" t="s">
        <v>9000</v>
      </c>
      <c r="D203" s="44"/>
      <c r="E203" s="48" t="s">
        <v>5283</v>
      </c>
      <c r="F203" s="48" t="s">
        <v>5300</v>
      </c>
      <c r="G203" s="55" t="s">
        <v>96</v>
      </c>
      <c r="H203" s="64">
        <v>0.09461</v>
      </c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</row>
    <row r="204">
      <c r="A204" s="48" t="s">
        <v>4242</v>
      </c>
      <c r="B204" s="44"/>
      <c r="C204" s="48" t="s">
        <v>9001</v>
      </c>
      <c r="D204" s="44"/>
      <c r="E204" s="48" t="s">
        <v>5473</v>
      </c>
      <c r="F204" s="48" t="s">
        <v>5300</v>
      </c>
      <c r="G204" s="55" t="s">
        <v>96</v>
      </c>
      <c r="H204" s="64">
        <v>0.09377</v>
      </c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</row>
    <row r="205">
      <c r="A205" s="48" t="s">
        <v>4218</v>
      </c>
      <c r="B205" s="44"/>
      <c r="C205" s="48" t="s">
        <v>9002</v>
      </c>
      <c r="D205" s="44"/>
      <c r="E205" s="48" t="s">
        <v>8951</v>
      </c>
      <c r="F205" s="48" t="s">
        <v>5268</v>
      </c>
      <c r="G205" s="55" t="s">
        <v>96</v>
      </c>
      <c r="H205" s="64">
        <v>0.09342</v>
      </c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</row>
    <row r="206">
      <c r="A206" s="48" t="s">
        <v>4230</v>
      </c>
      <c r="B206" s="44"/>
      <c r="C206" s="48" t="s">
        <v>9003</v>
      </c>
      <c r="D206" s="44"/>
      <c r="E206" s="48" t="s">
        <v>6338</v>
      </c>
      <c r="F206" s="48" t="s">
        <v>5300</v>
      </c>
      <c r="G206" s="55" t="s">
        <v>96</v>
      </c>
      <c r="H206" s="64">
        <v>0.09262</v>
      </c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</row>
    <row r="207">
      <c r="A207" s="48" t="s">
        <v>9004</v>
      </c>
      <c r="B207" s="44"/>
      <c r="C207" s="48" t="s">
        <v>9005</v>
      </c>
      <c r="D207" s="44"/>
      <c r="E207" s="48" t="s">
        <v>5215</v>
      </c>
      <c r="F207" s="48" t="s">
        <v>4357</v>
      </c>
      <c r="G207" s="55" t="s">
        <v>96</v>
      </c>
      <c r="H207" s="64">
        <v>0.09259</v>
      </c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</row>
    <row r="208">
      <c r="A208" s="48" t="s">
        <v>4256</v>
      </c>
      <c r="B208" s="44"/>
      <c r="C208" s="48" t="s">
        <v>9006</v>
      </c>
      <c r="D208" s="44"/>
      <c r="E208" s="48" t="s">
        <v>6040</v>
      </c>
      <c r="F208" s="48" t="s">
        <v>5300</v>
      </c>
      <c r="G208" s="55" t="s">
        <v>96</v>
      </c>
      <c r="H208" s="64">
        <v>0.09251</v>
      </c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</row>
    <row r="209">
      <c r="A209" s="48" t="s">
        <v>9007</v>
      </c>
      <c r="B209" s="44"/>
      <c r="C209" s="48" t="s">
        <v>9008</v>
      </c>
      <c r="D209" s="44"/>
      <c r="E209" s="48" t="s">
        <v>5467</v>
      </c>
      <c r="F209" s="48" t="s">
        <v>8759</v>
      </c>
      <c r="G209" s="55" t="s">
        <v>96</v>
      </c>
      <c r="H209" s="64">
        <v>0.09237</v>
      </c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</row>
    <row r="210">
      <c r="A210" s="48" t="s">
        <v>4272</v>
      </c>
      <c r="B210" s="44"/>
      <c r="C210" s="48" t="s">
        <v>9009</v>
      </c>
      <c r="D210" s="44"/>
      <c r="E210" s="48" t="s">
        <v>5434</v>
      </c>
      <c r="F210" s="48" t="s">
        <v>5300</v>
      </c>
      <c r="G210" s="55" t="s">
        <v>96</v>
      </c>
      <c r="H210" s="64">
        <v>0.09223</v>
      </c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</row>
    <row r="211">
      <c r="A211" s="48" t="s">
        <v>4268</v>
      </c>
      <c r="B211" s="44"/>
      <c r="C211" s="48" t="s">
        <v>9010</v>
      </c>
      <c r="D211" s="44"/>
      <c r="E211" s="48" t="s">
        <v>5215</v>
      </c>
      <c r="F211" s="48" t="s">
        <v>5300</v>
      </c>
      <c r="G211" s="55" t="s">
        <v>96</v>
      </c>
      <c r="H211" s="64">
        <v>0.09175</v>
      </c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</row>
    <row r="212">
      <c r="A212" s="48" t="s">
        <v>4289</v>
      </c>
      <c r="B212" s="44"/>
      <c r="C212" s="48" t="s">
        <v>9011</v>
      </c>
      <c r="D212" s="44"/>
      <c r="E212" s="48" t="s">
        <v>5291</v>
      </c>
      <c r="F212" s="48" t="s">
        <v>5300</v>
      </c>
      <c r="G212" s="55" t="s">
        <v>96</v>
      </c>
      <c r="H212" s="64">
        <v>0.09134</v>
      </c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</row>
    <row r="213">
      <c r="A213" s="48" t="s">
        <v>4224</v>
      </c>
      <c r="B213" s="44"/>
      <c r="C213" s="48" t="s">
        <v>9012</v>
      </c>
      <c r="D213" s="44"/>
      <c r="E213" s="48" t="s">
        <v>7476</v>
      </c>
      <c r="F213" s="48" t="s">
        <v>5300</v>
      </c>
      <c r="G213" s="55" t="s">
        <v>96</v>
      </c>
      <c r="H213" s="64">
        <v>0.09108</v>
      </c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</row>
    <row r="214">
      <c r="A214" s="48" t="s">
        <v>4276</v>
      </c>
      <c r="B214" s="44"/>
      <c r="C214" s="48" t="s">
        <v>9013</v>
      </c>
      <c r="D214" s="44"/>
      <c r="E214" s="48" t="s">
        <v>5445</v>
      </c>
      <c r="F214" s="48" t="s">
        <v>5300</v>
      </c>
      <c r="G214" s="55" t="s">
        <v>96</v>
      </c>
      <c r="H214" s="64">
        <v>0.09098</v>
      </c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</row>
    <row r="215">
      <c r="A215" s="48" t="s">
        <v>4257</v>
      </c>
      <c r="B215" s="44"/>
      <c r="C215" s="48" t="s">
        <v>9014</v>
      </c>
      <c r="D215" s="44"/>
      <c r="E215" s="48" t="s">
        <v>5246</v>
      </c>
      <c r="F215" s="48" t="s">
        <v>5300</v>
      </c>
      <c r="G215" s="55" t="s">
        <v>96</v>
      </c>
      <c r="H215" s="64">
        <v>0.09096</v>
      </c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</row>
    <row r="216">
      <c r="A216" s="48" t="s">
        <v>4238</v>
      </c>
      <c r="B216" s="44"/>
      <c r="C216" s="48" t="s">
        <v>9015</v>
      </c>
      <c r="D216" s="44"/>
      <c r="E216" s="48" t="s">
        <v>5271</v>
      </c>
      <c r="F216" s="48" t="s">
        <v>5300</v>
      </c>
      <c r="G216" s="55" t="s">
        <v>96</v>
      </c>
      <c r="H216" s="64">
        <v>0.09095</v>
      </c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</row>
    <row r="217">
      <c r="A217" s="48" t="s">
        <v>4285</v>
      </c>
      <c r="B217" s="44"/>
      <c r="C217" s="48" t="s">
        <v>9016</v>
      </c>
      <c r="D217" s="44"/>
      <c r="E217" s="48" t="s">
        <v>5589</v>
      </c>
      <c r="F217" s="48" t="s">
        <v>5300</v>
      </c>
      <c r="G217" s="55" t="s">
        <v>96</v>
      </c>
      <c r="H217" s="64">
        <v>0.08925</v>
      </c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</row>
    <row r="218">
      <c r="A218" s="48" t="s">
        <v>9017</v>
      </c>
      <c r="B218" s="44"/>
      <c r="C218" s="48" t="s">
        <v>9018</v>
      </c>
      <c r="D218" s="44"/>
      <c r="E218" s="48" t="s">
        <v>6115</v>
      </c>
      <c r="F218" s="48" t="s">
        <v>5300</v>
      </c>
      <c r="G218" s="55" t="s">
        <v>96</v>
      </c>
      <c r="H218" s="64">
        <v>0.08909</v>
      </c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</row>
    <row r="219">
      <c r="A219" s="48" t="s">
        <v>9019</v>
      </c>
      <c r="B219" s="44"/>
      <c r="C219" s="48" t="s">
        <v>9020</v>
      </c>
      <c r="D219" s="44"/>
      <c r="E219" s="48" t="s">
        <v>5296</v>
      </c>
      <c r="F219" s="48" t="s">
        <v>9021</v>
      </c>
      <c r="G219" s="55" t="s">
        <v>96</v>
      </c>
      <c r="H219" s="64">
        <v>0.08901</v>
      </c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</row>
    <row r="220">
      <c r="A220" s="48" t="s">
        <v>9022</v>
      </c>
      <c r="B220" s="44"/>
      <c r="C220" s="48" t="s">
        <v>9023</v>
      </c>
      <c r="D220" s="44"/>
      <c r="E220" s="48" t="s">
        <v>5261</v>
      </c>
      <c r="F220" s="48" t="s">
        <v>8784</v>
      </c>
      <c r="G220" s="55" t="s">
        <v>96</v>
      </c>
      <c r="H220" s="64">
        <v>0.08891</v>
      </c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</row>
    <row r="221">
      <c r="A221" s="48" t="s">
        <v>4245</v>
      </c>
      <c r="B221" s="44"/>
      <c r="C221" s="48" t="s">
        <v>9024</v>
      </c>
      <c r="D221" s="44"/>
      <c r="E221" s="48" t="s">
        <v>7260</v>
      </c>
      <c r="F221" s="48" t="s">
        <v>5300</v>
      </c>
      <c r="G221" s="55" t="s">
        <v>96</v>
      </c>
      <c r="H221" s="64">
        <v>0.08844</v>
      </c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</row>
    <row r="222">
      <c r="A222" s="48" t="s">
        <v>9025</v>
      </c>
      <c r="B222" s="44"/>
      <c r="C222" s="48" t="s">
        <v>9026</v>
      </c>
      <c r="D222" s="44"/>
      <c r="E222" s="48" t="s">
        <v>5450</v>
      </c>
      <c r="F222" s="48" t="s">
        <v>5300</v>
      </c>
      <c r="G222" s="55" t="s">
        <v>96</v>
      </c>
      <c r="H222" s="64">
        <v>0.08834</v>
      </c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</row>
    <row r="223">
      <c r="A223" s="48" t="s">
        <v>4269</v>
      </c>
      <c r="B223" s="44"/>
      <c r="C223" s="48" t="s">
        <v>9027</v>
      </c>
      <c r="D223" s="44"/>
      <c r="E223" s="48" t="s">
        <v>5395</v>
      </c>
      <c r="F223" s="48" t="s">
        <v>5300</v>
      </c>
      <c r="G223" s="55" t="s">
        <v>96</v>
      </c>
      <c r="H223" s="64">
        <v>0.08826</v>
      </c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</row>
    <row r="224">
      <c r="A224" s="48" t="s">
        <v>9028</v>
      </c>
      <c r="B224" s="44"/>
      <c r="C224" s="48" t="s">
        <v>9029</v>
      </c>
      <c r="D224" s="44"/>
      <c r="E224" s="48" t="s">
        <v>6115</v>
      </c>
      <c r="F224" s="48" t="s">
        <v>5747</v>
      </c>
      <c r="G224" s="55" t="s">
        <v>96</v>
      </c>
      <c r="H224" s="64">
        <v>0.0882</v>
      </c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</row>
    <row r="225">
      <c r="A225" s="48" t="s">
        <v>9030</v>
      </c>
      <c r="B225" s="44"/>
      <c r="C225" s="48" t="s">
        <v>9031</v>
      </c>
      <c r="D225" s="44"/>
      <c r="E225" s="48" t="s">
        <v>5715</v>
      </c>
      <c r="F225" s="48" t="s">
        <v>5300</v>
      </c>
      <c r="G225" s="55" t="s">
        <v>96</v>
      </c>
      <c r="H225" s="64">
        <v>0.08758</v>
      </c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</row>
    <row r="226">
      <c r="A226" s="48" t="s">
        <v>9032</v>
      </c>
      <c r="B226" s="44"/>
      <c r="C226" s="48" t="s">
        <v>9033</v>
      </c>
      <c r="D226" s="44"/>
      <c r="E226" s="48" t="s">
        <v>5516</v>
      </c>
      <c r="F226" s="48" t="s">
        <v>4436</v>
      </c>
      <c r="G226" s="55" t="s">
        <v>96</v>
      </c>
      <c r="H226" s="64">
        <v>0.08756</v>
      </c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</row>
    <row r="227">
      <c r="A227" s="48" t="s">
        <v>4244</v>
      </c>
      <c r="B227" s="44"/>
      <c r="C227" s="48" t="s">
        <v>9034</v>
      </c>
      <c r="D227" s="44"/>
      <c r="E227" s="48" t="s">
        <v>5609</v>
      </c>
      <c r="F227" s="48" t="s">
        <v>5300</v>
      </c>
      <c r="G227" s="55" t="s">
        <v>96</v>
      </c>
      <c r="H227" s="64">
        <v>0.08721</v>
      </c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</row>
    <row r="228">
      <c r="A228" s="48" t="s">
        <v>9035</v>
      </c>
      <c r="B228" s="44"/>
      <c r="C228" s="48" t="s">
        <v>9036</v>
      </c>
      <c r="D228" s="44"/>
      <c r="E228" s="48" t="s">
        <v>5467</v>
      </c>
      <c r="F228" s="48" t="s">
        <v>8784</v>
      </c>
      <c r="G228" s="55" t="s">
        <v>96</v>
      </c>
      <c r="H228" s="64">
        <v>0.08699</v>
      </c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</row>
    <row r="229">
      <c r="A229" s="48" t="s">
        <v>4316</v>
      </c>
      <c r="B229" s="44"/>
      <c r="C229" s="48" t="s">
        <v>9037</v>
      </c>
      <c r="D229" s="44"/>
      <c r="E229" s="48" t="s">
        <v>6801</v>
      </c>
      <c r="F229" s="48" t="s">
        <v>5300</v>
      </c>
      <c r="G229" s="55" t="s">
        <v>96</v>
      </c>
      <c r="H229" s="64">
        <v>0.08687</v>
      </c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</row>
    <row r="230">
      <c r="A230" s="48" t="s">
        <v>4280</v>
      </c>
      <c r="B230" s="44"/>
      <c r="C230" s="48" t="s">
        <v>9038</v>
      </c>
      <c r="D230" s="44"/>
      <c r="E230" s="48" t="s">
        <v>9039</v>
      </c>
      <c r="F230" s="48" t="s">
        <v>5300</v>
      </c>
      <c r="G230" s="55" t="s">
        <v>96</v>
      </c>
      <c r="H230" s="64">
        <v>0.08669</v>
      </c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</row>
    <row r="231">
      <c r="A231" s="48" t="s">
        <v>4309</v>
      </c>
      <c r="B231" s="44"/>
      <c r="C231" s="48" t="s">
        <v>9040</v>
      </c>
      <c r="D231" s="44"/>
      <c r="E231" s="48" t="s">
        <v>5478</v>
      </c>
      <c r="F231" s="48" t="s">
        <v>5300</v>
      </c>
      <c r="G231" s="55" t="s">
        <v>96</v>
      </c>
      <c r="H231" s="64">
        <v>0.08659</v>
      </c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</row>
    <row r="232">
      <c r="A232" s="48" t="s">
        <v>9041</v>
      </c>
      <c r="B232" s="44"/>
      <c r="C232" s="48" t="s">
        <v>9042</v>
      </c>
      <c r="D232" s="44"/>
      <c r="E232" s="48" t="s">
        <v>5215</v>
      </c>
      <c r="F232" s="48" t="s">
        <v>4153</v>
      </c>
      <c r="G232" s="55" t="s">
        <v>96</v>
      </c>
      <c r="H232" s="64">
        <v>0.08632</v>
      </c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</row>
    <row r="233">
      <c r="A233" s="48" t="s">
        <v>4291</v>
      </c>
      <c r="B233" s="44"/>
      <c r="C233" s="48" t="s">
        <v>9043</v>
      </c>
      <c r="D233" s="44"/>
      <c r="E233" s="48" t="s">
        <v>5291</v>
      </c>
      <c r="F233" s="48" t="s">
        <v>5300</v>
      </c>
      <c r="G233" s="55" t="s">
        <v>96</v>
      </c>
      <c r="H233" s="64">
        <v>0.0863</v>
      </c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</row>
    <row r="234">
      <c r="A234" s="48" t="s">
        <v>5973</v>
      </c>
      <c r="B234" s="44"/>
      <c r="C234" s="48" t="s">
        <v>5929</v>
      </c>
      <c r="D234" s="44"/>
      <c r="E234" s="48" t="s">
        <v>5691</v>
      </c>
      <c r="F234" s="48" t="s">
        <v>4340</v>
      </c>
      <c r="G234" s="55" t="s">
        <v>96</v>
      </c>
      <c r="H234" s="64">
        <v>0.08626</v>
      </c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</row>
    <row r="235">
      <c r="A235" s="48" t="s">
        <v>4274</v>
      </c>
      <c r="B235" s="44"/>
      <c r="C235" s="48" t="s">
        <v>9044</v>
      </c>
      <c r="D235" s="44"/>
      <c r="E235" s="48" t="s">
        <v>5478</v>
      </c>
      <c r="F235" s="48" t="s">
        <v>5300</v>
      </c>
      <c r="G235" s="55" t="s">
        <v>96</v>
      </c>
      <c r="H235" s="64">
        <v>0.08556</v>
      </c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</row>
    <row r="236">
      <c r="A236" s="48" t="s">
        <v>4282</v>
      </c>
      <c r="B236" s="44"/>
      <c r="C236" s="48" t="s">
        <v>9045</v>
      </c>
      <c r="D236" s="44"/>
      <c r="E236" s="48" t="s">
        <v>5775</v>
      </c>
      <c r="F236" s="48" t="s">
        <v>5300</v>
      </c>
      <c r="G236" s="55" t="s">
        <v>96</v>
      </c>
      <c r="H236" s="64">
        <v>0.08554</v>
      </c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</row>
    <row r="237">
      <c r="A237" s="48" t="s">
        <v>9046</v>
      </c>
      <c r="B237" s="44"/>
      <c r="C237" s="48" t="s">
        <v>9047</v>
      </c>
      <c r="D237" s="44"/>
      <c r="E237" s="48" t="s">
        <v>5215</v>
      </c>
      <c r="F237" s="48" t="s">
        <v>5836</v>
      </c>
      <c r="G237" s="55" t="s">
        <v>96</v>
      </c>
      <c r="H237" s="64">
        <v>0.08511</v>
      </c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</row>
    <row r="238">
      <c r="A238" s="48" t="s">
        <v>4261</v>
      </c>
      <c r="B238" s="44"/>
      <c r="C238" s="48" t="s">
        <v>9048</v>
      </c>
      <c r="D238" s="44"/>
      <c r="E238" s="48" t="s">
        <v>5261</v>
      </c>
      <c r="F238" s="48" t="s">
        <v>5300</v>
      </c>
      <c r="G238" s="55" t="s">
        <v>96</v>
      </c>
      <c r="H238" s="64">
        <v>0.08499</v>
      </c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</row>
    <row r="239">
      <c r="A239" s="48" t="s">
        <v>9049</v>
      </c>
      <c r="B239" s="44"/>
      <c r="C239" s="48" t="s">
        <v>9050</v>
      </c>
      <c r="D239" s="44"/>
      <c r="E239" s="48" t="s">
        <v>5276</v>
      </c>
      <c r="F239" s="48" t="s">
        <v>5836</v>
      </c>
      <c r="G239" s="55" t="s">
        <v>96</v>
      </c>
      <c r="H239" s="64">
        <v>0.08457</v>
      </c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</row>
    <row r="240">
      <c r="A240" s="48" t="s">
        <v>4253</v>
      </c>
      <c r="B240" s="44"/>
      <c r="C240" s="48" t="s">
        <v>9051</v>
      </c>
      <c r="D240" s="44"/>
      <c r="E240" s="48" t="s">
        <v>6266</v>
      </c>
      <c r="F240" s="48" t="s">
        <v>5300</v>
      </c>
      <c r="G240" s="55" t="s">
        <v>96</v>
      </c>
      <c r="H240" s="64">
        <v>0.08442</v>
      </c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</row>
    <row r="241">
      <c r="A241" s="48" t="s">
        <v>4306</v>
      </c>
      <c r="B241" s="44"/>
      <c r="C241" s="48" t="s">
        <v>9052</v>
      </c>
      <c r="D241" s="44"/>
      <c r="E241" s="48" t="s">
        <v>5238</v>
      </c>
      <c r="F241" s="48" t="s">
        <v>5300</v>
      </c>
      <c r="G241" s="55" t="s">
        <v>96</v>
      </c>
      <c r="H241" s="64">
        <v>0.08421</v>
      </c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</row>
    <row r="242">
      <c r="A242" s="48" t="s">
        <v>4220</v>
      </c>
      <c r="B242" s="44"/>
      <c r="C242" s="48" t="s">
        <v>9053</v>
      </c>
      <c r="D242" s="44"/>
      <c r="E242" s="48" t="s">
        <v>5691</v>
      </c>
      <c r="F242" s="48" t="s">
        <v>5300</v>
      </c>
      <c r="G242" s="55" t="s">
        <v>96</v>
      </c>
      <c r="H242" s="64">
        <v>0.08346</v>
      </c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</row>
    <row r="243">
      <c r="A243" s="48" t="s">
        <v>9054</v>
      </c>
      <c r="B243" s="44"/>
      <c r="C243" s="48" t="s">
        <v>9055</v>
      </c>
      <c r="D243" s="44"/>
      <c r="E243" s="48" t="s">
        <v>5450</v>
      </c>
      <c r="F243" s="48" t="s">
        <v>5300</v>
      </c>
      <c r="G243" s="55" t="s">
        <v>96</v>
      </c>
      <c r="H243" s="64">
        <v>0.08327</v>
      </c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</row>
    <row r="244">
      <c r="A244" s="48" t="s">
        <v>9056</v>
      </c>
      <c r="B244" s="44"/>
      <c r="C244" s="48" t="s">
        <v>9057</v>
      </c>
      <c r="D244" s="44"/>
      <c r="E244" s="48" t="s">
        <v>5434</v>
      </c>
      <c r="F244" s="48" t="s">
        <v>5747</v>
      </c>
      <c r="G244" s="55" t="s">
        <v>96</v>
      </c>
      <c r="H244" s="64">
        <v>0.08285</v>
      </c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</row>
    <row r="245">
      <c r="A245" s="48" t="s">
        <v>4255</v>
      </c>
      <c r="B245" s="44"/>
      <c r="C245" s="48" t="s">
        <v>9058</v>
      </c>
      <c r="D245" s="44"/>
      <c r="E245" s="48" t="s">
        <v>5271</v>
      </c>
      <c r="F245" s="48" t="s">
        <v>5300</v>
      </c>
      <c r="G245" s="55" t="s">
        <v>96</v>
      </c>
      <c r="H245" s="64">
        <v>0.08285</v>
      </c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</row>
    <row r="246">
      <c r="A246" s="48" t="s">
        <v>6260</v>
      </c>
      <c r="B246" s="44"/>
      <c r="C246" s="48" t="s">
        <v>9059</v>
      </c>
      <c r="D246" s="44"/>
      <c r="E246" s="48" t="s">
        <v>6801</v>
      </c>
      <c r="F246" s="48" t="s">
        <v>5747</v>
      </c>
      <c r="G246" s="55" t="s">
        <v>96</v>
      </c>
      <c r="H246" s="64">
        <v>0.08279</v>
      </c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</row>
    <row r="247">
      <c r="A247" s="48" t="s">
        <v>4273</v>
      </c>
      <c r="B247" s="44"/>
      <c r="C247" s="48" t="s">
        <v>9060</v>
      </c>
      <c r="D247" s="44"/>
      <c r="E247" s="48" t="s">
        <v>6487</v>
      </c>
      <c r="F247" s="48" t="s">
        <v>5300</v>
      </c>
      <c r="G247" s="55" t="s">
        <v>96</v>
      </c>
      <c r="H247" s="64">
        <v>0.0823</v>
      </c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</row>
    <row r="248">
      <c r="A248" s="48" t="s">
        <v>4348</v>
      </c>
      <c r="B248" s="44"/>
      <c r="C248" s="48" t="s">
        <v>9061</v>
      </c>
      <c r="D248" s="44"/>
      <c r="E248" s="48" t="s">
        <v>5964</v>
      </c>
      <c r="F248" s="48" t="s">
        <v>5300</v>
      </c>
      <c r="G248" s="55" t="s">
        <v>96</v>
      </c>
      <c r="H248" s="64">
        <v>0.08212</v>
      </c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</row>
    <row r="249">
      <c r="A249" s="48" t="s">
        <v>9062</v>
      </c>
      <c r="B249" s="44"/>
      <c r="C249" s="48" t="s">
        <v>9063</v>
      </c>
      <c r="D249" s="44"/>
      <c r="E249" s="48" t="s">
        <v>5271</v>
      </c>
      <c r="F249" s="48" t="s">
        <v>5836</v>
      </c>
      <c r="G249" s="55" t="s">
        <v>96</v>
      </c>
      <c r="H249" s="64">
        <v>0.082</v>
      </c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</row>
    <row r="250">
      <c r="A250" s="48" t="s">
        <v>4304</v>
      </c>
      <c r="B250" s="44"/>
      <c r="C250" s="48" t="s">
        <v>9064</v>
      </c>
      <c r="D250" s="44"/>
      <c r="E250" s="48" t="s">
        <v>5296</v>
      </c>
      <c r="F250" s="48" t="s">
        <v>5300</v>
      </c>
      <c r="G250" s="55" t="s">
        <v>96</v>
      </c>
      <c r="H250" s="64">
        <v>0.08165</v>
      </c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</row>
    <row r="251">
      <c r="A251" s="48" t="s">
        <v>9065</v>
      </c>
      <c r="B251" s="44"/>
      <c r="C251" s="48" t="s">
        <v>9066</v>
      </c>
      <c r="D251" s="44"/>
      <c r="E251" s="48" t="s">
        <v>5215</v>
      </c>
      <c r="F251" s="48" t="s">
        <v>5425</v>
      </c>
      <c r="G251" s="55" t="s">
        <v>96</v>
      </c>
      <c r="H251" s="64">
        <v>0.08162</v>
      </c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</row>
    <row r="252">
      <c r="A252" s="48" t="s">
        <v>9067</v>
      </c>
      <c r="B252" s="44"/>
      <c r="C252" s="48" t="s">
        <v>9068</v>
      </c>
      <c r="D252" s="44"/>
      <c r="E252" s="48" t="s">
        <v>5516</v>
      </c>
      <c r="F252" s="48" t="s">
        <v>8784</v>
      </c>
      <c r="G252" s="55" t="s">
        <v>96</v>
      </c>
      <c r="H252" s="64">
        <v>0.0815</v>
      </c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</row>
    <row r="253">
      <c r="A253" s="48" t="s">
        <v>4312</v>
      </c>
      <c r="B253" s="44"/>
      <c r="C253" s="48" t="s">
        <v>9069</v>
      </c>
      <c r="D253" s="44"/>
      <c r="E253" s="48" t="s">
        <v>6130</v>
      </c>
      <c r="F253" s="48" t="s">
        <v>5300</v>
      </c>
      <c r="G253" s="55" t="s">
        <v>96</v>
      </c>
      <c r="H253" s="64">
        <v>0.08143</v>
      </c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</row>
    <row r="254">
      <c r="A254" s="48" t="s">
        <v>4318</v>
      </c>
      <c r="B254" s="44"/>
      <c r="C254" s="48" t="s">
        <v>9070</v>
      </c>
      <c r="D254" s="44"/>
      <c r="E254" s="48" t="s">
        <v>8230</v>
      </c>
      <c r="F254" s="48" t="s">
        <v>5300</v>
      </c>
      <c r="G254" s="55" t="s">
        <v>96</v>
      </c>
      <c r="H254" s="64">
        <v>0.08069</v>
      </c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</row>
    <row r="255">
      <c r="A255" s="48" t="s">
        <v>4295</v>
      </c>
      <c r="B255" s="44"/>
      <c r="C255" s="48" t="s">
        <v>9071</v>
      </c>
      <c r="D255" s="44"/>
      <c r="E255" s="48" t="s">
        <v>5456</v>
      </c>
      <c r="F255" s="48" t="s">
        <v>5300</v>
      </c>
      <c r="G255" s="55" t="s">
        <v>96</v>
      </c>
      <c r="H255" s="64">
        <v>0.08051</v>
      </c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</row>
    <row r="256">
      <c r="A256" s="48" t="s">
        <v>4264</v>
      </c>
      <c r="B256" s="44"/>
      <c r="C256" s="48" t="s">
        <v>9072</v>
      </c>
      <c r="D256" s="44"/>
      <c r="E256" s="48" t="s">
        <v>5516</v>
      </c>
      <c r="F256" s="48" t="s">
        <v>5300</v>
      </c>
      <c r="G256" s="55" t="s">
        <v>96</v>
      </c>
      <c r="H256" s="64">
        <v>0.0796</v>
      </c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</row>
    <row r="257">
      <c r="A257" s="48" t="s">
        <v>9073</v>
      </c>
      <c r="B257" s="44"/>
      <c r="C257" s="48" t="s">
        <v>9074</v>
      </c>
      <c r="D257" s="44"/>
      <c r="E257" s="48" t="s">
        <v>5978</v>
      </c>
      <c r="F257" s="48" t="s">
        <v>6988</v>
      </c>
      <c r="G257" s="55" t="s">
        <v>96</v>
      </c>
      <c r="H257" s="64">
        <v>0.07949</v>
      </c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</row>
    <row r="258">
      <c r="A258" s="48" t="s">
        <v>4298</v>
      </c>
      <c r="B258" s="44"/>
      <c r="C258" s="48" t="s">
        <v>9075</v>
      </c>
      <c r="D258" s="44"/>
      <c r="E258" s="48" t="s">
        <v>5271</v>
      </c>
      <c r="F258" s="48" t="s">
        <v>5425</v>
      </c>
      <c r="G258" s="55" t="s">
        <v>96</v>
      </c>
      <c r="H258" s="64">
        <v>0.07921</v>
      </c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</row>
    <row r="259">
      <c r="A259" s="48" t="s">
        <v>4266</v>
      </c>
      <c r="B259" s="44"/>
      <c r="C259" s="48" t="s">
        <v>9076</v>
      </c>
      <c r="D259" s="44"/>
      <c r="E259" s="48" t="s">
        <v>5759</v>
      </c>
      <c r="F259" s="48" t="s">
        <v>5300</v>
      </c>
      <c r="G259" s="55" t="s">
        <v>96</v>
      </c>
      <c r="H259" s="64">
        <v>0.07906</v>
      </c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</row>
    <row r="260">
      <c r="A260" s="48" t="s">
        <v>4314</v>
      </c>
      <c r="B260" s="44"/>
      <c r="C260" s="48" t="s">
        <v>9077</v>
      </c>
      <c r="D260" s="44"/>
      <c r="E260" s="48" t="s">
        <v>5445</v>
      </c>
      <c r="F260" s="48" t="s">
        <v>5300</v>
      </c>
      <c r="G260" s="55" t="s">
        <v>96</v>
      </c>
      <c r="H260" s="64">
        <v>0.07849</v>
      </c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</row>
    <row r="261">
      <c r="A261" s="48" t="s">
        <v>4389</v>
      </c>
      <c r="B261" s="44"/>
      <c r="C261" s="48" t="s">
        <v>9078</v>
      </c>
      <c r="D261" s="44"/>
      <c r="E261" s="48" t="s">
        <v>5232</v>
      </c>
      <c r="F261" s="48" t="s">
        <v>5300</v>
      </c>
      <c r="G261" s="55" t="s">
        <v>96</v>
      </c>
      <c r="H261" s="64">
        <v>0.07786</v>
      </c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</row>
    <row r="262">
      <c r="A262" s="48" t="s">
        <v>4313</v>
      </c>
      <c r="B262" s="44"/>
      <c r="C262" s="48" t="s">
        <v>9079</v>
      </c>
      <c r="D262" s="44"/>
      <c r="E262" s="48" t="s">
        <v>5283</v>
      </c>
      <c r="F262" s="48" t="s">
        <v>5300</v>
      </c>
      <c r="G262" s="55" t="s">
        <v>96</v>
      </c>
      <c r="H262" s="64">
        <v>0.07774</v>
      </c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</row>
    <row r="263">
      <c r="A263" s="48" t="s">
        <v>4302</v>
      </c>
      <c r="B263" s="44"/>
      <c r="C263" s="48" t="s">
        <v>9080</v>
      </c>
      <c r="D263" s="44"/>
      <c r="E263" s="48" t="s">
        <v>6389</v>
      </c>
      <c r="F263" s="48" t="s">
        <v>5300</v>
      </c>
      <c r="G263" s="55" t="s">
        <v>96</v>
      </c>
      <c r="H263" s="64">
        <v>0.0776</v>
      </c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</row>
    <row r="264">
      <c r="A264" s="48" t="s">
        <v>9081</v>
      </c>
      <c r="B264" s="44"/>
      <c r="C264" s="48" t="s">
        <v>9082</v>
      </c>
      <c r="D264" s="44"/>
      <c r="E264" s="48" t="s">
        <v>8110</v>
      </c>
      <c r="F264" s="48" t="s">
        <v>8784</v>
      </c>
      <c r="G264" s="55" t="s">
        <v>96</v>
      </c>
      <c r="H264" s="64">
        <v>0.07748</v>
      </c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</row>
    <row r="265">
      <c r="A265" s="48" t="s">
        <v>9083</v>
      </c>
      <c r="B265" s="44"/>
      <c r="C265" s="48" t="s">
        <v>9084</v>
      </c>
      <c r="D265" s="44"/>
      <c r="E265" s="48" t="s">
        <v>5276</v>
      </c>
      <c r="F265" s="48" t="s">
        <v>5300</v>
      </c>
      <c r="G265" s="55" t="s">
        <v>96</v>
      </c>
      <c r="H265" s="64">
        <v>0.07742</v>
      </c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</row>
    <row r="266">
      <c r="A266" s="48" t="s">
        <v>4286</v>
      </c>
      <c r="B266" s="44"/>
      <c r="C266" s="48" t="s">
        <v>9085</v>
      </c>
      <c r="D266" s="44"/>
      <c r="E266" s="48" t="s">
        <v>5675</v>
      </c>
      <c r="F266" s="48" t="s">
        <v>5300</v>
      </c>
      <c r="G266" s="55" t="s">
        <v>96</v>
      </c>
      <c r="H266" s="64">
        <v>0.07682</v>
      </c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</row>
    <row r="267">
      <c r="A267" s="48" t="s">
        <v>9086</v>
      </c>
      <c r="B267" s="44"/>
      <c r="C267" s="48" t="s">
        <v>9087</v>
      </c>
      <c r="D267" s="44"/>
      <c r="E267" s="48" t="s">
        <v>5215</v>
      </c>
      <c r="F267" s="48" t="s">
        <v>5941</v>
      </c>
      <c r="G267" s="55" t="s">
        <v>96</v>
      </c>
      <c r="H267" s="64">
        <v>0.07682</v>
      </c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</row>
    <row r="268">
      <c r="A268" s="48" t="s">
        <v>9088</v>
      </c>
      <c r="B268" s="44"/>
      <c r="C268" s="48" t="s">
        <v>9089</v>
      </c>
      <c r="D268" s="44"/>
      <c r="E268" s="48" t="s">
        <v>5229</v>
      </c>
      <c r="F268" s="48" t="s">
        <v>4095</v>
      </c>
      <c r="G268" s="55" t="s">
        <v>96</v>
      </c>
      <c r="H268" s="64">
        <v>0.07671</v>
      </c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</row>
    <row r="269">
      <c r="A269" s="48" t="s">
        <v>9090</v>
      </c>
      <c r="B269" s="44"/>
      <c r="C269" s="48" t="s">
        <v>9091</v>
      </c>
      <c r="D269" s="44"/>
      <c r="E269" s="48" t="s">
        <v>5422</v>
      </c>
      <c r="F269" s="48" t="s">
        <v>9021</v>
      </c>
      <c r="G269" s="55" t="s">
        <v>96</v>
      </c>
      <c r="H269" s="64">
        <v>0.07614</v>
      </c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</row>
    <row r="270">
      <c r="A270" s="48" t="s">
        <v>9092</v>
      </c>
      <c r="B270" s="44"/>
      <c r="C270" s="48" t="s">
        <v>9093</v>
      </c>
      <c r="D270" s="44"/>
      <c r="E270" s="48" t="s">
        <v>5382</v>
      </c>
      <c r="F270" s="48" t="s">
        <v>5836</v>
      </c>
      <c r="G270" s="55" t="s">
        <v>96</v>
      </c>
      <c r="H270" s="64">
        <v>0.07606</v>
      </c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</row>
    <row r="271">
      <c r="A271" s="48" t="s">
        <v>9094</v>
      </c>
      <c r="B271" s="44"/>
      <c r="C271" s="48" t="s">
        <v>9095</v>
      </c>
      <c r="D271" s="44"/>
      <c r="E271" s="48" t="s">
        <v>5650</v>
      </c>
      <c r="F271" s="48" t="s">
        <v>6988</v>
      </c>
      <c r="G271" s="55" t="s">
        <v>96</v>
      </c>
      <c r="H271" s="64">
        <v>0.07524</v>
      </c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</row>
    <row r="272">
      <c r="A272" s="48" t="s">
        <v>4326</v>
      </c>
      <c r="B272" s="44"/>
      <c r="C272" s="48" t="s">
        <v>9096</v>
      </c>
      <c r="D272" s="44"/>
      <c r="E272" s="48" t="s">
        <v>5348</v>
      </c>
      <c r="F272" s="48" t="s">
        <v>5300</v>
      </c>
      <c r="G272" s="55" t="s">
        <v>96</v>
      </c>
      <c r="H272" s="64">
        <v>0.07492</v>
      </c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</row>
    <row r="273">
      <c r="A273" s="48" t="s">
        <v>4307</v>
      </c>
      <c r="B273" s="44"/>
      <c r="C273" s="48" t="s">
        <v>9097</v>
      </c>
      <c r="D273" s="44"/>
      <c r="E273" s="48" t="s">
        <v>5229</v>
      </c>
      <c r="F273" s="48" t="s">
        <v>5300</v>
      </c>
      <c r="G273" s="55" t="s">
        <v>96</v>
      </c>
      <c r="H273" s="64">
        <v>0.07462</v>
      </c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</row>
    <row r="274">
      <c r="A274" s="48" t="s">
        <v>9098</v>
      </c>
      <c r="B274" s="44"/>
      <c r="C274" s="48" t="s">
        <v>9099</v>
      </c>
      <c r="D274" s="44"/>
      <c r="E274" s="48" t="s">
        <v>5276</v>
      </c>
      <c r="F274" s="48" t="s">
        <v>5300</v>
      </c>
      <c r="G274" s="55" t="s">
        <v>96</v>
      </c>
      <c r="H274" s="64">
        <v>0.07448</v>
      </c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</row>
    <row r="275">
      <c r="A275" s="48" t="s">
        <v>4300</v>
      </c>
      <c r="B275" s="44"/>
      <c r="C275" s="48" t="s">
        <v>9100</v>
      </c>
      <c r="D275" s="44"/>
      <c r="E275" s="48" t="s">
        <v>5374</v>
      </c>
      <c r="F275" s="48" t="s">
        <v>5300</v>
      </c>
      <c r="G275" s="55" t="s">
        <v>96</v>
      </c>
      <c r="H275" s="64">
        <v>0.0744</v>
      </c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</row>
    <row r="276">
      <c r="A276" s="48" t="s">
        <v>9101</v>
      </c>
      <c r="B276" s="44"/>
      <c r="C276" s="48" t="s">
        <v>1707</v>
      </c>
      <c r="D276" s="44"/>
      <c r="E276" s="48" t="s">
        <v>5241</v>
      </c>
      <c r="F276" s="48" t="s">
        <v>8767</v>
      </c>
      <c r="G276" s="55" t="s">
        <v>96</v>
      </c>
      <c r="H276" s="64">
        <v>0.07366</v>
      </c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</row>
    <row r="277">
      <c r="A277" s="48" t="s">
        <v>9102</v>
      </c>
      <c r="B277" s="44"/>
      <c r="C277" s="48" t="s">
        <v>9103</v>
      </c>
      <c r="D277" s="44"/>
      <c r="E277" s="48" t="s">
        <v>5961</v>
      </c>
      <c r="F277" s="48" t="s">
        <v>8784</v>
      </c>
      <c r="G277" s="55" t="s">
        <v>96</v>
      </c>
      <c r="H277" s="64">
        <v>0.07358</v>
      </c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</row>
    <row r="278">
      <c r="A278" s="48" t="s">
        <v>9104</v>
      </c>
      <c r="B278" s="44"/>
      <c r="C278" s="48" t="s">
        <v>9105</v>
      </c>
      <c r="D278" s="44"/>
      <c r="E278" s="48" t="s">
        <v>5395</v>
      </c>
      <c r="F278" s="48" t="s">
        <v>5329</v>
      </c>
      <c r="G278" s="55" t="s">
        <v>96</v>
      </c>
      <c r="H278" s="64">
        <v>0.0733</v>
      </c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</row>
    <row r="279">
      <c r="A279" s="48" t="s">
        <v>9106</v>
      </c>
      <c r="B279" s="44"/>
      <c r="C279" s="48" t="s">
        <v>9107</v>
      </c>
      <c r="D279" s="44"/>
      <c r="E279" s="48" t="s">
        <v>5276</v>
      </c>
      <c r="F279" s="48" t="s">
        <v>5300</v>
      </c>
      <c r="G279" s="55" t="s">
        <v>96</v>
      </c>
      <c r="H279" s="64">
        <v>0.07281</v>
      </c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</row>
    <row r="280">
      <c r="A280" s="48" t="s">
        <v>9108</v>
      </c>
      <c r="B280" s="44"/>
      <c r="C280" s="48" t="s">
        <v>9109</v>
      </c>
      <c r="D280" s="44"/>
      <c r="E280" s="48" t="s">
        <v>5404</v>
      </c>
      <c r="F280" s="48" t="s">
        <v>5329</v>
      </c>
      <c r="G280" s="55" t="s">
        <v>96</v>
      </c>
      <c r="H280" s="64">
        <v>0.07265</v>
      </c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</row>
    <row r="281">
      <c r="A281" s="48" t="s">
        <v>4298</v>
      </c>
      <c r="B281" s="44"/>
      <c r="C281" s="48" t="s">
        <v>9110</v>
      </c>
      <c r="D281" s="44"/>
      <c r="E281" s="48" t="s">
        <v>5271</v>
      </c>
      <c r="F281" s="48" t="s">
        <v>5300</v>
      </c>
      <c r="G281" s="55" t="s">
        <v>96</v>
      </c>
      <c r="H281" s="64">
        <v>0.07219</v>
      </c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</row>
    <row r="282">
      <c r="A282" s="48" t="s">
        <v>9111</v>
      </c>
      <c r="B282" s="44"/>
      <c r="C282" s="48" t="s">
        <v>9112</v>
      </c>
      <c r="D282" s="44"/>
      <c r="E282" s="48" t="s">
        <v>5238</v>
      </c>
      <c r="F282" s="48" t="s">
        <v>6988</v>
      </c>
      <c r="G282" s="55" t="s">
        <v>96</v>
      </c>
      <c r="H282" s="64">
        <v>0.07206</v>
      </c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</row>
    <row r="283">
      <c r="A283" s="48" t="s">
        <v>4411</v>
      </c>
      <c r="B283" s="44"/>
      <c r="C283" s="48" t="s">
        <v>5299</v>
      </c>
      <c r="D283" s="44"/>
      <c r="E283" s="48" t="s">
        <v>5283</v>
      </c>
      <c r="F283" s="48" t="s">
        <v>5300</v>
      </c>
      <c r="G283" s="55" t="s">
        <v>96</v>
      </c>
      <c r="H283" s="64">
        <v>0.07066</v>
      </c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</row>
    <row r="284">
      <c r="A284" s="48" t="s">
        <v>9113</v>
      </c>
      <c r="B284" s="44"/>
      <c r="C284" s="48" t="s">
        <v>9114</v>
      </c>
      <c r="D284" s="44"/>
      <c r="E284" s="48" t="s">
        <v>5525</v>
      </c>
      <c r="F284" s="48" t="s">
        <v>5836</v>
      </c>
      <c r="G284" s="55" t="s">
        <v>96</v>
      </c>
      <c r="H284" s="64">
        <v>0.07061</v>
      </c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</row>
    <row r="285">
      <c r="A285" s="48" t="s">
        <v>4344</v>
      </c>
      <c r="B285" s="44"/>
      <c r="C285" s="48" t="s">
        <v>9115</v>
      </c>
      <c r="D285" s="44"/>
      <c r="E285" s="48" t="s">
        <v>5258</v>
      </c>
      <c r="F285" s="48" t="s">
        <v>5300</v>
      </c>
      <c r="G285" s="55" t="s">
        <v>96</v>
      </c>
      <c r="H285" s="64">
        <v>0.07037</v>
      </c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</row>
    <row r="286">
      <c r="A286" s="48" t="s">
        <v>4334</v>
      </c>
      <c r="B286" s="44"/>
      <c r="C286" s="48" t="s">
        <v>9116</v>
      </c>
      <c r="D286" s="44"/>
      <c r="E286" s="48" t="s">
        <v>5434</v>
      </c>
      <c r="F286" s="48" t="s">
        <v>5300</v>
      </c>
      <c r="G286" s="55" t="s">
        <v>96</v>
      </c>
      <c r="H286" s="64">
        <v>0.0702</v>
      </c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</row>
    <row r="287">
      <c r="A287" s="48" t="s">
        <v>4322</v>
      </c>
      <c r="B287" s="44"/>
      <c r="C287" s="48" t="s">
        <v>9117</v>
      </c>
      <c r="D287" s="44"/>
      <c r="E287" s="48" t="s">
        <v>6729</v>
      </c>
      <c r="F287" s="48" t="s">
        <v>5300</v>
      </c>
      <c r="G287" s="55" t="s">
        <v>96</v>
      </c>
      <c r="H287" s="64">
        <v>0.07013</v>
      </c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</row>
    <row r="288">
      <c r="A288" s="48" t="s">
        <v>4294</v>
      </c>
      <c r="B288" s="44"/>
      <c r="C288" s="48" t="s">
        <v>9118</v>
      </c>
      <c r="D288" s="44"/>
      <c r="E288" s="48" t="s">
        <v>5395</v>
      </c>
      <c r="F288" s="48" t="s">
        <v>5300</v>
      </c>
      <c r="G288" s="55" t="s">
        <v>96</v>
      </c>
      <c r="H288" s="64">
        <v>0.07013</v>
      </c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</row>
    <row r="289">
      <c r="A289" s="48" t="s">
        <v>6864</v>
      </c>
      <c r="B289" s="44"/>
      <c r="C289" s="48" t="s">
        <v>9119</v>
      </c>
      <c r="D289" s="44"/>
      <c r="E289" s="48" t="s">
        <v>5374</v>
      </c>
      <c r="F289" s="48" t="s">
        <v>4436</v>
      </c>
      <c r="G289" s="55" t="s">
        <v>96</v>
      </c>
      <c r="H289" s="64">
        <v>0.0699</v>
      </c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</row>
    <row r="290">
      <c r="A290" s="48" t="s">
        <v>9120</v>
      </c>
      <c r="B290" s="44"/>
      <c r="C290" s="48" t="s">
        <v>9121</v>
      </c>
      <c r="D290" s="44"/>
      <c r="E290" s="48" t="s">
        <v>5855</v>
      </c>
      <c r="F290" s="48" t="s">
        <v>8784</v>
      </c>
      <c r="G290" s="55" t="s">
        <v>96</v>
      </c>
      <c r="H290" s="64">
        <v>0.06971</v>
      </c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</row>
    <row r="291">
      <c r="A291" s="48" t="s">
        <v>9122</v>
      </c>
      <c r="B291" s="44"/>
      <c r="C291" s="48" t="s">
        <v>9123</v>
      </c>
      <c r="D291" s="44"/>
      <c r="E291" s="48" t="s">
        <v>6947</v>
      </c>
      <c r="F291" s="48" t="s">
        <v>4095</v>
      </c>
      <c r="G291" s="55" t="s">
        <v>96</v>
      </c>
      <c r="H291" s="64">
        <v>0.06963</v>
      </c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</row>
    <row r="292">
      <c r="A292" s="48" t="s">
        <v>9124</v>
      </c>
      <c r="B292" s="44"/>
      <c r="C292" s="48" t="s">
        <v>9125</v>
      </c>
      <c r="D292" s="44"/>
      <c r="E292" s="48" t="s">
        <v>5978</v>
      </c>
      <c r="F292" s="48" t="s">
        <v>4095</v>
      </c>
      <c r="G292" s="55" t="s">
        <v>96</v>
      </c>
      <c r="H292" s="64">
        <v>0.06947</v>
      </c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</row>
    <row r="293">
      <c r="A293" s="48" t="s">
        <v>9126</v>
      </c>
      <c r="B293" s="44"/>
      <c r="C293" s="48" t="s">
        <v>9127</v>
      </c>
      <c r="D293" s="44"/>
      <c r="E293" s="48" t="s">
        <v>5235</v>
      </c>
      <c r="F293" s="48" t="s">
        <v>8784</v>
      </c>
      <c r="G293" s="55" t="s">
        <v>96</v>
      </c>
      <c r="H293" s="64">
        <v>0.06913</v>
      </c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</row>
    <row r="294">
      <c r="A294" s="48" t="s">
        <v>9128</v>
      </c>
      <c r="B294" s="44"/>
      <c r="C294" s="48" t="s">
        <v>9129</v>
      </c>
      <c r="D294" s="44"/>
      <c r="E294" s="48" t="s">
        <v>5276</v>
      </c>
      <c r="F294" s="48" t="s">
        <v>5300</v>
      </c>
      <c r="G294" s="55" t="s">
        <v>96</v>
      </c>
      <c r="H294" s="64">
        <v>0.06785</v>
      </c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</row>
    <row r="295">
      <c r="A295" s="48" t="s">
        <v>4397</v>
      </c>
      <c r="B295" s="44"/>
      <c r="C295" s="48" t="s">
        <v>9130</v>
      </c>
      <c r="D295" s="44"/>
      <c r="E295" s="48" t="s">
        <v>5232</v>
      </c>
      <c r="F295" s="48" t="s">
        <v>5300</v>
      </c>
      <c r="G295" s="55" t="s">
        <v>96</v>
      </c>
      <c r="H295" s="64">
        <v>0.06767</v>
      </c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</row>
    <row r="296">
      <c r="A296" s="48" t="s">
        <v>9131</v>
      </c>
      <c r="B296" s="44"/>
      <c r="C296" s="48" t="s">
        <v>9132</v>
      </c>
      <c r="D296" s="44"/>
      <c r="E296" s="48" t="s">
        <v>5235</v>
      </c>
      <c r="F296" s="48" t="s">
        <v>8784</v>
      </c>
      <c r="G296" s="55" t="s">
        <v>96</v>
      </c>
      <c r="H296" s="64">
        <v>0.06766</v>
      </c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</row>
    <row r="297">
      <c r="A297" s="48" t="s">
        <v>4427</v>
      </c>
      <c r="B297" s="44"/>
      <c r="C297" s="48" t="s">
        <v>9133</v>
      </c>
      <c r="D297" s="44"/>
      <c r="E297" s="48" t="s">
        <v>5478</v>
      </c>
      <c r="F297" s="48" t="s">
        <v>5300</v>
      </c>
      <c r="G297" s="55" t="s">
        <v>96</v>
      </c>
      <c r="H297" s="64">
        <v>0.06756</v>
      </c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</row>
    <row r="298">
      <c r="A298" s="48" t="s">
        <v>9134</v>
      </c>
      <c r="B298" s="44"/>
      <c r="C298" s="48" t="s">
        <v>9135</v>
      </c>
      <c r="D298" s="44"/>
      <c r="E298" s="48" t="s">
        <v>5238</v>
      </c>
      <c r="F298" s="48" t="s">
        <v>8784</v>
      </c>
      <c r="G298" s="55" t="s">
        <v>96</v>
      </c>
      <c r="H298" s="64">
        <v>0.06751</v>
      </c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</row>
    <row r="299">
      <c r="A299" s="48" t="s">
        <v>8986</v>
      </c>
      <c r="B299" s="44"/>
      <c r="C299" s="48" t="s">
        <v>8987</v>
      </c>
      <c r="D299" s="44"/>
      <c r="E299" s="48" t="s">
        <v>5326</v>
      </c>
      <c r="F299" s="48" t="s">
        <v>5836</v>
      </c>
      <c r="G299" s="55" t="s">
        <v>96</v>
      </c>
      <c r="H299" s="64">
        <v>0.06749</v>
      </c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</row>
    <row r="300">
      <c r="A300" s="48" t="s">
        <v>9136</v>
      </c>
      <c r="B300" s="44"/>
      <c r="C300" s="48" t="s">
        <v>9137</v>
      </c>
      <c r="D300" s="44"/>
      <c r="E300" s="48" t="s">
        <v>7471</v>
      </c>
      <c r="F300" s="48" t="s">
        <v>5425</v>
      </c>
      <c r="G300" s="55" t="s">
        <v>96</v>
      </c>
      <c r="H300" s="64">
        <v>0.06721</v>
      </c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</row>
    <row r="301">
      <c r="A301" s="48" t="s">
        <v>9138</v>
      </c>
      <c r="B301" s="44"/>
      <c r="C301" s="48" t="s">
        <v>9139</v>
      </c>
      <c r="D301" s="44"/>
      <c r="E301" s="48" t="s">
        <v>5271</v>
      </c>
      <c r="F301" s="48" t="s">
        <v>5836</v>
      </c>
      <c r="G301" s="55" t="s">
        <v>96</v>
      </c>
      <c r="H301" s="64">
        <v>0.06698</v>
      </c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</row>
    <row r="302">
      <c r="A302" s="48" t="s">
        <v>9140</v>
      </c>
      <c r="B302" s="44"/>
      <c r="C302" s="48" t="s">
        <v>9141</v>
      </c>
      <c r="D302" s="44"/>
      <c r="E302" s="48" t="s">
        <v>6338</v>
      </c>
      <c r="F302" s="48" t="s">
        <v>4357</v>
      </c>
      <c r="G302" s="55" t="s">
        <v>96</v>
      </c>
      <c r="H302" s="64">
        <v>0.06636</v>
      </c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</row>
    <row r="303">
      <c r="A303" s="48" t="s">
        <v>9142</v>
      </c>
      <c r="B303" s="44"/>
      <c r="C303" s="48" t="s">
        <v>9143</v>
      </c>
      <c r="D303" s="44"/>
      <c r="E303" s="48" t="s">
        <v>9144</v>
      </c>
      <c r="F303" s="48" t="s">
        <v>8759</v>
      </c>
      <c r="G303" s="55" t="s">
        <v>96</v>
      </c>
      <c r="H303" s="64">
        <v>0.06612</v>
      </c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</row>
    <row r="304">
      <c r="A304" s="48" t="s">
        <v>4340</v>
      </c>
      <c r="B304" s="44"/>
      <c r="C304" s="48" t="s">
        <v>9145</v>
      </c>
      <c r="D304" s="44"/>
      <c r="E304" s="48" t="s">
        <v>5238</v>
      </c>
      <c r="F304" s="48" t="s">
        <v>5300</v>
      </c>
      <c r="G304" s="55" t="s">
        <v>96</v>
      </c>
      <c r="H304" s="64">
        <v>0.06583</v>
      </c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</row>
    <row r="305">
      <c r="A305" s="48" t="s">
        <v>9146</v>
      </c>
      <c r="B305" s="44"/>
      <c r="C305" s="48" t="s">
        <v>9059</v>
      </c>
      <c r="D305" s="44"/>
      <c r="E305" s="48" t="s">
        <v>6801</v>
      </c>
      <c r="F305" s="48" t="s">
        <v>5747</v>
      </c>
      <c r="G305" s="55" t="s">
        <v>96</v>
      </c>
      <c r="H305" s="64">
        <v>0.06577</v>
      </c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</row>
    <row r="306">
      <c r="A306" s="48" t="s">
        <v>4339</v>
      </c>
      <c r="B306" s="44"/>
      <c r="C306" s="48" t="s">
        <v>9147</v>
      </c>
      <c r="D306" s="44"/>
      <c r="E306" s="48" t="s">
        <v>5382</v>
      </c>
      <c r="F306" s="48" t="s">
        <v>5300</v>
      </c>
      <c r="G306" s="55" t="s">
        <v>96</v>
      </c>
      <c r="H306" s="64">
        <v>0.06524</v>
      </c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</row>
    <row r="307">
      <c r="A307" s="48" t="s">
        <v>4324</v>
      </c>
      <c r="B307" s="44"/>
      <c r="C307" s="48" t="s">
        <v>9148</v>
      </c>
      <c r="D307" s="44"/>
      <c r="E307" s="48" t="s">
        <v>6040</v>
      </c>
      <c r="F307" s="48" t="s">
        <v>5300</v>
      </c>
      <c r="G307" s="55" t="s">
        <v>96</v>
      </c>
      <c r="H307" s="64">
        <v>0.06507</v>
      </c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</row>
    <row r="308">
      <c r="A308" s="48" t="s">
        <v>9149</v>
      </c>
      <c r="B308" s="44"/>
      <c r="C308" s="48" t="s">
        <v>9150</v>
      </c>
      <c r="D308" s="44"/>
      <c r="E308" s="48" t="s">
        <v>6130</v>
      </c>
      <c r="F308" s="48" t="s">
        <v>8784</v>
      </c>
      <c r="G308" s="55" t="s">
        <v>96</v>
      </c>
      <c r="H308" s="64">
        <v>0.06503</v>
      </c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</row>
    <row r="309">
      <c r="A309" s="48" t="s">
        <v>4358</v>
      </c>
      <c r="B309" s="44"/>
      <c r="C309" s="48" t="s">
        <v>9151</v>
      </c>
      <c r="D309" s="44"/>
      <c r="E309" s="48" t="s">
        <v>5283</v>
      </c>
      <c r="F309" s="48" t="s">
        <v>5300</v>
      </c>
      <c r="G309" s="55" t="s">
        <v>96</v>
      </c>
      <c r="H309" s="64">
        <v>0.06467</v>
      </c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</row>
    <row r="310">
      <c r="A310" s="48" t="s">
        <v>9152</v>
      </c>
      <c r="B310" s="44"/>
      <c r="C310" s="48" t="s">
        <v>9153</v>
      </c>
      <c r="D310" s="44"/>
      <c r="E310" s="48" t="s">
        <v>5501</v>
      </c>
      <c r="F310" s="48" t="s">
        <v>8784</v>
      </c>
      <c r="G310" s="55" t="s">
        <v>96</v>
      </c>
      <c r="H310" s="64">
        <v>0.06451</v>
      </c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</row>
    <row r="311">
      <c r="A311" s="48" t="s">
        <v>9154</v>
      </c>
      <c r="B311" s="44"/>
      <c r="C311" s="48" t="s">
        <v>9155</v>
      </c>
      <c r="D311" s="44"/>
      <c r="E311" s="48" t="s">
        <v>6130</v>
      </c>
      <c r="F311" s="48" t="s">
        <v>8784</v>
      </c>
      <c r="G311" s="55" t="s">
        <v>96</v>
      </c>
      <c r="H311" s="64">
        <v>0.06445</v>
      </c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</row>
    <row r="312">
      <c r="A312" s="48" t="s">
        <v>5680</v>
      </c>
      <c r="B312" s="44"/>
      <c r="C312" s="48" t="s">
        <v>9156</v>
      </c>
      <c r="D312" s="44"/>
      <c r="E312" s="48" t="s">
        <v>5704</v>
      </c>
      <c r="F312" s="48" t="s">
        <v>5300</v>
      </c>
      <c r="G312" s="55" t="s">
        <v>96</v>
      </c>
      <c r="H312" s="64">
        <v>0.06419</v>
      </c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</row>
    <row r="313">
      <c r="A313" s="48" t="s">
        <v>9157</v>
      </c>
      <c r="B313" s="44"/>
      <c r="C313" s="48" t="s">
        <v>9158</v>
      </c>
      <c r="D313" s="44"/>
      <c r="E313" s="48" t="s">
        <v>5215</v>
      </c>
      <c r="F313" s="48" t="s">
        <v>5425</v>
      </c>
      <c r="G313" s="55" t="s">
        <v>96</v>
      </c>
      <c r="H313" s="64">
        <v>0.06408</v>
      </c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</row>
    <row r="314">
      <c r="A314" s="48" t="s">
        <v>9159</v>
      </c>
      <c r="B314" s="44"/>
      <c r="C314" s="48" t="s">
        <v>9160</v>
      </c>
      <c r="D314" s="44"/>
      <c r="E314" s="48" t="s">
        <v>5670</v>
      </c>
      <c r="F314" s="48" t="s">
        <v>6988</v>
      </c>
      <c r="G314" s="55" t="s">
        <v>96</v>
      </c>
      <c r="H314" s="64">
        <v>0.06364</v>
      </c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</row>
    <row r="315">
      <c r="A315" s="48" t="s">
        <v>9161</v>
      </c>
      <c r="B315" s="44"/>
      <c r="C315" s="48" t="s">
        <v>9162</v>
      </c>
      <c r="D315" s="44"/>
      <c r="E315" s="48" t="s">
        <v>5775</v>
      </c>
      <c r="F315" s="48" t="s">
        <v>5300</v>
      </c>
      <c r="G315" s="55" t="s">
        <v>96</v>
      </c>
      <c r="H315" s="64">
        <v>0.06271</v>
      </c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</row>
    <row r="316">
      <c r="A316" s="48" t="s">
        <v>4359</v>
      </c>
      <c r="B316" s="44"/>
      <c r="C316" s="48" t="s">
        <v>9163</v>
      </c>
      <c r="D316" s="44"/>
      <c r="E316" s="48" t="s">
        <v>5267</v>
      </c>
      <c r="F316" s="48" t="s">
        <v>5300</v>
      </c>
      <c r="G316" s="55" t="s">
        <v>96</v>
      </c>
      <c r="H316" s="64">
        <v>0.0626</v>
      </c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</row>
    <row r="317">
      <c r="A317" s="48" t="s">
        <v>4369</v>
      </c>
      <c r="B317" s="44"/>
      <c r="C317" s="48" t="s">
        <v>9164</v>
      </c>
      <c r="D317" s="44"/>
      <c r="E317" s="48" t="s">
        <v>5675</v>
      </c>
      <c r="F317" s="48" t="s">
        <v>5300</v>
      </c>
      <c r="G317" s="55" t="s">
        <v>96</v>
      </c>
      <c r="H317" s="64">
        <v>0.06239</v>
      </c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</row>
    <row r="318">
      <c r="A318" s="48" t="s">
        <v>4346</v>
      </c>
      <c r="B318" s="44"/>
      <c r="C318" s="48" t="s">
        <v>9165</v>
      </c>
      <c r="D318" s="44"/>
      <c r="E318" s="48" t="s">
        <v>5261</v>
      </c>
      <c r="F318" s="48" t="s">
        <v>5300</v>
      </c>
      <c r="G318" s="55" t="s">
        <v>96</v>
      </c>
      <c r="H318" s="64">
        <v>0.06206</v>
      </c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</row>
    <row r="319">
      <c r="A319" s="48" t="s">
        <v>4384</v>
      </c>
      <c r="B319" s="44"/>
      <c r="C319" s="48" t="s">
        <v>9166</v>
      </c>
      <c r="D319" s="44"/>
      <c r="E319" s="48" t="s">
        <v>7611</v>
      </c>
      <c r="F319" s="48" t="s">
        <v>5300</v>
      </c>
      <c r="G319" s="55" t="s">
        <v>96</v>
      </c>
      <c r="H319" s="64">
        <v>0.06202</v>
      </c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</row>
    <row r="320">
      <c r="A320" s="48" t="s">
        <v>9167</v>
      </c>
      <c r="B320" s="44"/>
      <c r="C320" s="48" t="s">
        <v>9168</v>
      </c>
      <c r="D320" s="44"/>
      <c r="E320" s="48" t="s">
        <v>5478</v>
      </c>
      <c r="F320" s="48" t="s">
        <v>6988</v>
      </c>
      <c r="G320" s="55" t="s">
        <v>96</v>
      </c>
      <c r="H320" s="64">
        <v>0.06196</v>
      </c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</row>
    <row r="321">
      <c r="A321" s="48" t="s">
        <v>9169</v>
      </c>
      <c r="B321" s="44"/>
      <c r="C321" s="48" t="s">
        <v>9170</v>
      </c>
      <c r="D321" s="44"/>
      <c r="E321" s="48" t="s">
        <v>5258</v>
      </c>
      <c r="F321" s="48" t="s">
        <v>5836</v>
      </c>
      <c r="G321" s="55" t="s">
        <v>96</v>
      </c>
      <c r="H321" s="64">
        <v>0.06128</v>
      </c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</row>
    <row r="322">
      <c r="A322" s="48" t="s">
        <v>4379</v>
      </c>
      <c r="B322" s="44"/>
      <c r="C322" s="48" t="s">
        <v>9171</v>
      </c>
      <c r="D322" s="44"/>
      <c r="E322" s="48" t="s">
        <v>6630</v>
      </c>
      <c r="F322" s="48" t="s">
        <v>5300</v>
      </c>
      <c r="G322" s="55" t="s">
        <v>96</v>
      </c>
      <c r="H322" s="64">
        <v>0.06125</v>
      </c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</row>
    <row r="323">
      <c r="A323" s="48" t="s">
        <v>4336</v>
      </c>
      <c r="B323" s="44"/>
      <c r="C323" s="48" t="s">
        <v>9172</v>
      </c>
      <c r="D323" s="44"/>
      <c r="E323" s="48" t="s">
        <v>5445</v>
      </c>
      <c r="F323" s="48" t="s">
        <v>5300</v>
      </c>
      <c r="G323" s="55" t="s">
        <v>96</v>
      </c>
      <c r="H323" s="64">
        <v>0.06083</v>
      </c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</row>
    <row r="324">
      <c r="A324" s="48" t="s">
        <v>4386</v>
      </c>
      <c r="B324" s="44"/>
      <c r="C324" s="48" t="s">
        <v>9173</v>
      </c>
      <c r="D324" s="44"/>
      <c r="E324" s="48" t="s">
        <v>5450</v>
      </c>
      <c r="F324" s="48" t="s">
        <v>5300</v>
      </c>
      <c r="G324" s="55" t="s">
        <v>96</v>
      </c>
      <c r="H324" s="64">
        <v>0.06074</v>
      </c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</row>
    <row r="325">
      <c r="A325" s="48" t="s">
        <v>5998</v>
      </c>
      <c r="B325" s="44"/>
      <c r="C325" s="48" t="s">
        <v>5999</v>
      </c>
      <c r="D325" s="44"/>
      <c r="E325" s="48" t="s">
        <v>5961</v>
      </c>
      <c r="F325" s="48" t="s">
        <v>4340</v>
      </c>
      <c r="G325" s="55" t="s">
        <v>96</v>
      </c>
      <c r="H325" s="64">
        <v>0.06072</v>
      </c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</row>
    <row r="326">
      <c r="A326" s="48" t="s">
        <v>4333</v>
      </c>
      <c r="B326" s="44"/>
      <c r="C326" s="48" t="s">
        <v>9174</v>
      </c>
      <c r="D326" s="44"/>
      <c r="E326" s="48" t="s">
        <v>6338</v>
      </c>
      <c r="F326" s="48" t="s">
        <v>6210</v>
      </c>
      <c r="G326" s="55" t="s">
        <v>96</v>
      </c>
      <c r="H326" s="64">
        <v>0.06064</v>
      </c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</row>
    <row r="327">
      <c r="A327" s="48" t="s">
        <v>4403</v>
      </c>
      <c r="B327" s="44"/>
      <c r="C327" s="48" t="s">
        <v>9175</v>
      </c>
      <c r="D327" s="44"/>
      <c r="E327" s="48" t="s">
        <v>5811</v>
      </c>
      <c r="F327" s="48" t="s">
        <v>5300</v>
      </c>
      <c r="G327" s="55" t="s">
        <v>96</v>
      </c>
      <c r="H327" s="64">
        <v>0.06061</v>
      </c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</row>
    <row r="328">
      <c r="A328" s="48" t="s">
        <v>9176</v>
      </c>
      <c r="B328" s="44"/>
      <c r="C328" s="48" t="s">
        <v>9177</v>
      </c>
      <c r="D328" s="44"/>
      <c r="E328" s="48" t="s">
        <v>5276</v>
      </c>
      <c r="F328" s="48" t="s">
        <v>5300</v>
      </c>
      <c r="G328" s="55" t="s">
        <v>96</v>
      </c>
      <c r="H328" s="64">
        <v>0.06049</v>
      </c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</row>
    <row r="329">
      <c r="A329" s="48" t="s">
        <v>4372</v>
      </c>
      <c r="B329" s="44"/>
      <c r="C329" s="48" t="s">
        <v>9178</v>
      </c>
      <c r="D329" s="44"/>
      <c r="E329" s="48" t="s">
        <v>7611</v>
      </c>
      <c r="F329" s="48" t="s">
        <v>5300</v>
      </c>
      <c r="G329" s="55" t="s">
        <v>96</v>
      </c>
      <c r="H329" s="64">
        <v>0.06048</v>
      </c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</row>
    <row r="330">
      <c r="A330" s="48" t="s">
        <v>4382</v>
      </c>
      <c r="B330" s="44"/>
      <c r="C330" s="48" t="s">
        <v>9179</v>
      </c>
      <c r="D330" s="44"/>
      <c r="E330" s="48" t="s">
        <v>5624</v>
      </c>
      <c r="F330" s="48" t="s">
        <v>5300</v>
      </c>
      <c r="G330" s="55" t="s">
        <v>96</v>
      </c>
      <c r="H330" s="64">
        <v>0.06035</v>
      </c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</row>
    <row r="331">
      <c r="A331" s="48" t="s">
        <v>4385</v>
      </c>
      <c r="B331" s="44"/>
      <c r="C331" s="48" t="s">
        <v>9180</v>
      </c>
      <c r="D331" s="44"/>
      <c r="E331" s="48" t="s">
        <v>5283</v>
      </c>
      <c r="F331" s="48" t="s">
        <v>5300</v>
      </c>
      <c r="G331" s="55" t="s">
        <v>96</v>
      </c>
      <c r="H331" s="64">
        <v>0.06029</v>
      </c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</row>
    <row r="332">
      <c r="A332" s="48" t="s">
        <v>4353</v>
      </c>
      <c r="B332" s="44"/>
      <c r="C332" s="48" t="s">
        <v>9181</v>
      </c>
      <c r="D332" s="44"/>
      <c r="E332" s="48" t="s">
        <v>5501</v>
      </c>
      <c r="F332" s="48" t="s">
        <v>5329</v>
      </c>
      <c r="G332" s="55" t="s">
        <v>96</v>
      </c>
      <c r="H332" s="64">
        <v>0.05999</v>
      </c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</row>
    <row r="333">
      <c r="A333" s="48" t="s">
        <v>9182</v>
      </c>
      <c r="B333" s="44"/>
      <c r="C333" s="48" t="s">
        <v>9183</v>
      </c>
      <c r="D333" s="44"/>
      <c r="E333" s="48" t="s">
        <v>5478</v>
      </c>
      <c r="F333" s="48" t="s">
        <v>8767</v>
      </c>
      <c r="G333" s="55" t="s">
        <v>96</v>
      </c>
      <c r="H333" s="64">
        <v>0.05992</v>
      </c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</row>
    <row r="334">
      <c r="A334" s="48" t="s">
        <v>4416</v>
      </c>
      <c r="B334" s="44"/>
      <c r="C334" s="48" t="s">
        <v>9184</v>
      </c>
      <c r="D334" s="44"/>
      <c r="E334" s="48" t="s">
        <v>5467</v>
      </c>
      <c r="F334" s="48" t="s">
        <v>5300</v>
      </c>
      <c r="G334" s="55" t="s">
        <v>96</v>
      </c>
      <c r="H334" s="64">
        <v>0.05981</v>
      </c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</row>
    <row r="335">
      <c r="A335" s="48" t="s">
        <v>4368</v>
      </c>
      <c r="B335" s="44"/>
      <c r="C335" s="48" t="s">
        <v>9185</v>
      </c>
      <c r="D335" s="44"/>
      <c r="E335" s="48" t="s">
        <v>5267</v>
      </c>
      <c r="F335" s="48" t="s">
        <v>5300</v>
      </c>
      <c r="G335" s="55" t="s">
        <v>96</v>
      </c>
      <c r="H335" s="64">
        <v>0.05966</v>
      </c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</row>
    <row r="336">
      <c r="A336" s="48" t="s">
        <v>4363</v>
      </c>
      <c r="B336" s="44"/>
      <c r="C336" s="48" t="s">
        <v>9186</v>
      </c>
      <c r="D336" s="44"/>
      <c r="E336" s="48" t="s">
        <v>5434</v>
      </c>
      <c r="F336" s="48" t="s">
        <v>5300</v>
      </c>
      <c r="G336" s="55" t="s">
        <v>96</v>
      </c>
      <c r="H336" s="64">
        <v>0.05954</v>
      </c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</row>
    <row r="337">
      <c r="A337" s="48" t="s">
        <v>4357</v>
      </c>
      <c r="B337" s="44"/>
      <c r="C337" s="48" t="s">
        <v>9187</v>
      </c>
      <c r="D337" s="44"/>
      <c r="E337" s="48" t="s">
        <v>5374</v>
      </c>
      <c r="F337" s="48" t="s">
        <v>5300</v>
      </c>
      <c r="G337" s="55" t="s">
        <v>96</v>
      </c>
      <c r="H337" s="64">
        <v>0.05952</v>
      </c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</row>
    <row r="338">
      <c r="A338" s="48" t="s">
        <v>4349</v>
      </c>
      <c r="B338" s="44"/>
      <c r="C338" s="48" t="s">
        <v>9188</v>
      </c>
      <c r="D338" s="44"/>
      <c r="E338" s="48" t="s">
        <v>9189</v>
      </c>
      <c r="F338" s="48" t="s">
        <v>5300</v>
      </c>
      <c r="G338" s="55" t="s">
        <v>96</v>
      </c>
      <c r="H338" s="64">
        <v>0.0594</v>
      </c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</row>
    <row r="339">
      <c r="A339" s="48" t="s">
        <v>9190</v>
      </c>
      <c r="B339" s="44"/>
      <c r="C339" s="48" t="s">
        <v>9191</v>
      </c>
      <c r="D339" s="44"/>
      <c r="E339" s="48" t="s">
        <v>5276</v>
      </c>
      <c r="F339" s="48" t="s">
        <v>5300</v>
      </c>
      <c r="G339" s="55" t="s">
        <v>96</v>
      </c>
      <c r="H339" s="64">
        <v>0.05932</v>
      </c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</row>
    <row r="340">
      <c r="A340" s="48" t="s">
        <v>9192</v>
      </c>
      <c r="B340" s="44"/>
      <c r="C340" s="48" t="s">
        <v>9193</v>
      </c>
      <c r="D340" s="44"/>
      <c r="E340" s="48" t="s">
        <v>6514</v>
      </c>
      <c r="F340" s="48" t="s">
        <v>8767</v>
      </c>
      <c r="G340" s="55" t="s">
        <v>96</v>
      </c>
      <c r="H340" s="64">
        <v>0.05895</v>
      </c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</row>
    <row r="341">
      <c r="A341" s="48" t="s">
        <v>9194</v>
      </c>
      <c r="B341" s="44"/>
      <c r="C341" s="48" t="s">
        <v>9195</v>
      </c>
      <c r="D341" s="44"/>
      <c r="E341" s="48" t="s">
        <v>5215</v>
      </c>
      <c r="F341" s="48" t="s">
        <v>5836</v>
      </c>
      <c r="G341" s="55" t="s">
        <v>96</v>
      </c>
      <c r="H341" s="64">
        <v>0.05892</v>
      </c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</row>
    <row r="342">
      <c r="A342" s="48" t="s">
        <v>4366</v>
      </c>
      <c r="B342" s="44"/>
      <c r="C342" s="48" t="s">
        <v>9196</v>
      </c>
      <c r="D342" s="44"/>
      <c r="E342" s="48" t="s">
        <v>6130</v>
      </c>
      <c r="F342" s="48" t="s">
        <v>5300</v>
      </c>
      <c r="G342" s="55" t="s">
        <v>96</v>
      </c>
      <c r="H342" s="64">
        <v>0.05879</v>
      </c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</row>
    <row r="343">
      <c r="A343" s="48" t="s">
        <v>6053</v>
      </c>
      <c r="B343" s="44"/>
      <c r="C343" s="48" t="s">
        <v>6054</v>
      </c>
      <c r="D343" s="44"/>
      <c r="E343" s="48" t="s">
        <v>5978</v>
      </c>
      <c r="F343" s="48" t="s">
        <v>4340</v>
      </c>
      <c r="G343" s="55" t="s">
        <v>96</v>
      </c>
      <c r="H343" s="64">
        <v>0.05873</v>
      </c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</row>
    <row r="344">
      <c r="A344" s="48" t="s">
        <v>9197</v>
      </c>
      <c r="B344" s="44"/>
      <c r="C344" s="48" t="s">
        <v>9198</v>
      </c>
      <c r="D344" s="44"/>
      <c r="E344" s="48" t="s">
        <v>5215</v>
      </c>
      <c r="F344" s="48" t="s">
        <v>5941</v>
      </c>
      <c r="G344" s="55" t="s">
        <v>96</v>
      </c>
      <c r="H344" s="64">
        <v>0.0587</v>
      </c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</row>
    <row r="345">
      <c r="A345" s="48" t="s">
        <v>9199</v>
      </c>
      <c r="B345" s="44"/>
      <c r="C345" s="48" t="s">
        <v>9200</v>
      </c>
      <c r="D345" s="44"/>
      <c r="E345" s="48" t="s">
        <v>5218</v>
      </c>
      <c r="F345" s="48" t="s">
        <v>8784</v>
      </c>
      <c r="G345" s="55" t="s">
        <v>96</v>
      </c>
      <c r="H345" s="64">
        <v>0.05855</v>
      </c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</row>
    <row r="346">
      <c r="A346" s="48" t="s">
        <v>9201</v>
      </c>
      <c r="B346" s="44"/>
      <c r="C346" s="48" t="s">
        <v>9202</v>
      </c>
      <c r="D346" s="44"/>
      <c r="E346" s="48" t="s">
        <v>5261</v>
      </c>
      <c r="F346" s="48" t="s">
        <v>5836</v>
      </c>
      <c r="G346" s="55" t="s">
        <v>96</v>
      </c>
      <c r="H346" s="64">
        <v>0.05829</v>
      </c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</row>
    <row r="347">
      <c r="A347" s="48" t="s">
        <v>9203</v>
      </c>
      <c r="B347" s="44"/>
      <c r="C347" s="48" t="s">
        <v>9204</v>
      </c>
      <c r="D347" s="44"/>
      <c r="E347" s="48" t="s">
        <v>5276</v>
      </c>
      <c r="F347" s="48" t="s">
        <v>5300</v>
      </c>
      <c r="G347" s="55" t="s">
        <v>96</v>
      </c>
      <c r="H347" s="64">
        <v>0.05828</v>
      </c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</row>
    <row r="348">
      <c r="A348" s="48" t="s">
        <v>9205</v>
      </c>
      <c r="B348" s="44"/>
      <c r="C348" s="48" t="s">
        <v>9206</v>
      </c>
      <c r="D348" s="44"/>
      <c r="E348" s="48" t="s">
        <v>6275</v>
      </c>
      <c r="F348" s="48" t="s">
        <v>8784</v>
      </c>
      <c r="G348" s="55" t="s">
        <v>96</v>
      </c>
      <c r="H348" s="64">
        <v>0.05795</v>
      </c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</row>
    <row r="349">
      <c r="A349" s="48" t="s">
        <v>9207</v>
      </c>
      <c r="B349" s="44"/>
      <c r="C349" s="48" t="s">
        <v>9208</v>
      </c>
      <c r="D349" s="44"/>
      <c r="E349" s="48" t="s">
        <v>6012</v>
      </c>
      <c r="F349" s="48" t="s">
        <v>8759</v>
      </c>
      <c r="G349" s="55" t="s">
        <v>96</v>
      </c>
      <c r="H349" s="64">
        <v>0.05795</v>
      </c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</row>
    <row r="350">
      <c r="A350" s="48" t="s">
        <v>9209</v>
      </c>
      <c r="B350" s="44"/>
      <c r="C350" s="48" t="s">
        <v>9210</v>
      </c>
      <c r="D350" s="44"/>
      <c r="E350" s="48" t="s">
        <v>5326</v>
      </c>
      <c r="F350" s="48" t="s">
        <v>5300</v>
      </c>
      <c r="G350" s="55" t="s">
        <v>96</v>
      </c>
      <c r="H350" s="64">
        <v>0.05778</v>
      </c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</row>
    <row r="351">
      <c r="A351" s="48" t="s">
        <v>4375</v>
      </c>
      <c r="B351" s="44"/>
      <c r="C351" s="48" t="s">
        <v>9211</v>
      </c>
      <c r="D351" s="44"/>
      <c r="E351" s="48" t="s">
        <v>5321</v>
      </c>
      <c r="F351" s="48" t="s">
        <v>5300</v>
      </c>
      <c r="G351" s="55" t="s">
        <v>96</v>
      </c>
      <c r="H351" s="64">
        <v>0.05773</v>
      </c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</row>
    <row r="352">
      <c r="A352" s="48" t="s">
        <v>9212</v>
      </c>
      <c r="B352" s="44"/>
      <c r="C352" s="48" t="s">
        <v>9213</v>
      </c>
      <c r="D352" s="44"/>
      <c r="E352" s="48" t="s">
        <v>5855</v>
      </c>
      <c r="F352" s="48" t="s">
        <v>5747</v>
      </c>
      <c r="G352" s="55" t="s">
        <v>96</v>
      </c>
      <c r="H352" s="64">
        <v>0.05739</v>
      </c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</row>
    <row r="353">
      <c r="A353" s="48" t="s">
        <v>9214</v>
      </c>
      <c r="B353" s="44"/>
      <c r="C353" s="48" t="s">
        <v>9215</v>
      </c>
      <c r="D353" s="44"/>
      <c r="E353" s="48" t="s">
        <v>5218</v>
      </c>
      <c r="F353" s="48" t="s">
        <v>5300</v>
      </c>
      <c r="G353" s="55" t="s">
        <v>96</v>
      </c>
      <c r="H353" s="64">
        <v>0.05704</v>
      </c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</row>
    <row r="354">
      <c r="A354" s="48" t="s">
        <v>4354</v>
      </c>
      <c r="B354" s="44"/>
      <c r="C354" s="48" t="s">
        <v>9216</v>
      </c>
      <c r="D354" s="44"/>
      <c r="E354" s="48" t="s">
        <v>5467</v>
      </c>
      <c r="F354" s="48" t="s">
        <v>5300</v>
      </c>
      <c r="G354" s="55" t="s">
        <v>96</v>
      </c>
      <c r="H354" s="64">
        <v>0.05664</v>
      </c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</row>
    <row r="355">
      <c r="A355" s="48" t="s">
        <v>6028</v>
      </c>
      <c r="B355" s="44"/>
      <c r="C355" s="48" t="s">
        <v>6029</v>
      </c>
      <c r="D355" s="44"/>
      <c r="E355" s="48" t="s">
        <v>5326</v>
      </c>
      <c r="F355" s="48" t="s">
        <v>4340</v>
      </c>
      <c r="G355" s="55" t="s">
        <v>96</v>
      </c>
      <c r="H355" s="64">
        <v>0.05626</v>
      </c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</row>
    <row r="356">
      <c r="A356" s="48" t="s">
        <v>4387</v>
      </c>
      <c r="B356" s="44"/>
      <c r="C356" s="48" t="s">
        <v>9217</v>
      </c>
      <c r="D356" s="44"/>
      <c r="E356" s="48" t="s">
        <v>5961</v>
      </c>
      <c r="F356" s="48" t="s">
        <v>5300</v>
      </c>
      <c r="G356" s="55" t="s">
        <v>96</v>
      </c>
      <c r="H356" s="64">
        <v>0.05607</v>
      </c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</row>
    <row r="357">
      <c r="A357" s="48" t="s">
        <v>4433</v>
      </c>
      <c r="B357" s="44"/>
      <c r="C357" s="48" t="s">
        <v>9218</v>
      </c>
      <c r="D357" s="44"/>
      <c r="E357" s="48" t="s">
        <v>5366</v>
      </c>
      <c r="F357" s="48" t="s">
        <v>5300</v>
      </c>
      <c r="G357" s="55" t="s">
        <v>96</v>
      </c>
      <c r="H357" s="64">
        <v>0.05563</v>
      </c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</row>
    <row r="358">
      <c r="A358" s="48" t="s">
        <v>9219</v>
      </c>
      <c r="B358" s="44"/>
      <c r="C358" s="48" t="s">
        <v>9220</v>
      </c>
      <c r="D358" s="44"/>
      <c r="E358" s="48" t="s">
        <v>9221</v>
      </c>
      <c r="F358" s="48" t="s">
        <v>8784</v>
      </c>
      <c r="G358" s="55" t="s">
        <v>96</v>
      </c>
      <c r="H358" s="64">
        <v>0.05561</v>
      </c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</row>
    <row r="359">
      <c r="A359" s="48" t="s">
        <v>4361</v>
      </c>
      <c r="B359" s="44"/>
      <c r="C359" s="48" t="s">
        <v>9222</v>
      </c>
      <c r="D359" s="44"/>
      <c r="E359" s="48" t="s">
        <v>5811</v>
      </c>
      <c r="F359" s="48" t="s">
        <v>5300</v>
      </c>
      <c r="G359" s="55" t="s">
        <v>96</v>
      </c>
      <c r="H359" s="64">
        <v>0.05532</v>
      </c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</row>
    <row r="360">
      <c r="A360" s="48" t="s">
        <v>4421</v>
      </c>
      <c r="B360" s="44"/>
      <c r="C360" s="48" t="s">
        <v>9223</v>
      </c>
      <c r="D360" s="44"/>
      <c r="E360" s="48" t="s">
        <v>5450</v>
      </c>
      <c r="F360" s="48" t="s">
        <v>5300</v>
      </c>
      <c r="G360" s="55" t="s">
        <v>96</v>
      </c>
      <c r="H360" s="64">
        <v>0.0551</v>
      </c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</row>
    <row r="361">
      <c r="A361" s="48" t="s">
        <v>9224</v>
      </c>
      <c r="B361" s="44"/>
      <c r="C361" s="48" t="s">
        <v>9225</v>
      </c>
      <c r="D361" s="44"/>
      <c r="E361" s="48" t="s">
        <v>5742</v>
      </c>
      <c r="F361" s="48" t="s">
        <v>8784</v>
      </c>
      <c r="G361" s="55" t="s">
        <v>96</v>
      </c>
      <c r="H361" s="64">
        <v>0.05491</v>
      </c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</row>
    <row r="362">
      <c r="A362" s="48" t="s">
        <v>4418</v>
      </c>
      <c r="B362" s="44"/>
      <c r="C362" s="48" t="s">
        <v>9226</v>
      </c>
      <c r="D362" s="44"/>
      <c r="E362" s="48" t="s">
        <v>5650</v>
      </c>
      <c r="F362" s="48" t="s">
        <v>5300</v>
      </c>
      <c r="G362" s="55" t="s">
        <v>96</v>
      </c>
      <c r="H362" s="64">
        <v>0.05485</v>
      </c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</row>
    <row r="363">
      <c r="A363" s="48" t="s">
        <v>6010</v>
      </c>
      <c r="B363" s="44"/>
      <c r="C363" s="48" t="s">
        <v>6011</v>
      </c>
      <c r="D363" s="44"/>
      <c r="E363" s="48" t="s">
        <v>6012</v>
      </c>
      <c r="F363" s="48" t="s">
        <v>4340</v>
      </c>
      <c r="G363" s="55" t="s">
        <v>96</v>
      </c>
      <c r="H363" s="64">
        <v>0.05447</v>
      </c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</row>
    <row r="364">
      <c r="A364" s="48" t="s">
        <v>4404</v>
      </c>
      <c r="B364" s="44"/>
      <c r="C364" s="48" t="s">
        <v>9227</v>
      </c>
      <c r="D364" s="44"/>
      <c r="E364" s="48" t="s">
        <v>5964</v>
      </c>
      <c r="F364" s="48" t="s">
        <v>5300</v>
      </c>
      <c r="G364" s="55" t="s">
        <v>96</v>
      </c>
      <c r="H364" s="64">
        <v>0.05397</v>
      </c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</row>
    <row r="365">
      <c r="A365" s="48" t="s">
        <v>4406</v>
      </c>
      <c r="B365" s="44"/>
      <c r="C365" s="48" t="s">
        <v>9228</v>
      </c>
      <c r="D365" s="44"/>
      <c r="E365" s="48" t="s">
        <v>5407</v>
      </c>
      <c r="F365" s="48" t="s">
        <v>5300</v>
      </c>
      <c r="G365" s="55" t="s">
        <v>96</v>
      </c>
      <c r="H365" s="64">
        <v>0.05391</v>
      </c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</row>
    <row r="366">
      <c r="A366" s="48" t="s">
        <v>4431</v>
      </c>
      <c r="B366" s="44"/>
      <c r="C366" s="48" t="s">
        <v>9229</v>
      </c>
      <c r="D366" s="44"/>
      <c r="E366" s="48" t="s">
        <v>5321</v>
      </c>
      <c r="F366" s="48" t="s">
        <v>5300</v>
      </c>
      <c r="G366" s="55" t="s">
        <v>96</v>
      </c>
      <c r="H366" s="64">
        <v>0.05376</v>
      </c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</row>
    <row r="367">
      <c r="A367" s="48" t="s">
        <v>9230</v>
      </c>
      <c r="B367" s="44"/>
      <c r="C367" s="48" t="s">
        <v>9231</v>
      </c>
      <c r="D367" s="44"/>
      <c r="E367" s="48" t="s">
        <v>5478</v>
      </c>
      <c r="F367" s="48" t="s">
        <v>5300</v>
      </c>
      <c r="G367" s="55" t="s">
        <v>96</v>
      </c>
      <c r="H367" s="64">
        <v>0.05365</v>
      </c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</row>
    <row r="368">
      <c r="A368" s="48" t="s">
        <v>9232</v>
      </c>
      <c r="B368" s="44"/>
      <c r="C368" s="48" t="s">
        <v>9233</v>
      </c>
      <c r="D368" s="44"/>
      <c r="E368" s="48" t="s">
        <v>5450</v>
      </c>
      <c r="F368" s="48" t="s">
        <v>8759</v>
      </c>
      <c r="G368" s="55" t="s">
        <v>96</v>
      </c>
      <c r="H368" s="64">
        <v>0.05359</v>
      </c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</row>
    <row r="369">
      <c r="A369" s="48" t="s">
        <v>4377</v>
      </c>
      <c r="B369" s="44"/>
      <c r="C369" s="48" t="s">
        <v>9234</v>
      </c>
      <c r="D369" s="44"/>
      <c r="E369" s="48" t="s">
        <v>6012</v>
      </c>
      <c r="F369" s="48" t="s">
        <v>6988</v>
      </c>
      <c r="G369" s="55" t="s">
        <v>96</v>
      </c>
      <c r="H369" s="64">
        <v>0.05331</v>
      </c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</row>
    <row r="370">
      <c r="A370" s="48" t="s">
        <v>4392</v>
      </c>
      <c r="B370" s="44"/>
      <c r="C370" s="48" t="s">
        <v>9235</v>
      </c>
      <c r="D370" s="44"/>
      <c r="E370" s="48" t="s">
        <v>5348</v>
      </c>
      <c r="F370" s="48" t="s">
        <v>5300</v>
      </c>
      <c r="G370" s="55" t="s">
        <v>96</v>
      </c>
      <c r="H370" s="64">
        <v>0.05315</v>
      </c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</row>
    <row r="371">
      <c r="A371" s="48" t="s">
        <v>4426</v>
      </c>
      <c r="B371" s="44"/>
      <c r="C371" s="48" t="s">
        <v>9236</v>
      </c>
      <c r="D371" s="44"/>
      <c r="E371" s="48" t="s">
        <v>5215</v>
      </c>
      <c r="F371" s="48" t="s">
        <v>5300</v>
      </c>
      <c r="G371" s="55" t="s">
        <v>96</v>
      </c>
      <c r="H371" s="64">
        <v>0.05315</v>
      </c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</row>
    <row r="372">
      <c r="A372" s="48" t="s">
        <v>4401</v>
      </c>
      <c r="B372" s="44"/>
      <c r="C372" s="48" t="s">
        <v>9237</v>
      </c>
      <c r="D372" s="44"/>
      <c r="E372" s="48" t="s">
        <v>5431</v>
      </c>
      <c r="F372" s="48" t="s">
        <v>9212</v>
      </c>
      <c r="G372" s="55" t="s">
        <v>96</v>
      </c>
      <c r="H372" s="64">
        <v>0.05299</v>
      </c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</row>
    <row r="373">
      <c r="A373" s="48" t="s">
        <v>9238</v>
      </c>
      <c r="B373" s="44"/>
      <c r="C373" s="48" t="s">
        <v>9239</v>
      </c>
      <c r="D373" s="44"/>
      <c r="E373" s="48" t="s">
        <v>5258</v>
      </c>
      <c r="F373" s="48" t="s">
        <v>5836</v>
      </c>
      <c r="G373" s="55" t="s">
        <v>96</v>
      </c>
      <c r="H373" s="64">
        <v>0.05297</v>
      </c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</row>
    <row r="374">
      <c r="A374" s="48" t="s">
        <v>4398</v>
      </c>
      <c r="B374" s="44"/>
      <c r="C374" s="48" t="s">
        <v>9240</v>
      </c>
      <c r="D374" s="44"/>
      <c r="E374" s="48" t="s">
        <v>5218</v>
      </c>
      <c r="F374" s="48" t="s">
        <v>5300</v>
      </c>
      <c r="G374" s="55" t="s">
        <v>96</v>
      </c>
      <c r="H374" s="64">
        <v>0.05278</v>
      </c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</row>
    <row r="375">
      <c r="A375" s="48" t="s">
        <v>9241</v>
      </c>
      <c r="B375" s="44"/>
      <c r="C375" s="48" t="s">
        <v>9242</v>
      </c>
      <c r="D375" s="44"/>
      <c r="E375" s="48" t="s">
        <v>5267</v>
      </c>
      <c r="F375" s="48" t="s">
        <v>9021</v>
      </c>
      <c r="G375" s="55" t="s">
        <v>96</v>
      </c>
      <c r="H375" s="64">
        <v>0.0527</v>
      </c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</row>
    <row r="376">
      <c r="A376" s="48" t="s">
        <v>4420</v>
      </c>
      <c r="B376" s="44"/>
      <c r="C376" s="48" t="s">
        <v>9243</v>
      </c>
      <c r="D376" s="44"/>
      <c r="E376" s="48" t="s">
        <v>5215</v>
      </c>
      <c r="F376" s="48" t="s">
        <v>5300</v>
      </c>
      <c r="G376" s="55" t="s">
        <v>96</v>
      </c>
      <c r="H376" s="64">
        <v>0.05256</v>
      </c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</row>
    <row r="377">
      <c r="A377" s="48" t="s">
        <v>9244</v>
      </c>
      <c r="B377" s="44"/>
      <c r="C377" s="48" t="s">
        <v>9245</v>
      </c>
      <c r="D377" s="44"/>
      <c r="E377" s="48" t="s">
        <v>5450</v>
      </c>
      <c r="F377" s="48" t="s">
        <v>5425</v>
      </c>
      <c r="G377" s="55" t="s">
        <v>96</v>
      </c>
      <c r="H377" s="64">
        <v>0.05218</v>
      </c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</row>
    <row r="378">
      <c r="A378" s="48" t="s">
        <v>9246</v>
      </c>
      <c r="B378" s="44"/>
      <c r="C378" s="48" t="s">
        <v>9247</v>
      </c>
      <c r="D378" s="44"/>
      <c r="E378" s="48" t="s">
        <v>5650</v>
      </c>
      <c r="F378" s="48" t="s">
        <v>8784</v>
      </c>
      <c r="G378" s="55" t="s">
        <v>96</v>
      </c>
      <c r="H378" s="64">
        <v>0.05204</v>
      </c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</row>
    <row r="379">
      <c r="A379" s="48" t="s">
        <v>9248</v>
      </c>
      <c r="B379" s="44"/>
      <c r="C379" s="48" t="s">
        <v>9249</v>
      </c>
      <c r="D379" s="44"/>
      <c r="E379" s="48" t="s">
        <v>5374</v>
      </c>
      <c r="F379" s="48" t="s">
        <v>8784</v>
      </c>
      <c r="G379" s="55" t="s">
        <v>96</v>
      </c>
      <c r="H379" s="64">
        <v>0.05172</v>
      </c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</row>
    <row r="380">
      <c r="A380" s="48" t="s">
        <v>4422</v>
      </c>
      <c r="B380" s="44"/>
      <c r="C380" s="48" t="s">
        <v>9250</v>
      </c>
      <c r="D380" s="44"/>
      <c r="E380" s="48" t="s">
        <v>8851</v>
      </c>
      <c r="F380" s="48" t="s">
        <v>5300</v>
      </c>
      <c r="G380" s="55" t="s">
        <v>96</v>
      </c>
      <c r="H380" s="64">
        <v>0.05137</v>
      </c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</row>
    <row r="381">
      <c r="A381" s="48" t="s">
        <v>9251</v>
      </c>
      <c r="B381" s="44"/>
      <c r="C381" s="48" t="s">
        <v>9252</v>
      </c>
      <c r="D381" s="44"/>
      <c r="E381" s="48" t="s">
        <v>5978</v>
      </c>
      <c r="F381" s="48" t="s">
        <v>6988</v>
      </c>
      <c r="G381" s="55" t="s">
        <v>96</v>
      </c>
      <c r="H381" s="64">
        <v>0.05135</v>
      </c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</row>
    <row r="382">
      <c r="A382" s="48" t="s">
        <v>9253</v>
      </c>
      <c r="B382" s="44"/>
      <c r="C382" s="48" t="s">
        <v>9254</v>
      </c>
      <c r="D382" s="44"/>
      <c r="E382" s="48" t="s">
        <v>7098</v>
      </c>
      <c r="F382" s="48" t="s">
        <v>8784</v>
      </c>
      <c r="G382" s="55" t="s">
        <v>96</v>
      </c>
      <c r="H382" s="64">
        <v>0.05117</v>
      </c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</row>
    <row r="383">
      <c r="A383" s="48" t="s">
        <v>9255</v>
      </c>
      <c r="B383" s="44"/>
      <c r="C383" s="48" t="s">
        <v>9256</v>
      </c>
      <c r="D383" s="44"/>
      <c r="E383" s="48" t="s">
        <v>5369</v>
      </c>
      <c r="F383" s="48" t="s">
        <v>8784</v>
      </c>
      <c r="G383" s="55" t="s">
        <v>96</v>
      </c>
      <c r="H383" s="64">
        <v>0.05091</v>
      </c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</row>
    <row r="384">
      <c r="A384" s="48" t="s">
        <v>9257</v>
      </c>
      <c r="B384" s="44"/>
      <c r="C384" s="48" t="s">
        <v>9258</v>
      </c>
      <c r="D384" s="44"/>
      <c r="E384" s="48" t="s">
        <v>5215</v>
      </c>
      <c r="F384" s="48" t="s">
        <v>4095</v>
      </c>
      <c r="G384" s="55" t="s">
        <v>96</v>
      </c>
      <c r="H384" s="64">
        <v>0.05078</v>
      </c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</row>
    <row r="385">
      <c r="A385" s="48" t="s">
        <v>4406</v>
      </c>
      <c r="B385" s="44"/>
      <c r="C385" s="48" t="s">
        <v>9259</v>
      </c>
      <c r="D385" s="44"/>
      <c r="E385" s="48" t="s">
        <v>5238</v>
      </c>
      <c r="F385" s="48" t="s">
        <v>5425</v>
      </c>
      <c r="G385" s="55" t="s">
        <v>96</v>
      </c>
      <c r="H385" s="64">
        <v>0.05051</v>
      </c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</row>
    <row r="386">
      <c r="A386" s="48" t="s">
        <v>9260</v>
      </c>
      <c r="B386" s="44"/>
      <c r="C386" s="48" t="s">
        <v>9261</v>
      </c>
      <c r="D386" s="44"/>
      <c r="E386" s="48" t="s">
        <v>5456</v>
      </c>
      <c r="F386" s="48" t="s">
        <v>5836</v>
      </c>
      <c r="G386" s="55" t="s">
        <v>96</v>
      </c>
      <c r="H386" s="64">
        <v>0.05048</v>
      </c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</row>
    <row r="387">
      <c r="A387" s="48" t="s">
        <v>4396</v>
      </c>
      <c r="B387" s="44"/>
      <c r="C387" s="48" t="s">
        <v>9262</v>
      </c>
      <c r="D387" s="44"/>
      <c r="E387" s="48" t="s">
        <v>5395</v>
      </c>
      <c r="F387" s="48" t="s">
        <v>5300</v>
      </c>
      <c r="G387" s="55" t="s">
        <v>96</v>
      </c>
      <c r="H387" s="64">
        <v>0.05022</v>
      </c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</row>
    <row r="388">
      <c r="A388" s="48" t="s">
        <v>4453</v>
      </c>
      <c r="B388" s="44"/>
      <c r="C388" s="48" t="s">
        <v>9263</v>
      </c>
      <c r="D388" s="44"/>
      <c r="E388" s="48" t="s">
        <v>5434</v>
      </c>
      <c r="F388" s="48" t="s">
        <v>5300</v>
      </c>
      <c r="G388" s="55" t="s">
        <v>96</v>
      </c>
      <c r="H388" s="64">
        <v>0.05017</v>
      </c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</row>
    <row r="389">
      <c r="A389" s="48" t="s">
        <v>4450</v>
      </c>
      <c r="B389" s="44"/>
      <c r="C389" s="48" t="s">
        <v>9264</v>
      </c>
      <c r="D389" s="44"/>
      <c r="E389" s="48" t="s">
        <v>5283</v>
      </c>
      <c r="F389" s="48" t="s">
        <v>5300</v>
      </c>
      <c r="G389" s="55" t="s">
        <v>96</v>
      </c>
      <c r="H389" s="64">
        <v>0.05013</v>
      </c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</row>
    <row r="390">
      <c r="A390" s="48" t="s">
        <v>9265</v>
      </c>
      <c r="B390" s="44"/>
      <c r="C390" s="48" t="s">
        <v>9266</v>
      </c>
      <c r="D390" s="44"/>
      <c r="E390" s="48" t="s">
        <v>5215</v>
      </c>
      <c r="F390" s="48" t="s">
        <v>5425</v>
      </c>
      <c r="G390" s="55" t="s">
        <v>96</v>
      </c>
      <c r="H390" s="64">
        <v>0.0499</v>
      </c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</row>
    <row r="391">
      <c r="A391" s="48" t="s">
        <v>4030</v>
      </c>
      <c r="B391" s="44"/>
      <c r="C391" s="48" t="s">
        <v>9267</v>
      </c>
      <c r="D391" s="44"/>
      <c r="E391" s="48" t="s">
        <v>5218</v>
      </c>
      <c r="F391" s="48" t="s">
        <v>4095</v>
      </c>
      <c r="G391" s="55" t="s">
        <v>96</v>
      </c>
      <c r="H391" s="64">
        <v>0.04965</v>
      </c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</row>
    <row r="392">
      <c r="A392" s="48" t="s">
        <v>4388</v>
      </c>
      <c r="B392" s="44"/>
      <c r="C392" s="48" t="s">
        <v>9268</v>
      </c>
      <c r="D392" s="44"/>
      <c r="E392" s="48" t="s">
        <v>5759</v>
      </c>
      <c r="F392" s="48" t="s">
        <v>5300</v>
      </c>
      <c r="G392" s="55" t="s">
        <v>96</v>
      </c>
      <c r="H392" s="64">
        <v>0.04961</v>
      </c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</row>
    <row r="393">
      <c r="A393" s="48" t="s">
        <v>4394</v>
      </c>
      <c r="B393" s="44"/>
      <c r="C393" s="48" t="s">
        <v>9269</v>
      </c>
      <c r="D393" s="44"/>
      <c r="E393" s="48" t="s">
        <v>7846</v>
      </c>
      <c r="F393" s="48" t="s">
        <v>5300</v>
      </c>
      <c r="G393" s="55" t="s">
        <v>96</v>
      </c>
      <c r="H393" s="64">
        <v>0.04958</v>
      </c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</row>
    <row r="394">
      <c r="A394" s="48" t="s">
        <v>4414</v>
      </c>
      <c r="B394" s="44"/>
      <c r="C394" s="48" t="s">
        <v>9270</v>
      </c>
      <c r="D394" s="44"/>
      <c r="E394" s="48" t="s">
        <v>5283</v>
      </c>
      <c r="F394" s="48" t="s">
        <v>5268</v>
      </c>
      <c r="G394" s="55" t="s">
        <v>96</v>
      </c>
      <c r="H394" s="64">
        <v>0.04941</v>
      </c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</row>
    <row r="395">
      <c r="A395" s="48" t="s">
        <v>4455</v>
      </c>
      <c r="B395" s="44"/>
      <c r="C395" s="48" t="s">
        <v>9271</v>
      </c>
      <c r="D395" s="44"/>
      <c r="E395" s="48" t="s">
        <v>5321</v>
      </c>
      <c r="F395" s="48" t="s">
        <v>5300</v>
      </c>
      <c r="G395" s="55" t="s">
        <v>96</v>
      </c>
      <c r="H395" s="64">
        <v>0.04936</v>
      </c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</row>
    <row r="396">
      <c r="A396" s="48" t="s">
        <v>4466</v>
      </c>
      <c r="B396" s="44"/>
      <c r="C396" s="48" t="s">
        <v>9272</v>
      </c>
      <c r="D396" s="44"/>
      <c r="E396" s="48" t="s">
        <v>6514</v>
      </c>
      <c r="F396" s="48" t="s">
        <v>5300</v>
      </c>
      <c r="G396" s="55" t="s">
        <v>96</v>
      </c>
      <c r="H396" s="64">
        <v>0.04848</v>
      </c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</row>
    <row r="397">
      <c r="A397" s="48" t="s">
        <v>9273</v>
      </c>
      <c r="B397" s="44"/>
      <c r="C397" s="48" t="s">
        <v>9274</v>
      </c>
      <c r="D397" s="44"/>
      <c r="E397" s="48" t="s">
        <v>5235</v>
      </c>
      <c r="F397" s="48" t="s">
        <v>4436</v>
      </c>
      <c r="G397" s="55" t="s">
        <v>96</v>
      </c>
      <c r="H397" s="64">
        <v>0.04841</v>
      </c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</row>
    <row r="398">
      <c r="A398" s="48" t="s">
        <v>4434</v>
      </c>
      <c r="B398" s="44"/>
      <c r="C398" s="48" t="s">
        <v>9275</v>
      </c>
      <c r="D398" s="44"/>
      <c r="E398" s="48" t="s">
        <v>5501</v>
      </c>
      <c r="F398" s="48" t="s">
        <v>5300</v>
      </c>
      <c r="G398" s="55" t="s">
        <v>96</v>
      </c>
      <c r="H398" s="64">
        <v>0.04837</v>
      </c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</row>
    <row r="399">
      <c r="A399" s="48" t="s">
        <v>4437</v>
      </c>
      <c r="B399" s="44"/>
      <c r="C399" s="48" t="s">
        <v>9276</v>
      </c>
      <c r="D399" s="44"/>
      <c r="E399" s="48" t="s">
        <v>5407</v>
      </c>
      <c r="F399" s="48" t="s">
        <v>5300</v>
      </c>
      <c r="G399" s="55" t="s">
        <v>96</v>
      </c>
      <c r="H399" s="64">
        <v>0.04835</v>
      </c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</row>
    <row r="400">
      <c r="A400" s="48" t="s">
        <v>9277</v>
      </c>
      <c r="B400" s="44"/>
      <c r="C400" s="48" t="s">
        <v>9278</v>
      </c>
      <c r="D400" s="44"/>
      <c r="E400" s="48" t="s">
        <v>5218</v>
      </c>
      <c r="F400" s="48" t="s">
        <v>5425</v>
      </c>
      <c r="G400" s="55" t="s">
        <v>96</v>
      </c>
      <c r="H400" s="64">
        <v>0.04827</v>
      </c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</row>
    <row r="401">
      <c r="A401" s="48" t="s">
        <v>9279</v>
      </c>
      <c r="B401" s="44"/>
      <c r="C401" s="48" t="s">
        <v>9280</v>
      </c>
      <c r="D401" s="44"/>
      <c r="E401" s="48" t="s">
        <v>5218</v>
      </c>
      <c r="F401" s="48" t="s">
        <v>5268</v>
      </c>
      <c r="G401" s="55" t="s">
        <v>96</v>
      </c>
      <c r="H401" s="64">
        <v>0.04819</v>
      </c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</row>
    <row r="402">
      <c r="A402" s="48" t="s">
        <v>4463</v>
      </c>
      <c r="B402" s="44"/>
      <c r="C402" s="48" t="s">
        <v>9281</v>
      </c>
      <c r="D402" s="44"/>
      <c r="E402" s="48" t="s">
        <v>6012</v>
      </c>
      <c r="F402" s="48" t="s">
        <v>5300</v>
      </c>
      <c r="G402" s="55" t="s">
        <v>96</v>
      </c>
      <c r="H402" s="64">
        <v>0.04815</v>
      </c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</row>
    <row r="403">
      <c r="A403" s="48" t="s">
        <v>9282</v>
      </c>
      <c r="B403" s="44"/>
      <c r="C403" s="48" t="s">
        <v>9283</v>
      </c>
      <c r="D403" s="44"/>
      <c r="E403" s="48" t="s">
        <v>5235</v>
      </c>
      <c r="F403" s="48" t="s">
        <v>4436</v>
      </c>
      <c r="G403" s="55" t="s">
        <v>96</v>
      </c>
      <c r="H403" s="64">
        <v>0.04815</v>
      </c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</row>
    <row r="404">
      <c r="A404" s="48" t="s">
        <v>4390</v>
      </c>
      <c r="B404" s="44"/>
      <c r="C404" s="48" t="s">
        <v>9284</v>
      </c>
      <c r="D404" s="44"/>
      <c r="E404" s="48" t="s">
        <v>5374</v>
      </c>
      <c r="F404" s="48" t="s">
        <v>5300</v>
      </c>
      <c r="G404" s="55" t="s">
        <v>96</v>
      </c>
      <c r="H404" s="64">
        <v>0.04811</v>
      </c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</row>
    <row r="405">
      <c r="A405" s="48" t="s">
        <v>9285</v>
      </c>
      <c r="B405" s="44"/>
      <c r="C405" s="48" t="s">
        <v>9286</v>
      </c>
      <c r="D405" s="44"/>
      <c r="E405" s="48" t="s">
        <v>5283</v>
      </c>
      <c r="F405" s="48" t="s">
        <v>8784</v>
      </c>
      <c r="G405" s="55" t="s">
        <v>96</v>
      </c>
      <c r="H405" s="64">
        <v>0.04805</v>
      </c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</row>
    <row r="406">
      <c r="A406" s="48" t="s">
        <v>4451</v>
      </c>
      <c r="B406" s="44"/>
      <c r="C406" s="48" t="s">
        <v>9287</v>
      </c>
      <c r="D406" s="44"/>
      <c r="E406" s="48" t="s">
        <v>5229</v>
      </c>
      <c r="F406" s="48" t="s">
        <v>5300</v>
      </c>
      <c r="G406" s="55" t="s">
        <v>96</v>
      </c>
      <c r="H406" s="64">
        <v>0.04797</v>
      </c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</row>
    <row r="407">
      <c r="A407" s="48" t="s">
        <v>9288</v>
      </c>
      <c r="B407" s="44"/>
      <c r="C407" s="48" t="s">
        <v>9289</v>
      </c>
      <c r="D407" s="44"/>
      <c r="E407" s="48" t="s">
        <v>7260</v>
      </c>
      <c r="F407" s="48" t="s">
        <v>5836</v>
      </c>
      <c r="G407" s="55" t="s">
        <v>96</v>
      </c>
      <c r="H407" s="64">
        <v>0.04787</v>
      </c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</row>
    <row r="408">
      <c r="A408" s="48" t="s">
        <v>9290</v>
      </c>
      <c r="B408" s="44"/>
      <c r="C408" s="48" t="s">
        <v>9291</v>
      </c>
      <c r="D408" s="44"/>
      <c r="E408" s="48" t="s">
        <v>7098</v>
      </c>
      <c r="F408" s="48" t="s">
        <v>5747</v>
      </c>
      <c r="G408" s="55" t="s">
        <v>96</v>
      </c>
      <c r="H408" s="64">
        <v>0.04784</v>
      </c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</row>
    <row r="409">
      <c r="A409" s="48" t="s">
        <v>6620</v>
      </c>
      <c r="B409" s="44"/>
      <c r="C409" s="48" t="s">
        <v>9292</v>
      </c>
      <c r="D409" s="44"/>
      <c r="E409" s="48" t="s">
        <v>5235</v>
      </c>
      <c r="F409" s="48" t="s">
        <v>5425</v>
      </c>
      <c r="G409" s="55" t="s">
        <v>96</v>
      </c>
      <c r="H409" s="64">
        <v>0.0477</v>
      </c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</row>
    <row r="410">
      <c r="A410" s="48" t="s">
        <v>9293</v>
      </c>
      <c r="B410" s="44"/>
      <c r="C410" s="48" t="s">
        <v>9294</v>
      </c>
      <c r="D410" s="44"/>
      <c r="E410" s="48" t="s">
        <v>5742</v>
      </c>
      <c r="F410" s="48" t="s">
        <v>6988</v>
      </c>
      <c r="G410" s="55" t="s">
        <v>96</v>
      </c>
      <c r="H410" s="64">
        <v>0.04769</v>
      </c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</row>
    <row r="411">
      <c r="A411" s="48" t="s">
        <v>4528</v>
      </c>
      <c r="B411" s="44"/>
      <c r="C411" s="48" t="s">
        <v>9295</v>
      </c>
      <c r="D411" s="44"/>
      <c r="E411" s="48" t="s">
        <v>5704</v>
      </c>
      <c r="F411" s="48" t="s">
        <v>5300</v>
      </c>
      <c r="G411" s="55" t="s">
        <v>96</v>
      </c>
      <c r="H411" s="64">
        <v>0.04684</v>
      </c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</row>
    <row r="412">
      <c r="A412" s="48" t="s">
        <v>5468</v>
      </c>
      <c r="B412" s="44"/>
      <c r="C412" s="48" t="s">
        <v>9296</v>
      </c>
      <c r="D412" s="44"/>
      <c r="E412" s="48" t="s">
        <v>5235</v>
      </c>
      <c r="F412" s="48" t="s">
        <v>5747</v>
      </c>
      <c r="G412" s="55" t="s">
        <v>96</v>
      </c>
      <c r="H412" s="64">
        <v>0.04672</v>
      </c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</row>
    <row r="413">
      <c r="A413" s="48" t="s">
        <v>9297</v>
      </c>
      <c r="B413" s="44"/>
      <c r="C413" s="48" t="s">
        <v>9298</v>
      </c>
      <c r="D413" s="44"/>
      <c r="E413" s="48" t="s">
        <v>5215</v>
      </c>
      <c r="F413" s="48" t="s">
        <v>9299</v>
      </c>
      <c r="G413" s="55" t="s">
        <v>96</v>
      </c>
      <c r="H413" s="64">
        <v>0.04655</v>
      </c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</row>
    <row r="414">
      <c r="A414" s="48" t="s">
        <v>4410</v>
      </c>
      <c r="B414" s="44"/>
      <c r="C414" s="48" t="s">
        <v>9300</v>
      </c>
      <c r="D414" s="44"/>
      <c r="E414" s="48" t="s">
        <v>5395</v>
      </c>
      <c r="F414" s="48" t="s">
        <v>5300</v>
      </c>
      <c r="G414" s="55" t="s">
        <v>96</v>
      </c>
      <c r="H414" s="64">
        <v>0.04619</v>
      </c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</row>
    <row r="415">
      <c r="A415" s="48" t="s">
        <v>9301</v>
      </c>
      <c r="B415" s="44"/>
      <c r="C415" s="48" t="s">
        <v>9302</v>
      </c>
      <c r="D415" s="44"/>
      <c r="E415" s="48" t="s">
        <v>5261</v>
      </c>
      <c r="F415" s="48" t="s">
        <v>4153</v>
      </c>
      <c r="G415" s="55" t="s">
        <v>96</v>
      </c>
      <c r="H415" s="64">
        <v>0.04609</v>
      </c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</row>
    <row r="416">
      <c r="A416" s="48" t="s">
        <v>4408</v>
      </c>
      <c r="B416" s="44"/>
      <c r="C416" s="48" t="s">
        <v>9303</v>
      </c>
      <c r="D416" s="44"/>
      <c r="E416" s="48" t="s">
        <v>6338</v>
      </c>
      <c r="F416" s="48" t="s">
        <v>5300</v>
      </c>
      <c r="G416" s="55" t="s">
        <v>96</v>
      </c>
      <c r="H416" s="64">
        <v>0.04591</v>
      </c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</row>
    <row r="417">
      <c r="A417" s="48" t="s">
        <v>4447</v>
      </c>
      <c r="B417" s="44"/>
      <c r="C417" s="48" t="s">
        <v>9304</v>
      </c>
      <c r="D417" s="44"/>
      <c r="E417" s="48" t="s">
        <v>6868</v>
      </c>
      <c r="F417" s="48" t="s">
        <v>5300</v>
      </c>
      <c r="G417" s="55" t="s">
        <v>96</v>
      </c>
      <c r="H417" s="64">
        <v>0.04574</v>
      </c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</row>
    <row r="418">
      <c r="A418" s="48" t="s">
        <v>9305</v>
      </c>
      <c r="B418" s="44"/>
      <c r="C418" s="48" t="s">
        <v>9306</v>
      </c>
      <c r="D418" s="44"/>
      <c r="E418" s="48" t="s">
        <v>5374</v>
      </c>
      <c r="F418" s="48" t="s">
        <v>5836</v>
      </c>
      <c r="G418" s="55" t="s">
        <v>96</v>
      </c>
      <c r="H418" s="64">
        <v>0.04571</v>
      </c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</row>
    <row r="419">
      <c r="A419" s="48" t="s">
        <v>4439</v>
      </c>
      <c r="B419" s="44"/>
      <c r="C419" s="48" t="s">
        <v>9307</v>
      </c>
      <c r="D419" s="44"/>
      <c r="E419" s="48" t="s">
        <v>6389</v>
      </c>
      <c r="F419" s="48" t="s">
        <v>5300</v>
      </c>
      <c r="G419" s="55" t="s">
        <v>96</v>
      </c>
      <c r="H419" s="64">
        <v>0.04538</v>
      </c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</row>
    <row r="420">
      <c r="A420" s="48" t="s">
        <v>4417</v>
      </c>
      <c r="B420" s="44"/>
      <c r="C420" s="48" t="s">
        <v>9308</v>
      </c>
      <c r="D420" s="44"/>
      <c r="E420" s="48" t="s">
        <v>5387</v>
      </c>
      <c r="F420" s="48" t="s">
        <v>5268</v>
      </c>
      <c r="G420" s="55" t="s">
        <v>96</v>
      </c>
      <c r="H420" s="64">
        <v>0.04528</v>
      </c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</row>
    <row r="421">
      <c r="A421" s="48" t="s">
        <v>9309</v>
      </c>
      <c r="B421" s="44"/>
      <c r="C421" s="48" t="s">
        <v>9310</v>
      </c>
      <c r="D421" s="44"/>
      <c r="E421" s="48" t="s">
        <v>5369</v>
      </c>
      <c r="F421" s="48" t="s">
        <v>8784</v>
      </c>
      <c r="G421" s="55" t="s">
        <v>96</v>
      </c>
      <c r="H421" s="64">
        <v>0.04489</v>
      </c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</row>
    <row r="422">
      <c r="A422" s="48" t="s">
        <v>9311</v>
      </c>
      <c r="B422" s="44"/>
      <c r="C422" s="48" t="s">
        <v>9312</v>
      </c>
      <c r="D422" s="44"/>
      <c r="E422" s="48" t="s">
        <v>5283</v>
      </c>
      <c r="F422" s="48" t="s">
        <v>8784</v>
      </c>
      <c r="G422" s="55" t="s">
        <v>96</v>
      </c>
      <c r="H422" s="64">
        <v>0.04474</v>
      </c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</row>
    <row r="423">
      <c r="A423" s="48" t="s">
        <v>9313</v>
      </c>
      <c r="B423" s="44"/>
      <c r="C423" s="48" t="s">
        <v>9314</v>
      </c>
      <c r="D423" s="44"/>
      <c r="E423" s="48" t="s">
        <v>5280</v>
      </c>
      <c r="F423" s="48" t="s">
        <v>5268</v>
      </c>
      <c r="G423" s="55" t="s">
        <v>96</v>
      </c>
      <c r="H423" s="64">
        <v>0.04474</v>
      </c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</row>
    <row r="424">
      <c r="A424" s="48" t="s">
        <v>9315</v>
      </c>
      <c r="B424" s="44"/>
      <c r="C424" s="48" t="s">
        <v>9316</v>
      </c>
      <c r="D424" s="44"/>
      <c r="E424" s="48" t="s">
        <v>9221</v>
      </c>
      <c r="F424" s="48" t="s">
        <v>8784</v>
      </c>
      <c r="G424" s="55" t="s">
        <v>96</v>
      </c>
      <c r="H424" s="64">
        <v>0.04467</v>
      </c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</row>
    <row r="425">
      <c r="A425" s="48" t="s">
        <v>4498</v>
      </c>
      <c r="B425" s="44"/>
      <c r="C425" s="48" t="s">
        <v>9317</v>
      </c>
      <c r="D425" s="44"/>
      <c r="E425" s="48" t="s">
        <v>6514</v>
      </c>
      <c r="F425" s="48" t="s">
        <v>5300</v>
      </c>
      <c r="G425" s="55" t="s">
        <v>96</v>
      </c>
      <c r="H425" s="64">
        <v>0.04451</v>
      </c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</row>
    <row r="426">
      <c r="A426" s="48" t="s">
        <v>9318</v>
      </c>
      <c r="B426" s="44"/>
      <c r="C426" s="48" t="s">
        <v>9319</v>
      </c>
      <c r="D426" s="44"/>
      <c r="E426" s="48" t="s">
        <v>5258</v>
      </c>
      <c r="F426" s="48" t="s">
        <v>5836</v>
      </c>
      <c r="G426" s="55" t="s">
        <v>96</v>
      </c>
      <c r="H426" s="64">
        <v>0.04441</v>
      </c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</row>
    <row r="427">
      <c r="A427" s="48" t="s">
        <v>4519</v>
      </c>
      <c r="B427" s="44"/>
      <c r="C427" s="48" t="s">
        <v>9320</v>
      </c>
      <c r="D427" s="44"/>
      <c r="E427" s="48" t="s">
        <v>5341</v>
      </c>
      <c r="F427" s="48" t="s">
        <v>5300</v>
      </c>
      <c r="G427" s="55" t="s">
        <v>96</v>
      </c>
      <c r="H427" s="64">
        <v>0.04435</v>
      </c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</row>
    <row r="428">
      <c r="A428" s="48" t="s">
        <v>4424</v>
      </c>
      <c r="B428" s="44"/>
      <c r="C428" s="48" t="s">
        <v>9321</v>
      </c>
      <c r="D428" s="44"/>
      <c r="E428" s="48" t="s">
        <v>5229</v>
      </c>
      <c r="F428" s="48" t="s">
        <v>5300</v>
      </c>
      <c r="G428" s="55" t="s">
        <v>96</v>
      </c>
      <c r="H428" s="64">
        <v>0.04382</v>
      </c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</row>
    <row r="429">
      <c r="A429" s="48" t="s">
        <v>9322</v>
      </c>
      <c r="B429" s="44"/>
      <c r="C429" s="48" t="s">
        <v>9323</v>
      </c>
      <c r="D429" s="44"/>
      <c r="E429" s="48" t="s">
        <v>5691</v>
      </c>
      <c r="F429" s="48" t="s">
        <v>4153</v>
      </c>
      <c r="G429" s="55" t="s">
        <v>96</v>
      </c>
      <c r="H429" s="64">
        <v>0.04364</v>
      </c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</row>
    <row r="430">
      <c r="A430" s="48" t="s">
        <v>4471</v>
      </c>
      <c r="B430" s="44"/>
      <c r="C430" s="48" t="s">
        <v>9324</v>
      </c>
      <c r="D430" s="44"/>
      <c r="E430" s="48" t="s">
        <v>5215</v>
      </c>
      <c r="F430" s="48" t="s">
        <v>5300</v>
      </c>
      <c r="G430" s="55" t="s">
        <v>96</v>
      </c>
      <c r="H430" s="64">
        <v>0.04333</v>
      </c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</row>
    <row r="431">
      <c r="A431" s="48" t="s">
        <v>4507</v>
      </c>
      <c r="B431" s="44"/>
      <c r="C431" s="48" t="s">
        <v>9325</v>
      </c>
      <c r="D431" s="44"/>
      <c r="E431" s="48" t="s">
        <v>5215</v>
      </c>
      <c r="F431" s="48" t="s">
        <v>5300</v>
      </c>
      <c r="G431" s="55" t="s">
        <v>96</v>
      </c>
      <c r="H431" s="64">
        <v>0.0433</v>
      </c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</row>
    <row r="432">
      <c r="A432" s="48" t="s">
        <v>4472</v>
      </c>
      <c r="B432" s="44"/>
      <c r="C432" s="48" t="s">
        <v>9326</v>
      </c>
      <c r="D432" s="44"/>
      <c r="E432" s="48" t="s">
        <v>5609</v>
      </c>
      <c r="F432" s="48" t="s">
        <v>5300</v>
      </c>
      <c r="G432" s="55" t="s">
        <v>96</v>
      </c>
      <c r="H432" s="64">
        <v>0.04319</v>
      </c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</row>
    <row r="433">
      <c r="A433" s="48" t="s">
        <v>9327</v>
      </c>
      <c r="B433" s="44"/>
      <c r="C433" s="48" t="s">
        <v>9328</v>
      </c>
      <c r="D433" s="44"/>
      <c r="E433" s="48" t="s">
        <v>5434</v>
      </c>
      <c r="F433" s="48" t="s">
        <v>8759</v>
      </c>
      <c r="G433" s="55" t="s">
        <v>96</v>
      </c>
      <c r="H433" s="64">
        <v>0.04315</v>
      </c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</row>
    <row r="434">
      <c r="A434" s="48" t="s">
        <v>9329</v>
      </c>
      <c r="B434" s="44"/>
      <c r="C434" s="48" t="s">
        <v>9330</v>
      </c>
      <c r="D434" s="44"/>
      <c r="E434" s="48" t="s">
        <v>5261</v>
      </c>
      <c r="F434" s="48" t="s">
        <v>5300</v>
      </c>
      <c r="G434" s="55" t="s">
        <v>96</v>
      </c>
      <c r="H434" s="64">
        <v>0.04291</v>
      </c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</row>
    <row r="435">
      <c r="A435" s="48" t="s">
        <v>4468</v>
      </c>
      <c r="B435" s="44"/>
      <c r="C435" s="48" t="s">
        <v>9331</v>
      </c>
      <c r="D435" s="44"/>
      <c r="E435" s="48" t="s">
        <v>5283</v>
      </c>
      <c r="F435" s="48" t="s">
        <v>5300</v>
      </c>
      <c r="G435" s="55" t="s">
        <v>96</v>
      </c>
      <c r="H435" s="64">
        <v>0.04286</v>
      </c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</row>
    <row r="436">
      <c r="A436" s="48" t="s">
        <v>9332</v>
      </c>
      <c r="B436" s="44"/>
      <c r="C436" s="48" t="s">
        <v>9333</v>
      </c>
      <c r="D436" s="44"/>
      <c r="E436" s="48" t="s">
        <v>5459</v>
      </c>
      <c r="F436" s="48" t="s">
        <v>6698</v>
      </c>
      <c r="G436" s="55" t="s">
        <v>96</v>
      </c>
      <c r="H436" s="64">
        <v>0.04279</v>
      </c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</row>
    <row r="437">
      <c r="A437" s="48" t="s">
        <v>9334</v>
      </c>
      <c r="B437" s="44"/>
      <c r="C437" s="48" t="s">
        <v>9335</v>
      </c>
      <c r="D437" s="44"/>
      <c r="E437" s="48" t="s">
        <v>5715</v>
      </c>
      <c r="F437" s="48" t="s">
        <v>5747</v>
      </c>
      <c r="G437" s="55" t="s">
        <v>96</v>
      </c>
      <c r="H437" s="64">
        <v>0.04275</v>
      </c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</row>
    <row r="438">
      <c r="A438" s="48" t="s">
        <v>9336</v>
      </c>
      <c r="B438" s="44"/>
      <c r="C438" s="48" t="s">
        <v>9091</v>
      </c>
      <c r="D438" s="44"/>
      <c r="E438" s="48" t="s">
        <v>5422</v>
      </c>
      <c r="F438" s="48" t="s">
        <v>9021</v>
      </c>
      <c r="G438" s="55" t="s">
        <v>96</v>
      </c>
      <c r="H438" s="64">
        <v>0.0427</v>
      </c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</row>
    <row r="439">
      <c r="A439" s="48" t="s">
        <v>9337</v>
      </c>
      <c r="B439" s="44"/>
      <c r="C439" s="48" t="s">
        <v>9338</v>
      </c>
      <c r="D439" s="44"/>
      <c r="E439" s="48" t="s">
        <v>5374</v>
      </c>
      <c r="F439" s="48" t="s">
        <v>5300</v>
      </c>
      <c r="G439" s="55" t="s">
        <v>96</v>
      </c>
      <c r="H439" s="64">
        <v>0.0426</v>
      </c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</row>
    <row r="440">
      <c r="A440" s="48" t="s">
        <v>6260</v>
      </c>
      <c r="B440" s="44"/>
      <c r="C440" s="48" t="s">
        <v>9059</v>
      </c>
      <c r="D440" s="44"/>
      <c r="E440" s="48" t="s">
        <v>6801</v>
      </c>
      <c r="F440" s="48" t="s">
        <v>5747</v>
      </c>
      <c r="G440" s="55" t="s">
        <v>96</v>
      </c>
      <c r="H440" s="64">
        <v>0.04257</v>
      </c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</row>
    <row r="441">
      <c r="A441" s="48" t="s">
        <v>4459</v>
      </c>
      <c r="B441" s="44"/>
      <c r="C441" s="48" t="s">
        <v>9339</v>
      </c>
      <c r="D441" s="44"/>
      <c r="E441" s="48" t="s">
        <v>5280</v>
      </c>
      <c r="F441" s="48" t="s">
        <v>5300</v>
      </c>
      <c r="G441" s="55" t="s">
        <v>96</v>
      </c>
      <c r="H441" s="64">
        <v>0.04242</v>
      </c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</row>
    <row r="442">
      <c r="A442" s="48" t="s">
        <v>4508</v>
      </c>
      <c r="B442" s="44"/>
      <c r="C442" s="48" t="s">
        <v>9340</v>
      </c>
      <c r="D442" s="44"/>
      <c r="E442" s="48" t="s">
        <v>7846</v>
      </c>
      <c r="F442" s="48" t="s">
        <v>5300</v>
      </c>
      <c r="G442" s="55" t="s">
        <v>96</v>
      </c>
      <c r="H442" s="64">
        <v>0.04214</v>
      </c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</row>
    <row r="443">
      <c r="A443" s="48" t="s">
        <v>9341</v>
      </c>
      <c r="B443" s="44"/>
      <c r="C443" s="48" t="s">
        <v>9342</v>
      </c>
      <c r="D443" s="44"/>
      <c r="E443" s="48" t="s">
        <v>5218</v>
      </c>
      <c r="F443" s="48" t="s">
        <v>8784</v>
      </c>
      <c r="G443" s="55" t="s">
        <v>96</v>
      </c>
      <c r="H443" s="64">
        <v>0.04211</v>
      </c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</row>
    <row r="444">
      <c r="A444" s="48" t="s">
        <v>4438</v>
      </c>
      <c r="B444" s="44"/>
      <c r="C444" s="48" t="s">
        <v>9343</v>
      </c>
      <c r="D444" s="44"/>
      <c r="E444" s="48" t="s">
        <v>9189</v>
      </c>
      <c r="F444" s="48" t="s">
        <v>5300</v>
      </c>
      <c r="G444" s="55" t="s">
        <v>96</v>
      </c>
      <c r="H444" s="64">
        <v>0.042</v>
      </c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</row>
    <row r="445">
      <c r="A445" s="48" t="s">
        <v>9344</v>
      </c>
      <c r="B445" s="44"/>
      <c r="C445" s="48" t="s">
        <v>9345</v>
      </c>
      <c r="D445" s="44"/>
      <c r="E445" s="48" t="s">
        <v>5395</v>
      </c>
      <c r="F445" s="48" t="s">
        <v>5425</v>
      </c>
      <c r="G445" s="55" t="s">
        <v>96</v>
      </c>
      <c r="H445" s="64">
        <v>0.04169</v>
      </c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</row>
    <row r="446">
      <c r="A446" s="48" t="s">
        <v>4596</v>
      </c>
      <c r="B446" s="44"/>
      <c r="C446" s="48" t="s">
        <v>9346</v>
      </c>
      <c r="D446" s="44"/>
      <c r="E446" s="48" t="s">
        <v>5283</v>
      </c>
      <c r="F446" s="48" t="s">
        <v>5300</v>
      </c>
      <c r="G446" s="55" t="s">
        <v>96</v>
      </c>
      <c r="H446" s="64">
        <v>0.04163</v>
      </c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</row>
    <row r="447">
      <c r="A447" s="48" t="s">
        <v>9347</v>
      </c>
      <c r="B447" s="44"/>
      <c r="C447" s="48" t="s">
        <v>9348</v>
      </c>
      <c r="D447" s="44"/>
      <c r="E447" s="48" t="s">
        <v>5283</v>
      </c>
      <c r="F447" s="48" t="s">
        <v>6988</v>
      </c>
      <c r="G447" s="55" t="s">
        <v>96</v>
      </c>
      <c r="H447" s="64">
        <v>0.04161</v>
      </c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</row>
    <row r="448">
      <c r="A448" s="48" t="s">
        <v>5610</v>
      </c>
      <c r="B448" s="44"/>
      <c r="C448" s="48" t="s">
        <v>9349</v>
      </c>
      <c r="D448" s="44"/>
      <c r="E448" s="48" t="s">
        <v>5459</v>
      </c>
      <c r="F448" s="48" t="s">
        <v>6988</v>
      </c>
      <c r="G448" s="55" t="s">
        <v>96</v>
      </c>
      <c r="H448" s="64">
        <v>0.04149</v>
      </c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</row>
    <row r="449">
      <c r="A449" s="48" t="s">
        <v>9350</v>
      </c>
      <c r="B449" s="44"/>
      <c r="C449" s="48" t="s">
        <v>9351</v>
      </c>
      <c r="D449" s="44"/>
      <c r="E449" s="48" t="s">
        <v>5215</v>
      </c>
      <c r="F449" s="48" t="s">
        <v>5747</v>
      </c>
      <c r="G449" s="55" t="s">
        <v>96</v>
      </c>
      <c r="H449" s="64">
        <v>0.04144</v>
      </c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</row>
    <row r="450">
      <c r="A450" s="48" t="s">
        <v>4504</v>
      </c>
      <c r="B450" s="44"/>
      <c r="C450" s="48" t="s">
        <v>9352</v>
      </c>
      <c r="D450" s="44"/>
      <c r="E450" s="48" t="s">
        <v>5271</v>
      </c>
      <c r="F450" s="48" t="s">
        <v>5300</v>
      </c>
      <c r="G450" s="55" t="s">
        <v>96</v>
      </c>
      <c r="H450" s="64">
        <v>0.04144</v>
      </c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</row>
    <row r="451">
      <c r="A451" s="48" t="s">
        <v>9353</v>
      </c>
      <c r="B451" s="44"/>
      <c r="C451" s="48" t="s">
        <v>9354</v>
      </c>
      <c r="D451" s="44"/>
      <c r="E451" s="48" t="s">
        <v>5232</v>
      </c>
      <c r="F451" s="48" t="s">
        <v>5300</v>
      </c>
      <c r="G451" s="55" t="s">
        <v>96</v>
      </c>
      <c r="H451" s="64">
        <v>0.04142</v>
      </c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</row>
    <row r="452">
      <c r="A452" s="48" t="s">
        <v>9355</v>
      </c>
      <c r="B452" s="44"/>
      <c r="C452" s="48" t="s">
        <v>9356</v>
      </c>
      <c r="D452" s="44"/>
      <c r="E452" s="48" t="s">
        <v>5271</v>
      </c>
      <c r="F452" s="48" t="s">
        <v>8759</v>
      </c>
      <c r="G452" s="55" t="s">
        <v>96</v>
      </c>
      <c r="H452" s="64">
        <v>0.04124</v>
      </c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</row>
    <row r="453">
      <c r="A453" s="48" t="s">
        <v>4495</v>
      </c>
      <c r="B453" s="44"/>
      <c r="C453" s="48" t="s">
        <v>9357</v>
      </c>
      <c r="D453" s="44"/>
      <c r="E453" s="48" t="s">
        <v>9189</v>
      </c>
      <c r="F453" s="48" t="s">
        <v>5300</v>
      </c>
      <c r="G453" s="55" t="s">
        <v>96</v>
      </c>
      <c r="H453" s="64">
        <v>0.04119</v>
      </c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</row>
    <row r="454">
      <c r="A454" s="48" t="s">
        <v>4462</v>
      </c>
      <c r="B454" s="44"/>
      <c r="C454" s="48" t="s">
        <v>9358</v>
      </c>
      <c r="D454" s="44"/>
      <c r="E454" s="48" t="s">
        <v>5675</v>
      </c>
      <c r="F454" s="48" t="s">
        <v>5300</v>
      </c>
      <c r="G454" s="55" t="s">
        <v>96</v>
      </c>
      <c r="H454" s="64">
        <v>0.04117</v>
      </c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</row>
    <row r="455">
      <c r="A455" s="48" t="s">
        <v>4539</v>
      </c>
      <c r="B455" s="44"/>
      <c r="C455" s="48" t="s">
        <v>9359</v>
      </c>
      <c r="D455" s="44"/>
      <c r="E455" s="48" t="s">
        <v>5431</v>
      </c>
      <c r="F455" s="48" t="s">
        <v>9360</v>
      </c>
      <c r="G455" s="55" t="s">
        <v>96</v>
      </c>
      <c r="H455" s="64">
        <v>0.04114</v>
      </c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</row>
    <row r="456">
      <c r="A456" s="48" t="s">
        <v>4572</v>
      </c>
      <c r="B456" s="44"/>
      <c r="C456" s="48" t="s">
        <v>9361</v>
      </c>
      <c r="D456" s="44"/>
      <c r="E456" s="48" t="s">
        <v>5276</v>
      </c>
      <c r="F456" s="48" t="s">
        <v>5300</v>
      </c>
      <c r="G456" s="55" t="s">
        <v>96</v>
      </c>
      <c r="H456" s="64">
        <v>0.04112</v>
      </c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</row>
    <row r="457">
      <c r="A457" s="48" t="s">
        <v>9362</v>
      </c>
      <c r="B457" s="44"/>
      <c r="C457" s="48" t="s">
        <v>9363</v>
      </c>
      <c r="D457" s="44"/>
      <c r="E457" s="48" t="s">
        <v>5453</v>
      </c>
      <c r="F457" s="48" t="s">
        <v>8759</v>
      </c>
      <c r="G457" s="55" t="s">
        <v>96</v>
      </c>
      <c r="H457" s="64">
        <v>0.04085</v>
      </c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</row>
    <row r="458">
      <c r="A458" s="48" t="s">
        <v>9364</v>
      </c>
      <c r="B458" s="44"/>
      <c r="C458" s="48" t="s">
        <v>9365</v>
      </c>
      <c r="D458" s="44"/>
      <c r="E458" s="48" t="s">
        <v>5232</v>
      </c>
      <c r="F458" s="48" t="s">
        <v>5836</v>
      </c>
      <c r="G458" s="55" t="s">
        <v>96</v>
      </c>
      <c r="H458" s="64">
        <v>0.04079</v>
      </c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</row>
    <row r="459">
      <c r="A459" s="48" t="s">
        <v>9366</v>
      </c>
      <c r="B459" s="44"/>
      <c r="C459" s="48" t="s">
        <v>9367</v>
      </c>
      <c r="D459" s="44"/>
      <c r="E459" s="48" t="s">
        <v>5276</v>
      </c>
      <c r="F459" s="48" t="s">
        <v>5300</v>
      </c>
      <c r="G459" s="55" t="s">
        <v>96</v>
      </c>
      <c r="H459" s="64">
        <v>0.04042</v>
      </c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</row>
    <row r="460">
      <c r="A460" s="48" t="s">
        <v>9368</v>
      </c>
      <c r="B460" s="44"/>
      <c r="C460" s="48" t="s">
        <v>9369</v>
      </c>
      <c r="D460" s="44"/>
      <c r="E460" s="48" t="s">
        <v>5978</v>
      </c>
      <c r="F460" s="48" t="s">
        <v>8784</v>
      </c>
      <c r="G460" s="55" t="s">
        <v>96</v>
      </c>
      <c r="H460" s="64">
        <v>0.04035</v>
      </c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</row>
    <row r="461">
      <c r="A461" s="48" t="s">
        <v>9370</v>
      </c>
      <c r="B461" s="44"/>
      <c r="C461" s="48" t="s">
        <v>9371</v>
      </c>
      <c r="D461" s="44"/>
      <c r="E461" s="48" t="s">
        <v>5961</v>
      </c>
      <c r="F461" s="48" t="s">
        <v>8784</v>
      </c>
      <c r="G461" s="55" t="s">
        <v>96</v>
      </c>
      <c r="H461" s="64">
        <v>0.04034</v>
      </c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</row>
    <row r="462">
      <c r="A462" s="48" t="s">
        <v>9372</v>
      </c>
      <c r="B462" s="44"/>
      <c r="C462" s="48" t="s">
        <v>9373</v>
      </c>
      <c r="D462" s="44"/>
      <c r="E462" s="48" t="s">
        <v>5561</v>
      </c>
      <c r="F462" s="48" t="s">
        <v>8784</v>
      </c>
      <c r="G462" s="55" t="s">
        <v>96</v>
      </c>
      <c r="H462" s="64">
        <v>0.04019</v>
      </c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</row>
    <row r="463">
      <c r="A463" s="48" t="s">
        <v>9374</v>
      </c>
      <c r="B463" s="44"/>
      <c r="C463" s="48" t="s">
        <v>9375</v>
      </c>
      <c r="D463" s="44"/>
      <c r="E463" s="48" t="s">
        <v>5229</v>
      </c>
      <c r="F463" s="48" t="s">
        <v>5300</v>
      </c>
      <c r="G463" s="55" t="s">
        <v>96</v>
      </c>
      <c r="H463" s="64">
        <v>0.04019</v>
      </c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</row>
    <row r="464">
      <c r="A464" s="48" t="s">
        <v>9376</v>
      </c>
      <c r="B464" s="44"/>
      <c r="C464" s="48" t="s">
        <v>9377</v>
      </c>
      <c r="D464" s="44"/>
      <c r="E464" s="48" t="s">
        <v>5434</v>
      </c>
      <c r="F464" s="48" t="s">
        <v>8784</v>
      </c>
      <c r="G464" s="55" t="s">
        <v>96</v>
      </c>
      <c r="H464" s="64">
        <v>0.04008</v>
      </c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</row>
    <row r="465">
      <c r="A465" s="48" t="s">
        <v>4449</v>
      </c>
      <c r="B465" s="44"/>
      <c r="C465" s="48" t="s">
        <v>9378</v>
      </c>
      <c r="D465" s="44"/>
      <c r="E465" s="48" t="s">
        <v>5445</v>
      </c>
      <c r="F465" s="48" t="s">
        <v>5300</v>
      </c>
      <c r="G465" s="55" t="s">
        <v>96</v>
      </c>
      <c r="H465" s="64">
        <v>0.04004</v>
      </c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</row>
    <row r="466">
      <c r="A466" s="48" t="s">
        <v>9379</v>
      </c>
      <c r="B466" s="44"/>
      <c r="C466" s="48" t="s">
        <v>9380</v>
      </c>
      <c r="D466" s="44"/>
      <c r="E466" s="48" t="s">
        <v>5276</v>
      </c>
      <c r="F466" s="48" t="s">
        <v>5300</v>
      </c>
      <c r="G466" s="55" t="s">
        <v>96</v>
      </c>
      <c r="H466" s="64">
        <v>0.03998</v>
      </c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</row>
    <row r="467">
      <c r="A467" s="48" t="s">
        <v>4522</v>
      </c>
      <c r="B467" s="44"/>
      <c r="C467" s="48" t="s">
        <v>9381</v>
      </c>
      <c r="D467" s="44"/>
      <c r="E467" s="48" t="s">
        <v>5742</v>
      </c>
      <c r="F467" s="48" t="s">
        <v>5300</v>
      </c>
      <c r="G467" s="55" t="s">
        <v>96</v>
      </c>
      <c r="H467" s="64">
        <v>0.03928</v>
      </c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</row>
    <row r="468">
      <c r="A468" s="48" t="s">
        <v>4474</v>
      </c>
      <c r="B468" s="44"/>
      <c r="C468" s="48" t="s">
        <v>9382</v>
      </c>
      <c r="D468" s="44"/>
      <c r="E468" s="48" t="s">
        <v>5241</v>
      </c>
      <c r="F468" s="48" t="s">
        <v>5300</v>
      </c>
      <c r="G468" s="55" t="s">
        <v>96</v>
      </c>
      <c r="H468" s="64">
        <v>0.03926</v>
      </c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</row>
    <row r="469">
      <c r="A469" s="48" t="s">
        <v>4526</v>
      </c>
      <c r="B469" s="44"/>
      <c r="C469" s="48" t="s">
        <v>9383</v>
      </c>
      <c r="D469" s="44"/>
      <c r="E469" s="48" t="s">
        <v>5321</v>
      </c>
      <c r="F469" s="48" t="s">
        <v>5300</v>
      </c>
      <c r="G469" s="55" t="s">
        <v>96</v>
      </c>
      <c r="H469" s="64">
        <v>0.03924</v>
      </c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</row>
    <row r="470">
      <c r="A470" s="48" t="s">
        <v>4444</v>
      </c>
      <c r="B470" s="44"/>
      <c r="C470" s="48" t="s">
        <v>9384</v>
      </c>
      <c r="D470" s="44"/>
      <c r="E470" s="48" t="s">
        <v>6487</v>
      </c>
      <c r="F470" s="48" t="s">
        <v>5300</v>
      </c>
      <c r="G470" s="55" t="s">
        <v>96</v>
      </c>
      <c r="H470" s="64">
        <v>0.0392</v>
      </c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</row>
    <row r="471">
      <c r="A471" s="48" t="s">
        <v>4458</v>
      </c>
      <c r="B471" s="44"/>
      <c r="C471" s="48" t="s">
        <v>9385</v>
      </c>
      <c r="D471" s="44"/>
      <c r="E471" s="48" t="s">
        <v>5374</v>
      </c>
      <c r="F471" s="48" t="s">
        <v>5300</v>
      </c>
      <c r="G471" s="55" t="s">
        <v>96</v>
      </c>
      <c r="H471" s="64">
        <v>0.03915</v>
      </c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</row>
    <row r="472">
      <c r="A472" s="48" t="s">
        <v>9386</v>
      </c>
      <c r="B472" s="44"/>
      <c r="C472" s="48" t="s">
        <v>9387</v>
      </c>
      <c r="D472" s="44"/>
      <c r="E472" s="48" t="s">
        <v>5271</v>
      </c>
      <c r="F472" s="48" t="s">
        <v>8784</v>
      </c>
      <c r="G472" s="55" t="s">
        <v>96</v>
      </c>
      <c r="H472" s="64">
        <v>0.03881</v>
      </c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</row>
    <row r="473">
      <c r="A473" s="48" t="s">
        <v>9388</v>
      </c>
      <c r="B473" s="44"/>
      <c r="C473" s="48" t="s">
        <v>9389</v>
      </c>
      <c r="D473" s="44"/>
      <c r="E473" s="48" t="s">
        <v>5271</v>
      </c>
      <c r="F473" s="48" t="s">
        <v>5425</v>
      </c>
      <c r="G473" s="55" t="s">
        <v>96</v>
      </c>
      <c r="H473" s="64">
        <v>0.0388</v>
      </c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</row>
    <row r="474">
      <c r="A474" s="48" t="s">
        <v>4506</v>
      </c>
      <c r="B474" s="44"/>
      <c r="C474" s="48" t="s">
        <v>9390</v>
      </c>
      <c r="D474" s="44"/>
      <c r="E474" s="48" t="s">
        <v>5811</v>
      </c>
      <c r="F474" s="48" t="s">
        <v>5300</v>
      </c>
      <c r="G474" s="55" t="s">
        <v>96</v>
      </c>
      <c r="H474" s="64">
        <v>0.03878</v>
      </c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</row>
    <row r="475">
      <c r="A475" s="48" t="s">
        <v>4533</v>
      </c>
      <c r="B475" s="44"/>
      <c r="C475" s="48" t="s">
        <v>9391</v>
      </c>
      <c r="D475" s="44"/>
      <c r="E475" s="48" t="s">
        <v>5215</v>
      </c>
      <c r="F475" s="48" t="s">
        <v>5300</v>
      </c>
      <c r="G475" s="55" t="s">
        <v>96</v>
      </c>
      <c r="H475" s="64">
        <v>0.03878</v>
      </c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</row>
    <row r="476">
      <c r="A476" s="48" t="s">
        <v>9392</v>
      </c>
      <c r="B476" s="44"/>
      <c r="C476" s="48" t="s">
        <v>9393</v>
      </c>
      <c r="D476" s="44"/>
      <c r="E476" s="48" t="s">
        <v>5215</v>
      </c>
      <c r="F476" s="48" t="s">
        <v>9021</v>
      </c>
      <c r="G476" s="55" t="s">
        <v>96</v>
      </c>
      <c r="H476" s="64">
        <v>0.0387</v>
      </c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</row>
    <row r="477">
      <c r="A477" s="48" t="s">
        <v>4510</v>
      </c>
      <c r="B477" s="44"/>
      <c r="C477" s="48" t="s">
        <v>9394</v>
      </c>
      <c r="D477" s="44"/>
      <c r="E477" s="48" t="s">
        <v>5467</v>
      </c>
      <c r="F477" s="48" t="s">
        <v>5300</v>
      </c>
      <c r="G477" s="55" t="s">
        <v>96</v>
      </c>
      <c r="H477" s="64">
        <v>0.03853</v>
      </c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</row>
    <row r="478">
      <c r="A478" s="48" t="s">
        <v>4536</v>
      </c>
      <c r="B478" s="44"/>
      <c r="C478" s="48" t="s">
        <v>9395</v>
      </c>
      <c r="D478" s="44"/>
      <c r="E478" s="48" t="s">
        <v>5715</v>
      </c>
      <c r="F478" s="48" t="s">
        <v>5300</v>
      </c>
      <c r="G478" s="55" t="s">
        <v>96</v>
      </c>
      <c r="H478" s="64">
        <v>0.03851</v>
      </c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</row>
    <row r="479">
      <c r="A479" s="48" t="s">
        <v>9396</v>
      </c>
      <c r="B479" s="44"/>
      <c r="C479" s="48" t="s">
        <v>9397</v>
      </c>
      <c r="D479" s="44"/>
      <c r="E479" s="48" t="s">
        <v>5215</v>
      </c>
      <c r="F479" s="48" t="s">
        <v>5425</v>
      </c>
      <c r="G479" s="55" t="s">
        <v>96</v>
      </c>
      <c r="H479" s="64">
        <v>0.03828</v>
      </c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</row>
    <row r="480">
      <c r="A480" s="48" t="s">
        <v>9398</v>
      </c>
      <c r="B480" s="44"/>
      <c r="C480" s="48" t="s">
        <v>9399</v>
      </c>
      <c r="D480" s="44"/>
      <c r="E480" s="48" t="s">
        <v>6801</v>
      </c>
      <c r="F480" s="48" t="s">
        <v>8784</v>
      </c>
      <c r="G480" s="55" t="s">
        <v>96</v>
      </c>
      <c r="H480" s="64">
        <v>0.03822</v>
      </c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</row>
    <row r="481">
      <c r="A481" s="48" t="s">
        <v>4540</v>
      </c>
      <c r="B481" s="44"/>
      <c r="C481" s="48" t="s">
        <v>9400</v>
      </c>
      <c r="D481" s="44"/>
      <c r="E481" s="48" t="s">
        <v>5450</v>
      </c>
      <c r="F481" s="48" t="s">
        <v>5300</v>
      </c>
      <c r="G481" s="55" t="s">
        <v>96</v>
      </c>
      <c r="H481" s="64">
        <v>0.03812</v>
      </c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</row>
    <row r="482">
      <c r="A482" s="48" t="s">
        <v>9401</v>
      </c>
      <c r="B482" s="44"/>
      <c r="C482" s="48" t="s">
        <v>9402</v>
      </c>
      <c r="D482" s="44"/>
      <c r="E482" s="48" t="s">
        <v>5964</v>
      </c>
      <c r="F482" s="48" t="s">
        <v>5300</v>
      </c>
      <c r="G482" s="55" t="s">
        <v>96</v>
      </c>
      <c r="H482" s="64">
        <v>0.03788</v>
      </c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</row>
    <row r="483">
      <c r="A483" s="48" t="s">
        <v>4481</v>
      </c>
      <c r="B483" s="44"/>
      <c r="C483" s="48" t="s">
        <v>9403</v>
      </c>
      <c r="D483" s="44"/>
      <c r="E483" s="48" t="s">
        <v>5261</v>
      </c>
      <c r="F483" s="48" t="s">
        <v>5300</v>
      </c>
      <c r="G483" s="55" t="s">
        <v>96</v>
      </c>
      <c r="H483" s="64">
        <v>0.03787</v>
      </c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</row>
    <row r="484">
      <c r="A484" s="48" t="s">
        <v>9404</v>
      </c>
      <c r="B484" s="44"/>
      <c r="C484" s="48" t="s">
        <v>9405</v>
      </c>
      <c r="D484" s="44"/>
      <c r="E484" s="48" t="s">
        <v>5561</v>
      </c>
      <c r="F484" s="48" t="s">
        <v>6220</v>
      </c>
      <c r="G484" s="55" t="s">
        <v>96</v>
      </c>
      <c r="H484" s="64">
        <v>0.03766</v>
      </c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</row>
    <row r="485">
      <c r="A485" s="48" t="s">
        <v>9406</v>
      </c>
      <c r="B485" s="44"/>
      <c r="C485" s="48" t="s">
        <v>9407</v>
      </c>
      <c r="D485" s="44"/>
      <c r="E485" s="48" t="s">
        <v>5326</v>
      </c>
      <c r="F485" s="48" t="s">
        <v>5300</v>
      </c>
      <c r="G485" s="55" t="s">
        <v>96</v>
      </c>
      <c r="H485" s="64">
        <v>0.0376</v>
      </c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</row>
    <row r="486">
      <c r="A486" s="48" t="s">
        <v>9408</v>
      </c>
      <c r="B486" s="44"/>
      <c r="C486" s="48" t="s">
        <v>9409</v>
      </c>
      <c r="D486" s="44"/>
      <c r="E486" s="48" t="s">
        <v>5261</v>
      </c>
      <c r="F486" s="48" t="s">
        <v>5836</v>
      </c>
      <c r="G486" s="55" t="s">
        <v>96</v>
      </c>
      <c r="H486" s="64">
        <v>0.03749</v>
      </c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</row>
    <row r="487">
      <c r="A487" s="48" t="s">
        <v>9410</v>
      </c>
      <c r="B487" s="44"/>
      <c r="C487" s="48" t="s">
        <v>9411</v>
      </c>
      <c r="D487" s="44"/>
      <c r="E487" s="48" t="s">
        <v>5478</v>
      </c>
      <c r="F487" s="48" t="s">
        <v>5300</v>
      </c>
      <c r="G487" s="55" t="s">
        <v>96</v>
      </c>
      <c r="H487" s="64">
        <v>0.03749</v>
      </c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</row>
    <row r="488">
      <c r="A488" s="48" t="s">
        <v>9412</v>
      </c>
      <c r="B488" s="44"/>
      <c r="C488" s="48" t="s">
        <v>9413</v>
      </c>
      <c r="D488" s="44"/>
      <c r="E488" s="48" t="s">
        <v>5215</v>
      </c>
      <c r="F488" s="48" t="s">
        <v>9414</v>
      </c>
      <c r="G488" s="55" t="s">
        <v>96</v>
      </c>
      <c r="H488" s="64">
        <v>0.03735</v>
      </c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</row>
    <row r="489">
      <c r="A489" s="48" t="s">
        <v>4516</v>
      </c>
      <c r="B489" s="44"/>
      <c r="C489" s="48" t="s">
        <v>9415</v>
      </c>
      <c r="D489" s="44"/>
      <c r="E489" s="48" t="s">
        <v>5434</v>
      </c>
      <c r="F489" s="48" t="s">
        <v>5300</v>
      </c>
      <c r="G489" s="55" t="s">
        <v>96</v>
      </c>
      <c r="H489" s="64">
        <v>0.0371</v>
      </c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</row>
    <row r="490">
      <c r="A490" s="48" t="s">
        <v>9416</v>
      </c>
      <c r="B490" s="44"/>
      <c r="C490" s="48" t="s">
        <v>9417</v>
      </c>
      <c r="D490" s="44"/>
      <c r="E490" s="48" t="s">
        <v>5218</v>
      </c>
      <c r="F490" s="48" t="s">
        <v>8784</v>
      </c>
      <c r="G490" s="55" t="s">
        <v>96</v>
      </c>
      <c r="H490" s="64">
        <v>0.0371</v>
      </c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</row>
    <row r="491">
      <c r="A491" s="48" t="s">
        <v>4489</v>
      </c>
      <c r="B491" s="44"/>
      <c r="C491" s="48" t="s">
        <v>9418</v>
      </c>
      <c r="D491" s="44"/>
      <c r="E491" s="48" t="s">
        <v>5229</v>
      </c>
      <c r="F491" s="48" t="s">
        <v>5300</v>
      </c>
      <c r="G491" s="55" t="s">
        <v>96</v>
      </c>
      <c r="H491" s="64">
        <v>0.03709</v>
      </c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</row>
    <row r="492">
      <c r="A492" s="48" t="s">
        <v>4476</v>
      </c>
      <c r="B492" s="44"/>
      <c r="C492" s="48" t="s">
        <v>9419</v>
      </c>
      <c r="D492" s="44"/>
      <c r="E492" s="48" t="s">
        <v>7260</v>
      </c>
      <c r="F492" s="48" t="s">
        <v>5300</v>
      </c>
      <c r="G492" s="55" t="s">
        <v>96</v>
      </c>
      <c r="H492" s="64">
        <v>0.03702</v>
      </c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</row>
    <row r="493">
      <c r="A493" s="48" t="s">
        <v>4512</v>
      </c>
      <c r="B493" s="44"/>
      <c r="C493" s="48" t="s">
        <v>9420</v>
      </c>
      <c r="D493" s="44"/>
      <c r="E493" s="48" t="s">
        <v>8230</v>
      </c>
      <c r="F493" s="48" t="s">
        <v>5300</v>
      </c>
      <c r="G493" s="55" t="s">
        <v>96</v>
      </c>
      <c r="H493" s="64">
        <v>0.03701</v>
      </c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</row>
    <row r="494">
      <c r="A494" s="48" t="s">
        <v>9421</v>
      </c>
      <c r="B494" s="44"/>
      <c r="C494" s="48" t="s">
        <v>9422</v>
      </c>
      <c r="D494" s="44"/>
      <c r="E494" s="48" t="s">
        <v>5261</v>
      </c>
      <c r="F494" s="48" t="s">
        <v>8784</v>
      </c>
      <c r="G494" s="55" t="s">
        <v>96</v>
      </c>
      <c r="H494" s="64">
        <v>0.03693</v>
      </c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</row>
    <row r="495">
      <c r="A495" s="48" t="s">
        <v>4515</v>
      </c>
      <c r="B495" s="44"/>
      <c r="C495" s="48" t="s">
        <v>9423</v>
      </c>
      <c r="D495" s="44"/>
      <c r="E495" s="48" t="s">
        <v>5650</v>
      </c>
      <c r="F495" s="48" t="s">
        <v>5300</v>
      </c>
      <c r="G495" s="55" t="s">
        <v>96</v>
      </c>
      <c r="H495" s="64">
        <v>0.03692</v>
      </c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</row>
    <row r="496">
      <c r="A496" s="48" t="s">
        <v>9424</v>
      </c>
      <c r="B496" s="44"/>
      <c r="C496" s="48" t="s">
        <v>9425</v>
      </c>
      <c r="D496" s="44"/>
      <c r="E496" s="48" t="s">
        <v>6009</v>
      </c>
      <c r="F496" s="48" t="s">
        <v>8784</v>
      </c>
      <c r="G496" s="55" t="s">
        <v>96</v>
      </c>
      <c r="H496" s="64">
        <v>0.03687</v>
      </c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</row>
    <row r="497">
      <c r="A497" s="48" t="s">
        <v>4523</v>
      </c>
      <c r="B497" s="44"/>
      <c r="C497" s="48" t="s">
        <v>9426</v>
      </c>
      <c r="D497" s="44"/>
      <c r="E497" s="48" t="s">
        <v>9039</v>
      </c>
      <c r="F497" s="48" t="s">
        <v>5300</v>
      </c>
      <c r="G497" s="55" t="s">
        <v>96</v>
      </c>
      <c r="H497" s="64">
        <v>0.03686</v>
      </c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</row>
    <row r="498">
      <c r="A498" s="48" t="s">
        <v>9427</v>
      </c>
      <c r="B498" s="44"/>
      <c r="C498" s="48" t="s">
        <v>9428</v>
      </c>
      <c r="D498" s="44"/>
      <c r="E498" s="48" t="s">
        <v>6327</v>
      </c>
      <c r="F498" s="48" t="s">
        <v>4153</v>
      </c>
      <c r="G498" s="55" t="s">
        <v>96</v>
      </c>
      <c r="H498" s="64">
        <v>0.03686</v>
      </c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</row>
    <row r="499">
      <c r="A499" s="48" t="s">
        <v>4514</v>
      </c>
      <c r="B499" s="44"/>
      <c r="C499" s="48" t="s">
        <v>9429</v>
      </c>
      <c r="D499" s="44"/>
      <c r="E499" s="48" t="s">
        <v>6249</v>
      </c>
      <c r="F499" s="48" t="s">
        <v>5300</v>
      </c>
      <c r="G499" s="55" t="s">
        <v>96</v>
      </c>
      <c r="H499" s="64">
        <v>0.03679</v>
      </c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</row>
    <row r="500">
      <c r="A500" s="48" t="s">
        <v>9430</v>
      </c>
      <c r="B500" s="44"/>
      <c r="C500" s="48" t="s">
        <v>9431</v>
      </c>
      <c r="D500" s="44"/>
      <c r="E500" s="48" t="s">
        <v>5467</v>
      </c>
      <c r="F500" s="48" t="s">
        <v>8759</v>
      </c>
      <c r="G500" s="55" t="s">
        <v>96</v>
      </c>
      <c r="H500" s="64">
        <v>0.03676</v>
      </c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</row>
    <row r="501">
      <c r="A501" s="48" t="s">
        <v>9432</v>
      </c>
      <c r="B501" s="44"/>
      <c r="C501" s="48" t="s">
        <v>9433</v>
      </c>
      <c r="D501" s="44"/>
      <c r="E501" s="48" t="s">
        <v>7169</v>
      </c>
      <c r="F501" s="48" t="s">
        <v>4095</v>
      </c>
      <c r="G501" s="55" t="s">
        <v>96</v>
      </c>
      <c r="H501" s="64">
        <v>0.03675</v>
      </c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</row>
    <row r="502">
      <c r="A502" s="48" t="s">
        <v>9434</v>
      </c>
      <c r="B502" s="44"/>
      <c r="C502" s="48" t="s">
        <v>9435</v>
      </c>
      <c r="D502" s="44"/>
      <c r="E502" s="48" t="s">
        <v>5422</v>
      </c>
      <c r="F502" s="48" t="s">
        <v>9021</v>
      </c>
      <c r="G502" s="55" t="s">
        <v>96</v>
      </c>
      <c r="H502" s="64">
        <v>0.03658</v>
      </c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</row>
    <row r="503">
      <c r="A503" s="48" t="s">
        <v>4560</v>
      </c>
      <c r="B503" s="44"/>
      <c r="C503" s="48" t="s">
        <v>9436</v>
      </c>
      <c r="D503" s="44"/>
      <c r="E503" s="48" t="s">
        <v>5407</v>
      </c>
      <c r="F503" s="48" t="s">
        <v>5300</v>
      </c>
      <c r="G503" s="55" t="s">
        <v>96</v>
      </c>
      <c r="H503" s="64">
        <v>0.03641</v>
      </c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</row>
    <row r="504">
      <c r="A504" s="48" t="s">
        <v>4581</v>
      </c>
      <c r="B504" s="44"/>
      <c r="C504" s="48" t="s">
        <v>9437</v>
      </c>
      <c r="D504" s="44"/>
      <c r="E504" s="48" t="s">
        <v>8230</v>
      </c>
      <c r="F504" s="48" t="s">
        <v>5300</v>
      </c>
      <c r="G504" s="55" t="s">
        <v>96</v>
      </c>
      <c r="H504" s="64">
        <v>0.03639</v>
      </c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</row>
    <row r="505">
      <c r="A505" s="48" t="s">
        <v>4543</v>
      </c>
      <c r="B505" s="44"/>
      <c r="C505" s="48" t="s">
        <v>9438</v>
      </c>
      <c r="D505" s="44"/>
      <c r="E505" s="48" t="s">
        <v>5431</v>
      </c>
      <c r="F505" s="48" t="s">
        <v>5300</v>
      </c>
      <c r="G505" s="55" t="s">
        <v>96</v>
      </c>
      <c r="H505" s="64">
        <v>0.03631</v>
      </c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</row>
    <row r="506">
      <c r="A506" s="48" t="s">
        <v>4500</v>
      </c>
      <c r="B506" s="44"/>
      <c r="C506" s="48" t="s">
        <v>9439</v>
      </c>
      <c r="D506" s="44"/>
      <c r="E506" s="48" t="s">
        <v>8230</v>
      </c>
      <c r="F506" s="48" t="s">
        <v>5300</v>
      </c>
      <c r="G506" s="55" t="s">
        <v>96</v>
      </c>
      <c r="H506" s="64">
        <v>0.03625</v>
      </c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</row>
    <row r="507">
      <c r="A507" s="48" t="s">
        <v>9440</v>
      </c>
      <c r="B507" s="44"/>
      <c r="C507" s="48" t="s">
        <v>9441</v>
      </c>
      <c r="D507" s="44"/>
      <c r="E507" s="48" t="s">
        <v>6130</v>
      </c>
      <c r="F507" s="48" t="s">
        <v>4153</v>
      </c>
      <c r="G507" s="55" t="s">
        <v>96</v>
      </c>
      <c r="H507" s="64">
        <v>0.03625</v>
      </c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</row>
    <row r="508">
      <c r="A508" s="48" t="s">
        <v>9442</v>
      </c>
      <c r="B508" s="44"/>
      <c r="C508" s="48" t="s">
        <v>9443</v>
      </c>
      <c r="D508" s="44"/>
      <c r="E508" s="48" t="s">
        <v>9189</v>
      </c>
      <c r="F508" s="48" t="s">
        <v>8784</v>
      </c>
      <c r="G508" s="55" t="s">
        <v>96</v>
      </c>
      <c r="H508" s="64">
        <v>0.03608</v>
      </c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</row>
    <row r="509">
      <c r="A509" s="48" t="s">
        <v>6260</v>
      </c>
      <c r="B509" s="44"/>
      <c r="C509" s="48" t="s">
        <v>9059</v>
      </c>
      <c r="D509" s="44"/>
      <c r="E509" s="48" t="s">
        <v>6801</v>
      </c>
      <c r="F509" s="48" t="s">
        <v>5747</v>
      </c>
      <c r="G509" s="55" t="s">
        <v>96</v>
      </c>
      <c r="H509" s="64">
        <v>0.03601</v>
      </c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</row>
    <row r="510">
      <c r="A510" s="48" t="s">
        <v>4487</v>
      </c>
      <c r="B510" s="44"/>
      <c r="C510" s="48" t="s">
        <v>9444</v>
      </c>
      <c r="D510" s="44"/>
      <c r="E510" s="48" t="s">
        <v>5525</v>
      </c>
      <c r="F510" s="48" t="s">
        <v>5300</v>
      </c>
      <c r="G510" s="55" t="s">
        <v>96</v>
      </c>
      <c r="H510" s="64">
        <v>0.03578</v>
      </c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</row>
    <row r="511">
      <c r="A511" s="48" t="s">
        <v>9445</v>
      </c>
      <c r="B511" s="44"/>
      <c r="C511" s="48" t="s">
        <v>9446</v>
      </c>
      <c r="D511" s="44"/>
      <c r="E511" s="48" t="s">
        <v>5321</v>
      </c>
      <c r="F511" s="48" t="s">
        <v>5300</v>
      </c>
      <c r="G511" s="55" t="s">
        <v>96</v>
      </c>
      <c r="H511" s="64">
        <v>0.03568</v>
      </c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</row>
    <row r="512">
      <c r="A512" s="48" t="s">
        <v>9447</v>
      </c>
      <c r="B512" s="44"/>
      <c r="C512" s="48" t="s">
        <v>9448</v>
      </c>
      <c r="D512" s="44"/>
      <c r="E512" s="48" t="s">
        <v>5218</v>
      </c>
      <c r="F512" s="48" t="s">
        <v>8784</v>
      </c>
      <c r="G512" s="55" t="s">
        <v>96</v>
      </c>
      <c r="H512" s="64">
        <v>0.03564</v>
      </c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</row>
    <row r="513">
      <c r="A513" s="48" t="s">
        <v>4505</v>
      </c>
      <c r="B513" s="44"/>
      <c r="C513" s="48" t="s">
        <v>9449</v>
      </c>
      <c r="D513" s="44"/>
      <c r="E513" s="48" t="s">
        <v>6275</v>
      </c>
      <c r="F513" s="48" t="s">
        <v>8759</v>
      </c>
      <c r="G513" s="55" t="s">
        <v>96</v>
      </c>
      <c r="H513" s="64">
        <v>0.0356</v>
      </c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</row>
    <row r="514">
      <c r="A514" s="48" t="s">
        <v>4501</v>
      </c>
      <c r="B514" s="44"/>
      <c r="C514" s="48" t="s">
        <v>9450</v>
      </c>
      <c r="D514" s="44"/>
      <c r="E514" s="48" t="s">
        <v>5261</v>
      </c>
      <c r="F514" s="48" t="s">
        <v>5300</v>
      </c>
      <c r="G514" s="55" t="s">
        <v>96</v>
      </c>
      <c r="H514" s="64">
        <v>0.03558</v>
      </c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</row>
    <row r="515">
      <c r="A515" s="48" t="s">
        <v>4496</v>
      </c>
      <c r="B515" s="44"/>
      <c r="C515" s="48" t="s">
        <v>9451</v>
      </c>
      <c r="D515" s="44"/>
      <c r="E515" s="48" t="s">
        <v>5276</v>
      </c>
      <c r="F515" s="48" t="s">
        <v>5300</v>
      </c>
      <c r="G515" s="55" t="s">
        <v>96</v>
      </c>
      <c r="H515" s="64">
        <v>0.03557</v>
      </c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</row>
    <row r="516">
      <c r="A516" s="48" t="s">
        <v>9452</v>
      </c>
      <c r="B516" s="44"/>
      <c r="C516" s="48" t="s">
        <v>9453</v>
      </c>
      <c r="D516" s="44"/>
      <c r="E516" s="48" t="s">
        <v>5218</v>
      </c>
      <c r="F516" s="48" t="s">
        <v>5300</v>
      </c>
      <c r="G516" s="55" t="s">
        <v>96</v>
      </c>
      <c r="H516" s="64">
        <v>0.03529</v>
      </c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</row>
    <row r="517">
      <c r="A517" s="48" t="s">
        <v>9454</v>
      </c>
      <c r="B517" s="44"/>
      <c r="C517" s="48" t="s">
        <v>9455</v>
      </c>
      <c r="D517" s="44"/>
      <c r="E517" s="48" t="s">
        <v>5271</v>
      </c>
      <c r="F517" s="48" t="s">
        <v>8784</v>
      </c>
      <c r="G517" s="55" t="s">
        <v>96</v>
      </c>
      <c r="H517" s="64">
        <v>0.03522</v>
      </c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</row>
    <row r="518">
      <c r="A518" s="48" t="s">
        <v>9456</v>
      </c>
      <c r="B518" s="44"/>
      <c r="C518" s="48" t="s">
        <v>9457</v>
      </c>
      <c r="D518" s="44"/>
      <c r="E518" s="48" t="s">
        <v>6009</v>
      </c>
      <c r="F518" s="48" t="s">
        <v>9021</v>
      </c>
      <c r="G518" s="55" t="s">
        <v>96</v>
      </c>
      <c r="H518" s="64">
        <v>0.03514</v>
      </c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</row>
    <row r="519">
      <c r="A519" s="48" t="s">
        <v>9458</v>
      </c>
      <c r="B519" s="44"/>
      <c r="C519" s="48" t="s">
        <v>9459</v>
      </c>
      <c r="D519" s="44"/>
      <c r="E519" s="48" t="s">
        <v>5395</v>
      </c>
      <c r="F519" s="48" t="s">
        <v>5300</v>
      </c>
      <c r="G519" s="55" t="s">
        <v>96</v>
      </c>
      <c r="H519" s="64">
        <v>0.035</v>
      </c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</row>
    <row r="520">
      <c r="A520" s="48" t="s">
        <v>5278</v>
      </c>
      <c r="B520" s="44"/>
      <c r="C520" s="48" t="s">
        <v>9460</v>
      </c>
      <c r="D520" s="44"/>
      <c r="E520" s="48" t="s">
        <v>5283</v>
      </c>
      <c r="F520" s="48" t="s">
        <v>4095</v>
      </c>
      <c r="G520" s="55" t="s">
        <v>96</v>
      </c>
      <c r="H520" s="64">
        <v>0.0349</v>
      </c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</row>
    <row r="521">
      <c r="A521" s="48" t="s">
        <v>4493</v>
      </c>
      <c r="B521" s="44"/>
      <c r="C521" s="48" t="s">
        <v>9461</v>
      </c>
      <c r="D521" s="44"/>
      <c r="E521" s="48" t="s">
        <v>5246</v>
      </c>
      <c r="F521" s="48" t="s">
        <v>5300</v>
      </c>
      <c r="G521" s="55" t="s">
        <v>96</v>
      </c>
      <c r="H521" s="64">
        <v>0.03481</v>
      </c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</row>
    <row r="522">
      <c r="A522" s="48" t="s">
        <v>4577</v>
      </c>
      <c r="B522" s="44"/>
      <c r="C522" s="48" t="s">
        <v>9462</v>
      </c>
      <c r="D522" s="44"/>
      <c r="E522" s="48" t="s">
        <v>5215</v>
      </c>
      <c r="F522" s="48" t="s">
        <v>5300</v>
      </c>
      <c r="G522" s="55" t="s">
        <v>96</v>
      </c>
      <c r="H522" s="64">
        <v>0.03471</v>
      </c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</row>
    <row r="523">
      <c r="A523" s="48" t="s">
        <v>9463</v>
      </c>
      <c r="B523" s="44"/>
      <c r="C523" s="48" t="s">
        <v>9464</v>
      </c>
      <c r="D523" s="44"/>
      <c r="E523" s="48" t="s">
        <v>5445</v>
      </c>
      <c r="F523" s="48" t="s">
        <v>5747</v>
      </c>
      <c r="G523" s="55" t="s">
        <v>96</v>
      </c>
      <c r="H523" s="64">
        <v>0.03457</v>
      </c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</row>
    <row r="524">
      <c r="A524" s="48" t="s">
        <v>4479</v>
      </c>
      <c r="B524" s="44"/>
      <c r="C524" s="48" t="s">
        <v>9465</v>
      </c>
      <c r="D524" s="44"/>
      <c r="E524" s="48" t="s">
        <v>5276</v>
      </c>
      <c r="F524" s="48" t="s">
        <v>5300</v>
      </c>
      <c r="G524" s="55" t="s">
        <v>96</v>
      </c>
      <c r="H524" s="64">
        <v>0.03448</v>
      </c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</row>
    <row r="525">
      <c r="A525" s="48" t="s">
        <v>9466</v>
      </c>
      <c r="B525" s="44"/>
      <c r="C525" s="48" t="s">
        <v>9467</v>
      </c>
      <c r="D525" s="44"/>
      <c r="E525" s="48" t="s">
        <v>5434</v>
      </c>
      <c r="F525" s="48" t="s">
        <v>5268</v>
      </c>
      <c r="G525" s="55" t="s">
        <v>96</v>
      </c>
      <c r="H525" s="64">
        <v>0.03445</v>
      </c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</row>
    <row r="526">
      <c r="A526" s="48" t="s">
        <v>4553</v>
      </c>
      <c r="B526" s="44"/>
      <c r="C526" s="48" t="s">
        <v>9468</v>
      </c>
      <c r="D526" s="44"/>
      <c r="E526" s="48" t="s">
        <v>5321</v>
      </c>
      <c r="F526" s="48" t="s">
        <v>5300</v>
      </c>
      <c r="G526" s="55" t="s">
        <v>96</v>
      </c>
      <c r="H526" s="64">
        <v>0.03444</v>
      </c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</row>
    <row r="527">
      <c r="A527" s="48" t="s">
        <v>9469</v>
      </c>
      <c r="B527" s="44"/>
      <c r="C527" s="48" t="s">
        <v>9470</v>
      </c>
      <c r="D527" s="44"/>
      <c r="E527" s="48" t="s">
        <v>5235</v>
      </c>
      <c r="F527" s="48" t="s">
        <v>8759</v>
      </c>
      <c r="G527" s="55" t="s">
        <v>96</v>
      </c>
      <c r="H527" s="64">
        <v>0.03439</v>
      </c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</row>
    <row r="528">
      <c r="A528" s="48" t="s">
        <v>9471</v>
      </c>
      <c r="B528" s="44"/>
      <c r="C528" s="48" t="s">
        <v>9472</v>
      </c>
      <c r="D528" s="44"/>
      <c r="E528" s="48" t="s">
        <v>8480</v>
      </c>
      <c r="F528" s="48" t="s">
        <v>8784</v>
      </c>
      <c r="G528" s="55" t="s">
        <v>96</v>
      </c>
      <c r="H528" s="64">
        <v>0.03437</v>
      </c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</row>
    <row r="529">
      <c r="A529" s="48" t="s">
        <v>4483</v>
      </c>
      <c r="B529" s="44"/>
      <c r="C529" s="48" t="s">
        <v>9473</v>
      </c>
      <c r="D529" s="44"/>
      <c r="E529" s="48" t="s">
        <v>5550</v>
      </c>
      <c r="F529" s="48" t="s">
        <v>6210</v>
      </c>
      <c r="G529" s="55" t="s">
        <v>96</v>
      </c>
      <c r="H529" s="64">
        <v>0.03428</v>
      </c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</row>
    <row r="530">
      <c r="A530" s="48" t="s">
        <v>4570</v>
      </c>
      <c r="B530" s="44"/>
      <c r="C530" s="48" t="s">
        <v>9474</v>
      </c>
      <c r="D530" s="44"/>
      <c r="E530" s="48" t="s">
        <v>5434</v>
      </c>
      <c r="F530" s="48" t="s">
        <v>5300</v>
      </c>
      <c r="G530" s="55" t="s">
        <v>96</v>
      </c>
      <c r="H530" s="64">
        <v>0.03416</v>
      </c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</row>
    <row r="531">
      <c r="A531" s="48" t="s">
        <v>4545</v>
      </c>
      <c r="B531" s="44"/>
      <c r="C531" s="48" t="s">
        <v>9475</v>
      </c>
      <c r="D531" s="44"/>
      <c r="E531" s="48" t="s">
        <v>5280</v>
      </c>
      <c r="F531" s="48" t="s">
        <v>5300</v>
      </c>
      <c r="G531" s="55" t="s">
        <v>96</v>
      </c>
      <c r="H531" s="64">
        <v>0.03414</v>
      </c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</row>
    <row r="532">
      <c r="A532" s="48" t="s">
        <v>9476</v>
      </c>
      <c r="B532" s="44"/>
      <c r="C532" s="48" t="s">
        <v>9477</v>
      </c>
      <c r="D532" s="44"/>
      <c r="E532" s="48" t="s">
        <v>9478</v>
      </c>
      <c r="F532" s="48" t="s">
        <v>6220</v>
      </c>
      <c r="G532" s="55" t="s">
        <v>96</v>
      </c>
      <c r="H532" s="64">
        <v>0.03383</v>
      </c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</row>
    <row r="533">
      <c r="A533" s="48" t="s">
        <v>6095</v>
      </c>
      <c r="B533" s="44"/>
      <c r="C533" s="48" t="s">
        <v>6096</v>
      </c>
      <c r="D533" s="44"/>
      <c r="E533" s="48" t="s">
        <v>5215</v>
      </c>
      <c r="F533" s="48" t="s">
        <v>4340</v>
      </c>
      <c r="G533" s="55" t="s">
        <v>96</v>
      </c>
      <c r="H533" s="64">
        <v>0.03383</v>
      </c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</row>
    <row r="534">
      <c r="A534" s="48" t="s">
        <v>4547</v>
      </c>
      <c r="B534" s="44"/>
      <c r="C534" s="48" t="s">
        <v>9479</v>
      </c>
      <c r="D534" s="44"/>
      <c r="E534" s="48" t="s">
        <v>7251</v>
      </c>
      <c r="F534" s="48" t="s">
        <v>5300</v>
      </c>
      <c r="G534" s="55" t="s">
        <v>96</v>
      </c>
      <c r="H534" s="64">
        <v>0.03382</v>
      </c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</row>
    <row r="535">
      <c r="A535" s="48" t="s">
        <v>9480</v>
      </c>
      <c r="B535" s="44"/>
      <c r="C535" s="48" t="s">
        <v>9481</v>
      </c>
      <c r="D535" s="44"/>
      <c r="E535" s="48" t="s">
        <v>5501</v>
      </c>
      <c r="F535" s="48" t="s">
        <v>5836</v>
      </c>
      <c r="G535" s="55" t="s">
        <v>96</v>
      </c>
      <c r="H535" s="64">
        <v>0.03374</v>
      </c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</row>
    <row r="536">
      <c r="A536" s="48" t="s">
        <v>4568</v>
      </c>
      <c r="B536" s="44"/>
      <c r="C536" s="48" t="s">
        <v>9482</v>
      </c>
      <c r="D536" s="44"/>
      <c r="E536" s="48" t="s">
        <v>5445</v>
      </c>
      <c r="F536" s="48" t="s">
        <v>5300</v>
      </c>
      <c r="G536" s="55" t="s">
        <v>96</v>
      </c>
      <c r="H536" s="64">
        <v>0.03371</v>
      </c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</row>
    <row r="537">
      <c r="A537" s="48" t="s">
        <v>9483</v>
      </c>
      <c r="B537" s="44"/>
      <c r="C537" s="48" t="s">
        <v>9484</v>
      </c>
      <c r="D537" s="44"/>
      <c r="E537" s="48" t="s">
        <v>5238</v>
      </c>
      <c r="F537" s="48" t="s">
        <v>8784</v>
      </c>
      <c r="G537" s="55" t="s">
        <v>96</v>
      </c>
      <c r="H537" s="64">
        <v>0.03366</v>
      </c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</row>
    <row r="538">
      <c r="A538" s="48" t="s">
        <v>4550</v>
      </c>
      <c r="B538" s="44"/>
      <c r="C538" s="48" t="s">
        <v>9485</v>
      </c>
      <c r="D538" s="44"/>
      <c r="E538" s="48" t="s">
        <v>5283</v>
      </c>
      <c r="F538" s="48" t="s">
        <v>5300</v>
      </c>
      <c r="G538" s="55" t="s">
        <v>96</v>
      </c>
      <c r="H538" s="64">
        <v>0.03364</v>
      </c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</row>
    <row r="539">
      <c r="A539" s="48" t="s">
        <v>4556</v>
      </c>
      <c r="B539" s="44"/>
      <c r="C539" s="48" t="s">
        <v>9486</v>
      </c>
      <c r="D539" s="44"/>
      <c r="E539" s="48" t="s">
        <v>5434</v>
      </c>
      <c r="F539" s="48" t="s">
        <v>5300</v>
      </c>
      <c r="G539" s="55" t="s">
        <v>96</v>
      </c>
      <c r="H539" s="64">
        <v>0.03364</v>
      </c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</row>
    <row r="540">
      <c r="A540" s="48" t="s">
        <v>4531</v>
      </c>
      <c r="B540" s="44"/>
      <c r="C540" s="48" t="s">
        <v>9487</v>
      </c>
      <c r="D540" s="44"/>
      <c r="E540" s="48" t="s">
        <v>6480</v>
      </c>
      <c r="F540" s="48" t="s">
        <v>5300</v>
      </c>
      <c r="G540" s="55" t="s">
        <v>96</v>
      </c>
      <c r="H540" s="64">
        <v>0.03359</v>
      </c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</row>
    <row r="541">
      <c r="A541" s="48" t="s">
        <v>9488</v>
      </c>
      <c r="B541" s="44"/>
      <c r="C541" s="48" t="s">
        <v>9489</v>
      </c>
      <c r="D541" s="44"/>
      <c r="E541" s="48" t="s">
        <v>5291</v>
      </c>
      <c r="F541" s="48" t="s">
        <v>6220</v>
      </c>
      <c r="G541" s="55" t="s">
        <v>96</v>
      </c>
      <c r="H541" s="64">
        <v>0.0333</v>
      </c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</row>
    <row r="542">
      <c r="A542" s="48" t="s">
        <v>6101</v>
      </c>
      <c r="B542" s="44"/>
      <c r="C542" s="48" t="s">
        <v>6102</v>
      </c>
      <c r="D542" s="44"/>
      <c r="E542" s="48" t="s">
        <v>5855</v>
      </c>
      <c r="F542" s="48" t="s">
        <v>4340</v>
      </c>
      <c r="G542" s="55" t="s">
        <v>96</v>
      </c>
      <c r="H542" s="64">
        <v>0.03325</v>
      </c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</row>
    <row r="543">
      <c r="A543" s="48" t="s">
        <v>9490</v>
      </c>
      <c r="B543" s="44"/>
      <c r="C543" s="48" t="s">
        <v>9491</v>
      </c>
      <c r="D543" s="44"/>
      <c r="E543" s="48" t="s">
        <v>5235</v>
      </c>
      <c r="F543" s="48" t="s">
        <v>5941</v>
      </c>
      <c r="G543" s="55" t="s">
        <v>96</v>
      </c>
      <c r="H543" s="64">
        <v>0.03288</v>
      </c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</row>
    <row r="544">
      <c r="A544" s="48" t="s">
        <v>9492</v>
      </c>
      <c r="B544" s="44"/>
      <c r="C544" s="48" t="s">
        <v>9493</v>
      </c>
      <c r="D544" s="44"/>
      <c r="E544" s="48" t="s">
        <v>5756</v>
      </c>
      <c r="F544" s="48" t="s">
        <v>8759</v>
      </c>
      <c r="G544" s="55" t="s">
        <v>96</v>
      </c>
      <c r="H544" s="64">
        <v>0.03283</v>
      </c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</row>
    <row r="545">
      <c r="A545" s="48" t="s">
        <v>4569</v>
      </c>
      <c r="B545" s="44"/>
      <c r="C545" s="48" t="s">
        <v>9494</v>
      </c>
      <c r="D545" s="44"/>
      <c r="E545" s="48" t="s">
        <v>9478</v>
      </c>
      <c r="F545" s="48" t="s">
        <v>5300</v>
      </c>
      <c r="G545" s="55" t="s">
        <v>96</v>
      </c>
      <c r="H545" s="64">
        <v>0.0322</v>
      </c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</row>
    <row r="546">
      <c r="A546" s="48" t="s">
        <v>6093</v>
      </c>
      <c r="B546" s="44"/>
      <c r="C546" s="48" t="s">
        <v>6094</v>
      </c>
      <c r="D546" s="44"/>
      <c r="E546" s="48" t="s">
        <v>5855</v>
      </c>
      <c r="F546" s="48" t="s">
        <v>4340</v>
      </c>
      <c r="G546" s="55" t="s">
        <v>96</v>
      </c>
      <c r="H546" s="64">
        <v>0.03215</v>
      </c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</row>
    <row r="547">
      <c r="A547" s="48" t="s">
        <v>4551</v>
      </c>
      <c r="B547" s="44"/>
      <c r="C547" s="48" t="s">
        <v>9495</v>
      </c>
      <c r="D547" s="44"/>
      <c r="E547" s="48" t="s">
        <v>9478</v>
      </c>
      <c r="F547" s="48" t="s">
        <v>5300</v>
      </c>
      <c r="G547" s="55" t="s">
        <v>96</v>
      </c>
      <c r="H547" s="64">
        <v>0.03209</v>
      </c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</row>
    <row r="548">
      <c r="A548" s="48" t="s">
        <v>4490</v>
      </c>
      <c r="B548" s="44"/>
      <c r="C548" s="48" t="s">
        <v>9496</v>
      </c>
      <c r="D548" s="44"/>
      <c r="E548" s="48" t="s">
        <v>9144</v>
      </c>
      <c r="F548" s="48" t="s">
        <v>6210</v>
      </c>
      <c r="G548" s="55" t="s">
        <v>96</v>
      </c>
      <c r="H548" s="64">
        <v>0.03196</v>
      </c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</row>
    <row r="549">
      <c r="A549" s="48" t="s">
        <v>9497</v>
      </c>
      <c r="B549" s="44"/>
      <c r="C549" s="48" t="s">
        <v>9498</v>
      </c>
      <c r="D549" s="44"/>
      <c r="E549" s="48" t="s">
        <v>6115</v>
      </c>
      <c r="F549" s="48" t="s">
        <v>4357</v>
      </c>
      <c r="G549" s="55" t="s">
        <v>96</v>
      </c>
      <c r="H549" s="64">
        <v>0.03186</v>
      </c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</row>
    <row r="550">
      <c r="A550" s="48" t="s">
        <v>9499</v>
      </c>
      <c r="B550" s="44"/>
      <c r="C550" s="48" t="s">
        <v>9500</v>
      </c>
      <c r="D550" s="44"/>
      <c r="E550" s="48" t="s">
        <v>5366</v>
      </c>
      <c r="F550" s="48" t="s">
        <v>4095</v>
      </c>
      <c r="G550" s="55" t="s">
        <v>96</v>
      </c>
      <c r="H550" s="64">
        <v>0.03181</v>
      </c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</row>
    <row r="551">
      <c r="A551" s="48" t="s">
        <v>9501</v>
      </c>
      <c r="B551" s="44"/>
      <c r="C551" s="48" t="s">
        <v>9502</v>
      </c>
      <c r="D551" s="44"/>
      <c r="E551" s="48" t="s">
        <v>8480</v>
      </c>
      <c r="F551" s="48" t="s">
        <v>6988</v>
      </c>
      <c r="G551" s="55" t="s">
        <v>96</v>
      </c>
      <c r="H551" s="64">
        <v>0.03181</v>
      </c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</row>
    <row r="552">
      <c r="A552" s="48" t="s">
        <v>9503</v>
      </c>
      <c r="B552" s="44"/>
      <c r="C552" s="48" t="s">
        <v>9504</v>
      </c>
      <c r="D552" s="44"/>
      <c r="E552" s="48" t="s">
        <v>5450</v>
      </c>
      <c r="F552" s="48" t="s">
        <v>8759</v>
      </c>
      <c r="G552" s="55" t="s">
        <v>96</v>
      </c>
      <c r="H552" s="64">
        <v>0.03171</v>
      </c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</row>
    <row r="553">
      <c r="A553" s="48" t="s">
        <v>4588</v>
      </c>
      <c r="B553" s="44"/>
      <c r="C553" s="48" t="s">
        <v>9505</v>
      </c>
      <c r="D553" s="44"/>
      <c r="E553" s="48" t="s">
        <v>8110</v>
      </c>
      <c r="F553" s="48" t="s">
        <v>5300</v>
      </c>
      <c r="G553" s="55" t="s">
        <v>96</v>
      </c>
      <c r="H553" s="64">
        <v>0.03163</v>
      </c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</row>
    <row r="554">
      <c r="A554" s="48" t="s">
        <v>4586</v>
      </c>
      <c r="B554" s="44"/>
      <c r="C554" s="48" t="s">
        <v>9506</v>
      </c>
      <c r="D554" s="44"/>
      <c r="E554" s="48" t="s">
        <v>5525</v>
      </c>
      <c r="F554" s="48" t="s">
        <v>5300</v>
      </c>
      <c r="G554" s="55" t="s">
        <v>96</v>
      </c>
      <c r="H554" s="64">
        <v>0.03156</v>
      </c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</row>
    <row r="555">
      <c r="A555" s="48" t="s">
        <v>9507</v>
      </c>
      <c r="B555" s="44"/>
      <c r="C555" s="48" t="s">
        <v>9508</v>
      </c>
      <c r="D555" s="44"/>
      <c r="E555" s="48" t="s">
        <v>6009</v>
      </c>
      <c r="F555" s="48" t="s">
        <v>8784</v>
      </c>
      <c r="G555" s="55" t="s">
        <v>96</v>
      </c>
      <c r="H555" s="64">
        <v>0.03147</v>
      </c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</row>
    <row r="556">
      <c r="A556" s="48" t="s">
        <v>4541</v>
      </c>
      <c r="B556" s="44"/>
      <c r="C556" s="48" t="s">
        <v>9509</v>
      </c>
      <c r="D556" s="44"/>
      <c r="E556" s="48" t="s">
        <v>5434</v>
      </c>
      <c r="F556" s="48" t="s">
        <v>5300</v>
      </c>
      <c r="G556" s="55" t="s">
        <v>96</v>
      </c>
      <c r="H556" s="64">
        <v>0.03142</v>
      </c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</row>
    <row r="557">
      <c r="A557" s="48" t="s">
        <v>4546</v>
      </c>
      <c r="B557" s="44"/>
      <c r="C557" s="48" t="s">
        <v>9510</v>
      </c>
      <c r="D557" s="44"/>
      <c r="E557" s="48" t="s">
        <v>5264</v>
      </c>
      <c r="F557" s="48" t="s">
        <v>5300</v>
      </c>
      <c r="G557" s="55" t="s">
        <v>96</v>
      </c>
      <c r="H557" s="64">
        <v>0.03138</v>
      </c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</row>
    <row r="558">
      <c r="A558" s="48" t="s">
        <v>9511</v>
      </c>
      <c r="B558" s="44"/>
      <c r="C558" s="48" t="s">
        <v>9512</v>
      </c>
      <c r="D558" s="44"/>
      <c r="E558" s="48" t="s">
        <v>5276</v>
      </c>
      <c r="F558" s="48" t="s">
        <v>9513</v>
      </c>
      <c r="G558" s="55" t="s">
        <v>96</v>
      </c>
      <c r="H558" s="64">
        <v>0.03134</v>
      </c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</row>
    <row r="559">
      <c r="A559" s="48" t="s">
        <v>4492</v>
      </c>
      <c r="B559" s="44"/>
      <c r="C559" s="48" t="s">
        <v>9514</v>
      </c>
      <c r="D559" s="44"/>
      <c r="E559" s="48" t="s">
        <v>5229</v>
      </c>
      <c r="F559" s="48" t="s">
        <v>5300</v>
      </c>
      <c r="G559" s="55" t="s">
        <v>96</v>
      </c>
      <c r="H559" s="64">
        <v>0.03134</v>
      </c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</row>
    <row r="560">
      <c r="A560" s="48" t="s">
        <v>4499</v>
      </c>
      <c r="B560" s="44"/>
      <c r="C560" s="48" t="s">
        <v>9515</v>
      </c>
      <c r="D560" s="44"/>
      <c r="E560" s="48" t="s">
        <v>5326</v>
      </c>
      <c r="F560" s="48" t="s">
        <v>5300</v>
      </c>
      <c r="G560" s="55" t="s">
        <v>96</v>
      </c>
      <c r="H560" s="64">
        <v>0.03125</v>
      </c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</row>
    <row r="561">
      <c r="A561" s="48" t="s">
        <v>9516</v>
      </c>
      <c r="B561" s="44"/>
      <c r="C561" s="48" t="s">
        <v>9517</v>
      </c>
      <c r="D561" s="44"/>
      <c r="E561" s="48" t="s">
        <v>5561</v>
      </c>
      <c r="F561" s="48" t="s">
        <v>8784</v>
      </c>
      <c r="G561" s="55" t="s">
        <v>96</v>
      </c>
      <c r="H561" s="64">
        <v>0.03125</v>
      </c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</row>
    <row r="562">
      <c r="A562" s="48" t="s">
        <v>9518</v>
      </c>
      <c r="B562" s="44"/>
      <c r="C562" s="48" t="s">
        <v>9519</v>
      </c>
      <c r="D562" s="44"/>
      <c r="E562" s="48" t="s">
        <v>5215</v>
      </c>
      <c r="F562" s="48" t="s">
        <v>5747</v>
      </c>
      <c r="G562" s="55" t="s">
        <v>96</v>
      </c>
      <c r="H562" s="64">
        <v>0.03122</v>
      </c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</row>
    <row r="563">
      <c r="A563" s="48" t="s">
        <v>9520</v>
      </c>
      <c r="B563" s="44"/>
      <c r="C563" s="48" t="s">
        <v>9521</v>
      </c>
      <c r="D563" s="44"/>
      <c r="E563" s="48" t="s">
        <v>5249</v>
      </c>
      <c r="F563" s="48" t="s">
        <v>5300</v>
      </c>
      <c r="G563" s="55" t="s">
        <v>96</v>
      </c>
      <c r="H563" s="64">
        <v>0.03116</v>
      </c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</row>
    <row r="564">
      <c r="A564" s="48" t="s">
        <v>9522</v>
      </c>
      <c r="B564" s="44"/>
      <c r="C564" s="48" t="s">
        <v>9523</v>
      </c>
      <c r="D564" s="44"/>
      <c r="E564" s="48" t="s">
        <v>5215</v>
      </c>
      <c r="F564" s="48" t="s">
        <v>4436</v>
      </c>
      <c r="G564" s="55" t="s">
        <v>96</v>
      </c>
      <c r="H564" s="64">
        <v>0.0311</v>
      </c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</row>
    <row r="565">
      <c r="A565" s="48" t="s">
        <v>9524</v>
      </c>
      <c r="B565" s="44"/>
      <c r="C565" s="48" t="s">
        <v>9525</v>
      </c>
      <c r="D565" s="44"/>
      <c r="E565" s="48" t="s">
        <v>5978</v>
      </c>
      <c r="F565" s="48" t="s">
        <v>5300</v>
      </c>
      <c r="G565" s="55" t="s">
        <v>96</v>
      </c>
      <c r="H565" s="64">
        <v>0.03099</v>
      </c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</row>
    <row r="566">
      <c r="A566" s="48" t="s">
        <v>9526</v>
      </c>
      <c r="B566" s="44"/>
      <c r="C566" s="48" t="s">
        <v>9527</v>
      </c>
      <c r="D566" s="44"/>
      <c r="E566" s="48" t="s">
        <v>5215</v>
      </c>
      <c r="F566" s="48" t="s">
        <v>8784</v>
      </c>
      <c r="G566" s="55" t="s">
        <v>96</v>
      </c>
      <c r="H566" s="64">
        <v>0.03096</v>
      </c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</row>
    <row r="567">
      <c r="A567" s="48" t="s">
        <v>9528</v>
      </c>
      <c r="B567" s="44"/>
      <c r="C567" s="48" t="s">
        <v>9529</v>
      </c>
      <c r="D567" s="44"/>
      <c r="E567" s="48" t="s">
        <v>6012</v>
      </c>
      <c r="F567" s="48" t="s">
        <v>6988</v>
      </c>
      <c r="G567" s="55" t="s">
        <v>96</v>
      </c>
      <c r="H567" s="64">
        <v>0.03092</v>
      </c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</row>
    <row r="568">
      <c r="A568" s="48" t="s">
        <v>4607</v>
      </c>
      <c r="B568" s="44"/>
      <c r="C568" s="48" t="s">
        <v>9530</v>
      </c>
      <c r="D568" s="44"/>
      <c r="E568" s="48" t="s">
        <v>5321</v>
      </c>
      <c r="F568" s="48" t="s">
        <v>5300</v>
      </c>
      <c r="G568" s="55" t="s">
        <v>96</v>
      </c>
      <c r="H568" s="64">
        <v>0.03091</v>
      </c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</row>
    <row r="569">
      <c r="A569" s="48" t="s">
        <v>9531</v>
      </c>
      <c r="B569" s="44"/>
      <c r="C569" s="48" t="s">
        <v>9532</v>
      </c>
      <c r="D569" s="44"/>
      <c r="E569" s="48" t="s">
        <v>5561</v>
      </c>
      <c r="F569" s="48" t="s">
        <v>4095</v>
      </c>
      <c r="G569" s="55" t="s">
        <v>96</v>
      </c>
      <c r="H569" s="64">
        <v>0.03088</v>
      </c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</row>
    <row r="570">
      <c r="A570" s="48" t="s">
        <v>9533</v>
      </c>
      <c r="B570" s="44"/>
      <c r="C570" s="48" t="s">
        <v>9534</v>
      </c>
      <c r="D570" s="44"/>
      <c r="E570" s="48" t="s">
        <v>5691</v>
      </c>
      <c r="F570" s="48" t="s">
        <v>9513</v>
      </c>
      <c r="G570" s="55" t="s">
        <v>96</v>
      </c>
      <c r="H570" s="64">
        <v>0.03087</v>
      </c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</row>
    <row r="571">
      <c r="A571" s="48" t="s">
        <v>9535</v>
      </c>
      <c r="B571" s="44"/>
      <c r="C571" s="48" t="s">
        <v>9252</v>
      </c>
      <c r="D571" s="44"/>
      <c r="E571" s="48" t="s">
        <v>5978</v>
      </c>
      <c r="F571" s="48" t="s">
        <v>6988</v>
      </c>
      <c r="G571" s="55" t="s">
        <v>96</v>
      </c>
      <c r="H571" s="64">
        <v>0.03084</v>
      </c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</row>
    <row r="572">
      <c r="A572" s="48" t="s">
        <v>4564</v>
      </c>
      <c r="B572" s="44"/>
      <c r="C572" s="48" t="s">
        <v>9536</v>
      </c>
      <c r="D572" s="44"/>
      <c r="E572" s="48" t="s">
        <v>5434</v>
      </c>
      <c r="F572" s="48" t="s">
        <v>5300</v>
      </c>
      <c r="G572" s="55" t="s">
        <v>96</v>
      </c>
      <c r="H572" s="64">
        <v>0.03069</v>
      </c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</row>
    <row r="573">
      <c r="A573" s="48" t="s">
        <v>9537</v>
      </c>
      <c r="B573" s="44"/>
      <c r="C573" s="48" t="s">
        <v>9538</v>
      </c>
      <c r="D573" s="44"/>
      <c r="E573" s="48" t="s">
        <v>5271</v>
      </c>
      <c r="F573" s="48" t="s">
        <v>5425</v>
      </c>
      <c r="G573" s="55" t="s">
        <v>96</v>
      </c>
      <c r="H573" s="64">
        <v>0.0306</v>
      </c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</row>
    <row r="574">
      <c r="A574" s="48" t="s">
        <v>9539</v>
      </c>
      <c r="B574" s="44"/>
      <c r="C574" s="48" t="s">
        <v>9540</v>
      </c>
      <c r="D574" s="44"/>
      <c r="E574" s="48" t="s">
        <v>5742</v>
      </c>
      <c r="F574" s="48" t="s">
        <v>8784</v>
      </c>
      <c r="G574" s="55" t="s">
        <v>96</v>
      </c>
      <c r="H574" s="64">
        <v>0.03059</v>
      </c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</row>
    <row r="575">
      <c r="A575" s="48" t="s">
        <v>9541</v>
      </c>
      <c r="B575" s="44"/>
      <c r="C575" s="48" t="s">
        <v>9542</v>
      </c>
      <c r="D575" s="44"/>
      <c r="E575" s="48" t="s">
        <v>5261</v>
      </c>
      <c r="F575" s="48" t="s">
        <v>8784</v>
      </c>
      <c r="G575" s="55" t="s">
        <v>96</v>
      </c>
      <c r="H575" s="64">
        <v>0.03047</v>
      </c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</row>
    <row r="576">
      <c r="A576" s="48" t="s">
        <v>9543</v>
      </c>
      <c r="B576" s="44"/>
      <c r="C576" s="48" t="s">
        <v>8780</v>
      </c>
      <c r="D576" s="44"/>
      <c r="E576" s="48" t="s">
        <v>5218</v>
      </c>
      <c r="F576" s="48" t="s">
        <v>8759</v>
      </c>
      <c r="G576" s="55" t="s">
        <v>96</v>
      </c>
      <c r="H576" s="64">
        <v>0.03044</v>
      </c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</row>
    <row r="577">
      <c r="A577" s="48" t="s">
        <v>4580</v>
      </c>
      <c r="B577" s="44"/>
      <c r="C577" s="48" t="s">
        <v>9544</v>
      </c>
      <c r="D577" s="44"/>
      <c r="E577" s="48" t="s">
        <v>5267</v>
      </c>
      <c r="F577" s="48" t="s">
        <v>5300</v>
      </c>
      <c r="G577" s="55" t="s">
        <v>96</v>
      </c>
      <c r="H577" s="64">
        <v>0.03034</v>
      </c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</row>
    <row r="578">
      <c r="A578" s="48" t="s">
        <v>4561</v>
      </c>
      <c r="B578" s="44"/>
      <c r="C578" s="48" t="s">
        <v>9545</v>
      </c>
      <c r="D578" s="44"/>
      <c r="E578" s="48" t="s">
        <v>5501</v>
      </c>
      <c r="F578" s="48" t="s">
        <v>5300</v>
      </c>
      <c r="G578" s="55" t="s">
        <v>96</v>
      </c>
      <c r="H578" s="64">
        <v>0.03019</v>
      </c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</row>
    <row r="579">
      <c r="A579" s="48" t="s">
        <v>9546</v>
      </c>
      <c r="B579" s="44"/>
      <c r="C579" s="48" t="s">
        <v>9547</v>
      </c>
      <c r="D579" s="44"/>
      <c r="E579" s="48" t="s">
        <v>5467</v>
      </c>
      <c r="F579" s="48" t="s">
        <v>8767</v>
      </c>
      <c r="G579" s="55" t="s">
        <v>96</v>
      </c>
      <c r="H579" s="64">
        <v>0.03012</v>
      </c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</row>
    <row r="580">
      <c r="A580" s="48" t="s">
        <v>9548</v>
      </c>
      <c r="B580" s="44"/>
      <c r="C580" s="48" t="s">
        <v>9549</v>
      </c>
      <c r="D580" s="44"/>
      <c r="E580" s="48" t="s">
        <v>5283</v>
      </c>
      <c r="F580" s="48" t="s">
        <v>8759</v>
      </c>
      <c r="G580" s="55" t="s">
        <v>96</v>
      </c>
      <c r="H580" s="64">
        <v>0.02997</v>
      </c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</row>
    <row r="581">
      <c r="A581" s="48" t="s">
        <v>4611</v>
      </c>
      <c r="B581" s="44"/>
      <c r="C581" s="48" t="s">
        <v>9550</v>
      </c>
      <c r="D581" s="44"/>
      <c r="E581" s="48" t="s">
        <v>5467</v>
      </c>
      <c r="F581" s="48" t="s">
        <v>5300</v>
      </c>
      <c r="G581" s="55" t="s">
        <v>96</v>
      </c>
      <c r="H581" s="64">
        <v>0.02982</v>
      </c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</row>
    <row r="582">
      <c r="A582" s="48" t="s">
        <v>6168</v>
      </c>
      <c r="B582" s="44"/>
      <c r="C582" s="48" t="s">
        <v>6169</v>
      </c>
      <c r="D582" s="44"/>
      <c r="E582" s="48" t="s">
        <v>5215</v>
      </c>
      <c r="F582" s="48" t="s">
        <v>4340</v>
      </c>
      <c r="G582" s="55" t="s">
        <v>96</v>
      </c>
      <c r="H582" s="64">
        <v>0.02972</v>
      </c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</row>
    <row r="583">
      <c r="A583" s="48" t="s">
        <v>4682</v>
      </c>
      <c r="B583" s="44"/>
      <c r="C583" s="48" t="s">
        <v>9551</v>
      </c>
      <c r="D583" s="44"/>
      <c r="E583" s="48" t="s">
        <v>6514</v>
      </c>
      <c r="F583" s="48" t="s">
        <v>5300</v>
      </c>
      <c r="G583" s="55" t="s">
        <v>96</v>
      </c>
      <c r="H583" s="64">
        <v>0.02971</v>
      </c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</row>
    <row r="584">
      <c r="A584" s="48" t="s">
        <v>4591</v>
      </c>
      <c r="B584" s="44"/>
      <c r="C584" s="48" t="s">
        <v>9552</v>
      </c>
      <c r="D584" s="44"/>
      <c r="E584" s="48" t="s">
        <v>9553</v>
      </c>
      <c r="F584" s="48" t="s">
        <v>5300</v>
      </c>
      <c r="G584" s="55" t="s">
        <v>96</v>
      </c>
      <c r="H584" s="64">
        <v>0.0297</v>
      </c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</row>
    <row r="585">
      <c r="A585" s="48" t="s">
        <v>4535</v>
      </c>
      <c r="B585" s="44"/>
      <c r="C585" s="48" t="s">
        <v>9554</v>
      </c>
      <c r="D585" s="44"/>
      <c r="E585" s="48" t="s">
        <v>5811</v>
      </c>
      <c r="F585" s="48" t="s">
        <v>5300</v>
      </c>
      <c r="G585" s="55" t="s">
        <v>96</v>
      </c>
      <c r="H585" s="64">
        <v>0.02952</v>
      </c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</row>
    <row r="586">
      <c r="A586" s="48" t="s">
        <v>4665</v>
      </c>
      <c r="B586" s="44"/>
      <c r="C586" s="48" t="s">
        <v>9555</v>
      </c>
      <c r="D586" s="44"/>
      <c r="E586" s="48" t="s">
        <v>5459</v>
      </c>
      <c r="F586" s="48" t="s">
        <v>5300</v>
      </c>
      <c r="G586" s="55" t="s">
        <v>96</v>
      </c>
      <c r="H586" s="64">
        <v>0.02942</v>
      </c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</row>
    <row r="587">
      <c r="A587" s="48" t="s">
        <v>9556</v>
      </c>
      <c r="B587" s="44"/>
      <c r="C587" s="48" t="s">
        <v>9557</v>
      </c>
      <c r="D587" s="44"/>
      <c r="E587" s="48" t="s">
        <v>6130</v>
      </c>
      <c r="F587" s="48" t="s">
        <v>8759</v>
      </c>
      <c r="G587" s="55" t="s">
        <v>96</v>
      </c>
      <c r="H587" s="64">
        <v>0.02937</v>
      </c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</row>
    <row r="588">
      <c r="A588" s="48" t="s">
        <v>4525</v>
      </c>
      <c r="B588" s="44"/>
      <c r="C588" s="48" t="s">
        <v>9558</v>
      </c>
      <c r="D588" s="44"/>
      <c r="E588" s="48" t="s">
        <v>5374</v>
      </c>
      <c r="F588" s="48" t="s">
        <v>5300</v>
      </c>
      <c r="G588" s="55" t="s">
        <v>96</v>
      </c>
      <c r="H588" s="64">
        <v>0.02928</v>
      </c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</row>
    <row r="589">
      <c r="A589" s="48" t="s">
        <v>4602</v>
      </c>
      <c r="B589" s="44"/>
      <c r="C589" s="48" t="s">
        <v>9559</v>
      </c>
      <c r="D589" s="44"/>
      <c r="E589" s="48" t="s">
        <v>5326</v>
      </c>
      <c r="F589" s="48" t="s">
        <v>5300</v>
      </c>
      <c r="G589" s="55" t="s">
        <v>96</v>
      </c>
      <c r="H589" s="64">
        <v>0.02927</v>
      </c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</row>
    <row r="590">
      <c r="A590" s="48" t="s">
        <v>4558</v>
      </c>
      <c r="B590" s="44"/>
      <c r="C590" s="48" t="s">
        <v>9560</v>
      </c>
      <c r="D590" s="44"/>
      <c r="E590" s="48" t="s">
        <v>5456</v>
      </c>
      <c r="F590" s="48" t="s">
        <v>5300</v>
      </c>
      <c r="G590" s="55" t="s">
        <v>96</v>
      </c>
      <c r="H590" s="64">
        <v>0.02927</v>
      </c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</row>
    <row r="591">
      <c r="A591" s="48" t="s">
        <v>4590</v>
      </c>
      <c r="B591" s="44"/>
      <c r="C591" s="48" t="s">
        <v>9561</v>
      </c>
      <c r="D591" s="44"/>
      <c r="E591" s="48" t="s">
        <v>5218</v>
      </c>
      <c r="F591" s="48" t="s">
        <v>5300</v>
      </c>
      <c r="G591" s="55" t="s">
        <v>96</v>
      </c>
      <c r="H591" s="64">
        <v>0.02919</v>
      </c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</row>
    <row r="592">
      <c r="A592" s="48" t="s">
        <v>9562</v>
      </c>
      <c r="B592" s="44"/>
      <c r="C592" s="48" t="s">
        <v>9563</v>
      </c>
      <c r="D592" s="44"/>
      <c r="E592" s="48" t="s">
        <v>5283</v>
      </c>
      <c r="F592" s="48" t="s">
        <v>5425</v>
      </c>
      <c r="G592" s="55" t="s">
        <v>96</v>
      </c>
      <c r="H592" s="64">
        <v>0.02918</v>
      </c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</row>
    <row r="593">
      <c r="A593" s="48" t="s">
        <v>4631</v>
      </c>
      <c r="B593" s="44"/>
      <c r="C593" s="48" t="s">
        <v>9564</v>
      </c>
      <c r="D593" s="44"/>
      <c r="E593" s="48" t="s">
        <v>5609</v>
      </c>
      <c r="F593" s="48" t="s">
        <v>5300</v>
      </c>
      <c r="G593" s="55" t="s">
        <v>96</v>
      </c>
      <c r="H593" s="64">
        <v>0.02915</v>
      </c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</row>
    <row r="594">
      <c r="A594" s="48" t="s">
        <v>9565</v>
      </c>
      <c r="B594" s="44"/>
      <c r="C594" s="48" t="s">
        <v>9566</v>
      </c>
      <c r="D594" s="44"/>
      <c r="E594" s="48" t="s">
        <v>5215</v>
      </c>
      <c r="F594" s="48" t="s">
        <v>4095</v>
      </c>
      <c r="G594" s="55" t="s">
        <v>96</v>
      </c>
      <c r="H594" s="64">
        <v>0.02906</v>
      </c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</row>
    <row r="595">
      <c r="A595" s="48" t="s">
        <v>9567</v>
      </c>
      <c r="B595" s="44"/>
      <c r="C595" s="48" t="s">
        <v>9568</v>
      </c>
      <c r="D595" s="44"/>
      <c r="E595" s="48" t="s">
        <v>5276</v>
      </c>
      <c r="F595" s="48" t="s">
        <v>5300</v>
      </c>
      <c r="G595" s="55" t="s">
        <v>96</v>
      </c>
      <c r="H595" s="64">
        <v>0.02892</v>
      </c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</row>
    <row r="596">
      <c r="A596" s="48" t="s">
        <v>9569</v>
      </c>
      <c r="B596" s="44"/>
      <c r="C596" s="48" t="s">
        <v>9570</v>
      </c>
      <c r="D596" s="44"/>
      <c r="E596" s="48" t="s">
        <v>5961</v>
      </c>
      <c r="F596" s="48" t="s">
        <v>8784</v>
      </c>
      <c r="G596" s="55" t="s">
        <v>96</v>
      </c>
      <c r="H596" s="64">
        <v>0.0289</v>
      </c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</row>
    <row r="597">
      <c r="A597" s="48" t="s">
        <v>9571</v>
      </c>
      <c r="B597" s="44"/>
      <c r="C597" s="48" t="s">
        <v>9572</v>
      </c>
      <c r="D597" s="44"/>
      <c r="E597" s="48" t="s">
        <v>5811</v>
      </c>
      <c r="F597" s="48" t="s">
        <v>8784</v>
      </c>
      <c r="G597" s="55" t="s">
        <v>96</v>
      </c>
      <c r="H597" s="64">
        <v>0.0287</v>
      </c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</row>
    <row r="598">
      <c r="A598" s="48" t="s">
        <v>9573</v>
      </c>
      <c r="B598" s="44"/>
      <c r="C598" s="48" t="s">
        <v>9574</v>
      </c>
      <c r="D598" s="44"/>
      <c r="E598" s="48" t="s">
        <v>5276</v>
      </c>
      <c r="F598" s="48" t="s">
        <v>5300</v>
      </c>
      <c r="G598" s="55" t="s">
        <v>96</v>
      </c>
      <c r="H598" s="64">
        <v>0.02868</v>
      </c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</row>
    <row r="599">
      <c r="A599" s="48" t="s">
        <v>9575</v>
      </c>
      <c r="B599" s="44"/>
      <c r="C599" s="48" t="s">
        <v>9576</v>
      </c>
      <c r="D599" s="44"/>
      <c r="E599" s="48" t="s">
        <v>5691</v>
      </c>
      <c r="F599" s="48" t="s">
        <v>9021</v>
      </c>
      <c r="G599" s="55" t="s">
        <v>96</v>
      </c>
      <c r="H599" s="64">
        <v>0.02856</v>
      </c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</row>
    <row r="600">
      <c r="A600" s="48" t="s">
        <v>4565</v>
      </c>
      <c r="B600" s="44"/>
      <c r="C600" s="48" t="s">
        <v>9577</v>
      </c>
      <c r="D600" s="44"/>
      <c r="E600" s="48" t="s">
        <v>7611</v>
      </c>
      <c r="F600" s="48" t="s">
        <v>5300</v>
      </c>
      <c r="G600" s="55" t="s">
        <v>96</v>
      </c>
      <c r="H600" s="64">
        <v>0.02855</v>
      </c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</row>
    <row r="601">
      <c r="A601" s="48" t="s">
        <v>9578</v>
      </c>
      <c r="B601" s="44"/>
      <c r="C601" s="48" t="s">
        <v>9579</v>
      </c>
      <c r="D601" s="44"/>
      <c r="E601" s="48" t="s">
        <v>5215</v>
      </c>
      <c r="F601" s="48" t="s">
        <v>9021</v>
      </c>
      <c r="G601" s="55" t="s">
        <v>96</v>
      </c>
      <c r="H601" s="64">
        <v>0.0285</v>
      </c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</row>
    <row r="602">
      <c r="A602" s="48" t="s">
        <v>9580</v>
      </c>
      <c r="B602" s="44"/>
      <c r="C602" s="48" t="s">
        <v>9581</v>
      </c>
      <c r="D602" s="44"/>
      <c r="E602" s="48" t="s">
        <v>5241</v>
      </c>
      <c r="F602" s="48" t="s">
        <v>4436</v>
      </c>
      <c r="G602" s="55" t="s">
        <v>96</v>
      </c>
      <c r="H602" s="64">
        <v>0.0285</v>
      </c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</row>
    <row r="603">
      <c r="A603" s="48" t="s">
        <v>9582</v>
      </c>
      <c r="B603" s="44"/>
      <c r="C603" s="48" t="s">
        <v>9583</v>
      </c>
      <c r="D603" s="44"/>
      <c r="E603" s="48" t="s">
        <v>5321</v>
      </c>
      <c r="F603" s="48" t="s">
        <v>5300</v>
      </c>
      <c r="G603" s="55" t="s">
        <v>96</v>
      </c>
      <c r="H603" s="64">
        <v>0.02842</v>
      </c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</row>
    <row r="604">
      <c r="A604" s="48" t="s">
        <v>9584</v>
      </c>
      <c r="B604" s="44"/>
      <c r="C604" s="48" t="s">
        <v>9585</v>
      </c>
      <c r="D604" s="44"/>
      <c r="E604" s="48" t="s">
        <v>8951</v>
      </c>
      <c r="F604" s="48" t="s">
        <v>9021</v>
      </c>
      <c r="G604" s="55" t="s">
        <v>96</v>
      </c>
      <c r="H604" s="64">
        <v>0.02833</v>
      </c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</row>
    <row r="605">
      <c r="A605" s="48" t="s">
        <v>4573</v>
      </c>
      <c r="B605" s="44"/>
      <c r="C605" s="48" t="s">
        <v>9586</v>
      </c>
      <c r="D605" s="44"/>
      <c r="E605" s="48" t="s">
        <v>5811</v>
      </c>
      <c r="F605" s="48" t="s">
        <v>5268</v>
      </c>
      <c r="G605" s="55" t="s">
        <v>96</v>
      </c>
      <c r="H605" s="64">
        <v>0.02829</v>
      </c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</row>
    <row r="606">
      <c r="A606" s="48" t="s">
        <v>9587</v>
      </c>
      <c r="B606" s="44"/>
      <c r="C606" s="48" t="s">
        <v>9588</v>
      </c>
      <c r="D606" s="44"/>
      <c r="E606" s="48" t="s">
        <v>5715</v>
      </c>
      <c r="F606" s="48" t="s">
        <v>5425</v>
      </c>
      <c r="G606" s="55" t="s">
        <v>96</v>
      </c>
      <c r="H606" s="64">
        <v>0.02824</v>
      </c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</row>
    <row r="607">
      <c r="A607" s="48" t="s">
        <v>9589</v>
      </c>
      <c r="B607" s="44"/>
      <c r="C607" s="48" t="s">
        <v>9590</v>
      </c>
      <c r="D607" s="44"/>
      <c r="E607" s="48" t="s">
        <v>5434</v>
      </c>
      <c r="F607" s="48" t="s">
        <v>8759</v>
      </c>
      <c r="G607" s="55" t="s">
        <v>96</v>
      </c>
      <c r="H607" s="64">
        <v>0.02821</v>
      </c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</row>
    <row r="608">
      <c r="A608" s="48" t="s">
        <v>9591</v>
      </c>
      <c r="B608" s="44"/>
      <c r="C608" s="48" t="s">
        <v>9592</v>
      </c>
      <c r="D608" s="44"/>
      <c r="E608" s="48" t="s">
        <v>6009</v>
      </c>
      <c r="F608" s="48" t="s">
        <v>4095</v>
      </c>
      <c r="G608" s="55" t="s">
        <v>96</v>
      </c>
      <c r="H608" s="64">
        <v>0.02816</v>
      </c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</row>
    <row r="609">
      <c r="A609" s="48" t="s">
        <v>4562</v>
      </c>
      <c r="B609" s="44"/>
      <c r="C609" s="48" t="s">
        <v>9593</v>
      </c>
      <c r="D609" s="44"/>
      <c r="E609" s="48" t="s">
        <v>5261</v>
      </c>
      <c r="F609" s="48" t="s">
        <v>5300</v>
      </c>
      <c r="G609" s="55" t="s">
        <v>96</v>
      </c>
      <c r="H609" s="64">
        <v>0.02814</v>
      </c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</row>
    <row r="610">
      <c r="A610" s="48" t="s">
        <v>4605</v>
      </c>
      <c r="B610" s="44"/>
      <c r="C610" s="48" t="s">
        <v>9594</v>
      </c>
      <c r="D610" s="44"/>
      <c r="E610" s="48" t="s">
        <v>5407</v>
      </c>
      <c r="F610" s="48" t="s">
        <v>5300</v>
      </c>
      <c r="G610" s="55" t="s">
        <v>96</v>
      </c>
      <c r="H610" s="64">
        <v>0.02803</v>
      </c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</row>
    <row r="611">
      <c r="A611" s="48" t="s">
        <v>4578</v>
      </c>
      <c r="B611" s="44"/>
      <c r="C611" s="48" t="s">
        <v>9595</v>
      </c>
      <c r="D611" s="44"/>
      <c r="E611" s="48" t="s">
        <v>6327</v>
      </c>
      <c r="F611" s="48" t="s">
        <v>5300</v>
      </c>
      <c r="G611" s="55" t="s">
        <v>96</v>
      </c>
      <c r="H611" s="64">
        <v>0.02799</v>
      </c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</row>
    <row r="612">
      <c r="A612" s="48" t="s">
        <v>4671</v>
      </c>
      <c r="B612" s="44"/>
      <c r="C612" s="48" t="s">
        <v>9596</v>
      </c>
      <c r="D612" s="44"/>
      <c r="E612" s="48" t="s">
        <v>5232</v>
      </c>
      <c r="F612" s="48" t="s">
        <v>5300</v>
      </c>
      <c r="G612" s="55" t="s">
        <v>96</v>
      </c>
      <c r="H612" s="64">
        <v>0.02796</v>
      </c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</row>
    <row r="613">
      <c r="A613" s="48" t="s">
        <v>9597</v>
      </c>
      <c r="B613" s="44"/>
      <c r="C613" s="48" t="s">
        <v>9598</v>
      </c>
      <c r="D613" s="44"/>
      <c r="E613" s="48" t="s">
        <v>5215</v>
      </c>
      <c r="F613" s="48" t="s">
        <v>9513</v>
      </c>
      <c r="G613" s="55" t="s">
        <v>96</v>
      </c>
      <c r="H613" s="64">
        <v>0.02792</v>
      </c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</row>
    <row r="614">
      <c r="A614" s="48" t="s">
        <v>6160</v>
      </c>
      <c r="B614" s="44"/>
      <c r="C614" s="48" t="s">
        <v>6161</v>
      </c>
      <c r="D614" s="44"/>
      <c r="E614" s="48" t="s">
        <v>5478</v>
      </c>
      <c r="F614" s="48" t="s">
        <v>4340</v>
      </c>
      <c r="G614" s="55" t="s">
        <v>96</v>
      </c>
      <c r="H614" s="64">
        <v>0.02791</v>
      </c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</row>
    <row r="615">
      <c r="A615" s="48" t="s">
        <v>4597</v>
      </c>
      <c r="B615" s="44"/>
      <c r="C615" s="48" t="s">
        <v>9599</v>
      </c>
      <c r="D615" s="44"/>
      <c r="E615" s="48" t="s">
        <v>5715</v>
      </c>
      <c r="F615" s="48" t="s">
        <v>5300</v>
      </c>
      <c r="G615" s="55" t="s">
        <v>96</v>
      </c>
      <c r="H615" s="64">
        <v>0.02781</v>
      </c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</row>
    <row r="616">
      <c r="A616" s="48" t="s">
        <v>9600</v>
      </c>
      <c r="B616" s="44"/>
      <c r="C616" s="48" t="s">
        <v>9601</v>
      </c>
      <c r="D616" s="44"/>
      <c r="E616" s="48" t="s">
        <v>6798</v>
      </c>
      <c r="F616" s="48" t="s">
        <v>8784</v>
      </c>
      <c r="G616" s="55" t="s">
        <v>96</v>
      </c>
      <c r="H616" s="64">
        <v>0.02779</v>
      </c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</row>
    <row r="617">
      <c r="A617" s="48" t="s">
        <v>9602</v>
      </c>
      <c r="B617" s="44"/>
      <c r="C617" s="48" t="s">
        <v>9603</v>
      </c>
      <c r="D617" s="44"/>
      <c r="E617" s="48" t="s">
        <v>5775</v>
      </c>
      <c r="F617" s="48" t="s">
        <v>4095</v>
      </c>
      <c r="G617" s="55" t="s">
        <v>96</v>
      </c>
      <c r="H617" s="64">
        <v>0.02779</v>
      </c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</row>
    <row r="618">
      <c r="A618" s="48" t="s">
        <v>9604</v>
      </c>
      <c r="B618" s="44"/>
      <c r="C618" s="48" t="s">
        <v>9605</v>
      </c>
      <c r="D618" s="44"/>
      <c r="E618" s="48" t="s">
        <v>5374</v>
      </c>
      <c r="F618" s="48" t="s">
        <v>8784</v>
      </c>
      <c r="G618" s="55" t="s">
        <v>96</v>
      </c>
      <c r="H618" s="64">
        <v>0.02779</v>
      </c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</row>
    <row r="619">
      <c r="A619" s="48" t="s">
        <v>9606</v>
      </c>
      <c r="B619" s="44"/>
      <c r="C619" s="48" t="s">
        <v>9607</v>
      </c>
      <c r="D619" s="44"/>
      <c r="E619" s="48" t="s">
        <v>5283</v>
      </c>
      <c r="F619" s="48" t="s">
        <v>8784</v>
      </c>
      <c r="G619" s="55" t="s">
        <v>96</v>
      </c>
      <c r="H619" s="64">
        <v>0.02777</v>
      </c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</row>
    <row r="620">
      <c r="A620" s="48" t="s">
        <v>9608</v>
      </c>
      <c r="B620" s="44"/>
      <c r="C620" s="48" t="s">
        <v>9609</v>
      </c>
      <c r="D620" s="44"/>
      <c r="E620" s="48" t="s">
        <v>5238</v>
      </c>
      <c r="F620" s="48" t="s">
        <v>5836</v>
      </c>
      <c r="G620" s="55" t="s">
        <v>96</v>
      </c>
      <c r="H620" s="64">
        <v>0.02772</v>
      </c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</row>
    <row r="621">
      <c r="A621" s="48" t="s">
        <v>9610</v>
      </c>
      <c r="B621" s="44"/>
      <c r="C621" s="48" t="s">
        <v>9611</v>
      </c>
      <c r="D621" s="44"/>
      <c r="E621" s="48" t="s">
        <v>8648</v>
      </c>
      <c r="F621" s="48" t="s">
        <v>8784</v>
      </c>
      <c r="G621" s="55" t="s">
        <v>96</v>
      </c>
      <c r="H621" s="64">
        <v>0.02769</v>
      </c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</row>
    <row r="622">
      <c r="A622" s="48" t="s">
        <v>9612</v>
      </c>
      <c r="B622" s="44"/>
      <c r="C622" s="48" t="s">
        <v>9613</v>
      </c>
      <c r="D622" s="44"/>
      <c r="E622" s="48" t="s">
        <v>5215</v>
      </c>
      <c r="F622" s="48" t="s">
        <v>8784</v>
      </c>
      <c r="G622" s="55" t="s">
        <v>96</v>
      </c>
      <c r="H622" s="64">
        <v>0.02765</v>
      </c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</row>
    <row r="623">
      <c r="A623" s="48" t="s">
        <v>9614</v>
      </c>
      <c r="B623" s="44"/>
      <c r="C623" s="48" t="s">
        <v>9125</v>
      </c>
      <c r="D623" s="44"/>
      <c r="E623" s="48" t="s">
        <v>5978</v>
      </c>
      <c r="F623" s="48" t="s">
        <v>4095</v>
      </c>
      <c r="G623" s="55" t="s">
        <v>96</v>
      </c>
      <c r="H623" s="64">
        <v>0.02763</v>
      </c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</row>
    <row r="624">
      <c r="A624" s="48" t="s">
        <v>9615</v>
      </c>
      <c r="B624" s="44"/>
      <c r="C624" s="48" t="s">
        <v>9616</v>
      </c>
      <c r="D624" s="44"/>
      <c r="E624" s="48" t="s">
        <v>5215</v>
      </c>
      <c r="F624" s="48" t="s">
        <v>9617</v>
      </c>
      <c r="G624" s="55" t="s">
        <v>96</v>
      </c>
      <c r="H624" s="64">
        <v>0.02755</v>
      </c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</row>
    <row r="625">
      <c r="A625" s="48" t="s">
        <v>9618</v>
      </c>
      <c r="B625" s="44"/>
      <c r="C625" s="48" t="s">
        <v>9619</v>
      </c>
      <c r="D625" s="44"/>
      <c r="E625" s="48" t="s">
        <v>5467</v>
      </c>
      <c r="F625" s="48" t="s">
        <v>5300</v>
      </c>
      <c r="G625" s="55" t="s">
        <v>96</v>
      </c>
      <c r="H625" s="64">
        <v>0.0274</v>
      </c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</row>
    <row r="626">
      <c r="A626" s="48" t="s">
        <v>9620</v>
      </c>
      <c r="B626" s="44"/>
      <c r="C626" s="48" t="s">
        <v>9621</v>
      </c>
      <c r="D626" s="44"/>
      <c r="E626" s="48" t="s">
        <v>6040</v>
      </c>
      <c r="F626" s="48" t="s">
        <v>5425</v>
      </c>
      <c r="G626" s="55" t="s">
        <v>96</v>
      </c>
      <c r="H626" s="64">
        <v>0.02732</v>
      </c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</row>
    <row r="627">
      <c r="A627" s="48" t="s">
        <v>9622</v>
      </c>
      <c r="B627" s="44"/>
      <c r="C627" s="48" t="s">
        <v>9623</v>
      </c>
      <c r="D627" s="44"/>
      <c r="E627" s="48" t="s">
        <v>5961</v>
      </c>
      <c r="F627" s="48" t="s">
        <v>5941</v>
      </c>
      <c r="G627" s="55" t="s">
        <v>96</v>
      </c>
      <c r="H627" s="64">
        <v>0.0273</v>
      </c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</row>
    <row r="628">
      <c r="A628" s="48" t="s">
        <v>9624</v>
      </c>
      <c r="B628" s="44"/>
      <c r="C628" s="48" t="s">
        <v>9625</v>
      </c>
      <c r="D628" s="44"/>
      <c r="E628" s="48" t="s">
        <v>9144</v>
      </c>
      <c r="F628" s="48" t="s">
        <v>4095</v>
      </c>
      <c r="G628" s="55" t="s">
        <v>96</v>
      </c>
      <c r="H628" s="64">
        <v>0.02727</v>
      </c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</row>
    <row r="629">
      <c r="A629" s="48" t="s">
        <v>9626</v>
      </c>
      <c r="B629" s="44"/>
      <c r="C629" s="48" t="s">
        <v>9627</v>
      </c>
      <c r="D629" s="44"/>
      <c r="E629" s="48" t="s">
        <v>5326</v>
      </c>
      <c r="F629" s="48" t="s">
        <v>5300</v>
      </c>
      <c r="G629" s="55" t="s">
        <v>96</v>
      </c>
      <c r="H629" s="64">
        <v>0.02722</v>
      </c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</row>
    <row r="630">
      <c r="A630" s="48" t="s">
        <v>4660</v>
      </c>
      <c r="B630" s="44"/>
      <c r="C630" s="48" t="s">
        <v>9628</v>
      </c>
      <c r="D630" s="44"/>
      <c r="E630" s="48" t="s">
        <v>5525</v>
      </c>
      <c r="F630" s="48" t="s">
        <v>5300</v>
      </c>
      <c r="G630" s="55" t="s">
        <v>96</v>
      </c>
      <c r="H630" s="64">
        <v>0.02717</v>
      </c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</row>
    <row r="631">
      <c r="A631" s="48" t="s">
        <v>9629</v>
      </c>
      <c r="B631" s="44"/>
      <c r="C631" s="48" t="s">
        <v>9590</v>
      </c>
      <c r="D631" s="44"/>
      <c r="E631" s="48" t="s">
        <v>5434</v>
      </c>
      <c r="F631" s="48" t="s">
        <v>8759</v>
      </c>
      <c r="G631" s="55" t="s">
        <v>96</v>
      </c>
      <c r="H631" s="64">
        <v>0.02709</v>
      </c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</row>
    <row r="632">
      <c r="A632" s="48" t="s">
        <v>9630</v>
      </c>
      <c r="B632" s="44"/>
      <c r="C632" s="48" t="s">
        <v>9631</v>
      </c>
      <c r="D632" s="44"/>
      <c r="E632" s="48" t="s">
        <v>5235</v>
      </c>
      <c r="F632" s="48" t="s">
        <v>5836</v>
      </c>
      <c r="G632" s="55" t="s">
        <v>96</v>
      </c>
      <c r="H632" s="64">
        <v>0.02703</v>
      </c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</row>
    <row r="633">
      <c r="A633" s="48" t="s">
        <v>9632</v>
      </c>
      <c r="B633" s="44"/>
      <c r="C633" s="48" t="s">
        <v>9633</v>
      </c>
      <c r="D633" s="44"/>
      <c r="E633" s="48" t="s">
        <v>5215</v>
      </c>
      <c r="F633" s="48" t="s">
        <v>8784</v>
      </c>
      <c r="G633" s="55" t="s">
        <v>96</v>
      </c>
      <c r="H633" s="64">
        <v>0.02695</v>
      </c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</row>
    <row r="634">
      <c r="A634" s="48" t="s">
        <v>9634</v>
      </c>
      <c r="B634" s="44"/>
      <c r="C634" s="48" t="s">
        <v>9635</v>
      </c>
      <c r="D634" s="44"/>
      <c r="E634" s="48" t="s">
        <v>5366</v>
      </c>
      <c r="F634" s="48" t="s">
        <v>4095</v>
      </c>
      <c r="G634" s="55" t="s">
        <v>96</v>
      </c>
      <c r="H634" s="64">
        <v>0.0269</v>
      </c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</row>
    <row r="635">
      <c r="A635" s="48" t="s">
        <v>4606</v>
      </c>
      <c r="B635" s="44"/>
      <c r="C635" s="48" t="s">
        <v>9636</v>
      </c>
      <c r="D635" s="44"/>
      <c r="E635" s="48" t="s">
        <v>5478</v>
      </c>
      <c r="F635" s="48" t="s">
        <v>5300</v>
      </c>
      <c r="G635" s="55" t="s">
        <v>96</v>
      </c>
      <c r="H635" s="64">
        <v>0.02683</v>
      </c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</row>
    <row r="636">
      <c r="A636" s="48" t="s">
        <v>6153</v>
      </c>
      <c r="B636" s="44"/>
      <c r="C636" s="48" t="s">
        <v>6154</v>
      </c>
      <c r="D636" s="44"/>
      <c r="E636" s="48" t="s">
        <v>5326</v>
      </c>
      <c r="F636" s="48" t="s">
        <v>4340</v>
      </c>
      <c r="G636" s="55" t="s">
        <v>96</v>
      </c>
      <c r="H636" s="64">
        <v>0.02681</v>
      </c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</row>
    <row r="637">
      <c r="A637" s="48" t="s">
        <v>9637</v>
      </c>
      <c r="B637" s="44"/>
      <c r="C637" s="48" t="s">
        <v>9638</v>
      </c>
      <c r="D637" s="44"/>
      <c r="E637" s="48" t="s">
        <v>5445</v>
      </c>
      <c r="F637" s="48" t="s">
        <v>5300</v>
      </c>
      <c r="G637" s="55" t="s">
        <v>96</v>
      </c>
      <c r="H637" s="64">
        <v>0.02681</v>
      </c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</row>
    <row r="638">
      <c r="A638" s="48" t="s">
        <v>9639</v>
      </c>
      <c r="B638" s="44"/>
      <c r="C638" s="48" t="s">
        <v>9640</v>
      </c>
      <c r="D638" s="44"/>
      <c r="E638" s="48" t="s">
        <v>5267</v>
      </c>
      <c r="F638" s="48" t="s">
        <v>5268</v>
      </c>
      <c r="G638" s="55" t="s">
        <v>96</v>
      </c>
      <c r="H638" s="64">
        <v>0.02677</v>
      </c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</row>
    <row r="639">
      <c r="A639" s="48" t="s">
        <v>9641</v>
      </c>
      <c r="B639" s="44"/>
      <c r="C639" s="48" t="s">
        <v>9642</v>
      </c>
      <c r="D639" s="44"/>
      <c r="E639" s="48" t="s">
        <v>5374</v>
      </c>
      <c r="F639" s="48" t="s">
        <v>5300</v>
      </c>
      <c r="G639" s="55" t="s">
        <v>96</v>
      </c>
      <c r="H639" s="64">
        <v>0.02673</v>
      </c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</row>
    <row r="640">
      <c r="A640" s="48" t="s">
        <v>4589</v>
      </c>
      <c r="B640" s="44"/>
      <c r="C640" s="48" t="s">
        <v>9643</v>
      </c>
      <c r="D640" s="44"/>
      <c r="E640" s="48" t="s">
        <v>5238</v>
      </c>
      <c r="F640" s="48" t="s">
        <v>5836</v>
      </c>
      <c r="G640" s="55" t="s">
        <v>96</v>
      </c>
      <c r="H640" s="64">
        <v>0.02672</v>
      </c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</row>
    <row r="641">
      <c r="A641" s="48" t="s">
        <v>9644</v>
      </c>
      <c r="B641" s="44"/>
      <c r="C641" s="48" t="s">
        <v>9645</v>
      </c>
      <c r="D641" s="44"/>
      <c r="E641" s="48" t="s">
        <v>5215</v>
      </c>
      <c r="F641" s="48" t="s">
        <v>9513</v>
      </c>
      <c r="G641" s="55" t="s">
        <v>96</v>
      </c>
      <c r="H641" s="64">
        <v>0.02657</v>
      </c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</row>
    <row r="642">
      <c r="A642" s="48" t="s">
        <v>4603</v>
      </c>
      <c r="B642" s="44"/>
      <c r="C642" s="48" t="s">
        <v>9646</v>
      </c>
      <c r="D642" s="44"/>
      <c r="E642" s="48" t="s">
        <v>5291</v>
      </c>
      <c r="F642" s="48" t="s">
        <v>5300</v>
      </c>
      <c r="G642" s="55" t="s">
        <v>96</v>
      </c>
      <c r="H642" s="64">
        <v>0.02652</v>
      </c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</row>
    <row r="643">
      <c r="A643" s="48" t="s">
        <v>9647</v>
      </c>
      <c r="B643" s="44"/>
      <c r="C643" s="48" t="s">
        <v>9648</v>
      </c>
      <c r="D643" s="44"/>
      <c r="E643" s="48" t="s">
        <v>5516</v>
      </c>
      <c r="F643" s="48" t="s">
        <v>5300</v>
      </c>
      <c r="G643" s="55" t="s">
        <v>96</v>
      </c>
      <c r="H643" s="64">
        <v>0.02651</v>
      </c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</row>
    <row r="644">
      <c r="A644" s="48" t="s">
        <v>9649</v>
      </c>
      <c r="B644" s="44"/>
      <c r="C644" s="48" t="s">
        <v>9650</v>
      </c>
      <c r="D644" s="44"/>
      <c r="E644" s="48" t="s">
        <v>5235</v>
      </c>
      <c r="F644" s="48" t="s">
        <v>6988</v>
      </c>
      <c r="G644" s="55" t="s">
        <v>96</v>
      </c>
      <c r="H644" s="64">
        <v>0.02638</v>
      </c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</row>
    <row r="645">
      <c r="A645" s="48" t="s">
        <v>4601</v>
      </c>
      <c r="B645" s="44"/>
      <c r="C645" s="48" t="s">
        <v>9651</v>
      </c>
      <c r="D645" s="44"/>
      <c r="E645" s="48" t="s">
        <v>5434</v>
      </c>
      <c r="F645" s="48" t="s">
        <v>5300</v>
      </c>
      <c r="G645" s="55" t="s">
        <v>96</v>
      </c>
      <c r="H645" s="64">
        <v>0.02636</v>
      </c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</row>
    <row r="646">
      <c r="A646" s="48" t="s">
        <v>9652</v>
      </c>
      <c r="B646" s="44"/>
      <c r="C646" s="48" t="s">
        <v>9653</v>
      </c>
      <c r="D646" s="44"/>
      <c r="E646" s="48" t="s">
        <v>6130</v>
      </c>
      <c r="F646" s="48" t="s">
        <v>8784</v>
      </c>
      <c r="G646" s="55" t="s">
        <v>96</v>
      </c>
      <c r="H646" s="64">
        <v>0.02635</v>
      </c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</row>
    <row r="647">
      <c r="A647" s="48" t="s">
        <v>9654</v>
      </c>
      <c r="B647" s="44"/>
      <c r="C647" s="48" t="s">
        <v>9655</v>
      </c>
      <c r="D647" s="44"/>
      <c r="E647" s="48" t="s">
        <v>5276</v>
      </c>
      <c r="F647" s="48" t="s">
        <v>5300</v>
      </c>
      <c r="G647" s="55" t="s">
        <v>96</v>
      </c>
      <c r="H647" s="64">
        <v>0.02632</v>
      </c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</row>
    <row r="648">
      <c r="A648" s="48" t="s">
        <v>9656</v>
      </c>
      <c r="B648" s="44"/>
      <c r="C648" s="48" t="s">
        <v>9657</v>
      </c>
      <c r="D648" s="44"/>
      <c r="E648" s="48" t="s">
        <v>5218</v>
      </c>
      <c r="F648" s="48" t="s">
        <v>5425</v>
      </c>
      <c r="G648" s="55" t="s">
        <v>96</v>
      </c>
      <c r="H648" s="64">
        <v>0.02628</v>
      </c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</row>
    <row r="649">
      <c r="A649" s="48" t="s">
        <v>9658</v>
      </c>
      <c r="B649" s="44"/>
      <c r="C649" s="48" t="s">
        <v>9659</v>
      </c>
      <c r="D649" s="44"/>
      <c r="E649" s="48" t="s">
        <v>5215</v>
      </c>
      <c r="F649" s="48" t="s">
        <v>5268</v>
      </c>
      <c r="G649" s="55" t="s">
        <v>96</v>
      </c>
      <c r="H649" s="64">
        <v>0.0262</v>
      </c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</row>
    <row r="650">
      <c r="A650" s="48" t="s">
        <v>4599</v>
      </c>
      <c r="B650" s="44"/>
      <c r="C650" s="48" t="s">
        <v>9660</v>
      </c>
      <c r="D650" s="44"/>
      <c r="E650" s="48" t="s">
        <v>5445</v>
      </c>
      <c r="F650" s="48" t="s">
        <v>5300</v>
      </c>
      <c r="G650" s="55" t="s">
        <v>96</v>
      </c>
      <c r="H650" s="64">
        <v>0.02615</v>
      </c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</row>
    <row r="651">
      <c r="A651" s="48" t="s">
        <v>4589</v>
      </c>
      <c r="B651" s="44"/>
      <c r="C651" s="48" t="s">
        <v>9661</v>
      </c>
      <c r="D651" s="44"/>
      <c r="E651" s="48" t="s">
        <v>5261</v>
      </c>
      <c r="F651" s="48" t="s">
        <v>5300</v>
      </c>
      <c r="G651" s="55" t="s">
        <v>96</v>
      </c>
      <c r="H651" s="64">
        <v>0.02613</v>
      </c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</row>
    <row r="652">
      <c r="A652" s="48" t="s">
        <v>9662</v>
      </c>
      <c r="B652" s="44"/>
      <c r="C652" s="48" t="s">
        <v>9663</v>
      </c>
      <c r="D652" s="44"/>
      <c r="E652" s="48" t="s">
        <v>6389</v>
      </c>
      <c r="F652" s="48" t="s">
        <v>5425</v>
      </c>
      <c r="G652" s="55" t="s">
        <v>96</v>
      </c>
      <c r="H652" s="64">
        <v>0.02608</v>
      </c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</row>
    <row r="653">
      <c r="A653" s="48" t="s">
        <v>9664</v>
      </c>
      <c r="B653" s="44"/>
      <c r="C653" s="48" t="s">
        <v>9665</v>
      </c>
      <c r="D653" s="44"/>
      <c r="E653" s="48" t="s">
        <v>5682</v>
      </c>
      <c r="F653" s="48" t="s">
        <v>4095</v>
      </c>
      <c r="G653" s="55" t="s">
        <v>96</v>
      </c>
      <c r="H653" s="64">
        <v>0.02595</v>
      </c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</row>
    <row r="654">
      <c r="A654" s="48" t="s">
        <v>4640</v>
      </c>
      <c r="B654" s="44"/>
      <c r="C654" s="48" t="s">
        <v>9666</v>
      </c>
      <c r="D654" s="44"/>
      <c r="E654" s="48" t="s">
        <v>5467</v>
      </c>
      <c r="F654" s="48" t="s">
        <v>5300</v>
      </c>
      <c r="G654" s="55" t="s">
        <v>96</v>
      </c>
      <c r="H654" s="64">
        <v>0.02589</v>
      </c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</row>
    <row r="655">
      <c r="A655" s="48" t="s">
        <v>4620</v>
      </c>
      <c r="B655" s="44"/>
      <c r="C655" s="48" t="s">
        <v>9667</v>
      </c>
      <c r="D655" s="44"/>
      <c r="E655" s="48" t="s">
        <v>9039</v>
      </c>
      <c r="F655" s="48" t="s">
        <v>5300</v>
      </c>
      <c r="G655" s="55" t="s">
        <v>96</v>
      </c>
      <c r="H655" s="64">
        <v>0.02585</v>
      </c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</row>
    <row r="656">
      <c r="A656" s="48" t="s">
        <v>9668</v>
      </c>
      <c r="B656" s="44"/>
      <c r="C656" s="48" t="s">
        <v>9669</v>
      </c>
      <c r="D656" s="44"/>
      <c r="E656" s="48" t="s">
        <v>5276</v>
      </c>
      <c r="F656" s="48" t="s">
        <v>5300</v>
      </c>
      <c r="G656" s="55" t="s">
        <v>96</v>
      </c>
      <c r="H656" s="64">
        <v>0.02576</v>
      </c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</row>
    <row r="657">
      <c r="A657" s="48" t="s">
        <v>4632</v>
      </c>
      <c r="B657" s="44"/>
      <c r="C657" s="48" t="s">
        <v>9670</v>
      </c>
      <c r="D657" s="44"/>
      <c r="E657" s="48" t="s">
        <v>5215</v>
      </c>
      <c r="F657" s="48" t="s">
        <v>5300</v>
      </c>
      <c r="G657" s="55" t="s">
        <v>96</v>
      </c>
      <c r="H657" s="64">
        <v>0.02565</v>
      </c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</row>
    <row r="658">
      <c r="A658" s="48" t="s">
        <v>9671</v>
      </c>
      <c r="B658" s="44"/>
      <c r="C658" s="48" t="s">
        <v>9672</v>
      </c>
      <c r="D658" s="44"/>
      <c r="E658" s="48" t="s">
        <v>5564</v>
      </c>
      <c r="F658" s="48" t="s">
        <v>5425</v>
      </c>
      <c r="G658" s="55" t="s">
        <v>96</v>
      </c>
      <c r="H658" s="64">
        <v>0.02564</v>
      </c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</row>
    <row r="659">
      <c r="A659" s="48" t="s">
        <v>9673</v>
      </c>
      <c r="B659" s="44"/>
      <c r="C659" s="48" t="s">
        <v>9674</v>
      </c>
      <c r="D659" s="44"/>
      <c r="E659" s="48" t="s">
        <v>5715</v>
      </c>
      <c r="F659" s="48" t="s">
        <v>5329</v>
      </c>
      <c r="G659" s="55" t="s">
        <v>96</v>
      </c>
      <c r="H659" s="64">
        <v>0.02545</v>
      </c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</row>
    <row r="660">
      <c r="A660" s="48" t="s">
        <v>9675</v>
      </c>
      <c r="B660" s="44"/>
      <c r="C660" s="48" t="s">
        <v>9676</v>
      </c>
      <c r="D660" s="44"/>
      <c r="E660" s="48" t="s">
        <v>7251</v>
      </c>
      <c r="F660" s="48" t="s">
        <v>8784</v>
      </c>
      <c r="G660" s="55" t="s">
        <v>96</v>
      </c>
      <c r="H660" s="64">
        <v>0.02544</v>
      </c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</row>
    <row r="661">
      <c r="A661" s="48" t="s">
        <v>6205</v>
      </c>
      <c r="B661" s="44"/>
      <c r="C661" s="48" t="s">
        <v>6206</v>
      </c>
      <c r="D661" s="44"/>
      <c r="E661" s="48" t="s">
        <v>5478</v>
      </c>
      <c r="F661" s="48" t="s">
        <v>4340</v>
      </c>
      <c r="G661" s="55" t="s">
        <v>96</v>
      </c>
      <c r="H661" s="64">
        <v>0.02543</v>
      </c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</row>
    <row r="662">
      <c r="A662" s="48" t="s">
        <v>5836</v>
      </c>
      <c r="B662" s="44"/>
      <c r="C662" s="48" t="s">
        <v>9677</v>
      </c>
      <c r="D662" s="44"/>
      <c r="E662" s="48" t="s">
        <v>5238</v>
      </c>
      <c r="F662" s="48" t="s">
        <v>5747</v>
      </c>
      <c r="G662" s="55" t="s">
        <v>96</v>
      </c>
      <c r="H662" s="64">
        <v>0.02533</v>
      </c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</row>
    <row r="663">
      <c r="A663" s="48" t="s">
        <v>6183</v>
      </c>
      <c r="B663" s="44"/>
      <c r="C663" s="48" t="s">
        <v>6184</v>
      </c>
      <c r="D663" s="44"/>
      <c r="E663" s="48" t="s">
        <v>5501</v>
      </c>
      <c r="F663" s="48" t="s">
        <v>4340</v>
      </c>
      <c r="G663" s="55" t="s">
        <v>96</v>
      </c>
      <c r="H663" s="64">
        <v>0.02522</v>
      </c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</row>
    <row r="664">
      <c r="A664" s="48" t="s">
        <v>9678</v>
      </c>
      <c r="B664" s="44"/>
      <c r="C664" s="48" t="s">
        <v>9679</v>
      </c>
      <c r="D664" s="44"/>
      <c r="E664" s="48" t="s">
        <v>9189</v>
      </c>
      <c r="F664" s="48" t="s">
        <v>8784</v>
      </c>
      <c r="G664" s="55" t="s">
        <v>96</v>
      </c>
      <c r="H664" s="64">
        <v>0.02519</v>
      </c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</row>
    <row r="665">
      <c r="A665" s="48" t="s">
        <v>9680</v>
      </c>
      <c r="B665" s="44"/>
      <c r="C665" s="48" t="s">
        <v>9681</v>
      </c>
      <c r="D665" s="44"/>
      <c r="E665" s="48" t="s">
        <v>5756</v>
      </c>
      <c r="F665" s="48" t="s">
        <v>8784</v>
      </c>
      <c r="G665" s="55" t="s">
        <v>96</v>
      </c>
      <c r="H665" s="64">
        <v>0.02514</v>
      </c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</row>
    <row r="666">
      <c r="A666" s="48" t="s">
        <v>5372</v>
      </c>
      <c r="B666" s="44"/>
      <c r="C666" s="48" t="s">
        <v>9682</v>
      </c>
      <c r="D666" s="44"/>
      <c r="E666" s="48" t="s">
        <v>5232</v>
      </c>
      <c r="F666" s="48" t="s">
        <v>5425</v>
      </c>
      <c r="G666" s="55" t="s">
        <v>96</v>
      </c>
      <c r="H666" s="64">
        <v>0.02509</v>
      </c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</row>
    <row r="667">
      <c r="A667" s="48" t="s">
        <v>9683</v>
      </c>
      <c r="B667" s="44"/>
      <c r="C667" s="48" t="s">
        <v>9684</v>
      </c>
      <c r="D667" s="44"/>
      <c r="E667" s="48" t="s">
        <v>5276</v>
      </c>
      <c r="F667" s="48" t="s">
        <v>5425</v>
      </c>
      <c r="G667" s="55" t="s">
        <v>96</v>
      </c>
      <c r="H667" s="64">
        <v>0.02496</v>
      </c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</row>
    <row r="668">
      <c r="A668" s="48" t="s">
        <v>9685</v>
      </c>
      <c r="B668" s="44"/>
      <c r="C668" s="48" t="s">
        <v>9686</v>
      </c>
      <c r="D668" s="44"/>
      <c r="E668" s="48" t="s">
        <v>6191</v>
      </c>
      <c r="F668" s="48" t="s">
        <v>4357</v>
      </c>
      <c r="G668" s="55" t="s">
        <v>96</v>
      </c>
      <c r="H668" s="64">
        <v>0.02494</v>
      </c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</row>
    <row r="669">
      <c r="A669" s="48" t="s">
        <v>9687</v>
      </c>
      <c r="B669" s="44"/>
      <c r="C669" s="48" t="s">
        <v>9688</v>
      </c>
      <c r="D669" s="44"/>
      <c r="E669" s="48" t="s">
        <v>5215</v>
      </c>
      <c r="F669" s="48" t="s">
        <v>6220</v>
      </c>
      <c r="G669" s="55" t="s">
        <v>96</v>
      </c>
      <c r="H669" s="64">
        <v>0.0249</v>
      </c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</row>
    <row r="670">
      <c r="A670" s="48" t="s">
        <v>9689</v>
      </c>
      <c r="B670" s="44"/>
      <c r="C670" s="48" t="s">
        <v>9690</v>
      </c>
      <c r="D670" s="44"/>
      <c r="E670" s="48" t="s">
        <v>5218</v>
      </c>
      <c r="F670" s="48" t="s">
        <v>8784</v>
      </c>
      <c r="G670" s="55" t="s">
        <v>96</v>
      </c>
      <c r="H670" s="64">
        <v>0.02471</v>
      </c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</row>
    <row r="671">
      <c r="A671" s="48" t="s">
        <v>4638</v>
      </c>
      <c r="B671" s="44"/>
      <c r="C671" s="48" t="s">
        <v>9691</v>
      </c>
      <c r="D671" s="44"/>
      <c r="E671" s="48" t="s">
        <v>5650</v>
      </c>
      <c r="F671" s="48" t="s">
        <v>5300</v>
      </c>
      <c r="G671" s="55" t="s">
        <v>96</v>
      </c>
      <c r="H671" s="64">
        <v>0.02463</v>
      </c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</row>
    <row r="672">
      <c r="A672" s="48" t="s">
        <v>9692</v>
      </c>
      <c r="B672" s="44"/>
      <c r="C672" s="48" t="s">
        <v>9693</v>
      </c>
      <c r="D672" s="44"/>
      <c r="E672" s="48" t="s">
        <v>5366</v>
      </c>
      <c r="F672" s="48" t="s">
        <v>5425</v>
      </c>
      <c r="G672" s="55" t="s">
        <v>96</v>
      </c>
      <c r="H672" s="64">
        <v>0.02463</v>
      </c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</row>
    <row r="673">
      <c r="A673" s="48" t="s">
        <v>9694</v>
      </c>
      <c r="B673" s="44"/>
      <c r="C673" s="48" t="s">
        <v>9695</v>
      </c>
      <c r="D673" s="44"/>
      <c r="E673" s="48" t="s">
        <v>5742</v>
      </c>
      <c r="F673" s="48" t="s">
        <v>8784</v>
      </c>
      <c r="G673" s="55" t="s">
        <v>96</v>
      </c>
      <c r="H673" s="64">
        <v>0.0246</v>
      </c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</row>
    <row r="674">
      <c r="A674" s="48" t="s">
        <v>9696</v>
      </c>
      <c r="B674" s="44"/>
      <c r="C674" s="48" t="s">
        <v>9697</v>
      </c>
      <c r="D674" s="44"/>
      <c r="E674" s="48" t="s">
        <v>5276</v>
      </c>
      <c r="F674" s="48" t="s">
        <v>9698</v>
      </c>
      <c r="G674" s="55" t="s">
        <v>96</v>
      </c>
      <c r="H674" s="64">
        <v>0.0245</v>
      </c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</row>
    <row r="675">
      <c r="A675" s="48" t="s">
        <v>9699</v>
      </c>
      <c r="B675" s="44"/>
      <c r="C675" s="48" t="s">
        <v>2869</v>
      </c>
      <c r="D675" s="44"/>
      <c r="E675" s="48" t="s">
        <v>5218</v>
      </c>
      <c r="F675" s="48" t="s">
        <v>9414</v>
      </c>
      <c r="G675" s="55" t="s">
        <v>96</v>
      </c>
      <c r="H675" s="64">
        <v>0.02444</v>
      </c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</row>
    <row r="676">
      <c r="A676" s="48" t="s">
        <v>9700</v>
      </c>
      <c r="B676" s="44"/>
      <c r="C676" s="48" t="s">
        <v>9701</v>
      </c>
      <c r="D676" s="44"/>
      <c r="E676" s="48" t="s">
        <v>5271</v>
      </c>
      <c r="F676" s="48" t="s">
        <v>6988</v>
      </c>
      <c r="G676" s="55" t="s">
        <v>96</v>
      </c>
      <c r="H676" s="64">
        <v>0.02424</v>
      </c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</row>
    <row r="677">
      <c r="A677" s="48" t="s">
        <v>9702</v>
      </c>
      <c r="B677" s="44"/>
      <c r="C677" s="48" t="s">
        <v>9703</v>
      </c>
      <c r="D677" s="44"/>
      <c r="E677" s="48" t="s">
        <v>5235</v>
      </c>
      <c r="F677" s="48" t="s">
        <v>5425</v>
      </c>
      <c r="G677" s="55" t="s">
        <v>96</v>
      </c>
      <c r="H677" s="64">
        <v>0.02419</v>
      </c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</row>
    <row r="678">
      <c r="A678" s="48" t="s">
        <v>9704</v>
      </c>
      <c r="B678" s="44"/>
      <c r="C678" s="48" t="s">
        <v>9705</v>
      </c>
      <c r="D678" s="44"/>
      <c r="E678" s="48" t="s">
        <v>5296</v>
      </c>
      <c r="F678" s="48" t="s">
        <v>4357</v>
      </c>
      <c r="G678" s="55" t="s">
        <v>96</v>
      </c>
      <c r="H678" s="64">
        <v>0.0241</v>
      </c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</row>
    <row r="679">
      <c r="A679" s="48" t="s">
        <v>9706</v>
      </c>
      <c r="B679" s="44"/>
      <c r="C679" s="48" t="s">
        <v>9707</v>
      </c>
      <c r="D679" s="44"/>
      <c r="E679" s="48" t="s">
        <v>5501</v>
      </c>
      <c r="F679" s="48" t="s">
        <v>8784</v>
      </c>
      <c r="G679" s="55" t="s">
        <v>96</v>
      </c>
      <c r="H679" s="64">
        <v>0.02407</v>
      </c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</row>
    <row r="680">
      <c r="A680" s="48" t="s">
        <v>9708</v>
      </c>
      <c r="B680" s="44"/>
      <c r="C680" s="48" t="s">
        <v>9709</v>
      </c>
      <c r="D680" s="44"/>
      <c r="E680" s="48" t="s">
        <v>6115</v>
      </c>
      <c r="F680" s="48" t="s">
        <v>5425</v>
      </c>
      <c r="G680" s="55" t="s">
        <v>96</v>
      </c>
      <c r="H680" s="64">
        <v>0.02405</v>
      </c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</row>
    <row r="681">
      <c r="A681" s="48" t="s">
        <v>5521</v>
      </c>
      <c r="B681" s="44"/>
      <c r="C681" s="48" t="s">
        <v>6209</v>
      </c>
      <c r="D681" s="44"/>
      <c r="E681" s="48" t="s">
        <v>5215</v>
      </c>
      <c r="F681" s="48" t="s">
        <v>6210</v>
      </c>
      <c r="G681" s="55" t="s">
        <v>96</v>
      </c>
      <c r="H681" s="64">
        <v>0.02401</v>
      </c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</row>
    <row r="682">
      <c r="A682" s="48" t="s">
        <v>6151</v>
      </c>
      <c r="B682" s="44"/>
      <c r="C682" s="48" t="s">
        <v>6152</v>
      </c>
      <c r="D682" s="44"/>
      <c r="E682" s="48" t="s">
        <v>5246</v>
      </c>
      <c r="F682" s="48" t="s">
        <v>4340</v>
      </c>
      <c r="G682" s="55" t="s">
        <v>96</v>
      </c>
      <c r="H682" s="64">
        <v>0.02398</v>
      </c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</row>
    <row r="683">
      <c r="A683" s="48" t="s">
        <v>9710</v>
      </c>
      <c r="B683" s="44"/>
      <c r="C683" s="48" t="s">
        <v>9711</v>
      </c>
      <c r="D683" s="44"/>
      <c r="E683" s="48" t="s">
        <v>5374</v>
      </c>
      <c r="F683" s="48" t="s">
        <v>8784</v>
      </c>
      <c r="G683" s="55" t="s">
        <v>96</v>
      </c>
      <c r="H683" s="64">
        <v>0.02384</v>
      </c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</row>
    <row r="684">
      <c r="A684" s="48" t="s">
        <v>4625</v>
      </c>
      <c r="B684" s="44"/>
      <c r="C684" s="48" t="s">
        <v>9712</v>
      </c>
      <c r="D684" s="44"/>
      <c r="E684" s="48" t="s">
        <v>5478</v>
      </c>
      <c r="F684" s="48" t="s">
        <v>5300</v>
      </c>
      <c r="G684" s="55" t="s">
        <v>96</v>
      </c>
      <c r="H684" s="64">
        <v>0.02383</v>
      </c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</row>
    <row r="685">
      <c r="A685" s="48" t="s">
        <v>4636</v>
      </c>
      <c r="B685" s="44"/>
      <c r="C685" s="48" t="s">
        <v>9713</v>
      </c>
      <c r="D685" s="44"/>
      <c r="E685" s="48" t="s">
        <v>5501</v>
      </c>
      <c r="F685" s="48" t="s">
        <v>5300</v>
      </c>
      <c r="G685" s="55" t="s">
        <v>96</v>
      </c>
      <c r="H685" s="64">
        <v>0.02375</v>
      </c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</row>
    <row r="686">
      <c r="A686" s="48" t="s">
        <v>9714</v>
      </c>
      <c r="B686" s="44"/>
      <c r="C686" s="48" t="s">
        <v>9715</v>
      </c>
      <c r="D686" s="44"/>
      <c r="E686" s="48" t="s">
        <v>8230</v>
      </c>
      <c r="F686" s="48" t="s">
        <v>8759</v>
      </c>
      <c r="G686" s="55" t="s">
        <v>96</v>
      </c>
      <c r="H686" s="64">
        <v>0.02366</v>
      </c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</row>
    <row r="687">
      <c r="A687" s="48" t="s">
        <v>9716</v>
      </c>
      <c r="B687" s="44"/>
      <c r="C687" s="48" t="s">
        <v>9717</v>
      </c>
      <c r="D687" s="44"/>
      <c r="E687" s="48" t="s">
        <v>5756</v>
      </c>
      <c r="F687" s="48" t="s">
        <v>8767</v>
      </c>
      <c r="G687" s="55" t="s">
        <v>96</v>
      </c>
      <c r="H687" s="64">
        <v>0.02364</v>
      </c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</row>
    <row r="688">
      <c r="A688" s="48" t="s">
        <v>4652</v>
      </c>
      <c r="B688" s="44"/>
      <c r="C688" s="48" t="s">
        <v>9718</v>
      </c>
      <c r="D688" s="44"/>
      <c r="E688" s="48" t="s">
        <v>5341</v>
      </c>
      <c r="F688" s="48" t="s">
        <v>5300</v>
      </c>
      <c r="G688" s="55" t="s">
        <v>96</v>
      </c>
      <c r="H688" s="64">
        <v>0.02358</v>
      </c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</row>
    <row r="689">
      <c r="A689" s="48" t="s">
        <v>9719</v>
      </c>
      <c r="B689" s="44"/>
      <c r="C689" s="48" t="s">
        <v>9720</v>
      </c>
      <c r="D689" s="44"/>
      <c r="E689" s="48" t="s">
        <v>5215</v>
      </c>
      <c r="F689" s="48" t="s">
        <v>6220</v>
      </c>
      <c r="G689" s="55" t="s">
        <v>96</v>
      </c>
      <c r="H689" s="64">
        <v>0.02353</v>
      </c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</row>
    <row r="690">
      <c r="A690" s="48" t="s">
        <v>9721</v>
      </c>
      <c r="B690" s="44"/>
      <c r="C690" s="48" t="s">
        <v>4840</v>
      </c>
      <c r="D690" s="44"/>
      <c r="E690" s="48" t="s">
        <v>5467</v>
      </c>
      <c r="F690" s="48" t="s">
        <v>6988</v>
      </c>
      <c r="G690" s="55" t="s">
        <v>96</v>
      </c>
      <c r="H690" s="64">
        <v>0.02334</v>
      </c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</row>
    <row r="691">
      <c r="A691" s="48" t="s">
        <v>9722</v>
      </c>
      <c r="B691" s="44"/>
      <c r="C691" s="48" t="s">
        <v>9723</v>
      </c>
      <c r="D691" s="44"/>
      <c r="E691" s="48" t="s">
        <v>5276</v>
      </c>
      <c r="F691" s="48" t="s">
        <v>5300</v>
      </c>
      <c r="G691" s="55" t="s">
        <v>96</v>
      </c>
      <c r="H691" s="64">
        <v>0.02332</v>
      </c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</row>
    <row r="692">
      <c r="A692" s="48" t="s">
        <v>4624</v>
      </c>
      <c r="B692" s="44"/>
      <c r="C692" s="48" t="s">
        <v>9724</v>
      </c>
      <c r="D692" s="44"/>
      <c r="E692" s="48" t="s">
        <v>5276</v>
      </c>
      <c r="F692" s="48" t="s">
        <v>5300</v>
      </c>
      <c r="G692" s="55" t="s">
        <v>96</v>
      </c>
      <c r="H692" s="64">
        <v>0.02318</v>
      </c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</row>
    <row r="693">
      <c r="A693" s="48" t="s">
        <v>9725</v>
      </c>
      <c r="B693" s="44"/>
      <c r="C693" s="48" t="s">
        <v>9726</v>
      </c>
      <c r="D693" s="44"/>
      <c r="E693" s="48" t="s">
        <v>6012</v>
      </c>
      <c r="F693" s="48" t="s">
        <v>8784</v>
      </c>
      <c r="G693" s="55" t="s">
        <v>96</v>
      </c>
      <c r="H693" s="64">
        <v>0.023</v>
      </c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</row>
    <row r="694">
      <c r="A694" s="48" t="s">
        <v>9727</v>
      </c>
      <c r="B694" s="44"/>
      <c r="C694" s="48" t="s">
        <v>9728</v>
      </c>
      <c r="D694" s="44"/>
      <c r="E694" s="48" t="s">
        <v>7611</v>
      </c>
      <c r="F694" s="48" t="s">
        <v>5425</v>
      </c>
      <c r="G694" s="55" t="s">
        <v>96</v>
      </c>
      <c r="H694" s="64">
        <v>0.02292</v>
      </c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</row>
    <row r="695">
      <c r="A695" s="48" t="s">
        <v>9729</v>
      </c>
      <c r="B695" s="44"/>
      <c r="C695" s="48" t="s">
        <v>9730</v>
      </c>
      <c r="D695" s="44"/>
      <c r="E695" s="48" t="s">
        <v>5229</v>
      </c>
      <c r="F695" s="48" t="s">
        <v>8784</v>
      </c>
      <c r="G695" s="55" t="s">
        <v>96</v>
      </c>
      <c r="H695" s="64">
        <v>0.02289</v>
      </c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</row>
    <row r="696">
      <c r="A696" s="48" t="s">
        <v>9731</v>
      </c>
      <c r="B696" s="44"/>
      <c r="C696" s="48" t="s">
        <v>9732</v>
      </c>
      <c r="D696" s="44"/>
      <c r="E696" s="48" t="s">
        <v>5296</v>
      </c>
      <c r="F696" s="48" t="s">
        <v>5300</v>
      </c>
      <c r="G696" s="55" t="s">
        <v>96</v>
      </c>
      <c r="H696" s="64">
        <v>0.02278</v>
      </c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</row>
    <row r="697">
      <c r="A697" s="48" t="s">
        <v>9733</v>
      </c>
      <c r="B697" s="44"/>
      <c r="C697" s="48" t="s">
        <v>9734</v>
      </c>
      <c r="D697" s="44"/>
      <c r="E697" s="48" t="s">
        <v>5650</v>
      </c>
      <c r="F697" s="48" t="s">
        <v>6988</v>
      </c>
      <c r="G697" s="55" t="s">
        <v>96</v>
      </c>
      <c r="H697" s="64">
        <v>0.02277</v>
      </c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</row>
    <row r="698">
      <c r="A698" s="48" t="s">
        <v>9735</v>
      </c>
      <c r="B698" s="44"/>
      <c r="C698" s="48" t="s">
        <v>9736</v>
      </c>
      <c r="D698" s="44"/>
      <c r="E698" s="48" t="s">
        <v>5271</v>
      </c>
      <c r="F698" s="48" t="s">
        <v>6988</v>
      </c>
      <c r="G698" s="55" t="s">
        <v>96</v>
      </c>
      <c r="H698" s="64">
        <v>0.02275</v>
      </c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</row>
    <row r="699">
      <c r="A699" s="48" t="s">
        <v>9737</v>
      </c>
      <c r="B699" s="44"/>
      <c r="C699" s="48" t="s">
        <v>9738</v>
      </c>
      <c r="D699" s="44"/>
      <c r="E699" s="48" t="s">
        <v>5478</v>
      </c>
      <c r="F699" s="48" t="s">
        <v>8767</v>
      </c>
      <c r="G699" s="55" t="s">
        <v>96</v>
      </c>
      <c r="H699" s="64">
        <v>0.02274</v>
      </c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</row>
    <row r="700">
      <c r="A700" s="48" t="s">
        <v>9739</v>
      </c>
      <c r="B700" s="44"/>
      <c r="C700" s="48" t="s">
        <v>9740</v>
      </c>
      <c r="D700" s="44"/>
      <c r="E700" s="48" t="s">
        <v>5513</v>
      </c>
      <c r="F700" s="48" t="s">
        <v>4095</v>
      </c>
      <c r="G700" s="55" t="s">
        <v>96</v>
      </c>
      <c r="H700" s="64">
        <v>0.02265</v>
      </c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</row>
    <row r="701">
      <c r="A701" s="48" t="s">
        <v>9741</v>
      </c>
      <c r="B701" s="44"/>
      <c r="C701" s="48" t="s">
        <v>9742</v>
      </c>
      <c r="D701" s="44"/>
      <c r="E701" s="48" t="s">
        <v>5516</v>
      </c>
      <c r="F701" s="48" t="s">
        <v>9021</v>
      </c>
      <c r="G701" s="55" t="s">
        <v>96</v>
      </c>
      <c r="H701" s="64">
        <v>0.02248</v>
      </c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</row>
    <row r="702">
      <c r="A702" s="48" t="s">
        <v>9743</v>
      </c>
      <c r="B702" s="44"/>
      <c r="C702" s="48" t="s">
        <v>9744</v>
      </c>
      <c r="D702" s="44"/>
      <c r="E702" s="48" t="s">
        <v>5561</v>
      </c>
      <c r="F702" s="48" t="s">
        <v>8784</v>
      </c>
      <c r="G702" s="55" t="s">
        <v>96</v>
      </c>
      <c r="H702" s="64">
        <v>0.0224</v>
      </c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</row>
    <row r="703">
      <c r="A703" s="48" t="s">
        <v>9745</v>
      </c>
      <c r="B703" s="44"/>
      <c r="C703" s="48" t="s">
        <v>9746</v>
      </c>
      <c r="D703" s="44"/>
      <c r="E703" s="48" t="s">
        <v>5501</v>
      </c>
      <c r="F703" s="48" t="s">
        <v>8784</v>
      </c>
      <c r="G703" s="55" t="s">
        <v>96</v>
      </c>
      <c r="H703" s="64">
        <v>0.02231</v>
      </c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</row>
    <row r="704">
      <c r="A704" s="48" t="s">
        <v>4634</v>
      </c>
      <c r="B704" s="44"/>
      <c r="C704" s="48" t="s">
        <v>9747</v>
      </c>
      <c r="D704" s="44"/>
      <c r="E704" s="48" t="s">
        <v>5271</v>
      </c>
      <c r="F704" s="48" t="s">
        <v>5300</v>
      </c>
      <c r="G704" s="55" t="s">
        <v>96</v>
      </c>
      <c r="H704" s="64">
        <v>0.02217</v>
      </c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</row>
    <row r="705">
      <c r="A705" s="48" t="s">
        <v>9748</v>
      </c>
      <c r="B705" s="44"/>
      <c r="C705" s="48" t="s">
        <v>9749</v>
      </c>
      <c r="D705" s="44"/>
      <c r="E705" s="48" t="s">
        <v>5296</v>
      </c>
      <c r="F705" s="48" t="s">
        <v>9414</v>
      </c>
      <c r="G705" s="55" t="s">
        <v>96</v>
      </c>
      <c r="H705" s="64">
        <v>0.02213</v>
      </c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</row>
    <row r="706">
      <c r="A706" s="48" t="s">
        <v>9750</v>
      </c>
      <c r="B706" s="44"/>
      <c r="C706" s="48" t="s">
        <v>9751</v>
      </c>
      <c r="D706" s="44"/>
      <c r="E706" s="48" t="s">
        <v>6266</v>
      </c>
      <c r="F706" s="48" t="s">
        <v>5425</v>
      </c>
      <c r="G706" s="55" t="s">
        <v>96</v>
      </c>
      <c r="H706" s="64">
        <v>0.0221</v>
      </c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</row>
    <row r="707">
      <c r="A707" s="48" t="s">
        <v>9752</v>
      </c>
      <c r="B707" s="44"/>
      <c r="C707" s="48" t="s">
        <v>9753</v>
      </c>
      <c r="D707" s="44"/>
      <c r="E707" s="48" t="s">
        <v>5261</v>
      </c>
      <c r="F707" s="48" t="s">
        <v>5300</v>
      </c>
      <c r="G707" s="55" t="s">
        <v>96</v>
      </c>
      <c r="H707" s="64">
        <v>0.0221</v>
      </c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</row>
    <row r="708">
      <c r="A708" s="48" t="s">
        <v>4629</v>
      </c>
      <c r="B708" s="44"/>
      <c r="C708" s="48" t="s">
        <v>9754</v>
      </c>
      <c r="D708" s="44"/>
      <c r="E708" s="48" t="s">
        <v>5291</v>
      </c>
      <c r="F708" s="48" t="s">
        <v>5300</v>
      </c>
      <c r="G708" s="55" t="s">
        <v>96</v>
      </c>
      <c r="H708" s="64">
        <v>0.02209</v>
      </c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</row>
    <row r="709">
      <c r="A709" s="48" t="s">
        <v>9755</v>
      </c>
      <c r="B709" s="44"/>
      <c r="C709" s="48" t="s">
        <v>9756</v>
      </c>
      <c r="D709" s="44"/>
      <c r="E709" s="48" t="s">
        <v>5775</v>
      </c>
      <c r="F709" s="48" t="s">
        <v>4095</v>
      </c>
      <c r="G709" s="55" t="s">
        <v>96</v>
      </c>
      <c r="H709" s="64">
        <v>0.02201</v>
      </c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</row>
    <row r="710">
      <c r="A710" s="48" t="s">
        <v>9757</v>
      </c>
      <c r="B710" s="44"/>
      <c r="C710" s="48" t="s">
        <v>9740</v>
      </c>
      <c r="D710" s="44"/>
      <c r="E710" s="48" t="s">
        <v>5513</v>
      </c>
      <c r="F710" s="48" t="s">
        <v>4095</v>
      </c>
      <c r="G710" s="55" t="s">
        <v>96</v>
      </c>
      <c r="H710" s="64">
        <v>0.02196</v>
      </c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</row>
    <row r="711">
      <c r="A711" s="48" t="s">
        <v>9758</v>
      </c>
      <c r="B711" s="44"/>
      <c r="C711" s="48" t="s">
        <v>9759</v>
      </c>
      <c r="D711" s="44"/>
      <c r="E711" s="48" t="s">
        <v>5811</v>
      </c>
      <c r="F711" s="48" t="s">
        <v>8759</v>
      </c>
      <c r="G711" s="55" t="s">
        <v>96</v>
      </c>
      <c r="H711" s="64">
        <v>0.02177</v>
      </c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</row>
    <row r="712">
      <c r="A712" s="48" t="s">
        <v>4690</v>
      </c>
      <c r="B712" s="44"/>
      <c r="C712" s="48" t="s">
        <v>9760</v>
      </c>
      <c r="D712" s="44"/>
      <c r="E712" s="48" t="s">
        <v>7181</v>
      </c>
      <c r="F712" s="48" t="s">
        <v>5300</v>
      </c>
      <c r="G712" s="55" t="s">
        <v>96</v>
      </c>
      <c r="H712" s="64">
        <v>0.02173</v>
      </c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</row>
    <row r="713">
      <c r="A713" s="48" t="s">
        <v>4667</v>
      </c>
      <c r="B713" s="44"/>
      <c r="C713" s="48" t="s">
        <v>9761</v>
      </c>
      <c r="D713" s="44"/>
      <c r="E713" s="48" t="s">
        <v>5229</v>
      </c>
      <c r="F713" s="48" t="s">
        <v>5300</v>
      </c>
      <c r="G713" s="55" t="s">
        <v>96</v>
      </c>
      <c r="H713" s="64">
        <v>0.02171</v>
      </c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</row>
    <row r="714">
      <c r="A714" s="48" t="s">
        <v>4643</v>
      </c>
      <c r="B714" s="44"/>
      <c r="C714" s="48" t="s">
        <v>9762</v>
      </c>
      <c r="D714" s="44"/>
      <c r="E714" s="48" t="s">
        <v>8230</v>
      </c>
      <c r="F714" s="48" t="s">
        <v>5268</v>
      </c>
      <c r="G714" s="55" t="s">
        <v>96</v>
      </c>
      <c r="H714" s="64">
        <v>0.02169</v>
      </c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</row>
    <row r="715">
      <c r="A715" s="48" t="s">
        <v>4613</v>
      </c>
      <c r="B715" s="44"/>
      <c r="C715" s="48" t="s">
        <v>9763</v>
      </c>
      <c r="D715" s="44"/>
      <c r="E715" s="48" t="s">
        <v>5759</v>
      </c>
      <c r="F715" s="48" t="s">
        <v>5300</v>
      </c>
      <c r="G715" s="55" t="s">
        <v>96</v>
      </c>
      <c r="H715" s="64">
        <v>0.02157</v>
      </c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</row>
    <row r="716">
      <c r="A716" s="48" t="s">
        <v>6304</v>
      </c>
      <c r="B716" s="44"/>
      <c r="C716" s="48" t="s">
        <v>6305</v>
      </c>
      <c r="D716" s="44"/>
      <c r="E716" s="48" t="s">
        <v>5811</v>
      </c>
      <c r="F716" s="48" t="s">
        <v>6220</v>
      </c>
      <c r="G716" s="55" t="s">
        <v>96</v>
      </c>
      <c r="H716" s="64">
        <v>0.02154</v>
      </c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</row>
    <row r="717">
      <c r="A717" s="48" t="s">
        <v>9764</v>
      </c>
      <c r="B717" s="44"/>
      <c r="C717" s="48" t="s">
        <v>9765</v>
      </c>
      <c r="D717" s="44"/>
      <c r="E717" s="48" t="s">
        <v>5456</v>
      </c>
      <c r="F717" s="48" t="s">
        <v>5300</v>
      </c>
      <c r="G717" s="55" t="s">
        <v>96</v>
      </c>
      <c r="H717" s="64">
        <v>0.02138</v>
      </c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</row>
    <row r="718">
      <c r="A718" s="48" t="s">
        <v>4698</v>
      </c>
      <c r="B718" s="44"/>
      <c r="C718" s="48" t="s">
        <v>9766</v>
      </c>
      <c r="D718" s="44"/>
      <c r="E718" s="48" t="s">
        <v>5459</v>
      </c>
      <c r="F718" s="48" t="s">
        <v>5300</v>
      </c>
      <c r="G718" s="55" t="s">
        <v>96</v>
      </c>
      <c r="H718" s="64">
        <v>0.02132</v>
      </c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</row>
    <row r="719">
      <c r="A719" s="48" t="s">
        <v>9767</v>
      </c>
      <c r="B719" s="44"/>
      <c r="C719" s="48" t="s">
        <v>9768</v>
      </c>
      <c r="D719" s="44"/>
      <c r="E719" s="48" t="s">
        <v>6150</v>
      </c>
      <c r="F719" s="48" t="s">
        <v>8767</v>
      </c>
      <c r="G719" s="55" t="s">
        <v>96</v>
      </c>
      <c r="H719" s="64">
        <v>0.0213</v>
      </c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</row>
    <row r="720">
      <c r="A720" s="48" t="s">
        <v>9769</v>
      </c>
      <c r="B720" s="44"/>
      <c r="C720" s="48" t="s">
        <v>9770</v>
      </c>
      <c r="D720" s="44"/>
      <c r="E720" s="48" t="s">
        <v>6475</v>
      </c>
      <c r="F720" s="48" t="s">
        <v>8784</v>
      </c>
      <c r="G720" s="55" t="s">
        <v>96</v>
      </c>
      <c r="H720" s="64">
        <v>0.02123</v>
      </c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</row>
    <row r="721">
      <c r="A721" s="48" t="s">
        <v>9771</v>
      </c>
      <c r="B721" s="44"/>
      <c r="C721" s="48" t="s">
        <v>9772</v>
      </c>
      <c r="D721" s="44"/>
      <c r="E721" s="48" t="s">
        <v>5735</v>
      </c>
      <c r="F721" s="48" t="s">
        <v>8784</v>
      </c>
      <c r="G721" s="55" t="s">
        <v>96</v>
      </c>
      <c r="H721" s="64">
        <v>0.02122</v>
      </c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</row>
    <row r="722">
      <c r="A722" s="48" t="s">
        <v>9773</v>
      </c>
      <c r="B722" s="44"/>
      <c r="C722" s="48" t="s">
        <v>9774</v>
      </c>
      <c r="D722" s="44"/>
      <c r="E722" s="48" t="s">
        <v>5961</v>
      </c>
      <c r="F722" s="48" t="s">
        <v>8784</v>
      </c>
      <c r="G722" s="55" t="s">
        <v>96</v>
      </c>
      <c r="H722" s="64">
        <v>0.02104</v>
      </c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</row>
    <row r="723">
      <c r="A723" s="48" t="s">
        <v>9775</v>
      </c>
      <c r="B723" s="44"/>
      <c r="C723" s="48" t="s">
        <v>9776</v>
      </c>
      <c r="D723" s="44"/>
      <c r="E723" s="48" t="s">
        <v>6266</v>
      </c>
      <c r="F723" s="48" t="s">
        <v>5425</v>
      </c>
      <c r="G723" s="55" t="s">
        <v>96</v>
      </c>
      <c r="H723" s="64">
        <v>0.02098</v>
      </c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</row>
    <row r="724">
      <c r="A724" s="48" t="s">
        <v>9777</v>
      </c>
      <c r="B724" s="44"/>
      <c r="C724" s="48" t="s">
        <v>9778</v>
      </c>
      <c r="D724" s="44"/>
      <c r="E724" s="48" t="s">
        <v>6012</v>
      </c>
      <c r="F724" s="48" t="s">
        <v>4095</v>
      </c>
      <c r="G724" s="55" t="s">
        <v>96</v>
      </c>
      <c r="H724" s="64">
        <v>0.02089</v>
      </c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</row>
    <row r="725">
      <c r="A725" s="48" t="s">
        <v>6138</v>
      </c>
      <c r="B725" s="44"/>
      <c r="C725" s="48" t="s">
        <v>9779</v>
      </c>
      <c r="D725" s="44"/>
      <c r="E725" s="48" t="s">
        <v>6266</v>
      </c>
      <c r="F725" s="48" t="s">
        <v>5300</v>
      </c>
      <c r="G725" s="55" t="s">
        <v>96</v>
      </c>
      <c r="H725" s="64">
        <v>0.02086</v>
      </c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</row>
    <row r="726">
      <c r="A726" s="48" t="s">
        <v>9780</v>
      </c>
      <c r="B726" s="44"/>
      <c r="C726" s="48" t="s">
        <v>9781</v>
      </c>
      <c r="D726" s="44"/>
      <c r="E726" s="48" t="s">
        <v>6090</v>
      </c>
      <c r="F726" s="48" t="s">
        <v>8784</v>
      </c>
      <c r="G726" s="55" t="s">
        <v>96</v>
      </c>
      <c r="H726" s="64">
        <v>0.02077</v>
      </c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</row>
    <row r="727">
      <c r="A727" s="48" t="s">
        <v>9782</v>
      </c>
      <c r="B727" s="44"/>
      <c r="C727" s="48" t="s">
        <v>9783</v>
      </c>
      <c r="D727" s="44"/>
      <c r="E727" s="48" t="s">
        <v>7476</v>
      </c>
      <c r="F727" s="48" t="s">
        <v>5300</v>
      </c>
      <c r="G727" s="55" t="s">
        <v>96</v>
      </c>
      <c r="H727" s="64">
        <v>0.02071</v>
      </c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</row>
    <row r="728">
      <c r="A728" s="48" t="s">
        <v>9784</v>
      </c>
      <c r="B728" s="44"/>
      <c r="C728" s="48" t="s">
        <v>9785</v>
      </c>
      <c r="D728" s="44"/>
      <c r="E728" s="48" t="s">
        <v>5961</v>
      </c>
      <c r="F728" s="48" t="s">
        <v>5300</v>
      </c>
      <c r="G728" s="55" t="s">
        <v>96</v>
      </c>
      <c r="H728" s="64">
        <v>0.0207</v>
      </c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</row>
    <row r="729">
      <c r="A729" s="48" t="s">
        <v>9786</v>
      </c>
      <c r="B729" s="44"/>
      <c r="C729" s="48" t="s">
        <v>9787</v>
      </c>
      <c r="D729" s="44"/>
      <c r="E729" s="48" t="s">
        <v>5445</v>
      </c>
      <c r="F729" s="48" t="s">
        <v>5747</v>
      </c>
      <c r="G729" s="55" t="s">
        <v>96</v>
      </c>
      <c r="H729" s="64">
        <v>0.02069</v>
      </c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</row>
    <row r="730">
      <c r="A730" s="48" t="s">
        <v>9788</v>
      </c>
      <c r="B730" s="44"/>
      <c r="C730" s="48" t="s">
        <v>9789</v>
      </c>
      <c r="D730" s="44"/>
      <c r="E730" s="48" t="s">
        <v>5759</v>
      </c>
      <c r="F730" s="48" t="s">
        <v>4095</v>
      </c>
      <c r="G730" s="55" t="s">
        <v>96</v>
      </c>
      <c r="H730" s="64">
        <v>0.02068</v>
      </c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</row>
    <row r="731">
      <c r="A731" s="48" t="s">
        <v>4646</v>
      </c>
      <c r="B731" s="44"/>
      <c r="C731" s="48" t="s">
        <v>9790</v>
      </c>
      <c r="D731" s="44"/>
      <c r="E731" s="48" t="s">
        <v>5691</v>
      </c>
      <c r="F731" s="48" t="s">
        <v>5300</v>
      </c>
      <c r="G731" s="55" t="s">
        <v>96</v>
      </c>
      <c r="H731" s="64">
        <v>0.02065</v>
      </c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</row>
    <row r="732">
      <c r="A732" s="48" t="s">
        <v>9791</v>
      </c>
      <c r="B732" s="44"/>
      <c r="C732" s="48" t="s">
        <v>9792</v>
      </c>
      <c r="D732" s="44"/>
      <c r="E732" s="48" t="s">
        <v>5578</v>
      </c>
      <c r="F732" s="48" t="s">
        <v>5300</v>
      </c>
      <c r="G732" s="55" t="s">
        <v>96</v>
      </c>
      <c r="H732" s="64">
        <v>0.02062</v>
      </c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</row>
    <row r="733">
      <c r="A733" s="48" t="s">
        <v>9793</v>
      </c>
      <c r="B733" s="44"/>
      <c r="C733" s="48" t="s">
        <v>9794</v>
      </c>
      <c r="D733" s="44"/>
      <c r="E733" s="48" t="s">
        <v>5369</v>
      </c>
      <c r="F733" s="48" t="s">
        <v>8784</v>
      </c>
      <c r="G733" s="55" t="s">
        <v>96</v>
      </c>
      <c r="H733" s="64">
        <v>0.0206</v>
      </c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</row>
    <row r="734">
      <c r="A734" s="48" t="s">
        <v>4663</v>
      </c>
      <c r="B734" s="44"/>
      <c r="C734" s="48" t="s">
        <v>9795</v>
      </c>
      <c r="D734" s="44"/>
      <c r="E734" s="48" t="s">
        <v>5434</v>
      </c>
      <c r="F734" s="48" t="s">
        <v>5300</v>
      </c>
      <c r="G734" s="55" t="s">
        <v>96</v>
      </c>
      <c r="H734" s="64">
        <v>0.02059</v>
      </c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</row>
    <row r="735">
      <c r="A735" s="48" t="s">
        <v>4633</v>
      </c>
      <c r="B735" s="44"/>
      <c r="C735" s="48" t="s">
        <v>9796</v>
      </c>
      <c r="D735" s="44"/>
      <c r="E735" s="48" t="s">
        <v>5467</v>
      </c>
      <c r="F735" s="48" t="s">
        <v>5300</v>
      </c>
      <c r="G735" s="55" t="s">
        <v>96</v>
      </c>
      <c r="H735" s="64">
        <v>0.02054</v>
      </c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</row>
    <row r="736">
      <c r="A736" s="48" t="s">
        <v>9797</v>
      </c>
      <c r="B736" s="44"/>
      <c r="C736" s="48" t="s">
        <v>9798</v>
      </c>
      <c r="D736" s="44"/>
      <c r="E736" s="48" t="s">
        <v>5775</v>
      </c>
      <c r="F736" s="48" t="s">
        <v>8784</v>
      </c>
      <c r="G736" s="55" t="s">
        <v>96</v>
      </c>
      <c r="H736" s="64">
        <v>0.02045</v>
      </c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</row>
    <row r="737">
      <c r="A737" s="48" t="s">
        <v>4680</v>
      </c>
      <c r="B737" s="44"/>
      <c r="C737" s="48" t="s">
        <v>9799</v>
      </c>
      <c r="D737" s="44"/>
      <c r="E737" s="48" t="s">
        <v>5283</v>
      </c>
      <c r="F737" s="48" t="s">
        <v>5300</v>
      </c>
      <c r="G737" s="55" t="s">
        <v>96</v>
      </c>
      <c r="H737" s="64">
        <v>0.02039</v>
      </c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</row>
    <row r="738">
      <c r="A738" s="48" t="s">
        <v>9800</v>
      </c>
      <c r="B738" s="44"/>
      <c r="C738" s="48" t="s">
        <v>9801</v>
      </c>
      <c r="D738" s="44"/>
      <c r="E738" s="48" t="s">
        <v>5264</v>
      </c>
      <c r="F738" s="48" t="s">
        <v>8759</v>
      </c>
      <c r="G738" s="55" t="s">
        <v>96</v>
      </c>
      <c r="H738" s="64">
        <v>0.02036</v>
      </c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</row>
    <row r="739">
      <c r="A739" s="48" t="s">
        <v>9802</v>
      </c>
      <c r="B739" s="44"/>
      <c r="C739" s="48" t="s">
        <v>9803</v>
      </c>
      <c r="D739" s="44"/>
      <c r="E739" s="48" t="s">
        <v>5215</v>
      </c>
      <c r="F739" s="48" t="s">
        <v>4357</v>
      </c>
      <c r="G739" s="55" t="s">
        <v>96</v>
      </c>
      <c r="H739" s="64">
        <v>0.02034</v>
      </c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</row>
    <row r="740">
      <c r="A740" s="48" t="s">
        <v>4659</v>
      </c>
      <c r="B740" s="44"/>
      <c r="C740" s="48" t="s">
        <v>9804</v>
      </c>
      <c r="D740" s="44"/>
      <c r="E740" s="48" t="s">
        <v>5218</v>
      </c>
      <c r="F740" s="48" t="s">
        <v>5300</v>
      </c>
      <c r="G740" s="55" t="s">
        <v>96</v>
      </c>
      <c r="H740" s="64">
        <v>0.02025</v>
      </c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</row>
    <row r="741">
      <c r="A741" s="48" t="s">
        <v>4614</v>
      </c>
      <c r="B741" s="44"/>
      <c r="C741" s="48" t="s">
        <v>9805</v>
      </c>
      <c r="D741" s="44"/>
      <c r="E741" s="48" t="s">
        <v>5276</v>
      </c>
      <c r="F741" s="48" t="s">
        <v>5300</v>
      </c>
      <c r="G741" s="55" t="s">
        <v>96</v>
      </c>
      <c r="H741" s="64">
        <v>0.02006</v>
      </c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</row>
    <row r="742">
      <c r="A742" s="48" t="s">
        <v>9806</v>
      </c>
      <c r="B742" s="44"/>
      <c r="C742" s="48" t="s">
        <v>9807</v>
      </c>
      <c r="D742" s="44"/>
      <c r="E742" s="48" t="s">
        <v>5215</v>
      </c>
      <c r="F742" s="48" t="s">
        <v>9021</v>
      </c>
      <c r="G742" s="55" t="s">
        <v>96</v>
      </c>
      <c r="H742" s="64">
        <v>0.01996</v>
      </c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</row>
    <row r="743">
      <c r="A743" s="48" t="s">
        <v>9808</v>
      </c>
      <c r="B743" s="44"/>
      <c r="C743" s="48" t="s">
        <v>9809</v>
      </c>
      <c r="D743" s="44"/>
      <c r="E743" s="48" t="s">
        <v>9810</v>
      </c>
      <c r="F743" s="48" t="s">
        <v>5300</v>
      </c>
      <c r="G743" s="55" t="s">
        <v>96</v>
      </c>
      <c r="H743" s="64">
        <v>0.01993</v>
      </c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</row>
    <row r="744">
      <c r="A744" s="48" t="s">
        <v>9811</v>
      </c>
      <c r="B744" s="44"/>
      <c r="C744" s="48" t="s">
        <v>9812</v>
      </c>
      <c r="D744" s="44"/>
      <c r="E744" s="48" t="s">
        <v>5448</v>
      </c>
      <c r="F744" s="48" t="s">
        <v>9299</v>
      </c>
      <c r="G744" s="55" t="s">
        <v>96</v>
      </c>
      <c r="H744" s="64">
        <v>0.01992</v>
      </c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</row>
    <row r="745">
      <c r="A745" s="48" t="s">
        <v>9813</v>
      </c>
      <c r="B745" s="44"/>
      <c r="C745" s="48" t="s">
        <v>9814</v>
      </c>
      <c r="D745" s="44"/>
      <c r="E745" s="48" t="s">
        <v>6238</v>
      </c>
      <c r="F745" s="48" t="s">
        <v>5836</v>
      </c>
      <c r="G745" s="55" t="s">
        <v>96</v>
      </c>
      <c r="H745" s="64">
        <v>0.01991</v>
      </c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</row>
    <row r="746">
      <c r="A746" s="48" t="s">
        <v>4651</v>
      </c>
      <c r="B746" s="44"/>
      <c r="C746" s="48" t="s">
        <v>9815</v>
      </c>
      <c r="D746" s="44"/>
      <c r="E746" s="48" t="s">
        <v>6798</v>
      </c>
      <c r="F746" s="48" t="s">
        <v>5300</v>
      </c>
      <c r="G746" s="55" t="s">
        <v>96</v>
      </c>
      <c r="H746" s="64">
        <v>0.01989</v>
      </c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</row>
    <row r="747">
      <c r="A747" s="48" t="s">
        <v>9816</v>
      </c>
      <c r="B747" s="44"/>
      <c r="C747" s="48" t="s">
        <v>9817</v>
      </c>
      <c r="D747" s="44"/>
      <c r="E747" s="48" t="s">
        <v>5501</v>
      </c>
      <c r="F747" s="48" t="s">
        <v>5300</v>
      </c>
      <c r="G747" s="55" t="s">
        <v>96</v>
      </c>
      <c r="H747" s="64">
        <v>0.01981</v>
      </c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</row>
    <row r="748">
      <c r="A748" s="48" t="s">
        <v>4635</v>
      </c>
      <c r="B748" s="44"/>
      <c r="C748" s="48" t="s">
        <v>9818</v>
      </c>
      <c r="D748" s="44"/>
      <c r="E748" s="48" t="s">
        <v>5374</v>
      </c>
      <c r="F748" s="48" t="s">
        <v>5300</v>
      </c>
      <c r="G748" s="55" t="s">
        <v>96</v>
      </c>
      <c r="H748" s="64">
        <v>0.01978</v>
      </c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</row>
    <row r="749">
      <c r="A749" s="48" t="s">
        <v>9819</v>
      </c>
      <c r="B749" s="44"/>
      <c r="C749" s="48" t="s">
        <v>9820</v>
      </c>
      <c r="D749" s="44"/>
      <c r="E749" s="48" t="s">
        <v>5434</v>
      </c>
      <c r="F749" s="48" t="s">
        <v>5425</v>
      </c>
      <c r="G749" s="55" t="s">
        <v>96</v>
      </c>
      <c r="H749" s="64">
        <v>0.01974</v>
      </c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</row>
    <row r="750">
      <c r="A750" s="48" t="s">
        <v>4692</v>
      </c>
      <c r="B750" s="44"/>
      <c r="C750" s="48" t="s">
        <v>9821</v>
      </c>
      <c r="D750" s="44"/>
      <c r="E750" s="48" t="s">
        <v>5291</v>
      </c>
      <c r="F750" s="48" t="s">
        <v>5300</v>
      </c>
      <c r="G750" s="55" t="s">
        <v>96</v>
      </c>
      <c r="H750" s="64">
        <v>0.01973</v>
      </c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</row>
    <row r="751">
      <c r="A751" s="48" t="s">
        <v>9822</v>
      </c>
      <c r="B751" s="44"/>
      <c r="C751" s="48" t="s">
        <v>9823</v>
      </c>
      <c r="D751" s="44"/>
      <c r="E751" s="48" t="s">
        <v>5267</v>
      </c>
      <c r="F751" s="48" t="s">
        <v>5300</v>
      </c>
      <c r="G751" s="55" t="s">
        <v>96</v>
      </c>
      <c r="H751" s="64">
        <v>0.0197</v>
      </c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</row>
    <row r="752">
      <c r="A752" s="48" t="s">
        <v>6286</v>
      </c>
      <c r="B752" s="44"/>
      <c r="C752" s="48" t="s">
        <v>6287</v>
      </c>
      <c r="D752" s="44"/>
      <c r="E752" s="48" t="s">
        <v>5215</v>
      </c>
      <c r="F752" s="48" t="s">
        <v>6217</v>
      </c>
      <c r="G752" s="55" t="s">
        <v>96</v>
      </c>
      <c r="H752" s="64">
        <v>0.01959</v>
      </c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</row>
    <row r="753">
      <c r="A753" s="48" t="s">
        <v>9824</v>
      </c>
      <c r="B753" s="44"/>
      <c r="C753" s="48" t="s">
        <v>9825</v>
      </c>
      <c r="D753" s="44"/>
      <c r="E753" s="48" t="s">
        <v>6630</v>
      </c>
      <c r="F753" s="48" t="s">
        <v>5425</v>
      </c>
      <c r="G753" s="55" t="s">
        <v>96</v>
      </c>
      <c r="H753" s="64">
        <v>0.01955</v>
      </c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</row>
    <row r="754">
      <c r="A754" s="48" t="s">
        <v>4685</v>
      </c>
      <c r="B754" s="44"/>
      <c r="C754" s="48" t="s">
        <v>9826</v>
      </c>
      <c r="D754" s="44"/>
      <c r="E754" s="48" t="s">
        <v>5467</v>
      </c>
      <c r="F754" s="48" t="s">
        <v>5300</v>
      </c>
      <c r="G754" s="55" t="s">
        <v>96</v>
      </c>
      <c r="H754" s="64">
        <v>0.01953</v>
      </c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</row>
    <row r="755">
      <c r="A755" s="48" t="s">
        <v>9827</v>
      </c>
      <c r="B755" s="44"/>
      <c r="C755" s="48" t="s">
        <v>9828</v>
      </c>
      <c r="D755" s="44"/>
      <c r="E755" s="48" t="s">
        <v>5288</v>
      </c>
      <c r="F755" s="48" t="s">
        <v>5941</v>
      </c>
      <c r="G755" s="55" t="s">
        <v>96</v>
      </c>
      <c r="H755" s="64">
        <v>0.01949</v>
      </c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</row>
    <row r="756">
      <c r="A756" s="48" t="s">
        <v>9829</v>
      </c>
      <c r="B756" s="44"/>
      <c r="C756" s="48" t="s">
        <v>9830</v>
      </c>
      <c r="D756" s="44"/>
      <c r="E756" s="48" t="s">
        <v>5964</v>
      </c>
      <c r="F756" s="48" t="s">
        <v>8784</v>
      </c>
      <c r="G756" s="55" t="s">
        <v>96</v>
      </c>
      <c r="H756" s="64">
        <v>0.01934</v>
      </c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</row>
    <row r="757">
      <c r="A757" s="48" t="s">
        <v>6271</v>
      </c>
      <c r="B757" s="44"/>
      <c r="C757" s="48" t="s">
        <v>6272</v>
      </c>
      <c r="D757" s="44"/>
      <c r="E757" s="48" t="s">
        <v>5215</v>
      </c>
      <c r="F757" s="48" t="s">
        <v>4340</v>
      </c>
      <c r="G757" s="55" t="s">
        <v>96</v>
      </c>
      <c r="H757" s="64">
        <v>0.01921</v>
      </c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</row>
    <row r="758">
      <c r="A758" s="48" t="s">
        <v>9831</v>
      </c>
      <c r="B758" s="44"/>
      <c r="C758" s="48" t="s">
        <v>9832</v>
      </c>
      <c r="D758" s="44"/>
      <c r="E758" s="48" t="s">
        <v>5978</v>
      </c>
      <c r="F758" s="48" t="s">
        <v>8784</v>
      </c>
      <c r="G758" s="55" t="s">
        <v>96</v>
      </c>
      <c r="H758" s="64">
        <v>0.01921</v>
      </c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</row>
    <row r="759">
      <c r="A759" s="48" t="s">
        <v>9833</v>
      </c>
      <c r="B759" s="44"/>
      <c r="C759" s="48" t="s">
        <v>9834</v>
      </c>
      <c r="D759" s="44"/>
      <c r="E759" s="48" t="s">
        <v>5211</v>
      </c>
      <c r="F759" s="48" t="s">
        <v>9021</v>
      </c>
      <c r="G759" s="55" t="s">
        <v>96</v>
      </c>
      <c r="H759" s="64">
        <v>0.01912</v>
      </c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</row>
    <row r="760">
      <c r="A760" s="48" t="s">
        <v>9835</v>
      </c>
      <c r="B760" s="44"/>
      <c r="C760" s="48" t="s">
        <v>9836</v>
      </c>
      <c r="D760" s="44"/>
      <c r="E760" s="48" t="s">
        <v>9144</v>
      </c>
      <c r="F760" s="48" t="s">
        <v>6210</v>
      </c>
      <c r="G760" s="55" t="s">
        <v>96</v>
      </c>
      <c r="H760" s="64">
        <v>0.01903</v>
      </c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</row>
    <row r="761">
      <c r="A761" s="48" t="s">
        <v>9837</v>
      </c>
      <c r="B761" s="44"/>
      <c r="C761" s="48" t="s">
        <v>9838</v>
      </c>
      <c r="D761" s="44"/>
      <c r="E761" s="48" t="s">
        <v>5374</v>
      </c>
      <c r="F761" s="48" t="s">
        <v>8784</v>
      </c>
      <c r="G761" s="55" t="s">
        <v>96</v>
      </c>
      <c r="H761" s="64">
        <v>0.01902</v>
      </c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</row>
    <row r="762">
      <c r="A762" s="48" t="s">
        <v>9839</v>
      </c>
      <c r="B762" s="44"/>
      <c r="C762" s="48" t="s">
        <v>9840</v>
      </c>
      <c r="D762" s="44"/>
      <c r="E762" s="48" t="s">
        <v>5561</v>
      </c>
      <c r="F762" s="48" t="s">
        <v>5927</v>
      </c>
      <c r="G762" s="55" t="s">
        <v>96</v>
      </c>
      <c r="H762" s="64">
        <v>0.01901</v>
      </c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</row>
    <row r="763">
      <c r="A763" s="48" t="s">
        <v>9841</v>
      </c>
      <c r="B763" s="44"/>
      <c r="C763" s="48" t="s">
        <v>3008</v>
      </c>
      <c r="D763" s="44"/>
      <c r="E763" s="48" t="s">
        <v>5296</v>
      </c>
      <c r="F763" s="48" t="s">
        <v>6988</v>
      </c>
      <c r="G763" s="55" t="s">
        <v>96</v>
      </c>
      <c r="H763" s="64">
        <v>0.01895</v>
      </c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</row>
    <row r="764">
      <c r="A764" s="48" t="s">
        <v>9842</v>
      </c>
      <c r="B764" s="44"/>
      <c r="C764" s="48" t="s">
        <v>9843</v>
      </c>
      <c r="D764" s="44"/>
      <c r="E764" s="48" t="s">
        <v>5756</v>
      </c>
      <c r="F764" s="48" t="s">
        <v>8784</v>
      </c>
      <c r="G764" s="55" t="s">
        <v>96</v>
      </c>
      <c r="H764" s="64">
        <v>0.01895</v>
      </c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</row>
    <row r="765">
      <c r="A765" s="48" t="s">
        <v>9844</v>
      </c>
      <c r="B765" s="44"/>
      <c r="C765" s="48" t="s">
        <v>9845</v>
      </c>
      <c r="D765" s="44"/>
      <c r="E765" s="48" t="s">
        <v>5501</v>
      </c>
      <c r="F765" s="48" t="s">
        <v>4095</v>
      </c>
      <c r="G765" s="55" t="s">
        <v>96</v>
      </c>
      <c r="H765" s="64">
        <v>0.01888</v>
      </c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</row>
    <row r="766">
      <c r="A766" s="48" t="s">
        <v>9846</v>
      </c>
      <c r="B766" s="44"/>
      <c r="C766" s="48" t="s">
        <v>9847</v>
      </c>
      <c r="D766" s="44"/>
      <c r="E766" s="48" t="s">
        <v>5264</v>
      </c>
      <c r="F766" s="48" t="s">
        <v>5425</v>
      </c>
      <c r="G766" s="55" t="s">
        <v>96</v>
      </c>
      <c r="H766" s="64">
        <v>0.01888</v>
      </c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</row>
    <row r="767">
      <c r="A767" s="48" t="s">
        <v>4669</v>
      </c>
      <c r="B767" s="44"/>
      <c r="C767" s="48" t="s">
        <v>9848</v>
      </c>
      <c r="D767" s="44"/>
      <c r="E767" s="48" t="s">
        <v>5316</v>
      </c>
      <c r="F767" s="48" t="s">
        <v>5300</v>
      </c>
      <c r="G767" s="55" t="s">
        <v>96</v>
      </c>
      <c r="H767" s="64">
        <v>0.01876</v>
      </c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</row>
    <row r="768">
      <c r="A768" s="48" t="s">
        <v>8837</v>
      </c>
      <c r="B768" s="44"/>
      <c r="C768" s="48" t="s">
        <v>9849</v>
      </c>
      <c r="D768" s="44"/>
      <c r="E768" s="48" t="s">
        <v>5501</v>
      </c>
      <c r="F768" s="48" t="s">
        <v>5300</v>
      </c>
      <c r="G768" s="55" t="s">
        <v>96</v>
      </c>
      <c r="H768" s="64">
        <v>0.01871</v>
      </c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</row>
    <row r="769">
      <c r="A769" s="48" t="s">
        <v>4678</v>
      </c>
      <c r="B769" s="44"/>
      <c r="C769" s="48" t="s">
        <v>9850</v>
      </c>
      <c r="D769" s="44"/>
      <c r="E769" s="48" t="s">
        <v>5407</v>
      </c>
      <c r="F769" s="48" t="s">
        <v>5300</v>
      </c>
      <c r="G769" s="55" t="s">
        <v>96</v>
      </c>
      <c r="H769" s="64">
        <v>0.01866</v>
      </c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</row>
    <row r="770">
      <c r="A770" s="48" t="s">
        <v>9851</v>
      </c>
      <c r="B770" s="44"/>
      <c r="C770" s="48" t="s">
        <v>9852</v>
      </c>
      <c r="D770" s="44"/>
      <c r="E770" s="48" t="s">
        <v>6150</v>
      </c>
      <c r="F770" s="48" t="s">
        <v>8759</v>
      </c>
      <c r="G770" s="55" t="s">
        <v>96</v>
      </c>
      <c r="H770" s="64">
        <v>0.01854</v>
      </c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</row>
    <row r="771">
      <c r="A771" s="48" t="s">
        <v>9853</v>
      </c>
      <c r="B771" s="44"/>
      <c r="C771" s="48" t="s">
        <v>9854</v>
      </c>
      <c r="D771" s="44"/>
      <c r="E771" s="48" t="s">
        <v>7236</v>
      </c>
      <c r="F771" s="48" t="s">
        <v>8784</v>
      </c>
      <c r="G771" s="55" t="s">
        <v>96</v>
      </c>
      <c r="H771" s="64">
        <v>0.01851</v>
      </c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</row>
    <row r="772">
      <c r="A772" s="48" t="s">
        <v>9855</v>
      </c>
      <c r="B772" s="44"/>
      <c r="C772" s="48" t="s">
        <v>9856</v>
      </c>
      <c r="D772" s="44"/>
      <c r="E772" s="48" t="s">
        <v>5232</v>
      </c>
      <c r="F772" s="48" t="s">
        <v>8784</v>
      </c>
      <c r="G772" s="55" t="s">
        <v>96</v>
      </c>
      <c r="H772" s="64">
        <v>0.01843</v>
      </c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</row>
    <row r="773">
      <c r="A773" s="48" t="s">
        <v>9857</v>
      </c>
      <c r="B773" s="44"/>
      <c r="C773" s="48" t="s">
        <v>9858</v>
      </c>
      <c r="D773" s="44"/>
      <c r="E773" s="48" t="s">
        <v>5395</v>
      </c>
      <c r="F773" s="48" t="s">
        <v>5747</v>
      </c>
      <c r="G773" s="55" t="s">
        <v>96</v>
      </c>
      <c r="H773" s="64">
        <v>0.01839</v>
      </c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</row>
    <row r="774">
      <c r="A774" s="48" t="s">
        <v>9859</v>
      </c>
      <c r="B774" s="44"/>
      <c r="C774" s="48" t="s">
        <v>9860</v>
      </c>
      <c r="D774" s="44"/>
      <c r="E774" s="48" t="s">
        <v>6630</v>
      </c>
      <c r="F774" s="48" t="s">
        <v>5425</v>
      </c>
      <c r="G774" s="55" t="s">
        <v>96</v>
      </c>
      <c r="H774" s="64">
        <v>0.01837</v>
      </c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</row>
    <row r="775">
      <c r="A775" s="48" t="s">
        <v>9861</v>
      </c>
      <c r="B775" s="44"/>
      <c r="C775" s="48" t="s">
        <v>9862</v>
      </c>
      <c r="D775" s="44"/>
      <c r="E775" s="48" t="s">
        <v>5271</v>
      </c>
      <c r="F775" s="48" t="s">
        <v>8784</v>
      </c>
      <c r="G775" s="55" t="s">
        <v>96</v>
      </c>
      <c r="H775" s="64">
        <v>0.0183</v>
      </c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</row>
    <row r="776">
      <c r="A776" s="48" t="s">
        <v>9863</v>
      </c>
      <c r="B776" s="44"/>
      <c r="C776" s="48" t="s">
        <v>9864</v>
      </c>
      <c r="D776" s="44"/>
      <c r="E776" s="48" t="s">
        <v>5366</v>
      </c>
      <c r="F776" s="48" t="s">
        <v>9414</v>
      </c>
      <c r="G776" s="55" t="s">
        <v>96</v>
      </c>
      <c r="H776" s="64">
        <v>0.01826</v>
      </c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</row>
    <row r="777">
      <c r="A777" s="48" t="s">
        <v>4689</v>
      </c>
      <c r="B777" s="44"/>
      <c r="C777" s="48" t="s">
        <v>9865</v>
      </c>
      <c r="D777" s="44"/>
      <c r="E777" s="48" t="s">
        <v>5450</v>
      </c>
      <c r="F777" s="48" t="s">
        <v>5300</v>
      </c>
      <c r="G777" s="55" t="s">
        <v>96</v>
      </c>
      <c r="H777" s="64">
        <v>0.01813</v>
      </c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</row>
    <row r="778">
      <c r="A778" s="48" t="s">
        <v>9866</v>
      </c>
      <c r="B778" s="44"/>
      <c r="C778" s="48" t="s">
        <v>9867</v>
      </c>
      <c r="D778" s="44"/>
      <c r="E778" s="48" t="s">
        <v>5366</v>
      </c>
      <c r="F778" s="48" t="s">
        <v>8784</v>
      </c>
      <c r="G778" s="55" t="s">
        <v>96</v>
      </c>
      <c r="H778" s="64">
        <v>0.0181</v>
      </c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</row>
    <row r="779">
      <c r="A779" s="48" t="s">
        <v>9868</v>
      </c>
      <c r="B779" s="44"/>
      <c r="C779" s="48" t="s">
        <v>9869</v>
      </c>
      <c r="D779" s="44"/>
      <c r="E779" s="48" t="s">
        <v>5280</v>
      </c>
      <c r="F779" s="48" t="s">
        <v>6698</v>
      </c>
      <c r="G779" s="55" t="s">
        <v>96</v>
      </c>
      <c r="H779" s="64">
        <v>0.01807</v>
      </c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</row>
    <row r="780">
      <c r="A780" s="48" t="s">
        <v>9870</v>
      </c>
      <c r="B780" s="44"/>
      <c r="C780" s="48" t="s">
        <v>9871</v>
      </c>
      <c r="D780" s="44"/>
      <c r="E780" s="48" t="s">
        <v>5218</v>
      </c>
      <c r="F780" s="48" t="s">
        <v>5268</v>
      </c>
      <c r="G780" s="55" t="s">
        <v>96</v>
      </c>
      <c r="H780" s="64">
        <v>0.01802</v>
      </c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</row>
    <row r="781">
      <c r="A781" s="48" t="s">
        <v>9872</v>
      </c>
      <c r="B781" s="44"/>
      <c r="C781" s="48" t="s">
        <v>9873</v>
      </c>
      <c r="D781" s="44"/>
      <c r="E781" s="48" t="s">
        <v>6338</v>
      </c>
      <c r="F781" s="48" t="s">
        <v>8759</v>
      </c>
      <c r="G781" s="55" t="s">
        <v>96</v>
      </c>
      <c r="H781" s="64">
        <v>0.01801</v>
      </c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</row>
    <row r="782">
      <c r="A782" s="48" t="s">
        <v>9874</v>
      </c>
      <c r="B782" s="44"/>
      <c r="C782" s="48" t="s">
        <v>9875</v>
      </c>
      <c r="D782" s="44"/>
      <c r="E782" s="48" t="s">
        <v>5271</v>
      </c>
      <c r="F782" s="48" t="s">
        <v>5836</v>
      </c>
      <c r="G782" s="55" t="s">
        <v>96</v>
      </c>
      <c r="H782" s="64">
        <v>0.018</v>
      </c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</row>
    <row r="783">
      <c r="A783" s="48" t="s">
        <v>9876</v>
      </c>
      <c r="B783" s="44"/>
      <c r="C783" s="48" t="s">
        <v>9877</v>
      </c>
      <c r="D783" s="44"/>
      <c r="E783" s="48" t="s">
        <v>5670</v>
      </c>
      <c r="F783" s="48" t="s">
        <v>5425</v>
      </c>
      <c r="G783" s="55" t="s">
        <v>96</v>
      </c>
      <c r="H783" s="64">
        <v>0.01798</v>
      </c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</row>
    <row r="784">
      <c r="A784" s="48" t="s">
        <v>9878</v>
      </c>
      <c r="B784" s="44"/>
      <c r="C784" s="48" t="s">
        <v>9879</v>
      </c>
      <c r="D784" s="44"/>
      <c r="E784" s="48" t="s">
        <v>5964</v>
      </c>
      <c r="F784" s="48" t="s">
        <v>8784</v>
      </c>
      <c r="G784" s="55" t="s">
        <v>96</v>
      </c>
      <c r="H784" s="64">
        <v>0.01798</v>
      </c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</row>
    <row r="785">
      <c r="A785" s="48" t="s">
        <v>4672</v>
      </c>
      <c r="B785" s="44"/>
      <c r="C785" s="48" t="s">
        <v>9880</v>
      </c>
      <c r="D785" s="44"/>
      <c r="E785" s="48" t="s">
        <v>5335</v>
      </c>
      <c r="F785" s="48" t="s">
        <v>5300</v>
      </c>
      <c r="G785" s="55" t="s">
        <v>96</v>
      </c>
      <c r="H785" s="64">
        <v>0.01793</v>
      </c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</row>
    <row r="786">
      <c r="A786" s="48" t="s">
        <v>4641</v>
      </c>
      <c r="B786" s="44"/>
      <c r="C786" s="48" t="s">
        <v>9881</v>
      </c>
      <c r="D786" s="44"/>
      <c r="E786" s="48" t="s">
        <v>5264</v>
      </c>
      <c r="F786" s="48" t="s">
        <v>5300</v>
      </c>
      <c r="G786" s="55" t="s">
        <v>96</v>
      </c>
      <c r="H786" s="64">
        <v>0.01789</v>
      </c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</row>
    <row r="787">
      <c r="A787" s="48" t="s">
        <v>9882</v>
      </c>
      <c r="B787" s="44"/>
      <c r="C787" s="48" t="s">
        <v>9883</v>
      </c>
      <c r="D787" s="44"/>
      <c r="E787" s="48" t="s">
        <v>6012</v>
      </c>
      <c r="F787" s="48" t="s">
        <v>6988</v>
      </c>
      <c r="G787" s="55" t="s">
        <v>96</v>
      </c>
      <c r="H787" s="64">
        <v>0.01787</v>
      </c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</row>
    <row r="788">
      <c r="A788" s="48" t="s">
        <v>5435</v>
      </c>
      <c r="B788" s="44"/>
      <c r="C788" s="48" t="s">
        <v>5436</v>
      </c>
      <c r="D788" s="44"/>
      <c r="E788" s="48" t="s">
        <v>5283</v>
      </c>
      <c r="F788" s="48" t="s">
        <v>5277</v>
      </c>
      <c r="G788" s="55" t="s">
        <v>96</v>
      </c>
      <c r="H788" s="64">
        <v>0.01784</v>
      </c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</row>
    <row r="789">
      <c r="A789" s="48" t="s">
        <v>9884</v>
      </c>
      <c r="B789" s="44"/>
      <c r="C789" s="48" t="s">
        <v>9885</v>
      </c>
      <c r="D789" s="44"/>
      <c r="E789" s="48" t="s">
        <v>5326</v>
      </c>
      <c r="F789" s="48" t="s">
        <v>8784</v>
      </c>
      <c r="G789" s="55" t="s">
        <v>96</v>
      </c>
      <c r="H789" s="64">
        <v>0.01778</v>
      </c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</row>
    <row r="790">
      <c r="A790" s="48" t="s">
        <v>9886</v>
      </c>
      <c r="B790" s="44"/>
      <c r="C790" s="48" t="s">
        <v>9887</v>
      </c>
      <c r="D790" s="44"/>
      <c r="E790" s="48" t="s">
        <v>5467</v>
      </c>
      <c r="F790" s="48" t="s">
        <v>5747</v>
      </c>
      <c r="G790" s="55" t="s">
        <v>96</v>
      </c>
      <c r="H790" s="64">
        <v>0.01773</v>
      </c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</row>
    <row r="791">
      <c r="A791" s="48" t="s">
        <v>9888</v>
      </c>
      <c r="B791" s="44"/>
      <c r="C791" s="48" t="s">
        <v>9889</v>
      </c>
      <c r="D791" s="44"/>
      <c r="E791" s="48" t="s">
        <v>5589</v>
      </c>
      <c r="F791" s="48" t="s">
        <v>9299</v>
      </c>
      <c r="G791" s="55" t="s">
        <v>96</v>
      </c>
      <c r="H791" s="64">
        <v>0.0177</v>
      </c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</row>
    <row r="792">
      <c r="A792" s="48" t="s">
        <v>4684</v>
      </c>
      <c r="B792" s="44"/>
      <c r="C792" s="48" t="s">
        <v>9890</v>
      </c>
      <c r="D792" s="44"/>
      <c r="E792" s="48" t="s">
        <v>6427</v>
      </c>
      <c r="F792" s="48" t="s">
        <v>5300</v>
      </c>
      <c r="G792" s="55" t="s">
        <v>96</v>
      </c>
      <c r="H792" s="64">
        <v>0.01769</v>
      </c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</row>
    <row r="793">
      <c r="A793" s="48" t="s">
        <v>9891</v>
      </c>
      <c r="B793" s="44"/>
      <c r="C793" s="48" t="s">
        <v>9892</v>
      </c>
      <c r="D793" s="44"/>
      <c r="E793" s="48" t="s">
        <v>6947</v>
      </c>
      <c r="F793" s="48" t="s">
        <v>4095</v>
      </c>
      <c r="G793" s="55" t="s">
        <v>96</v>
      </c>
      <c r="H793" s="64">
        <v>0.01765</v>
      </c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</row>
    <row r="794">
      <c r="A794" s="48" t="s">
        <v>4248</v>
      </c>
      <c r="B794" s="44"/>
      <c r="C794" s="48" t="s">
        <v>9893</v>
      </c>
      <c r="D794" s="44"/>
      <c r="E794" s="48" t="s">
        <v>5261</v>
      </c>
      <c r="F794" s="48" t="s">
        <v>5425</v>
      </c>
      <c r="G794" s="55" t="s">
        <v>96</v>
      </c>
      <c r="H794" s="64">
        <v>0.01761</v>
      </c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</row>
    <row r="795">
      <c r="A795" s="48" t="s">
        <v>9894</v>
      </c>
      <c r="B795" s="44"/>
      <c r="C795" s="48" t="s">
        <v>9895</v>
      </c>
      <c r="D795" s="44"/>
      <c r="E795" s="48" t="s">
        <v>5369</v>
      </c>
      <c r="F795" s="48" t="s">
        <v>8784</v>
      </c>
      <c r="G795" s="55" t="s">
        <v>96</v>
      </c>
      <c r="H795" s="64">
        <v>0.01757</v>
      </c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</row>
    <row r="796">
      <c r="A796" s="48" t="s">
        <v>9896</v>
      </c>
      <c r="B796" s="44"/>
      <c r="C796" s="48" t="s">
        <v>9897</v>
      </c>
      <c r="D796" s="44"/>
      <c r="E796" s="48" t="s">
        <v>5516</v>
      </c>
      <c r="F796" s="48" t="s">
        <v>4095</v>
      </c>
      <c r="G796" s="55" t="s">
        <v>96</v>
      </c>
      <c r="H796" s="64">
        <v>0.01757</v>
      </c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</row>
    <row r="797">
      <c r="A797" s="48" t="s">
        <v>4537</v>
      </c>
      <c r="B797" s="44"/>
      <c r="C797" s="48" t="s">
        <v>3001</v>
      </c>
      <c r="D797" s="44"/>
      <c r="E797" s="48" t="s">
        <v>5450</v>
      </c>
      <c r="F797" s="48" t="s">
        <v>9021</v>
      </c>
      <c r="G797" s="55" t="s">
        <v>96</v>
      </c>
      <c r="H797" s="64">
        <v>0.01754</v>
      </c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</row>
    <row r="798">
      <c r="A798" s="48" t="s">
        <v>9898</v>
      </c>
      <c r="B798" s="44"/>
      <c r="C798" s="48" t="s">
        <v>9899</v>
      </c>
      <c r="D798" s="44"/>
      <c r="E798" s="48" t="s">
        <v>5369</v>
      </c>
      <c r="F798" s="48" t="s">
        <v>8784</v>
      </c>
      <c r="G798" s="55" t="s">
        <v>96</v>
      </c>
      <c r="H798" s="64">
        <v>0.01746</v>
      </c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</row>
    <row r="799">
      <c r="A799" s="48" t="s">
        <v>9900</v>
      </c>
      <c r="B799" s="44"/>
      <c r="C799" s="48" t="s">
        <v>9901</v>
      </c>
      <c r="D799" s="44"/>
      <c r="E799" s="48" t="s">
        <v>5291</v>
      </c>
      <c r="F799" s="48" t="s">
        <v>5941</v>
      </c>
      <c r="G799" s="55" t="s">
        <v>96</v>
      </c>
      <c r="H799" s="64">
        <v>0.01742</v>
      </c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</row>
    <row r="800">
      <c r="A800" s="48" t="s">
        <v>9902</v>
      </c>
      <c r="B800" s="44"/>
      <c r="C800" s="48" t="s">
        <v>9903</v>
      </c>
      <c r="D800" s="44"/>
      <c r="E800" s="48" t="s">
        <v>5650</v>
      </c>
      <c r="F800" s="48" t="s">
        <v>8784</v>
      </c>
      <c r="G800" s="55" t="s">
        <v>96</v>
      </c>
      <c r="H800" s="64">
        <v>0.01732</v>
      </c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</row>
    <row r="801">
      <c r="A801" s="48" t="s">
        <v>9904</v>
      </c>
      <c r="B801" s="44"/>
      <c r="C801" s="48" t="s">
        <v>9905</v>
      </c>
      <c r="D801" s="44"/>
      <c r="E801" s="48" t="s">
        <v>5434</v>
      </c>
      <c r="F801" s="48" t="s">
        <v>8784</v>
      </c>
      <c r="G801" s="55" t="s">
        <v>96</v>
      </c>
      <c r="H801" s="64">
        <v>0.01728</v>
      </c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</row>
    <row r="802">
      <c r="A802" s="48" t="s">
        <v>9906</v>
      </c>
      <c r="B802" s="44"/>
      <c r="C802" s="48" t="s">
        <v>9907</v>
      </c>
      <c r="D802" s="44"/>
      <c r="E802" s="48" t="s">
        <v>5238</v>
      </c>
      <c r="F802" s="48" t="s">
        <v>9908</v>
      </c>
      <c r="G802" s="55" t="s">
        <v>96</v>
      </c>
      <c r="H802" s="64">
        <v>0.01727</v>
      </c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</row>
    <row r="803">
      <c r="A803" s="48" t="s">
        <v>9909</v>
      </c>
      <c r="B803" s="44"/>
      <c r="C803" s="48" t="s">
        <v>9910</v>
      </c>
      <c r="D803" s="44"/>
      <c r="E803" s="48" t="s">
        <v>5478</v>
      </c>
      <c r="F803" s="48" t="s">
        <v>8767</v>
      </c>
      <c r="G803" s="55" t="s">
        <v>96</v>
      </c>
      <c r="H803" s="64">
        <v>0.01724</v>
      </c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</row>
    <row r="804">
      <c r="A804" s="48" t="s">
        <v>4381</v>
      </c>
      <c r="B804" s="44"/>
      <c r="C804" s="48" t="s">
        <v>9911</v>
      </c>
      <c r="D804" s="44"/>
      <c r="E804" s="48" t="s">
        <v>5309</v>
      </c>
      <c r="F804" s="48" t="s">
        <v>5300</v>
      </c>
      <c r="G804" s="55" t="s">
        <v>96</v>
      </c>
      <c r="H804" s="64">
        <v>0.01722</v>
      </c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</row>
    <row r="805">
      <c r="A805" s="48" t="s">
        <v>9912</v>
      </c>
      <c r="B805" s="44"/>
      <c r="C805" s="48" t="s">
        <v>9913</v>
      </c>
      <c r="D805" s="44"/>
      <c r="E805" s="48" t="s">
        <v>5561</v>
      </c>
      <c r="F805" s="48" t="s">
        <v>8759</v>
      </c>
      <c r="G805" s="55" t="s">
        <v>96</v>
      </c>
      <c r="H805" s="64">
        <v>0.0172</v>
      </c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</row>
    <row r="806">
      <c r="A806" s="48" t="s">
        <v>9914</v>
      </c>
      <c r="B806" s="44"/>
      <c r="C806" s="48" t="s">
        <v>9915</v>
      </c>
      <c r="D806" s="44"/>
      <c r="E806" s="48" t="s">
        <v>5235</v>
      </c>
      <c r="F806" s="48" t="s">
        <v>4153</v>
      </c>
      <c r="G806" s="55" t="s">
        <v>96</v>
      </c>
      <c r="H806" s="64">
        <v>0.01716</v>
      </c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</row>
    <row r="807">
      <c r="A807" s="48" t="s">
        <v>9916</v>
      </c>
      <c r="B807" s="44"/>
      <c r="C807" s="48" t="s">
        <v>9917</v>
      </c>
      <c r="D807" s="44"/>
      <c r="E807" s="48" t="s">
        <v>5271</v>
      </c>
      <c r="F807" s="48" t="s">
        <v>9414</v>
      </c>
      <c r="G807" s="55" t="s">
        <v>96</v>
      </c>
      <c r="H807" s="64">
        <v>0.0171</v>
      </c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</row>
    <row r="808">
      <c r="A808" s="48" t="s">
        <v>9918</v>
      </c>
      <c r="B808" s="44"/>
      <c r="C808" s="48" t="s">
        <v>9919</v>
      </c>
      <c r="D808" s="44"/>
      <c r="E808" s="48" t="s">
        <v>5366</v>
      </c>
      <c r="F808" s="48" t="s">
        <v>8784</v>
      </c>
      <c r="G808" s="55" t="s">
        <v>96</v>
      </c>
      <c r="H808" s="64">
        <v>0.01707</v>
      </c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</row>
    <row r="809">
      <c r="A809" s="48" t="s">
        <v>9920</v>
      </c>
      <c r="B809" s="44"/>
      <c r="C809" s="48" t="s">
        <v>9921</v>
      </c>
      <c r="D809" s="44"/>
      <c r="E809" s="48" t="s">
        <v>7611</v>
      </c>
      <c r="F809" s="48" t="s">
        <v>8784</v>
      </c>
      <c r="G809" s="55" t="s">
        <v>96</v>
      </c>
      <c r="H809" s="64">
        <v>0.01706</v>
      </c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</row>
    <row r="810">
      <c r="A810" s="48" t="s">
        <v>9922</v>
      </c>
      <c r="B810" s="44"/>
      <c r="C810" s="48" t="s">
        <v>9923</v>
      </c>
      <c r="D810" s="44"/>
      <c r="E810" s="48" t="s">
        <v>5445</v>
      </c>
      <c r="F810" s="48" t="s">
        <v>5425</v>
      </c>
      <c r="G810" s="55" t="s">
        <v>96</v>
      </c>
      <c r="H810" s="64">
        <v>0.01683</v>
      </c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</row>
    <row r="811">
      <c r="A811" s="48" t="s">
        <v>7191</v>
      </c>
      <c r="B811" s="44"/>
      <c r="C811" s="48" t="s">
        <v>9924</v>
      </c>
      <c r="D811" s="44"/>
      <c r="E811" s="48" t="s">
        <v>7169</v>
      </c>
      <c r="F811" s="48" t="s">
        <v>8784</v>
      </c>
      <c r="G811" s="55" t="s">
        <v>96</v>
      </c>
      <c r="H811" s="64">
        <v>0.01669</v>
      </c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</row>
    <row r="812">
      <c r="A812" s="48" t="s">
        <v>9925</v>
      </c>
      <c r="B812" s="44"/>
      <c r="C812" s="48" t="s">
        <v>9926</v>
      </c>
      <c r="D812" s="44"/>
      <c r="E812" s="48" t="s">
        <v>5229</v>
      </c>
      <c r="F812" s="48" t="s">
        <v>8784</v>
      </c>
      <c r="G812" s="55" t="s">
        <v>96</v>
      </c>
      <c r="H812" s="64">
        <v>0.01661</v>
      </c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</row>
    <row r="813">
      <c r="A813" s="48" t="s">
        <v>9927</v>
      </c>
      <c r="B813" s="44"/>
      <c r="C813" s="48" t="s">
        <v>9928</v>
      </c>
      <c r="D813" s="44"/>
      <c r="E813" s="48" t="s">
        <v>5450</v>
      </c>
      <c r="F813" s="48" t="s">
        <v>9021</v>
      </c>
      <c r="G813" s="55" t="s">
        <v>96</v>
      </c>
      <c r="H813" s="64">
        <v>0.01655</v>
      </c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</row>
    <row r="814">
      <c r="A814" s="48" t="s">
        <v>9929</v>
      </c>
      <c r="B814" s="44"/>
      <c r="C814" s="48" t="s">
        <v>9930</v>
      </c>
      <c r="D814" s="44"/>
      <c r="E814" s="48" t="s">
        <v>5218</v>
      </c>
      <c r="F814" s="48" t="s">
        <v>8784</v>
      </c>
      <c r="G814" s="55" t="s">
        <v>96</v>
      </c>
      <c r="H814" s="64">
        <v>0.01653</v>
      </c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</row>
    <row r="815">
      <c r="A815" s="48" t="s">
        <v>5655</v>
      </c>
      <c r="B815" s="44"/>
      <c r="C815" s="48" t="s">
        <v>5656</v>
      </c>
      <c r="D815" s="44"/>
      <c r="E815" s="48" t="s">
        <v>5235</v>
      </c>
      <c r="F815" s="48" t="s">
        <v>5277</v>
      </c>
      <c r="G815" s="55" t="s">
        <v>96</v>
      </c>
      <c r="H815" s="64">
        <v>0.0165</v>
      </c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</row>
    <row r="816">
      <c r="A816" s="48" t="s">
        <v>9931</v>
      </c>
      <c r="B816" s="44"/>
      <c r="C816" s="48" t="s">
        <v>9932</v>
      </c>
      <c r="D816" s="44"/>
      <c r="E816" s="48" t="s">
        <v>5462</v>
      </c>
      <c r="F816" s="48" t="s">
        <v>5425</v>
      </c>
      <c r="G816" s="55" t="s">
        <v>96</v>
      </c>
      <c r="H816" s="64">
        <v>0.01643</v>
      </c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</row>
    <row r="817">
      <c r="A817" s="48" t="s">
        <v>9933</v>
      </c>
      <c r="B817" s="44"/>
      <c r="C817" s="48" t="s">
        <v>9934</v>
      </c>
      <c r="D817" s="44"/>
      <c r="E817" s="48" t="s">
        <v>5238</v>
      </c>
      <c r="F817" s="48" t="s">
        <v>5425</v>
      </c>
      <c r="G817" s="55" t="s">
        <v>96</v>
      </c>
      <c r="H817" s="64">
        <v>0.01623</v>
      </c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</row>
    <row r="818">
      <c r="A818" s="48" t="s">
        <v>9935</v>
      </c>
      <c r="B818" s="44"/>
      <c r="C818" s="48" t="s">
        <v>9936</v>
      </c>
      <c r="D818" s="44"/>
      <c r="E818" s="48" t="s">
        <v>9937</v>
      </c>
      <c r="F818" s="48" t="s">
        <v>8784</v>
      </c>
      <c r="G818" s="55" t="s">
        <v>96</v>
      </c>
      <c r="H818" s="64">
        <v>0.0162</v>
      </c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</row>
    <row r="819">
      <c r="A819" s="48" t="s">
        <v>9938</v>
      </c>
      <c r="B819" s="44"/>
      <c r="C819" s="48" t="s">
        <v>9939</v>
      </c>
      <c r="D819" s="44"/>
      <c r="E819" s="48" t="s">
        <v>5238</v>
      </c>
      <c r="F819" s="48" t="s">
        <v>5836</v>
      </c>
      <c r="G819" s="55" t="s">
        <v>96</v>
      </c>
      <c r="H819" s="64">
        <v>0.01617</v>
      </c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</row>
    <row r="820">
      <c r="A820" s="48" t="s">
        <v>4700</v>
      </c>
      <c r="B820" s="44"/>
      <c r="C820" s="48" t="s">
        <v>9940</v>
      </c>
      <c r="D820" s="44"/>
      <c r="E820" s="48" t="s">
        <v>6115</v>
      </c>
      <c r="F820" s="48" t="s">
        <v>5300</v>
      </c>
      <c r="G820" s="55" t="s">
        <v>96</v>
      </c>
      <c r="H820" s="64">
        <v>0.01612</v>
      </c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</row>
    <row r="821">
      <c r="A821" s="48" t="s">
        <v>9941</v>
      </c>
      <c r="B821" s="44"/>
      <c r="C821" s="48" t="s">
        <v>9942</v>
      </c>
      <c r="D821" s="44"/>
      <c r="E821" s="48" t="s">
        <v>5229</v>
      </c>
      <c r="F821" s="48" t="s">
        <v>5941</v>
      </c>
      <c r="G821" s="55" t="s">
        <v>96</v>
      </c>
      <c r="H821" s="64">
        <v>0.01602</v>
      </c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</row>
    <row r="822">
      <c r="A822" s="48" t="s">
        <v>9943</v>
      </c>
      <c r="B822" s="44"/>
      <c r="C822" s="48" t="s">
        <v>9944</v>
      </c>
      <c r="D822" s="44"/>
      <c r="E822" s="48" t="s">
        <v>5276</v>
      </c>
      <c r="F822" s="48" t="s">
        <v>5300</v>
      </c>
      <c r="G822" s="55" t="s">
        <v>96</v>
      </c>
      <c r="H822" s="64">
        <v>0.01591</v>
      </c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</row>
    <row r="823">
      <c r="A823" s="48" t="s">
        <v>9945</v>
      </c>
      <c r="B823" s="44"/>
      <c r="C823" s="48" t="s">
        <v>9946</v>
      </c>
      <c r="D823" s="44"/>
      <c r="E823" s="48" t="s">
        <v>6514</v>
      </c>
      <c r="F823" s="48" t="s">
        <v>5300</v>
      </c>
      <c r="G823" s="55" t="s">
        <v>96</v>
      </c>
      <c r="H823" s="64">
        <v>0.01587</v>
      </c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</row>
    <row r="824">
      <c r="A824" s="48" t="s">
        <v>9947</v>
      </c>
      <c r="B824" s="44"/>
      <c r="C824" s="48" t="s">
        <v>9948</v>
      </c>
      <c r="D824" s="44"/>
      <c r="E824" s="48" t="s">
        <v>5513</v>
      </c>
      <c r="F824" s="48" t="s">
        <v>8784</v>
      </c>
      <c r="G824" s="55" t="s">
        <v>96</v>
      </c>
      <c r="H824" s="64">
        <v>0.01586</v>
      </c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</row>
    <row r="825">
      <c r="A825" s="48" t="s">
        <v>5336</v>
      </c>
      <c r="B825" s="44"/>
      <c r="C825" s="48" t="s">
        <v>9949</v>
      </c>
      <c r="D825" s="44"/>
      <c r="E825" s="48" t="s">
        <v>5366</v>
      </c>
      <c r="F825" s="48" t="s">
        <v>5747</v>
      </c>
      <c r="G825" s="55" t="s">
        <v>96</v>
      </c>
      <c r="H825" s="64">
        <v>0.01569</v>
      </c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</row>
    <row r="826">
      <c r="A826" s="48" t="s">
        <v>4702</v>
      </c>
      <c r="B826" s="44"/>
      <c r="C826" s="48" t="s">
        <v>9950</v>
      </c>
      <c r="D826" s="44"/>
      <c r="E826" s="48" t="s">
        <v>5215</v>
      </c>
      <c r="F826" s="48" t="s">
        <v>5300</v>
      </c>
      <c r="G826" s="55" t="s">
        <v>96</v>
      </c>
      <c r="H826" s="64">
        <v>0.01565</v>
      </c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</row>
    <row r="827">
      <c r="A827" s="48" t="s">
        <v>9951</v>
      </c>
      <c r="B827" s="44"/>
      <c r="C827" s="48" t="s">
        <v>9952</v>
      </c>
      <c r="D827" s="44"/>
      <c r="E827" s="48" t="s">
        <v>7476</v>
      </c>
      <c r="F827" s="48" t="s">
        <v>5425</v>
      </c>
      <c r="G827" s="55" t="s">
        <v>96</v>
      </c>
      <c r="H827" s="64">
        <v>0.01564</v>
      </c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</row>
    <row r="828">
      <c r="A828" s="48" t="s">
        <v>9953</v>
      </c>
      <c r="B828" s="44"/>
      <c r="C828" s="48" t="s">
        <v>9954</v>
      </c>
      <c r="D828" s="44"/>
      <c r="E828" s="48" t="s">
        <v>5215</v>
      </c>
      <c r="F828" s="48" t="s">
        <v>6988</v>
      </c>
      <c r="G828" s="55" t="s">
        <v>96</v>
      </c>
      <c r="H828" s="64">
        <v>0.01561</v>
      </c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</row>
    <row r="829">
      <c r="A829" s="48" t="s">
        <v>9955</v>
      </c>
      <c r="B829" s="44"/>
      <c r="C829" s="48" t="s">
        <v>9956</v>
      </c>
      <c r="D829" s="44"/>
      <c r="E829" s="48" t="s">
        <v>5704</v>
      </c>
      <c r="F829" s="48" t="s">
        <v>8784</v>
      </c>
      <c r="G829" s="55" t="s">
        <v>96</v>
      </c>
      <c r="H829" s="64">
        <v>0.01559</v>
      </c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</row>
    <row r="830">
      <c r="A830" s="48" t="s">
        <v>9957</v>
      </c>
      <c r="B830" s="44"/>
      <c r="C830" s="48" t="s">
        <v>9958</v>
      </c>
      <c r="D830" s="44"/>
      <c r="E830" s="48" t="s">
        <v>9959</v>
      </c>
      <c r="F830" s="48" t="s">
        <v>9021</v>
      </c>
      <c r="G830" s="55" t="s">
        <v>96</v>
      </c>
      <c r="H830" s="64">
        <v>0.01554</v>
      </c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</row>
    <row r="831">
      <c r="A831" s="48" t="s">
        <v>9960</v>
      </c>
      <c r="B831" s="44"/>
      <c r="C831" s="48" t="s">
        <v>9961</v>
      </c>
      <c r="D831" s="44"/>
      <c r="E831" s="48" t="s">
        <v>6172</v>
      </c>
      <c r="F831" s="48" t="s">
        <v>8784</v>
      </c>
      <c r="G831" s="55" t="s">
        <v>96</v>
      </c>
      <c r="H831" s="64">
        <v>0.01553</v>
      </c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</row>
    <row r="832">
      <c r="A832" s="48" t="s">
        <v>9962</v>
      </c>
      <c r="B832" s="44"/>
      <c r="C832" s="48" t="s">
        <v>9963</v>
      </c>
      <c r="D832" s="44"/>
      <c r="E832" s="48" t="s">
        <v>6238</v>
      </c>
      <c r="F832" s="48" t="s">
        <v>5277</v>
      </c>
      <c r="G832" s="55" t="s">
        <v>96</v>
      </c>
      <c r="H832" s="64">
        <v>0.01553</v>
      </c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</row>
    <row r="833">
      <c r="A833" s="48" t="s">
        <v>9964</v>
      </c>
      <c r="B833" s="44"/>
      <c r="C833" s="48" t="s">
        <v>9965</v>
      </c>
      <c r="D833" s="44"/>
      <c r="E833" s="48" t="s">
        <v>5450</v>
      </c>
      <c r="F833" s="48" t="s">
        <v>5425</v>
      </c>
      <c r="G833" s="55" t="s">
        <v>96</v>
      </c>
      <c r="H833" s="64">
        <v>0.01543</v>
      </c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</row>
    <row r="834">
      <c r="A834" s="48" t="s">
        <v>9966</v>
      </c>
      <c r="B834" s="44"/>
      <c r="C834" s="48" t="s">
        <v>3348</v>
      </c>
      <c r="D834" s="44"/>
      <c r="E834" s="48" t="s">
        <v>6729</v>
      </c>
      <c r="F834" s="48" t="s">
        <v>9021</v>
      </c>
      <c r="G834" s="55" t="s">
        <v>96</v>
      </c>
      <c r="H834" s="64">
        <v>0.01541</v>
      </c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</row>
    <row r="835">
      <c r="A835" s="48" t="s">
        <v>9967</v>
      </c>
      <c r="B835" s="44"/>
      <c r="C835" s="48" t="s">
        <v>9968</v>
      </c>
      <c r="D835" s="44"/>
      <c r="E835" s="48" t="s">
        <v>5450</v>
      </c>
      <c r="F835" s="48" t="s">
        <v>5300</v>
      </c>
      <c r="G835" s="55" t="s">
        <v>96</v>
      </c>
      <c r="H835" s="64">
        <v>0.01531</v>
      </c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</row>
    <row r="836">
      <c r="A836" s="48" t="s">
        <v>6896</v>
      </c>
      <c r="B836" s="44"/>
      <c r="C836" s="48" t="s">
        <v>9969</v>
      </c>
      <c r="D836" s="44"/>
      <c r="E836" s="48" t="s">
        <v>6266</v>
      </c>
      <c r="F836" s="48" t="s">
        <v>5747</v>
      </c>
      <c r="G836" s="55" t="s">
        <v>96</v>
      </c>
      <c r="H836" s="64">
        <v>0.01528</v>
      </c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</row>
    <row r="837">
      <c r="A837" s="48" t="s">
        <v>9970</v>
      </c>
      <c r="B837" s="44"/>
      <c r="C837" s="48" t="s">
        <v>9971</v>
      </c>
      <c r="D837" s="44"/>
      <c r="E837" s="48" t="s">
        <v>5232</v>
      </c>
      <c r="F837" s="48" t="s">
        <v>6698</v>
      </c>
      <c r="G837" s="55" t="s">
        <v>96</v>
      </c>
      <c r="H837" s="64">
        <v>0.01517</v>
      </c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</row>
    <row r="838">
      <c r="A838" s="48" t="s">
        <v>9972</v>
      </c>
      <c r="B838" s="44"/>
      <c r="C838" s="48" t="s">
        <v>9973</v>
      </c>
      <c r="D838" s="44"/>
      <c r="E838" s="48" t="s">
        <v>6327</v>
      </c>
      <c r="F838" s="48" t="s">
        <v>4153</v>
      </c>
      <c r="G838" s="55" t="s">
        <v>96</v>
      </c>
      <c r="H838" s="64">
        <v>0.01499</v>
      </c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</row>
    <row r="839">
      <c r="A839" s="48" t="s">
        <v>9974</v>
      </c>
      <c r="B839" s="44"/>
      <c r="C839" s="48" t="s">
        <v>9975</v>
      </c>
      <c r="D839" s="44"/>
      <c r="E839" s="48" t="s">
        <v>5450</v>
      </c>
      <c r="F839" s="48" t="s">
        <v>5425</v>
      </c>
      <c r="G839" s="55" t="s">
        <v>96</v>
      </c>
      <c r="H839" s="64">
        <v>0.01489</v>
      </c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</row>
    <row r="840">
      <c r="A840" s="48" t="s">
        <v>9976</v>
      </c>
      <c r="B840" s="44"/>
      <c r="C840" s="48" t="s">
        <v>9977</v>
      </c>
      <c r="D840" s="44"/>
      <c r="E840" s="48" t="s">
        <v>5369</v>
      </c>
      <c r="F840" s="48" t="s">
        <v>8784</v>
      </c>
      <c r="G840" s="55" t="s">
        <v>96</v>
      </c>
      <c r="H840" s="64">
        <v>0.01489</v>
      </c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</row>
    <row r="841">
      <c r="A841" s="48" t="s">
        <v>4725</v>
      </c>
      <c r="B841" s="44"/>
      <c r="C841" s="48" t="s">
        <v>5669</v>
      </c>
      <c r="D841" s="44"/>
      <c r="E841" s="48" t="s">
        <v>5670</v>
      </c>
      <c r="F841" s="48" t="s">
        <v>5300</v>
      </c>
      <c r="G841" s="55" t="s">
        <v>96</v>
      </c>
      <c r="H841" s="64">
        <v>0.01486</v>
      </c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</row>
    <row r="842">
      <c r="A842" s="48" t="s">
        <v>9978</v>
      </c>
      <c r="B842" s="44"/>
      <c r="C842" s="48" t="s">
        <v>9979</v>
      </c>
      <c r="D842" s="44"/>
      <c r="E842" s="48" t="s">
        <v>5238</v>
      </c>
      <c r="F842" s="48" t="s">
        <v>5425</v>
      </c>
      <c r="G842" s="55" t="s">
        <v>96</v>
      </c>
      <c r="H842" s="64">
        <v>0.01485</v>
      </c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</row>
    <row r="843">
      <c r="A843" s="48" t="s">
        <v>9980</v>
      </c>
      <c r="B843" s="44"/>
      <c r="C843" s="48" t="s">
        <v>9981</v>
      </c>
      <c r="D843" s="44"/>
      <c r="E843" s="48" t="s">
        <v>6338</v>
      </c>
      <c r="F843" s="48" t="s">
        <v>6988</v>
      </c>
      <c r="G843" s="55" t="s">
        <v>96</v>
      </c>
      <c r="H843" s="64">
        <v>0.01482</v>
      </c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</row>
    <row r="844">
      <c r="A844" s="48" t="s">
        <v>4674</v>
      </c>
      <c r="B844" s="44"/>
      <c r="C844" s="48" t="s">
        <v>9982</v>
      </c>
      <c r="D844" s="44"/>
      <c r="E844" s="48" t="s">
        <v>5261</v>
      </c>
      <c r="F844" s="48" t="s">
        <v>5300</v>
      </c>
      <c r="G844" s="55" t="s">
        <v>96</v>
      </c>
      <c r="H844" s="64">
        <v>0.01482</v>
      </c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</row>
    <row r="845">
      <c r="A845" s="48" t="s">
        <v>4258</v>
      </c>
      <c r="B845" s="44"/>
      <c r="C845" s="48" t="s">
        <v>9983</v>
      </c>
      <c r="D845" s="44"/>
      <c r="E845" s="48" t="s">
        <v>5235</v>
      </c>
      <c r="F845" s="48" t="s">
        <v>9299</v>
      </c>
      <c r="G845" s="55" t="s">
        <v>96</v>
      </c>
      <c r="H845" s="64">
        <v>0.01473</v>
      </c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</row>
    <row r="846">
      <c r="A846" s="48" t="s">
        <v>9984</v>
      </c>
      <c r="B846" s="44"/>
      <c r="C846" s="48" t="s">
        <v>9579</v>
      </c>
      <c r="D846" s="44"/>
      <c r="E846" s="48" t="s">
        <v>5215</v>
      </c>
      <c r="F846" s="48" t="s">
        <v>9021</v>
      </c>
      <c r="G846" s="55" t="s">
        <v>96</v>
      </c>
      <c r="H846" s="64">
        <v>0.01465</v>
      </c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</row>
    <row r="847">
      <c r="A847" s="48" t="s">
        <v>6457</v>
      </c>
      <c r="B847" s="44"/>
      <c r="C847" s="48" t="s">
        <v>6458</v>
      </c>
      <c r="D847" s="44"/>
      <c r="E847" s="48" t="s">
        <v>5261</v>
      </c>
      <c r="F847" s="48" t="s">
        <v>4340</v>
      </c>
      <c r="G847" s="55" t="s">
        <v>96</v>
      </c>
      <c r="H847" s="64">
        <v>0.01459</v>
      </c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</row>
    <row r="848">
      <c r="A848" s="48" t="s">
        <v>9985</v>
      </c>
      <c r="B848" s="44"/>
      <c r="C848" s="48" t="s">
        <v>9986</v>
      </c>
      <c r="D848" s="44"/>
      <c r="E848" s="48" t="s">
        <v>5715</v>
      </c>
      <c r="F848" s="48" t="s">
        <v>8784</v>
      </c>
      <c r="G848" s="55" t="s">
        <v>96</v>
      </c>
      <c r="H848" s="64">
        <v>0.01457</v>
      </c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</row>
    <row r="849">
      <c r="A849" s="48" t="s">
        <v>9987</v>
      </c>
      <c r="B849" s="44"/>
      <c r="C849" s="48" t="s">
        <v>9988</v>
      </c>
      <c r="D849" s="44"/>
      <c r="E849" s="48" t="s">
        <v>5283</v>
      </c>
      <c r="F849" s="48" t="s">
        <v>4095</v>
      </c>
      <c r="G849" s="55" t="s">
        <v>96</v>
      </c>
      <c r="H849" s="64">
        <v>0.01454</v>
      </c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</row>
    <row r="850">
      <c r="A850" s="48" t="s">
        <v>9989</v>
      </c>
      <c r="B850" s="44"/>
      <c r="C850" s="48" t="s">
        <v>9990</v>
      </c>
      <c r="D850" s="44"/>
      <c r="E850" s="48" t="s">
        <v>5326</v>
      </c>
      <c r="F850" s="48" t="s">
        <v>5425</v>
      </c>
      <c r="G850" s="55" t="s">
        <v>96</v>
      </c>
      <c r="H850" s="64">
        <v>0.01454</v>
      </c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</row>
    <row r="851">
      <c r="A851" s="48" t="s">
        <v>9991</v>
      </c>
      <c r="B851" s="44"/>
      <c r="C851" s="48" t="s">
        <v>9992</v>
      </c>
      <c r="D851" s="44"/>
      <c r="E851" s="48" t="s">
        <v>5756</v>
      </c>
      <c r="F851" s="48" t="s">
        <v>8784</v>
      </c>
      <c r="G851" s="55" t="s">
        <v>96</v>
      </c>
      <c r="H851" s="64">
        <v>0.01449</v>
      </c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</row>
    <row r="852">
      <c r="A852" s="48" t="s">
        <v>9993</v>
      </c>
      <c r="B852" s="44"/>
      <c r="C852" s="48" t="s">
        <v>9994</v>
      </c>
      <c r="D852" s="44"/>
      <c r="E852" s="48" t="s">
        <v>6130</v>
      </c>
      <c r="F852" s="48" t="s">
        <v>4095</v>
      </c>
      <c r="G852" s="55" t="s">
        <v>96</v>
      </c>
      <c r="H852" s="64">
        <v>0.01446</v>
      </c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</row>
    <row r="853">
      <c r="A853" s="48" t="s">
        <v>9995</v>
      </c>
      <c r="B853" s="44"/>
      <c r="C853" s="48" t="s">
        <v>9996</v>
      </c>
      <c r="D853" s="44"/>
      <c r="E853" s="48" t="s">
        <v>5855</v>
      </c>
      <c r="F853" s="48" t="s">
        <v>8784</v>
      </c>
      <c r="G853" s="55" t="s">
        <v>96</v>
      </c>
      <c r="H853" s="64">
        <v>0.01443</v>
      </c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</row>
    <row r="854">
      <c r="A854" s="48" t="s">
        <v>9997</v>
      </c>
      <c r="B854" s="44"/>
      <c r="C854" s="48" t="s">
        <v>9998</v>
      </c>
      <c r="D854" s="44"/>
      <c r="E854" s="48" t="s">
        <v>5561</v>
      </c>
      <c r="F854" s="48" t="s">
        <v>8784</v>
      </c>
      <c r="G854" s="55" t="s">
        <v>96</v>
      </c>
      <c r="H854" s="64">
        <v>0.01433</v>
      </c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</row>
    <row r="855">
      <c r="A855" s="48" t="s">
        <v>9999</v>
      </c>
      <c r="B855" s="44"/>
      <c r="C855" s="48" t="s">
        <v>10000</v>
      </c>
      <c r="D855" s="44"/>
      <c r="E855" s="48" t="s">
        <v>5276</v>
      </c>
      <c r="F855" s="48" t="s">
        <v>8784</v>
      </c>
      <c r="G855" s="55" t="s">
        <v>96</v>
      </c>
      <c r="H855" s="64">
        <v>0.01433</v>
      </c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</row>
    <row r="856">
      <c r="A856" s="48" t="s">
        <v>10001</v>
      </c>
      <c r="B856" s="44"/>
      <c r="C856" s="48" t="s">
        <v>10002</v>
      </c>
      <c r="D856" s="44"/>
      <c r="E856" s="48" t="s">
        <v>5215</v>
      </c>
      <c r="F856" s="48" t="s">
        <v>5300</v>
      </c>
      <c r="G856" s="55" t="s">
        <v>96</v>
      </c>
      <c r="H856" s="64">
        <v>0.01429</v>
      </c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</row>
    <row r="857">
      <c r="A857" s="48" t="s">
        <v>10003</v>
      </c>
      <c r="B857" s="44"/>
      <c r="C857" s="48" t="s">
        <v>10004</v>
      </c>
      <c r="D857" s="44"/>
      <c r="E857" s="48" t="s">
        <v>5525</v>
      </c>
      <c r="F857" s="48" t="s">
        <v>9299</v>
      </c>
      <c r="G857" s="55" t="s">
        <v>96</v>
      </c>
      <c r="H857" s="64">
        <v>0.01424</v>
      </c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</row>
    <row r="858">
      <c r="A858" s="48" t="s">
        <v>10005</v>
      </c>
      <c r="B858" s="44"/>
      <c r="C858" s="48" t="s">
        <v>10006</v>
      </c>
      <c r="D858" s="44"/>
      <c r="E858" s="48" t="s">
        <v>6947</v>
      </c>
      <c r="F858" s="48" t="s">
        <v>8784</v>
      </c>
      <c r="G858" s="55" t="s">
        <v>96</v>
      </c>
      <c r="H858" s="64">
        <v>0.01423</v>
      </c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</row>
    <row r="859">
      <c r="A859" s="48" t="s">
        <v>10007</v>
      </c>
      <c r="B859" s="44"/>
      <c r="C859" s="48" t="s">
        <v>10008</v>
      </c>
      <c r="D859" s="44"/>
      <c r="E859" s="48" t="s">
        <v>5561</v>
      </c>
      <c r="F859" s="48" t="s">
        <v>5941</v>
      </c>
      <c r="G859" s="55" t="s">
        <v>96</v>
      </c>
      <c r="H859" s="64">
        <v>0.01421</v>
      </c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</row>
    <row r="860">
      <c r="A860" s="48" t="s">
        <v>10009</v>
      </c>
      <c r="B860" s="44"/>
      <c r="C860" s="48" t="s">
        <v>10010</v>
      </c>
      <c r="D860" s="44"/>
      <c r="E860" s="48" t="s">
        <v>5456</v>
      </c>
      <c r="F860" s="48" t="s">
        <v>8784</v>
      </c>
      <c r="G860" s="55" t="s">
        <v>96</v>
      </c>
      <c r="H860" s="64">
        <v>0.0142</v>
      </c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</row>
    <row r="861">
      <c r="A861" s="48" t="s">
        <v>10011</v>
      </c>
      <c r="B861" s="44"/>
      <c r="C861" s="48" t="s">
        <v>10012</v>
      </c>
      <c r="D861" s="44"/>
      <c r="E861" s="48" t="s">
        <v>5501</v>
      </c>
      <c r="F861" s="48" t="s">
        <v>5300</v>
      </c>
      <c r="G861" s="55" t="s">
        <v>96</v>
      </c>
      <c r="H861" s="64">
        <v>0.01413</v>
      </c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</row>
    <row r="862">
      <c r="A862" s="48" t="s">
        <v>10013</v>
      </c>
      <c r="B862" s="44"/>
      <c r="C862" s="48" t="s">
        <v>9188</v>
      </c>
      <c r="D862" s="44"/>
      <c r="E862" s="48" t="s">
        <v>9189</v>
      </c>
      <c r="F862" s="48" t="s">
        <v>5300</v>
      </c>
      <c r="G862" s="55" t="s">
        <v>96</v>
      </c>
      <c r="H862" s="64">
        <v>0.01411</v>
      </c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</row>
    <row r="863">
      <c r="A863" s="48" t="s">
        <v>6412</v>
      </c>
      <c r="B863" s="44"/>
      <c r="C863" s="48" t="s">
        <v>6413</v>
      </c>
      <c r="D863" s="44"/>
      <c r="E863" s="48" t="s">
        <v>5961</v>
      </c>
      <c r="F863" s="48" t="s">
        <v>4340</v>
      </c>
      <c r="G863" s="55" t="s">
        <v>96</v>
      </c>
      <c r="H863" s="64">
        <v>0.0141</v>
      </c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</row>
    <row r="864">
      <c r="A864" s="48" t="s">
        <v>10014</v>
      </c>
      <c r="B864" s="44"/>
      <c r="C864" s="48" t="s">
        <v>10015</v>
      </c>
      <c r="D864" s="44"/>
      <c r="E864" s="48" t="s">
        <v>6130</v>
      </c>
      <c r="F864" s="48" t="s">
        <v>8784</v>
      </c>
      <c r="G864" s="55" t="s">
        <v>96</v>
      </c>
      <c r="H864" s="64">
        <v>0.01407</v>
      </c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</row>
    <row r="865">
      <c r="A865" s="48" t="s">
        <v>10016</v>
      </c>
      <c r="B865" s="44"/>
      <c r="C865" s="48" t="s">
        <v>10017</v>
      </c>
      <c r="D865" s="44"/>
      <c r="E865" s="48" t="s">
        <v>5264</v>
      </c>
      <c r="F865" s="48" t="s">
        <v>5268</v>
      </c>
      <c r="G865" s="55" t="s">
        <v>96</v>
      </c>
      <c r="H865" s="64">
        <v>0.01406</v>
      </c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</row>
    <row r="866">
      <c r="A866" s="48" t="s">
        <v>10018</v>
      </c>
      <c r="B866" s="44"/>
      <c r="C866" s="48" t="s">
        <v>10019</v>
      </c>
      <c r="D866" s="44"/>
      <c r="E866" s="48" t="s">
        <v>5550</v>
      </c>
      <c r="F866" s="48" t="s">
        <v>5941</v>
      </c>
      <c r="G866" s="55" t="s">
        <v>96</v>
      </c>
      <c r="H866" s="64">
        <v>0.014</v>
      </c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</row>
    <row r="867">
      <c r="A867" s="48" t="s">
        <v>10020</v>
      </c>
      <c r="B867" s="44"/>
      <c r="C867" s="48" t="s">
        <v>10021</v>
      </c>
      <c r="D867" s="44"/>
      <c r="E867" s="48" t="s">
        <v>5229</v>
      </c>
      <c r="F867" s="48" t="s">
        <v>8784</v>
      </c>
      <c r="G867" s="55" t="s">
        <v>96</v>
      </c>
      <c r="H867" s="64">
        <v>0.01388</v>
      </c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</row>
    <row r="868">
      <c r="A868" s="48" t="s">
        <v>10022</v>
      </c>
      <c r="B868" s="44"/>
      <c r="C868" s="48" t="s">
        <v>10023</v>
      </c>
      <c r="D868" s="44"/>
      <c r="E868" s="48" t="s">
        <v>5215</v>
      </c>
      <c r="F868" s="48" t="s">
        <v>9513</v>
      </c>
      <c r="G868" s="55" t="s">
        <v>96</v>
      </c>
      <c r="H868" s="64">
        <v>0.01386</v>
      </c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</row>
    <row r="869">
      <c r="A869" s="48" t="s">
        <v>10024</v>
      </c>
      <c r="B869" s="44"/>
      <c r="C869" s="48" t="s">
        <v>10025</v>
      </c>
      <c r="D869" s="44"/>
      <c r="E869" s="48" t="s">
        <v>5369</v>
      </c>
      <c r="F869" s="48" t="s">
        <v>8784</v>
      </c>
      <c r="G869" s="55" t="s">
        <v>96</v>
      </c>
      <c r="H869" s="64">
        <v>0.01384</v>
      </c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</row>
    <row r="870">
      <c r="A870" s="48" t="s">
        <v>10026</v>
      </c>
      <c r="B870" s="44"/>
      <c r="C870" s="48" t="s">
        <v>10027</v>
      </c>
      <c r="D870" s="44"/>
      <c r="E870" s="48" t="s">
        <v>5276</v>
      </c>
      <c r="F870" s="48" t="s">
        <v>5300</v>
      </c>
      <c r="G870" s="55" t="s">
        <v>96</v>
      </c>
      <c r="H870" s="64">
        <v>0.01382</v>
      </c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</row>
    <row r="871">
      <c r="A871" s="48" t="s">
        <v>10028</v>
      </c>
      <c r="B871" s="44"/>
      <c r="C871" s="48" t="s">
        <v>10029</v>
      </c>
      <c r="D871" s="44"/>
      <c r="E871" s="48" t="s">
        <v>5341</v>
      </c>
      <c r="F871" s="48" t="s">
        <v>5941</v>
      </c>
      <c r="G871" s="55" t="s">
        <v>96</v>
      </c>
      <c r="H871" s="64">
        <v>0.01382</v>
      </c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</row>
    <row r="872">
      <c r="A872" s="48" t="s">
        <v>10030</v>
      </c>
      <c r="B872" s="44"/>
      <c r="C872" s="48" t="s">
        <v>10031</v>
      </c>
      <c r="D872" s="44"/>
      <c r="E872" s="48" t="s">
        <v>6130</v>
      </c>
      <c r="F872" s="48" t="s">
        <v>8759</v>
      </c>
      <c r="G872" s="55" t="s">
        <v>96</v>
      </c>
      <c r="H872" s="64">
        <v>0.01382</v>
      </c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</row>
    <row r="873">
      <c r="A873" s="48" t="s">
        <v>10032</v>
      </c>
      <c r="B873" s="44"/>
      <c r="C873" s="48" t="s">
        <v>10033</v>
      </c>
      <c r="D873" s="44"/>
      <c r="E873" s="48" t="s">
        <v>5434</v>
      </c>
      <c r="F873" s="48" t="s">
        <v>8759</v>
      </c>
      <c r="G873" s="55" t="s">
        <v>96</v>
      </c>
      <c r="H873" s="64">
        <v>0.0138</v>
      </c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</row>
    <row r="874">
      <c r="A874" s="48" t="s">
        <v>10034</v>
      </c>
      <c r="B874" s="44"/>
      <c r="C874" s="48" t="s">
        <v>10035</v>
      </c>
      <c r="D874" s="44"/>
      <c r="E874" s="48" t="s">
        <v>5215</v>
      </c>
      <c r="F874" s="48" t="s">
        <v>5268</v>
      </c>
      <c r="G874" s="55" t="s">
        <v>96</v>
      </c>
      <c r="H874" s="64">
        <v>0.01379</v>
      </c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</row>
    <row r="875">
      <c r="A875" s="48" t="s">
        <v>10036</v>
      </c>
      <c r="B875" s="44"/>
      <c r="C875" s="48" t="s">
        <v>10037</v>
      </c>
      <c r="D875" s="44"/>
      <c r="E875" s="48" t="s">
        <v>5369</v>
      </c>
      <c r="F875" s="48" t="s">
        <v>6220</v>
      </c>
      <c r="G875" s="55" t="s">
        <v>96</v>
      </c>
      <c r="H875" s="64">
        <v>0.01378</v>
      </c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</row>
    <row r="876">
      <c r="A876" s="48" t="s">
        <v>10038</v>
      </c>
      <c r="B876" s="44"/>
      <c r="C876" s="48" t="s">
        <v>10039</v>
      </c>
      <c r="D876" s="44"/>
      <c r="E876" s="48" t="s">
        <v>5249</v>
      </c>
      <c r="F876" s="48" t="s">
        <v>5425</v>
      </c>
      <c r="G876" s="55" t="s">
        <v>96</v>
      </c>
      <c r="H876" s="64">
        <v>0.01366</v>
      </c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</row>
    <row r="877">
      <c r="A877" s="48" t="s">
        <v>6051</v>
      </c>
      <c r="B877" s="44"/>
      <c r="C877" s="48" t="s">
        <v>10040</v>
      </c>
      <c r="D877" s="44"/>
      <c r="E877" s="48" t="s">
        <v>5434</v>
      </c>
      <c r="F877" s="48" t="s">
        <v>8784</v>
      </c>
      <c r="G877" s="55" t="s">
        <v>96</v>
      </c>
      <c r="H877" s="64">
        <v>0.01365</v>
      </c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</row>
    <row r="878">
      <c r="A878" s="48" t="s">
        <v>4706</v>
      </c>
      <c r="B878" s="44"/>
      <c r="C878" s="48" t="s">
        <v>10041</v>
      </c>
      <c r="D878" s="44"/>
      <c r="E878" s="48" t="s">
        <v>5215</v>
      </c>
      <c r="F878" s="48" t="s">
        <v>5300</v>
      </c>
      <c r="G878" s="55" t="s">
        <v>96</v>
      </c>
      <c r="H878" s="64">
        <v>0.01364</v>
      </c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</row>
    <row r="879">
      <c r="A879" s="48" t="s">
        <v>10042</v>
      </c>
      <c r="B879" s="44"/>
      <c r="C879" s="48" t="s">
        <v>10043</v>
      </c>
      <c r="D879" s="44"/>
      <c r="E879" s="48" t="s">
        <v>5561</v>
      </c>
      <c r="F879" s="48" t="s">
        <v>4095</v>
      </c>
      <c r="G879" s="55" t="s">
        <v>96</v>
      </c>
      <c r="H879" s="64">
        <v>0.01359</v>
      </c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</row>
    <row r="880">
      <c r="A880" s="48" t="s">
        <v>6438</v>
      </c>
      <c r="B880" s="44"/>
      <c r="C880" s="48" t="s">
        <v>6439</v>
      </c>
      <c r="D880" s="44"/>
      <c r="E880" s="48" t="s">
        <v>6338</v>
      </c>
      <c r="F880" s="48" t="s">
        <v>6217</v>
      </c>
      <c r="G880" s="55" t="s">
        <v>96</v>
      </c>
      <c r="H880" s="64">
        <v>0.01356</v>
      </c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</row>
    <row r="881">
      <c r="A881" s="48" t="s">
        <v>10044</v>
      </c>
      <c r="B881" s="44"/>
      <c r="C881" s="48" t="s">
        <v>10045</v>
      </c>
      <c r="D881" s="44"/>
      <c r="E881" s="48" t="s">
        <v>5309</v>
      </c>
      <c r="F881" s="48" t="s">
        <v>4095</v>
      </c>
      <c r="G881" s="55" t="s">
        <v>96</v>
      </c>
      <c r="H881" s="64">
        <v>0.0135</v>
      </c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</row>
    <row r="882">
      <c r="A882" s="48" t="s">
        <v>10046</v>
      </c>
      <c r="B882" s="44"/>
      <c r="C882" s="48" t="s">
        <v>10047</v>
      </c>
      <c r="D882" s="44"/>
      <c r="E882" s="48" t="s">
        <v>5218</v>
      </c>
      <c r="F882" s="48" t="s">
        <v>4357</v>
      </c>
      <c r="G882" s="55" t="s">
        <v>96</v>
      </c>
      <c r="H882" s="64">
        <v>0.01347</v>
      </c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</row>
    <row r="883">
      <c r="A883" s="48" t="s">
        <v>10048</v>
      </c>
      <c r="B883" s="44"/>
      <c r="C883" s="48" t="s">
        <v>10049</v>
      </c>
      <c r="D883" s="44"/>
      <c r="E883" s="48" t="s">
        <v>5561</v>
      </c>
      <c r="F883" s="48" t="s">
        <v>8759</v>
      </c>
      <c r="G883" s="55" t="s">
        <v>96</v>
      </c>
      <c r="H883" s="64">
        <v>0.01346</v>
      </c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</row>
    <row r="884">
      <c r="A884" s="48" t="s">
        <v>6273</v>
      </c>
      <c r="B884" s="44"/>
      <c r="C884" s="48" t="s">
        <v>6274</v>
      </c>
      <c r="D884" s="44"/>
      <c r="E884" s="48" t="s">
        <v>6275</v>
      </c>
      <c r="F884" s="48" t="s">
        <v>4340</v>
      </c>
      <c r="G884" s="55" t="s">
        <v>96</v>
      </c>
      <c r="H884" s="64">
        <v>0.01345</v>
      </c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</row>
    <row r="885">
      <c r="A885" s="48" t="s">
        <v>10050</v>
      </c>
      <c r="B885" s="44"/>
      <c r="C885" s="48" t="s">
        <v>10051</v>
      </c>
      <c r="D885" s="44"/>
      <c r="E885" s="48" t="s">
        <v>5215</v>
      </c>
      <c r="F885" s="48" t="s">
        <v>4357</v>
      </c>
      <c r="G885" s="55" t="s">
        <v>96</v>
      </c>
      <c r="H885" s="64">
        <v>0.01341</v>
      </c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</row>
    <row r="886">
      <c r="A886" s="48" t="s">
        <v>10052</v>
      </c>
      <c r="B886" s="44"/>
      <c r="C886" s="48" t="s">
        <v>10053</v>
      </c>
      <c r="D886" s="44"/>
      <c r="E886" s="48" t="s">
        <v>5341</v>
      </c>
      <c r="F886" s="48" t="s">
        <v>8784</v>
      </c>
      <c r="G886" s="55" t="s">
        <v>96</v>
      </c>
      <c r="H886" s="64">
        <v>0.0134</v>
      </c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</row>
    <row r="887">
      <c r="A887" s="48" t="s">
        <v>10054</v>
      </c>
      <c r="B887" s="44"/>
      <c r="C887" s="48" t="s">
        <v>10055</v>
      </c>
      <c r="D887" s="44"/>
      <c r="E887" s="48" t="s">
        <v>5348</v>
      </c>
      <c r="F887" s="48" t="s">
        <v>5425</v>
      </c>
      <c r="G887" s="55" t="s">
        <v>96</v>
      </c>
      <c r="H887" s="64">
        <v>0.01336</v>
      </c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</row>
    <row r="888">
      <c r="A888" s="48" t="s">
        <v>10056</v>
      </c>
      <c r="B888" s="44"/>
      <c r="C888" s="48" t="s">
        <v>10057</v>
      </c>
      <c r="D888" s="44"/>
      <c r="E888" s="48" t="s">
        <v>5335</v>
      </c>
      <c r="F888" s="48" t="s">
        <v>6988</v>
      </c>
      <c r="G888" s="55" t="s">
        <v>96</v>
      </c>
      <c r="H888" s="64">
        <v>0.01335</v>
      </c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</row>
    <row r="889">
      <c r="A889" s="48" t="s">
        <v>10058</v>
      </c>
      <c r="B889" s="44"/>
      <c r="C889" s="48" t="s">
        <v>10059</v>
      </c>
      <c r="D889" s="44"/>
      <c r="E889" s="48" t="s">
        <v>5434</v>
      </c>
      <c r="F889" s="48" t="s">
        <v>9299</v>
      </c>
      <c r="G889" s="55" t="s">
        <v>96</v>
      </c>
      <c r="H889" s="64">
        <v>0.0133</v>
      </c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</row>
    <row r="890">
      <c r="A890" s="48" t="s">
        <v>10060</v>
      </c>
      <c r="B890" s="44"/>
      <c r="C890" s="48" t="s">
        <v>10061</v>
      </c>
      <c r="D890" s="44"/>
      <c r="E890" s="48" t="s">
        <v>6338</v>
      </c>
      <c r="F890" s="48" t="s">
        <v>8767</v>
      </c>
      <c r="G890" s="55" t="s">
        <v>96</v>
      </c>
      <c r="H890" s="64">
        <v>0.0133</v>
      </c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</row>
    <row r="891">
      <c r="A891" s="48" t="s">
        <v>10062</v>
      </c>
      <c r="B891" s="44"/>
      <c r="C891" s="48" t="s">
        <v>10063</v>
      </c>
      <c r="D891" s="44"/>
      <c r="E891" s="48" t="s">
        <v>5291</v>
      </c>
      <c r="F891" s="48" t="s">
        <v>5747</v>
      </c>
      <c r="G891" s="55" t="s">
        <v>96</v>
      </c>
      <c r="H891" s="64">
        <v>0.01321</v>
      </c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</row>
    <row r="892">
      <c r="A892" s="48" t="s">
        <v>10064</v>
      </c>
      <c r="B892" s="44"/>
      <c r="C892" s="48" t="s">
        <v>10065</v>
      </c>
      <c r="D892" s="44"/>
      <c r="E892" s="48" t="s">
        <v>7611</v>
      </c>
      <c r="F892" s="48" t="s">
        <v>8784</v>
      </c>
      <c r="G892" s="55" t="s">
        <v>96</v>
      </c>
      <c r="H892" s="64">
        <v>0.01319</v>
      </c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</row>
    <row r="893">
      <c r="A893" s="48" t="s">
        <v>10066</v>
      </c>
      <c r="B893" s="44"/>
      <c r="C893" s="48" t="s">
        <v>10067</v>
      </c>
      <c r="D893" s="44"/>
      <c r="E893" s="48" t="s">
        <v>9189</v>
      </c>
      <c r="F893" s="48" t="s">
        <v>5425</v>
      </c>
      <c r="G893" s="55" t="s">
        <v>96</v>
      </c>
      <c r="H893" s="64">
        <v>0.01314</v>
      </c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</row>
    <row r="894">
      <c r="A894" s="48" t="s">
        <v>10068</v>
      </c>
      <c r="B894" s="44"/>
      <c r="C894" s="48" t="s">
        <v>10069</v>
      </c>
      <c r="D894" s="44"/>
      <c r="E894" s="48" t="s">
        <v>5215</v>
      </c>
      <c r="F894" s="48" t="s">
        <v>9513</v>
      </c>
      <c r="G894" s="55" t="s">
        <v>96</v>
      </c>
      <c r="H894" s="64">
        <v>0.01311</v>
      </c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</row>
    <row r="895">
      <c r="A895" s="48" t="s">
        <v>10070</v>
      </c>
      <c r="B895" s="44"/>
      <c r="C895" s="48" t="s">
        <v>10071</v>
      </c>
      <c r="D895" s="44"/>
      <c r="E895" s="48" t="s">
        <v>5735</v>
      </c>
      <c r="F895" s="48" t="s">
        <v>5425</v>
      </c>
      <c r="G895" s="55" t="s">
        <v>96</v>
      </c>
      <c r="H895" s="64">
        <v>0.01309</v>
      </c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</row>
    <row r="896">
      <c r="A896" s="48" t="s">
        <v>10072</v>
      </c>
      <c r="B896" s="44"/>
      <c r="C896" s="48" t="s">
        <v>10073</v>
      </c>
      <c r="D896" s="44"/>
      <c r="E896" s="48" t="s">
        <v>5459</v>
      </c>
      <c r="F896" s="48" t="s">
        <v>5747</v>
      </c>
      <c r="G896" s="55" t="s">
        <v>96</v>
      </c>
      <c r="H896" s="64">
        <v>0.01301</v>
      </c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</row>
    <row r="897">
      <c r="A897" s="48" t="s">
        <v>10074</v>
      </c>
      <c r="B897" s="44"/>
      <c r="C897" s="48" t="s">
        <v>10075</v>
      </c>
      <c r="D897" s="44"/>
      <c r="E897" s="48" t="s">
        <v>5366</v>
      </c>
      <c r="F897" s="48" t="s">
        <v>8784</v>
      </c>
      <c r="G897" s="55" t="s">
        <v>96</v>
      </c>
      <c r="H897" s="64">
        <v>0.01296</v>
      </c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</row>
    <row r="898">
      <c r="A898" s="48" t="s">
        <v>10076</v>
      </c>
      <c r="B898" s="44"/>
      <c r="C898" s="48" t="s">
        <v>10077</v>
      </c>
      <c r="D898" s="44"/>
      <c r="E898" s="48" t="s">
        <v>5855</v>
      </c>
      <c r="F898" s="48" t="s">
        <v>5747</v>
      </c>
      <c r="G898" s="55" t="s">
        <v>96</v>
      </c>
      <c r="H898" s="64">
        <v>0.01289</v>
      </c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</row>
    <row r="899">
      <c r="A899" s="48" t="s">
        <v>10078</v>
      </c>
      <c r="B899" s="44"/>
      <c r="C899" s="48" t="s">
        <v>10079</v>
      </c>
      <c r="D899" s="44"/>
      <c r="E899" s="48" t="s">
        <v>7251</v>
      </c>
      <c r="F899" s="48" t="s">
        <v>8784</v>
      </c>
      <c r="G899" s="55" t="s">
        <v>96</v>
      </c>
      <c r="H899" s="64">
        <v>0.01289</v>
      </c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</row>
    <row r="900">
      <c r="A900" s="48" t="s">
        <v>10080</v>
      </c>
      <c r="B900" s="44"/>
      <c r="C900" s="48" t="s">
        <v>10081</v>
      </c>
      <c r="D900" s="44"/>
      <c r="E900" s="48" t="s">
        <v>5348</v>
      </c>
      <c r="F900" s="48" t="s">
        <v>5300</v>
      </c>
      <c r="G900" s="55" t="s">
        <v>96</v>
      </c>
      <c r="H900" s="64">
        <v>0.01283</v>
      </c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</row>
    <row r="901">
      <c r="A901" s="48" t="s">
        <v>10082</v>
      </c>
      <c r="B901" s="44"/>
      <c r="C901" s="48" t="s">
        <v>10083</v>
      </c>
      <c r="D901" s="44"/>
      <c r="E901" s="48" t="s">
        <v>9189</v>
      </c>
      <c r="F901" s="48" t="s">
        <v>5425</v>
      </c>
      <c r="G901" s="55" t="s">
        <v>96</v>
      </c>
      <c r="H901" s="64">
        <v>0.01273</v>
      </c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</row>
    <row r="902">
      <c r="A902" s="48" t="s">
        <v>10084</v>
      </c>
      <c r="B902" s="44"/>
      <c r="C902" s="48" t="s">
        <v>10085</v>
      </c>
      <c r="D902" s="44"/>
      <c r="E902" s="48" t="s">
        <v>5434</v>
      </c>
      <c r="F902" s="48" t="s">
        <v>8784</v>
      </c>
      <c r="G902" s="55" t="s">
        <v>96</v>
      </c>
      <c r="H902" s="64">
        <v>0.01272</v>
      </c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</row>
    <row r="903">
      <c r="A903" s="48" t="s">
        <v>10086</v>
      </c>
      <c r="B903" s="44"/>
      <c r="C903" s="48" t="s">
        <v>10087</v>
      </c>
      <c r="D903" s="44"/>
      <c r="E903" s="48" t="s">
        <v>5369</v>
      </c>
      <c r="F903" s="48" t="s">
        <v>5747</v>
      </c>
      <c r="G903" s="55" t="s">
        <v>96</v>
      </c>
      <c r="H903" s="64">
        <v>0.01266</v>
      </c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</row>
    <row r="904">
      <c r="A904" s="48" t="s">
        <v>10088</v>
      </c>
      <c r="B904" s="44"/>
      <c r="C904" s="48" t="s">
        <v>10089</v>
      </c>
      <c r="D904" s="44"/>
      <c r="E904" s="48" t="s">
        <v>5445</v>
      </c>
      <c r="F904" s="48" t="s">
        <v>4357</v>
      </c>
      <c r="G904" s="55" t="s">
        <v>96</v>
      </c>
      <c r="H904" s="64">
        <v>0.01266</v>
      </c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</row>
    <row r="905">
      <c r="A905" s="48" t="s">
        <v>10090</v>
      </c>
      <c r="B905" s="44"/>
      <c r="C905" s="48" t="s">
        <v>10091</v>
      </c>
      <c r="D905" s="44"/>
      <c r="E905" s="48" t="s">
        <v>5218</v>
      </c>
      <c r="F905" s="48" t="s">
        <v>5425</v>
      </c>
      <c r="G905" s="55" t="s">
        <v>96</v>
      </c>
      <c r="H905" s="64">
        <v>0.01264</v>
      </c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</row>
    <row r="906">
      <c r="A906" s="48" t="s">
        <v>6545</v>
      </c>
      <c r="B906" s="44"/>
      <c r="C906" s="48" t="s">
        <v>6546</v>
      </c>
      <c r="D906" s="44"/>
      <c r="E906" s="48" t="s">
        <v>5215</v>
      </c>
      <c r="F906" s="48" t="s">
        <v>4340</v>
      </c>
      <c r="G906" s="55" t="s">
        <v>96</v>
      </c>
      <c r="H906" s="64">
        <v>0.01257</v>
      </c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</row>
    <row r="907">
      <c r="A907" s="48" t="s">
        <v>10092</v>
      </c>
      <c r="B907" s="44"/>
      <c r="C907" s="48" t="s">
        <v>10093</v>
      </c>
      <c r="D907" s="44"/>
      <c r="E907" s="48" t="s">
        <v>5369</v>
      </c>
      <c r="F907" s="48" t="s">
        <v>8784</v>
      </c>
      <c r="G907" s="55" t="s">
        <v>96</v>
      </c>
      <c r="H907" s="64">
        <v>0.01255</v>
      </c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</row>
    <row r="908">
      <c r="A908" s="48" t="s">
        <v>4716</v>
      </c>
      <c r="B908" s="44"/>
      <c r="C908" s="48" t="s">
        <v>10094</v>
      </c>
      <c r="D908" s="44"/>
      <c r="E908" s="48" t="s">
        <v>5218</v>
      </c>
      <c r="F908" s="48" t="s">
        <v>5300</v>
      </c>
      <c r="G908" s="55" t="s">
        <v>96</v>
      </c>
      <c r="H908" s="64">
        <v>0.01248</v>
      </c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</row>
    <row r="909">
      <c r="A909" s="48" t="s">
        <v>6421</v>
      </c>
      <c r="B909" s="44"/>
      <c r="C909" s="48" t="s">
        <v>6422</v>
      </c>
      <c r="D909" s="44"/>
      <c r="E909" s="48" t="s">
        <v>6389</v>
      </c>
      <c r="F909" s="48" t="s">
        <v>4340</v>
      </c>
      <c r="G909" s="55" t="s">
        <v>96</v>
      </c>
      <c r="H909" s="64">
        <v>0.01242</v>
      </c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</row>
    <row r="910">
      <c r="A910" s="48" t="s">
        <v>10095</v>
      </c>
      <c r="B910" s="44"/>
      <c r="C910" s="48" t="s">
        <v>10096</v>
      </c>
      <c r="D910" s="44"/>
      <c r="E910" s="48" t="s">
        <v>5341</v>
      </c>
      <c r="F910" s="48" t="s">
        <v>8784</v>
      </c>
      <c r="G910" s="55" t="s">
        <v>96</v>
      </c>
      <c r="H910" s="64">
        <v>0.01241</v>
      </c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</row>
    <row r="911">
      <c r="A911" s="48" t="s">
        <v>4714</v>
      </c>
      <c r="B911" s="44"/>
      <c r="C911" s="48" t="s">
        <v>10097</v>
      </c>
      <c r="D911" s="44"/>
      <c r="E911" s="48" t="s">
        <v>5267</v>
      </c>
      <c r="F911" s="48" t="s">
        <v>5300</v>
      </c>
      <c r="G911" s="55" t="s">
        <v>96</v>
      </c>
      <c r="H911" s="64">
        <v>0.01238</v>
      </c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</row>
    <row r="912">
      <c r="A912" s="48" t="s">
        <v>10098</v>
      </c>
      <c r="B912" s="44"/>
      <c r="C912" s="48" t="s">
        <v>10099</v>
      </c>
      <c r="D912" s="44"/>
      <c r="E912" s="48" t="s">
        <v>5978</v>
      </c>
      <c r="F912" s="48" t="s">
        <v>8784</v>
      </c>
      <c r="G912" s="55" t="s">
        <v>96</v>
      </c>
      <c r="H912" s="64">
        <v>0.01237</v>
      </c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</row>
    <row r="913">
      <c r="A913" s="48" t="s">
        <v>10100</v>
      </c>
      <c r="B913" s="44"/>
      <c r="C913" s="48" t="s">
        <v>10101</v>
      </c>
      <c r="D913" s="44"/>
      <c r="E913" s="48" t="s">
        <v>5283</v>
      </c>
      <c r="F913" s="48" t="s">
        <v>5747</v>
      </c>
      <c r="G913" s="55" t="s">
        <v>96</v>
      </c>
      <c r="H913" s="64">
        <v>0.01234</v>
      </c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</row>
    <row r="914">
      <c r="A914" s="48" t="s">
        <v>10102</v>
      </c>
      <c r="B914" s="44"/>
      <c r="C914" s="48" t="s">
        <v>10103</v>
      </c>
      <c r="D914" s="44"/>
      <c r="E914" s="48" t="s">
        <v>5229</v>
      </c>
      <c r="F914" s="48" t="s">
        <v>6988</v>
      </c>
      <c r="G914" s="55" t="s">
        <v>96</v>
      </c>
      <c r="H914" s="64">
        <v>0.01233</v>
      </c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</row>
    <row r="915">
      <c r="A915" s="48" t="s">
        <v>10104</v>
      </c>
      <c r="B915" s="44"/>
      <c r="C915" s="48" t="s">
        <v>10105</v>
      </c>
      <c r="D915" s="44"/>
      <c r="E915" s="48" t="s">
        <v>5309</v>
      </c>
      <c r="F915" s="48" t="s">
        <v>5941</v>
      </c>
      <c r="G915" s="55" t="s">
        <v>96</v>
      </c>
      <c r="H915" s="64">
        <v>0.01232</v>
      </c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</row>
    <row r="916">
      <c r="A916" s="48" t="s">
        <v>10106</v>
      </c>
      <c r="B916" s="44"/>
      <c r="C916" s="48" t="s">
        <v>10107</v>
      </c>
      <c r="D916" s="44"/>
      <c r="E916" s="48" t="s">
        <v>6040</v>
      </c>
      <c r="F916" s="48" t="s">
        <v>8759</v>
      </c>
      <c r="G916" s="55" t="s">
        <v>96</v>
      </c>
      <c r="H916" s="64">
        <v>0.01232</v>
      </c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</row>
    <row r="917">
      <c r="A917" s="48" t="s">
        <v>10108</v>
      </c>
      <c r="B917" s="44"/>
      <c r="C917" s="48" t="s">
        <v>3763</v>
      </c>
      <c r="D917" s="44"/>
      <c r="E917" s="48" t="s">
        <v>5246</v>
      </c>
      <c r="F917" s="48" t="s">
        <v>9021</v>
      </c>
      <c r="G917" s="55" t="s">
        <v>96</v>
      </c>
      <c r="H917" s="64">
        <v>0.01231</v>
      </c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</row>
    <row r="918">
      <c r="A918" s="48" t="s">
        <v>10109</v>
      </c>
      <c r="B918" s="44"/>
      <c r="C918" s="48" t="s">
        <v>10110</v>
      </c>
      <c r="D918" s="44"/>
      <c r="E918" s="48" t="s">
        <v>5450</v>
      </c>
      <c r="F918" s="48" t="s">
        <v>5425</v>
      </c>
      <c r="G918" s="55" t="s">
        <v>96</v>
      </c>
      <c r="H918" s="64">
        <v>0.0122</v>
      </c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</row>
    <row r="919">
      <c r="A919" s="48" t="s">
        <v>10111</v>
      </c>
      <c r="B919" s="44"/>
      <c r="C919" s="48" t="s">
        <v>10112</v>
      </c>
      <c r="D919" s="44"/>
      <c r="E919" s="48" t="s">
        <v>5456</v>
      </c>
      <c r="F919" s="48" t="s">
        <v>5747</v>
      </c>
      <c r="G919" s="55" t="s">
        <v>96</v>
      </c>
      <c r="H919" s="64">
        <v>0.01217</v>
      </c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</row>
    <row r="920">
      <c r="A920" s="48" t="s">
        <v>10113</v>
      </c>
      <c r="B920" s="44"/>
      <c r="C920" s="48" t="s">
        <v>10114</v>
      </c>
      <c r="D920" s="44"/>
      <c r="E920" s="48" t="s">
        <v>5735</v>
      </c>
      <c r="F920" s="48" t="s">
        <v>5425</v>
      </c>
      <c r="G920" s="55" t="s">
        <v>96</v>
      </c>
      <c r="H920" s="64">
        <v>0.01208</v>
      </c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</row>
    <row r="921">
      <c r="A921" s="48" t="s">
        <v>10115</v>
      </c>
      <c r="B921" s="44"/>
      <c r="C921" s="48" t="s">
        <v>10116</v>
      </c>
      <c r="D921" s="44"/>
      <c r="E921" s="48" t="s">
        <v>5249</v>
      </c>
      <c r="F921" s="48" t="s">
        <v>8784</v>
      </c>
      <c r="G921" s="55" t="s">
        <v>96</v>
      </c>
      <c r="H921" s="64">
        <v>0.01207</v>
      </c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</row>
    <row r="922">
      <c r="A922" s="48" t="s">
        <v>10117</v>
      </c>
      <c r="B922" s="44"/>
      <c r="C922" s="48" t="s">
        <v>10118</v>
      </c>
      <c r="D922" s="44"/>
      <c r="E922" s="48" t="s">
        <v>5964</v>
      </c>
      <c r="F922" s="48" t="s">
        <v>8784</v>
      </c>
      <c r="G922" s="55" t="s">
        <v>96</v>
      </c>
      <c r="H922" s="64">
        <v>0.01203</v>
      </c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</row>
    <row r="923">
      <c r="A923" s="48" t="s">
        <v>10119</v>
      </c>
      <c r="B923" s="44"/>
      <c r="C923" s="48" t="s">
        <v>10120</v>
      </c>
      <c r="D923" s="44"/>
      <c r="E923" s="48" t="s">
        <v>5961</v>
      </c>
      <c r="F923" s="48" t="s">
        <v>8784</v>
      </c>
      <c r="G923" s="55" t="s">
        <v>96</v>
      </c>
      <c r="H923" s="64">
        <v>0.01199</v>
      </c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</row>
    <row r="924">
      <c r="A924" s="48" t="s">
        <v>10121</v>
      </c>
      <c r="B924" s="44"/>
      <c r="C924" s="48" t="s">
        <v>10122</v>
      </c>
      <c r="D924" s="44"/>
      <c r="E924" s="48" t="s">
        <v>5283</v>
      </c>
      <c r="F924" s="48" t="s">
        <v>5300</v>
      </c>
      <c r="G924" s="55" t="s">
        <v>96</v>
      </c>
      <c r="H924" s="64">
        <v>0.01198</v>
      </c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</row>
    <row r="925">
      <c r="A925" s="48" t="s">
        <v>10123</v>
      </c>
      <c r="B925" s="44"/>
      <c r="C925" s="48" t="s">
        <v>10124</v>
      </c>
      <c r="D925" s="44"/>
      <c r="E925" s="48" t="s">
        <v>10125</v>
      </c>
      <c r="F925" s="48" t="s">
        <v>5300</v>
      </c>
      <c r="G925" s="55" t="s">
        <v>96</v>
      </c>
      <c r="H925" s="64">
        <v>0.01196</v>
      </c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</row>
    <row r="926">
      <c r="A926" s="48" t="s">
        <v>10126</v>
      </c>
      <c r="B926" s="44"/>
      <c r="C926" s="48" t="s">
        <v>10127</v>
      </c>
      <c r="D926" s="44"/>
      <c r="E926" s="48" t="s">
        <v>5341</v>
      </c>
      <c r="F926" s="48" t="s">
        <v>5747</v>
      </c>
      <c r="G926" s="55" t="s">
        <v>96</v>
      </c>
      <c r="H926" s="64">
        <v>0.01191</v>
      </c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</row>
    <row r="927">
      <c r="A927" s="48" t="s">
        <v>5344</v>
      </c>
      <c r="B927" s="44"/>
      <c r="C927" s="48" t="s">
        <v>10128</v>
      </c>
      <c r="D927" s="44"/>
      <c r="E927" s="48" t="s">
        <v>5258</v>
      </c>
      <c r="F927" s="48" t="s">
        <v>5425</v>
      </c>
      <c r="G927" s="55" t="s">
        <v>96</v>
      </c>
      <c r="H927" s="64">
        <v>0.01191</v>
      </c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</row>
    <row r="928">
      <c r="A928" s="48" t="s">
        <v>10129</v>
      </c>
      <c r="B928" s="44"/>
      <c r="C928" s="48" t="s">
        <v>10130</v>
      </c>
      <c r="D928" s="44"/>
      <c r="E928" s="48" t="s">
        <v>6130</v>
      </c>
      <c r="F928" s="48" t="s">
        <v>8784</v>
      </c>
      <c r="G928" s="55" t="s">
        <v>96</v>
      </c>
      <c r="H928" s="64">
        <v>0.01189</v>
      </c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</row>
    <row r="929">
      <c r="A929" s="48" t="s">
        <v>10131</v>
      </c>
      <c r="B929" s="44"/>
      <c r="C929" s="48" t="s">
        <v>10132</v>
      </c>
      <c r="D929" s="44"/>
      <c r="E929" s="48" t="s">
        <v>5811</v>
      </c>
      <c r="F929" s="48" t="s">
        <v>8784</v>
      </c>
      <c r="G929" s="55" t="s">
        <v>96</v>
      </c>
      <c r="H929" s="64">
        <v>0.01178</v>
      </c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</row>
    <row r="930">
      <c r="A930" s="48" t="s">
        <v>8795</v>
      </c>
      <c r="B930" s="44"/>
      <c r="C930" s="48" t="s">
        <v>10133</v>
      </c>
      <c r="D930" s="44"/>
      <c r="E930" s="48" t="s">
        <v>5434</v>
      </c>
      <c r="F930" s="48" t="s">
        <v>5836</v>
      </c>
      <c r="G930" s="55" t="s">
        <v>96</v>
      </c>
      <c r="H930" s="64">
        <v>0.01177</v>
      </c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</row>
    <row r="931">
      <c r="A931" s="48" t="s">
        <v>10134</v>
      </c>
      <c r="B931" s="44"/>
      <c r="C931" s="48" t="s">
        <v>10135</v>
      </c>
      <c r="D931" s="44"/>
      <c r="E931" s="48" t="s">
        <v>5561</v>
      </c>
      <c r="F931" s="48" t="s">
        <v>9021</v>
      </c>
      <c r="G931" s="55" t="s">
        <v>96</v>
      </c>
      <c r="H931" s="64">
        <v>0.01176</v>
      </c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</row>
    <row r="932">
      <c r="A932" s="48" t="s">
        <v>10136</v>
      </c>
      <c r="B932" s="44"/>
      <c r="C932" s="48" t="s">
        <v>10137</v>
      </c>
      <c r="D932" s="44"/>
      <c r="E932" s="48" t="s">
        <v>5501</v>
      </c>
      <c r="F932" s="48" t="s">
        <v>8784</v>
      </c>
      <c r="G932" s="55" t="s">
        <v>96</v>
      </c>
      <c r="H932" s="64">
        <v>0.01168</v>
      </c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</row>
    <row r="933">
      <c r="A933" s="48" t="s">
        <v>4704</v>
      </c>
      <c r="B933" s="44"/>
      <c r="C933" s="48" t="s">
        <v>10138</v>
      </c>
      <c r="D933" s="44"/>
      <c r="E933" s="48" t="s">
        <v>5316</v>
      </c>
      <c r="F933" s="48" t="s">
        <v>5300</v>
      </c>
      <c r="G933" s="55" t="s">
        <v>96</v>
      </c>
      <c r="H933" s="64">
        <v>0.01168</v>
      </c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</row>
    <row r="934">
      <c r="A934" s="48" t="s">
        <v>10139</v>
      </c>
      <c r="B934" s="44"/>
      <c r="C934" s="48" t="s">
        <v>10140</v>
      </c>
      <c r="D934" s="44"/>
      <c r="E934" s="48" t="s">
        <v>5218</v>
      </c>
      <c r="F934" s="48" t="s">
        <v>8784</v>
      </c>
      <c r="G934" s="55" t="s">
        <v>96</v>
      </c>
      <c r="H934" s="64">
        <v>0.0116</v>
      </c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</row>
    <row r="935">
      <c r="A935" s="48" t="s">
        <v>4502</v>
      </c>
      <c r="B935" s="44"/>
      <c r="C935" s="48" t="s">
        <v>10141</v>
      </c>
      <c r="D935" s="44"/>
      <c r="E935" s="48" t="s">
        <v>5309</v>
      </c>
      <c r="F935" s="48" t="s">
        <v>5300</v>
      </c>
      <c r="G935" s="55" t="s">
        <v>96</v>
      </c>
      <c r="H935" s="64">
        <v>0.01156</v>
      </c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</row>
    <row r="936">
      <c r="A936" s="48" t="s">
        <v>10142</v>
      </c>
      <c r="B936" s="44"/>
      <c r="C936" s="48" t="s">
        <v>10143</v>
      </c>
      <c r="D936" s="44"/>
      <c r="E936" s="48" t="s">
        <v>9144</v>
      </c>
      <c r="F936" s="48" t="s">
        <v>5747</v>
      </c>
      <c r="G936" s="55" t="s">
        <v>96</v>
      </c>
      <c r="H936" s="64">
        <v>0.01151</v>
      </c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</row>
    <row r="937">
      <c r="A937" s="48" t="s">
        <v>10144</v>
      </c>
      <c r="B937" s="44"/>
      <c r="C937" s="48" t="s">
        <v>10145</v>
      </c>
      <c r="D937" s="44"/>
      <c r="E937" s="48" t="s">
        <v>5235</v>
      </c>
      <c r="F937" s="48" t="s">
        <v>9021</v>
      </c>
      <c r="G937" s="55" t="s">
        <v>96</v>
      </c>
      <c r="H937" s="64">
        <v>0.0115</v>
      </c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</row>
    <row r="938">
      <c r="A938" s="48" t="s">
        <v>4107</v>
      </c>
      <c r="B938" s="44"/>
      <c r="C938" s="48" t="s">
        <v>10146</v>
      </c>
      <c r="D938" s="44"/>
      <c r="E938" s="48" t="s">
        <v>5241</v>
      </c>
      <c r="F938" s="48" t="s">
        <v>5747</v>
      </c>
      <c r="G938" s="55" t="s">
        <v>96</v>
      </c>
      <c r="H938" s="64">
        <v>0.0115</v>
      </c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</row>
    <row r="939">
      <c r="A939" s="48" t="s">
        <v>10147</v>
      </c>
      <c r="B939" s="44"/>
      <c r="C939" s="48" t="s">
        <v>10148</v>
      </c>
      <c r="D939" s="44"/>
      <c r="E939" s="48" t="s">
        <v>9937</v>
      </c>
      <c r="F939" s="48" t="s">
        <v>8784</v>
      </c>
      <c r="G939" s="55" t="s">
        <v>96</v>
      </c>
      <c r="H939" s="64">
        <v>0.01149</v>
      </c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</row>
    <row r="940">
      <c r="A940" s="48" t="s">
        <v>10149</v>
      </c>
      <c r="B940" s="44"/>
      <c r="C940" s="48" t="s">
        <v>10150</v>
      </c>
      <c r="D940" s="44"/>
      <c r="E940" s="48" t="s">
        <v>9189</v>
      </c>
      <c r="F940" s="48" t="s">
        <v>5425</v>
      </c>
      <c r="G940" s="55" t="s">
        <v>96</v>
      </c>
      <c r="H940" s="64">
        <v>0.01146</v>
      </c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</row>
    <row r="941">
      <c r="A941" s="48" t="s">
        <v>10151</v>
      </c>
      <c r="B941" s="44"/>
      <c r="C941" s="48" t="s">
        <v>10152</v>
      </c>
      <c r="D941" s="44"/>
      <c r="E941" s="48" t="s">
        <v>5321</v>
      </c>
      <c r="F941" s="48" t="s">
        <v>5425</v>
      </c>
      <c r="G941" s="55" t="s">
        <v>96</v>
      </c>
      <c r="H941" s="64">
        <v>0.01142</v>
      </c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</row>
    <row r="942">
      <c r="A942" s="48" t="s">
        <v>10153</v>
      </c>
      <c r="B942" s="44"/>
      <c r="C942" s="48" t="s">
        <v>10154</v>
      </c>
      <c r="D942" s="44"/>
      <c r="E942" s="48" t="s">
        <v>5238</v>
      </c>
      <c r="F942" s="48" t="s">
        <v>4095</v>
      </c>
      <c r="G942" s="55" t="s">
        <v>96</v>
      </c>
      <c r="H942" s="64">
        <v>0.01142</v>
      </c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</row>
    <row r="943">
      <c r="A943" s="48" t="s">
        <v>10155</v>
      </c>
      <c r="B943" s="44"/>
      <c r="C943" s="48" t="s">
        <v>10156</v>
      </c>
      <c r="D943" s="44"/>
      <c r="E943" s="48" t="s">
        <v>5374</v>
      </c>
      <c r="F943" s="48" t="s">
        <v>8784</v>
      </c>
      <c r="G943" s="55" t="s">
        <v>96</v>
      </c>
      <c r="H943" s="64">
        <v>0.01141</v>
      </c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</row>
    <row r="944">
      <c r="A944" s="48" t="s">
        <v>10157</v>
      </c>
      <c r="B944" s="44"/>
      <c r="C944" s="48" t="s">
        <v>10158</v>
      </c>
      <c r="D944" s="44"/>
      <c r="E944" s="48" t="s">
        <v>5218</v>
      </c>
      <c r="F944" s="48" t="s">
        <v>5300</v>
      </c>
      <c r="G944" s="55" t="s">
        <v>96</v>
      </c>
      <c r="H944" s="64">
        <v>0.01139</v>
      </c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</row>
    <row r="945">
      <c r="A945" s="48" t="s">
        <v>10159</v>
      </c>
      <c r="B945" s="44"/>
      <c r="C945" s="48" t="s">
        <v>10160</v>
      </c>
      <c r="D945" s="44"/>
      <c r="E945" s="48" t="s">
        <v>5271</v>
      </c>
      <c r="F945" s="48" t="s">
        <v>5425</v>
      </c>
      <c r="G945" s="55" t="s">
        <v>96</v>
      </c>
      <c r="H945" s="64">
        <v>0.01134</v>
      </c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</row>
    <row r="946">
      <c r="A946" s="48" t="s">
        <v>10161</v>
      </c>
      <c r="B946" s="44"/>
      <c r="C946" s="48" t="s">
        <v>10162</v>
      </c>
      <c r="D946" s="44"/>
      <c r="E946" s="48" t="s">
        <v>5283</v>
      </c>
      <c r="F946" s="48" t="s">
        <v>8759</v>
      </c>
      <c r="G946" s="55" t="s">
        <v>96</v>
      </c>
      <c r="H946" s="64">
        <v>0.01132</v>
      </c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</row>
    <row r="947">
      <c r="A947" s="48" t="s">
        <v>10163</v>
      </c>
      <c r="B947" s="44"/>
      <c r="C947" s="48" t="s">
        <v>10164</v>
      </c>
      <c r="D947" s="44"/>
      <c r="E947" s="48" t="s">
        <v>5404</v>
      </c>
      <c r="F947" s="48" t="s">
        <v>5425</v>
      </c>
      <c r="G947" s="55" t="s">
        <v>96</v>
      </c>
      <c r="H947" s="64">
        <v>0.01132</v>
      </c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</row>
    <row r="948">
      <c r="A948" s="48" t="s">
        <v>10165</v>
      </c>
      <c r="B948" s="44"/>
      <c r="C948" s="48" t="s">
        <v>10166</v>
      </c>
      <c r="D948" s="44"/>
      <c r="E948" s="48" t="s">
        <v>5215</v>
      </c>
      <c r="F948" s="48" t="s">
        <v>8784</v>
      </c>
      <c r="G948" s="55" t="s">
        <v>96</v>
      </c>
      <c r="H948" s="64">
        <v>0.01131</v>
      </c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</row>
    <row r="949">
      <c r="A949" s="48" t="s">
        <v>10167</v>
      </c>
      <c r="B949" s="44"/>
      <c r="C949" s="48" t="s">
        <v>10168</v>
      </c>
      <c r="D949" s="44"/>
      <c r="E949" s="48" t="s">
        <v>5516</v>
      </c>
      <c r="F949" s="48" t="s">
        <v>5425</v>
      </c>
      <c r="G949" s="55" t="s">
        <v>96</v>
      </c>
      <c r="H949" s="64">
        <v>0.01129</v>
      </c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</row>
    <row r="950">
      <c r="A950" s="48" t="s">
        <v>10169</v>
      </c>
      <c r="B950" s="44"/>
      <c r="C950" s="48" t="s">
        <v>10170</v>
      </c>
      <c r="D950" s="44"/>
      <c r="E950" s="48" t="s">
        <v>6338</v>
      </c>
      <c r="F950" s="48" t="s">
        <v>8759</v>
      </c>
      <c r="G950" s="55" t="s">
        <v>96</v>
      </c>
      <c r="H950" s="64">
        <v>0.01125</v>
      </c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</row>
    <row r="951">
      <c r="A951" s="48" t="s">
        <v>6500</v>
      </c>
      <c r="B951" s="44"/>
      <c r="C951" s="48" t="s">
        <v>6501</v>
      </c>
      <c r="D951" s="44"/>
      <c r="E951" s="48" t="s">
        <v>5238</v>
      </c>
      <c r="F951" s="48" t="s">
        <v>6217</v>
      </c>
      <c r="G951" s="55" t="s">
        <v>96</v>
      </c>
      <c r="H951" s="64">
        <v>0.01123</v>
      </c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</row>
    <row r="952">
      <c r="A952" s="48" t="s">
        <v>10171</v>
      </c>
      <c r="B952" s="44"/>
      <c r="C952" s="48" t="s">
        <v>10172</v>
      </c>
      <c r="D952" s="44"/>
      <c r="E952" s="48" t="s">
        <v>6012</v>
      </c>
      <c r="F952" s="48" t="s">
        <v>8759</v>
      </c>
      <c r="G952" s="55" t="s">
        <v>96</v>
      </c>
      <c r="H952" s="64">
        <v>0.01122</v>
      </c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</row>
    <row r="953">
      <c r="A953" s="48" t="s">
        <v>10173</v>
      </c>
      <c r="B953" s="44"/>
      <c r="C953" s="48" t="s">
        <v>10174</v>
      </c>
      <c r="D953" s="44"/>
      <c r="E953" s="48" t="s">
        <v>5267</v>
      </c>
      <c r="F953" s="48" t="s">
        <v>6988</v>
      </c>
      <c r="G953" s="55" t="s">
        <v>96</v>
      </c>
      <c r="H953" s="64">
        <v>0.01119</v>
      </c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</row>
    <row r="954">
      <c r="A954" s="48" t="s">
        <v>6476</v>
      </c>
      <c r="B954" s="44"/>
      <c r="C954" s="48" t="s">
        <v>6477</v>
      </c>
      <c r="D954" s="44"/>
      <c r="E954" s="48" t="s">
        <v>5218</v>
      </c>
      <c r="F954" s="48" t="s">
        <v>4340</v>
      </c>
      <c r="G954" s="55" t="s">
        <v>96</v>
      </c>
      <c r="H954" s="64">
        <v>0.01115</v>
      </c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</row>
    <row r="955">
      <c r="A955" s="48" t="s">
        <v>10175</v>
      </c>
      <c r="B955" s="44"/>
      <c r="C955" s="48" t="s">
        <v>10176</v>
      </c>
      <c r="D955" s="44"/>
      <c r="E955" s="48" t="s">
        <v>6327</v>
      </c>
      <c r="F955" s="48" t="s">
        <v>9021</v>
      </c>
      <c r="G955" s="55" t="s">
        <v>96</v>
      </c>
      <c r="H955" s="64">
        <v>0.01114</v>
      </c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</row>
    <row r="956">
      <c r="A956" s="48" t="s">
        <v>6463</v>
      </c>
      <c r="B956" s="44"/>
      <c r="C956" s="48" t="s">
        <v>6464</v>
      </c>
      <c r="D956" s="44"/>
      <c r="E956" s="48" t="s">
        <v>5215</v>
      </c>
      <c r="F956" s="48" t="s">
        <v>6217</v>
      </c>
      <c r="G956" s="55" t="s">
        <v>96</v>
      </c>
      <c r="H956" s="64">
        <v>0.0111</v>
      </c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</row>
    <row r="957">
      <c r="A957" s="48" t="s">
        <v>10177</v>
      </c>
      <c r="B957" s="44"/>
      <c r="C957" s="48" t="s">
        <v>10178</v>
      </c>
      <c r="D957" s="44"/>
      <c r="E957" s="48" t="s">
        <v>5366</v>
      </c>
      <c r="F957" s="48" t="s">
        <v>5300</v>
      </c>
      <c r="G957" s="55" t="s">
        <v>96</v>
      </c>
      <c r="H957" s="64">
        <v>0.01108</v>
      </c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</row>
    <row r="958">
      <c r="A958" s="48" t="s">
        <v>10179</v>
      </c>
      <c r="B958" s="44"/>
      <c r="C958" s="48" t="s">
        <v>10180</v>
      </c>
      <c r="D958" s="44"/>
      <c r="E958" s="48" t="s">
        <v>5374</v>
      </c>
      <c r="F958" s="48" t="s">
        <v>8784</v>
      </c>
      <c r="G958" s="55" t="s">
        <v>96</v>
      </c>
      <c r="H958" s="64">
        <v>0.01107</v>
      </c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</row>
    <row r="959">
      <c r="A959" s="48" t="s">
        <v>10181</v>
      </c>
      <c r="B959" s="44"/>
      <c r="C959" s="48" t="s">
        <v>10182</v>
      </c>
      <c r="D959" s="44"/>
      <c r="E959" s="48" t="s">
        <v>6130</v>
      </c>
      <c r="F959" s="48" t="s">
        <v>8784</v>
      </c>
      <c r="G959" s="55" t="s">
        <v>96</v>
      </c>
      <c r="H959" s="64">
        <v>0.01106</v>
      </c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</row>
    <row r="960">
      <c r="A960" s="48" t="s">
        <v>10183</v>
      </c>
      <c r="B960" s="44"/>
      <c r="C960" s="48" t="s">
        <v>10184</v>
      </c>
      <c r="D960" s="44"/>
      <c r="E960" s="48" t="s">
        <v>5450</v>
      </c>
      <c r="F960" s="48" t="s">
        <v>5425</v>
      </c>
      <c r="G960" s="55" t="s">
        <v>96</v>
      </c>
      <c r="H960" s="64">
        <v>0.01103</v>
      </c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</row>
    <row r="961">
      <c r="A961" s="48" t="s">
        <v>10185</v>
      </c>
      <c r="B961" s="44"/>
      <c r="C961" s="48" t="s">
        <v>10186</v>
      </c>
      <c r="D961" s="44"/>
      <c r="E961" s="48" t="s">
        <v>5650</v>
      </c>
      <c r="F961" s="48" t="s">
        <v>5747</v>
      </c>
      <c r="G961" s="55" t="s">
        <v>96</v>
      </c>
      <c r="H961" s="64">
        <v>0.01102</v>
      </c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</row>
    <row r="962">
      <c r="A962" s="48" t="s">
        <v>10187</v>
      </c>
      <c r="B962" s="44"/>
      <c r="C962" s="48" t="s">
        <v>10188</v>
      </c>
      <c r="D962" s="44"/>
      <c r="E962" s="48" t="s">
        <v>5366</v>
      </c>
      <c r="F962" s="48" t="s">
        <v>8784</v>
      </c>
      <c r="G962" s="55" t="s">
        <v>96</v>
      </c>
      <c r="H962" s="64">
        <v>0.01097</v>
      </c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</row>
    <row r="963">
      <c r="A963" s="48" t="s">
        <v>10189</v>
      </c>
      <c r="B963" s="44"/>
      <c r="C963" s="48" t="s">
        <v>10190</v>
      </c>
      <c r="D963" s="44"/>
      <c r="E963" s="48" t="s">
        <v>6130</v>
      </c>
      <c r="F963" s="48" t="s">
        <v>4153</v>
      </c>
      <c r="G963" s="55" t="s">
        <v>96</v>
      </c>
      <c r="H963" s="64">
        <v>0.01095</v>
      </c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</row>
    <row r="964">
      <c r="A964" s="48" t="s">
        <v>10191</v>
      </c>
      <c r="B964" s="44"/>
      <c r="C964" s="48" t="s">
        <v>10192</v>
      </c>
      <c r="D964" s="44"/>
      <c r="E964" s="48" t="s">
        <v>5291</v>
      </c>
      <c r="F964" s="48" t="s">
        <v>8784</v>
      </c>
      <c r="G964" s="55" t="s">
        <v>96</v>
      </c>
      <c r="H964" s="64">
        <v>0.01092</v>
      </c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</row>
    <row r="965">
      <c r="A965" s="48" t="s">
        <v>10193</v>
      </c>
      <c r="B965" s="44"/>
      <c r="C965" s="48" t="s">
        <v>10194</v>
      </c>
      <c r="D965" s="44"/>
      <c r="E965" s="48" t="s">
        <v>5650</v>
      </c>
      <c r="F965" s="48" t="s">
        <v>8784</v>
      </c>
      <c r="G965" s="55" t="s">
        <v>96</v>
      </c>
      <c r="H965" s="64">
        <v>0.01089</v>
      </c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</row>
    <row r="966">
      <c r="A966" s="48" t="s">
        <v>10195</v>
      </c>
      <c r="B966" s="44"/>
      <c r="C966" s="48" t="s">
        <v>10196</v>
      </c>
      <c r="D966" s="44"/>
      <c r="E966" s="48" t="s">
        <v>5404</v>
      </c>
      <c r="F966" s="48" t="s">
        <v>5268</v>
      </c>
      <c r="G966" s="55" t="s">
        <v>96</v>
      </c>
      <c r="H966" s="64">
        <v>0.01085</v>
      </c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</row>
    <row r="967">
      <c r="A967" s="48" t="s">
        <v>10197</v>
      </c>
      <c r="B967" s="44"/>
      <c r="C967" s="48" t="s">
        <v>10198</v>
      </c>
      <c r="D967" s="44"/>
      <c r="E967" s="48" t="s">
        <v>6327</v>
      </c>
      <c r="F967" s="48" t="s">
        <v>8784</v>
      </c>
      <c r="G967" s="55" t="s">
        <v>96</v>
      </c>
      <c r="H967" s="64">
        <v>0.01084</v>
      </c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</row>
    <row r="968">
      <c r="A968" s="48" t="s">
        <v>10199</v>
      </c>
      <c r="B968" s="44"/>
      <c r="C968" s="48" t="s">
        <v>10200</v>
      </c>
      <c r="D968" s="44"/>
      <c r="E968" s="48" t="s">
        <v>8951</v>
      </c>
      <c r="F968" s="48" t="s">
        <v>8759</v>
      </c>
      <c r="G968" s="55" t="s">
        <v>96</v>
      </c>
      <c r="H968" s="64">
        <v>0.01073</v>
      </c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</row>
    <row r="969">
      <c r="A969" s="48" t="s">
        <v>4544</v>
      </c>
      <c r="B969" s="44"/>
      <c r="C969" s="48" t="s">
        <v>10201</v>
      </c>
      <c r="D969" s="44"/>
      <c r="E969" s="48" t="s">
        <v>5309</v>
      </c>
      <c r="F969" s="48" t="s">
        <v>5300</v>
      </c>
      <c r="G969" s="55" t="s">
        <v>96</v>
      </c>
      <c r="H969" s="64">
        <v>0.01063</v>
      </c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</row>
    <row r="970">
      <c r="A970" s="48" t="s">
        <v>10202</v>
      </c>
      <c r="B970" s="44"/>
      <c r="C970" s="48" t="s">
        <v>10203</v>
      </c>
      <c r="D970" s="44"/>
      <c r="E970" s="48" t="s">
        <v>5564</v>
      </c>
      <c r="F970" s="48" t="s">
        <v>8784</v>
      </c>
      <c r="G970" s="55" t="s">
        <v>96</v>
      </c>
      <c r="H970" s="64">
        <v>0.0106</v>
      </c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</row>
    <row r="971">
      <c r="A971" s="48" t="s">
        <v>10204</v>
      </c>
      <c r="B971" s="44"/>
      <c r="C971" s="48" t="s">
        <v>10205</v>
      </c>
      <c r="D971" s="44"/>
      <c r="E971" s="48" t="s">
        <v>6868</v>
      </c>
      <c r="F971" s="48" t="s">
        <v>4095</v>
      </c>
      <c r="G971" s="55" t="s">
        <v>96</v>
      </c>
      <c r="H971" s="64">
        <v>0.01059</v>
      </c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</row>
    <row r="972">
      <c r="A972" s="48" t="s">
        <v>6211</v>
      </c>
      <c r="B972" s="44"/>
      <c r="C972" s="48" t="s">
        <v>10206</v>
      </c>
      <c r="D972" s="44"/>
      <c r="E972" s="48" t="s">
        <v>5550</v>
      </c>
      <c r="F972" s="48" t="s">
        <v>8784</v>
      </c>
      <c r="G972" s="55" t="s">
        <v>96</v>
      </c>
      <c r="H972" s="64">
        <v>0.01056</v>
      </c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</row>
    <row r="973">
      <c r="A973" s="48" t="s">
        <v>10207</v>
      </c>
      <c r="B973" s="44"/>
      <c r="C973" s="48" t="s">
        <v>10208</v>
      </c>
      <c r="D973" s="44"/>
      <c r="E973" s="48" t="s">
        <v>6130</v>
      </c>
      <c r="F973" s="48" t="s">
        <v>9021</v>
      </c>
      <c r="G973" s="55" t="s">
        <v>96</v>
      </c>
      <c r="H973" s="64">
        <v>0.01054</v>
      </c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</row>
    <row r="974">
      <c r="A974" s="48" t="s">
        <v>10209</v>
      </c>
      <c r="B974" s="44"/>
      <c r="C974" s="48" t="s">
        <v>10210</v>
      </c>
      <c r="D974" s="44"/>
      <c r="E974" s="48" t="s">
        <v>5756</v>
      </c>
      <c r="F974" s="48" t="s">
        <v>5941</v>
      </c>
      <c r="G974" s="55" t="s">
        <v>96</v>
      </c>
      <c r="H974" s="64">
        <v>0.01053</v>
      </c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</row>
    <row r="975">
      <c r="A975" s="48" t="s">
        <v>10211</v>
      </c>
      <c r="B975" s="44"/>
      <c r="C975" s="48" t="s">
        <v>10212</v>
      </c>
      <c r="D975" s="44"/>
      <c r="E975" s="48" t="s">
        <v>5369</v>
      </c>
      <c r="F975" s="48" t="s">
        <v>8784</v>
      </c>
      <c r="G975" s="55" t="s">
        <v>96</v>
      </c>
      <c r="H975" s="64">
        <v>0.01045</v>
      </c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</row>
    <row r="976">
      <c r="A976" s="48" t="s">
        <v>5745</v>
      </c>
      <c r="B976" s="44"/>
      <c r="C976" s="48" t="s">
        <v>5746</v>
      </c>
      <c r="D976" s="44"/>
      <c r="E976" s="48" t="s">
        <v>5291</v>
      </c>
      <c r="F976" s="48" t="s">
        <v>5747</v>
      </c>
      <c r="G976" s="55" t="s">
        <v>96</v>
      </c>
      <c r="H976" s="64">
        <v>0.01044</v>
      </c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</row>
    <row r="977">
      <c r="A977" s="48" t="s">
        <v>10213</v>
      </c>
      <c r="B977" s="44"/>
      <c r="C977" s="48" t="s">
        <v>10214</v>
      </c>
      <c r="D977" s="44"/>
      <c r="E977" s="48" t="s">
        <v>9189</v>
      </c>
      <c r="F977" s="48" t="s">
        <v>5425</v>
      </c>
      <c r="G977" s="55" t="s">
        <v>96</v>
      </c>
      <c r="H977" s="64">
        <v>0.01043</v>
      </c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</row>
    <row r="978">
      <c r="A978" s="48" t="s">
        <v>10215</v>
      </c>
      <c r="B978" s="44"/>
      <c r="C978" s="48" t="s">
        <v>10216</v>
      </c>
      <c r="D978" s="44"/>
      <c r="E978" s="48" t="s">
        <v>5390</v>
      </c>
      <c r="F978" s="48" t="s">
        <v>9021</v>
      </c>
      <c r="G978" s="55" t="s">
        <v>96</v>
      </c>
      <c r="H978" s="64">
        <v>0.01042</v>
      </c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</row>
    <row r="979">
      <c r="A979" s="48" t="s">
        <v>10217</v>
      </c>
      <c r="B979" s="44"/>
      <c r="C979" s="48" t="s">
        <v>10218</v>
      </c>
      <c r="D979" s="44"/>
      <c r="E979" s="48" t="s">
        <v>5459</v>
      </c>
      <c r="F979" s="48" t="s">
        <v>5300</v>
      </c>
      <c r="G979" s="55" t="s">
        <v>96</v>
      </c>
      <c r="H979" s="64">
        <v>0.01035</v>
      </c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</row>
    <row r="980">
      <c r="A980" s="48" t="s">
        <v>10219</v>
      </c>
      <c r="B980" s="44"/>
      <c r="C980" s="48" t="s">
        <v>10220</v>
      </c>
      <c r="D980" s="44"/>
      <c r="E980" s="48" t="s">
        <v>5321</v>
      </c>
      <c r="F980" s="48" t="s">
        <v>8784</v>
      </c>
      <c r="G980" s="55" t="s">
        <v>96</v>
      </c>
      <c r="H980" s="64">
        <v>0.01035</v>
      </c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</row>
    <row r="981">
      <c r="A981" s="48" t="s">
        <v>5748</v>
      </c>
      <c r="B981" s="44"/>
      <c r="C981" s="48" t="s">
        <v>5749</v>
      </c>
      <c r="D981" s="44"/>
      <c r="E981" s="48" t="s">
        <v>5467</v>
      </c>
      <c r="F981" s="48" t="s">
        <v>5277</v>
      </c>
      <c r="G981" s="55" t="s">
        <v>96</v>
      </c>
      <c r="H981" s="64">
        <v>0.01035</v>
      </c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</row>
    <row r="982">
      <c r="A982" s="48" t="s">
        <v>10221</v>
      </c>
      <c r="B982" s="44"/>
      <c r="C982" s="48" t="s">
        <v>10222</v>
      </c>
      <c r="D982" s="44"/>
      <c r="E982" s="48" t="s">
        <v>5624</v>
      </c>
      <c r="F982" s="48" t="s">
        <v>8784</v>
      </c>
      <c r="G982" s="55" t="s">
        <v>96</v>
      </c>
      <c r="H982" s="64">
        <v>0.01033</v>
      </c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</row>
    <row r="983">
      <c r="A983" s="48" t="s">
        <v>10223</v>
      </c>
      <c r="B983" s="44"/>
      <c r="C983" s="48" t="s">
        <v>10224</v>
      </c>
      <c r="D983" s="44"/>
      <c r="E983" s="48" t="s">
        <v>5267</v>
      </c>
      <c r="F983" s="48" t="s">
        <v>8784</v>
      </c>
      <c r="G983" s="55" t="s">
        <v>96</v>
      </c>
      <c r="H983" s="64">
        <v>0.01033</v>
      </c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</row>
    <row r="984">
      <c r="A984" s="48" t="s">
        <v>10225</v>
      </c>
      <c r="B984" s="44"/>
      <c r="C984" s="48" t="s">
        <v>10226</v>
      </c>
      <c r="D984" s="44"/>
      <c r="E984" s="48" t="s">
        <v>5264</v>
      </c>
      <c r="F984" s="48" t="s">
        <v>5425</v>
      </c>
      <c r="G984" s="55" t="s">
        <v>96</v>
      </c>
      <c r="H984" s="64">
        <v>0.01025</v>
      </c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</row>
    <row r="985">
      <c r="A985" s="48" t="s">
        <v>10227</v>
      </c>
      <c r="B985" s="44"/>
      <c r="C985" s="48" t="s">
        <v>10228</v>
      </c>
      <c r="D985" s="44"/>
      <c r="E985" s="48" t="s">
        <v>5377</v>
      </c>
      <c r="F985" s="48" t="s">
        <v>8784</v>
      </c>
      <c r="G985" s="55" t="s">
        <v>96</v>
      </c>
      <c r="H985" s="64">
        <v>0.01016</v>
      </c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</row>
    <row r="986">
      <c r="A986" s="48" t="s">
        <v>5546</v>
      </c>
      <c r="B986" s="44"/>
      <c r="C986" s="48" t="s">
        <v>5547</v>
      </c>
      <c r="D986" s="44"/>
      <c r="E986" s="48" t="s">
        <v>5241</v>
      </c>
      <c r="F986" s="48" t="s">
        <v>5277</v>
      </c>
      <c r="G986" s="55" t="s">
        <v>96</v>
      </c>
      <c r="H986" s="64">
        <v>0.01014</v>
      </c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</row>
    <row r="987">
      <c r="A987" s="48" t="s">
        <v>10229</v>
      </c>
      <c r="B987" s="44"/>
      <c r="C987" s="48" t="s">
        <v>10230</v>
      </c>
      <c r="D987" s="44"/>
      <c r="E987" s="48" t="s">
        <v>10231</v>
      </c>
      <c r="F987" s="48" t="s">
        <v>8784</v>
      </c>
      <c r="G987" s="55" t="s">
        <v>96</v>
      </c>
      <c r="H987" s="64">
        <v>0.01011</v>
      </c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</row>
    <row r="988">
      <c r="A988" s="48" t="s">
        <v>10232</v>
      </c>
      <c r="B988" s="44"/>
      <c r="C988" s="48" t="s">
        <v>10233</v>
      </c>
      <c r="D988" s="44"/>
      <c r="E988" s="48" t="s">
        <v>5501</v>
      </c>
      <c r="F988" s="48" t="s">
        <v>8784</v>
      </c>
      <c r="G988" s="55" t="s">
        <v>96</v>
      </c>
      <c r="H988" s="64">
        <v>0.01009</v>
      </c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</row>
    <row r="989">
      <c r="A989" s="48" t="s">
        <v>10234</v>
      </c>
      <c r="B989" s="44"/>
      <c r="C989" s="48" t="s">
        <v>10235</v>
      </c>
      <c r="D989" s="44"/>
      <c r="E989" s="48" t="s">
        <v>5215</v>
      </c>
      <c r="F989" s="48" t="s">
        <v>8784</v>
      </c>
      <c r="G989" s="55" t="s">
        <v>96</v>
      </c>
      <c r="H989" s="64">
        <v>0.01004</v>
      </c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</row>
    <row r="990">
      <c r="A990" s="48" t="s">
        <v>10236</v>
      </c>
      <c r="B990" s="44"/>
      <c r="C990" s="48" t="s">
        <v>10237</v>
      </c>
      <c r="D990" s="44"/>
      <c r="E990" s="48" t="s">
        <v>5283</v>
      </c>
      <c r="F990" s="48" t="s">
        <v>8784</v>
      </c>
      <c r="G990" s="55" t="s">
        <v>96</v>
      </c>
      <c r="H990" s="64">
        <v>0.01003</v>
      </c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</row>
    <row r="991">
      <c r="A991" s="48" t="s">
        <v>10238</v>
      </c>
      <c r="B991" s="44"/>
      <c r="C991" s="48" t="s">
        <v>10239</v>
      </c>
      <c r="D991" s="44"/>
      <c r="E991" s="48" t="s">
        <v>5238</v>
      </c>
      <c r="F991" s="48" t="s">
        <v>4153</v>
      </c>
      <c r="G991" s="55" t="s">
        <v>96</v>
      </c>
      <c r="H991" s="64">
        <v>0.01</v>
      </c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</row>
    <row r="992">
      <c r="A992" s="48" t="s">
        <v>10240</v>
      </c>
      <c r="B992" s="44"/>
      <c r="C992" s="48" t="s">
        <v>10241</v>
      </c>
      <c r="D992" s="44"/>
      <c r="E992" s="48" t="s">
        <v>5218</v>
      </c>
      <c r="F992" s="48" t="s">
        <v>4153</v>
      </c>
      <c r="G992" s="55" t="s">
        <v>96</v>
      </c>
      <c r="H992" s="64">
        <v>0.01</v>
      </c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</row>
    <row r="993">
      <c r="A993" s="48" t="s">
        <v>6608</v>
      </c>
      <c r="B993" s="44"/>
      <c r="C993" s="48" t="s">
        <v>6609</v>
      </c>
      <c r="D993" s="44"/>
      <c r="E993" s="48" t="s">
        <v>5390</v>
      </c>
      <c r="F993" s="48" t="s">
        <v>4340</v>
      </c>
      <c r="G993" s="55" t="s">
        <v>96</v>
      </c>
      <c r="H993" s="64">
        <v>0.00995</v>
      </c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</row>
    <row r="994">
      <c r="A994" s="48" t="s">
        <v>10242</v>
      </c>
      <c r="B994" s="44"/>
      <c r="C994" s="48" t="s">
        <v>9852</v>
      </c>
      <c r="D994" s="44"/>
      <c r="E994" s="48" t="s">
        <v>6150</v>
      </c>
      <c r="F994" s="48" t="s">
        <v>8759</v>
      </c>
      <c r="G994" s="55" t="s">
        <v>96</v>
      </c>
      <c r="H994" s="64">
        <v>0.00991</v>
      </c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</row>
    <row r="995">
      <c r="A995" s="48" t="s">
        <v>10243</v>
      </c>
      <c r="B995" s="44"/>
      <c r="C995" s="48" t="s">
        <v>10244</v>
      </c>
      <c r="D995" s="44"/>
      <c r="E995" s="48" t="s">
        <v>9189</v>
      </c>
      <c r="F995" s="48" t="s">
        <v>8784</v>
      </c>
      <c r="G995" s="55" t="s">
        <v>96</v>
      </c>
      <c r="H995" s="64">
        <v>0.00989</v>
      </c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</row>
    <row r="996">
      <c r="A996" s="48" t="s">
        <v>10245</v>
      </c>
      <c r="B996" s="44"/>
      <c r="C996" s="48" t="s">
        <v>10246</v>
      </c>
      <c r="D996" s="44"/>
      <c r="E996" s="48" t="s">
        <v>5390</v>
      </c>
      <c r="F996" s="48" t="s">
        <v>8784</v>
      </c>
      <c r="G996" s="55" t="s">
        <v>96</v>
      </c>
      <c r="H996" s="64">
        <v>0.00983</v>
      </c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</row>
    <row r="997">
      <c r="A997" s="48" t="s">
        <v>5747</v>
      </c>
      <c r="B997" s="44"/>
      <c r="C997" s="48" t="s">
        <v>10247</v>
      </c>
      <c r="D997" s="44"/>
      <c r="E997" s="48" t="s">
        <v>5501</v>
      </c>
      <c r="F997" s="48" t="s">
        <v>5747</v>
      </c>
      <c r="G997" s="55" t="s">
        <v>96</v>
      </c>
      <c r="H997" s="64">
        <v>0.00981</v>
      </c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</row>
    <row r="998">
      <c r="A998" s="48" t="s">
        <v>10248</v>
      </c>
      <c r="B998" s="44"/>
      <c r="C998" s="48" t="s">
        <v>10249</v>
      </c>
      <c r="D998" s="44"/>
      <c r="E998" s="48" t="s">
        <v>5650</v>
      </c>
      <c r="F998" s="48" t="s">
        <v>8784</v>
      </c>
      <c r="G998" s="55" t="s">
        <v>96</v>
      </c>
      <c r="H998" s="64">
        <v>0.00981</v>
      </c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</row>
    <row r="999">
      <c r="A999" s="48" t="s">
        <v>10250</v>
      </c>
      <c r="B999" s="44"/>
      <c r="C999" s="48" t="s">
        <v>10251</v>
      </c>
      <c r="D999" s="44"/>
      <c r="E999" s="48" t="s">
        <v>5978</v>
      </c>
      <c r="F999" s="48" t="s">
        <v>5300</v>
      </c>
      <c r="G999" s="55" t="s">
        <v>96</v>
      </c>
      <c r="H999" s="64">
        <v>0.00981</v>
      </c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</row>
    <row r="1000">
      <c r="A1000" s="48" t="s">
        <v>6696</v>
      </c>
      <c r="B1000" s="44"/>
      <c r="C1000" s="48" t="s">
        <v>6697</v>
      </c>
      <c r="D1000" s="44"/>
      <c r="E1000" s="48" t="s">
        <v>5759</v>
      </c>
      <c r="F1000" s="48" t="s">
        <v>6698</v>
      </c>
      <c r="G1000" s="55" t="s">
        <v>96</v>
      </c>
      <c r="H1000" s="64">
        <v>0.0098</v>
      </c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</row>
    <row r="1001">
      <c r="A1001" s="48" t="s">
        <v>10252</v>
      </c>
      <c r="B1001" s="44"/>
      <c r="C1001" s="48" t="s">
        <v>10253</v>
      </c>
      <c r="D1001" s="44"/>
      <c r="E1001" s="48" t="s">
        <v>5218</v>
      </c>
      <c r="F1001" s="48" t="s">
        <v>8784</v>
      </c>
      <c r="G1001" s="55" t="s">
        <v>96</v>
      </c>
      <c r="H1001" s="64">
        <v>0.00978</v>
      </c>
      <c r="I1001" s="44"/>
      <c r="J1001" s="44"/>
      <c r="K1001" s="44"/>
      <c r="L1001" s="44"/>
      <c r="M1001" s="44"/>
      <c r="N1001" s="44"/>
      <c r="O1001" s="44"/>
      <c r="P1001" s="44"/>
      <c r="Q1001" s="44"/>
      <c r="R1001" s="44"/>
      <c r="S1001" s="44"/>
      <c r="T1001" s="44"/>
      <c r="U1001" s="44"/>
    </row>
    <row r="1002">
      <c r="A1002" s="48" t="s">
        <v>6529</v>
      </c>
      <c r="B1002" s="44"/>
      <c r="C1002" s="48" t="s">
        <v>6530</v>
      </c>
      <c r="D1002" s="44"/>
      <c r="E1002" s="48" t="s">
        <v>6012</v>
      </c>
      <c r="F1002" s="48" t="s">
        <v>4340</v>
      </c>
      <c r="G1002" s="55" t="s">
        <v>96</v>
      </c>
      <c r="H1002" s="64">
        <v>0.00978</v>
      </c>
      <c r="I1002" s="44"/>
      <c r="J1002" s="44"/>
      <c r="K1002" s="44"/>
      <c r="L1002" s="44"/>
      <c r="M1002" s="44"/>
      <c r="N1002" s="44"/>
      <c r="O1002" s="44"/>
      <c r="P1002" s="44"/>
      <c r="Q1002" s="44"/>
      <c r="R1002" s="44"/>
      <c r="S1002" s="44"/>
      <c r="T1002" s="44"/>
      <c r="U1002" s="44"/>
    </row>
    <row r="1003">
      <c r="A1003" s="48" t="s">
        <v>10254</v>
      </c>
      <c r="B1003" s="44"/>
      <c r="C1003" s="48" t="s">
        <v>10255</v>
      </c>
      <c r="D1003" s="44"/>
      <c r="E1003" s="48" t="s">
        <v>5309</v>
      </c>
      <c r="F1003" s="48" t="s">
        <v>8784</v>
      </c>
      <c r="G1003" s="55" t="s">
        <v>96</v>
      </c>
      <c r="H1003" s="64">
        <v>0.00976</v>
      </c>
      <c r="I1003" s="44"/>
      <c r="J1003" s="44"/>
      <c r="K1003" s="44"/>
      <c r="L1003" s="44"/>
      <c r="M1003" s="44"/>
      <c r="N1003" s="44"/>
      <c r="O1003" s="44"/>
      <c r="P1003" s="44"/>
      <c r="Q1003" s="44"/>
      <c r="R1003" s="44"/>
      <c r="S1003" s="44"/>
      <c r="T1003" s="44"/>
      <c r="U1003" s="44"/>
    </row>
    <row r="1004">
      <c r="A1004" s="48" t="s">
        <v>10256</v>
      </c>
      <c r="B1004" s="44"/>
      <c r="C1004" s="48" t="s">
        <v>10257</v>
      </c>
      <c r="D1004" s="44"/>
      <c r="E1004" s="48" t="s">
        <v>6040</v>
      </c>
      <c r="F1004" s="48" t="s">
        <v>8784</v>
      </c>
      <c r="G1004" s="55" t="s">
        <v>96</v>
      </c>
      <c r="H1004" s="64">
        <v>0.00975</v>
      </c>
      <c r="I1004" s="44"/>
      <c r="J1004" s="44"/>
      <c r="K1004" s="44"/>
      <c r="L1004" s="44"/>
      <c r="M1004" s="44"/>
      <c r="N1004" s="44"/>
      <c r="O1004" s="44"/>
      <c r="P1004" s="44"/>
      <c r="Q1004" s="44"/>
      <c r="R1004" s="44"/>
      <c r="S1004" s="44"/>
      <c r="T1004" s="44"/>
      <c r="U1004" s="44"/>
    </row>
    <row r="1005">
      <c r="A1005" s="48" t="s">
        <v>10258</v>
      </c>
      <c r="B1005" s="44"/>
      <c r="C1005" s="48" t="s">
        <v>10259</v>
      </c>
      <c r="D1005" s="44"/>
      <c r="E1005" s="48" t="s">
        <v>5450</v>
      </c>
      <c r="F1005" s="48" t="s">
        <v>5425</v>
      </c>
      <c r="G1005" s="55" t="s">
        <v>96</v>
      </c>
      <c r="H1005" s="64">
        <v>0.00975</v>
      </c>
      <c r="I1005" s="44"/>
      <c r="J1005" s="44"/>
      <c r="K1005" s="44"/>
      <c r="L1005" s="44"/>
      <c r="M1005" s="44"/>
      <c r="N1005" s="44"/>
      <c r="O1005" s="44"/>
      <c r="P1005" s="44"/>
      <c r="Q1005" s="44"/>
      <c r="R1005" s="44"/>
      <c r="S1005" s="44"/>
      <c r="T1005" s="44"/>
      <c r="U1005" s="44"/>
    </row>
    <row r="1006">
      <c r="A1006" s="48" t="s">
        <v>5696</v>
      </c>
      <c r="B1006" s="44"/>
      <c r="C1006" s="48" t="s">
        <v>10260</v>
      </c>
      <c r="D1006" s="44"/>
      <c r="E1006" s="48" t="s">
        <v>5450</v>
      </c>
      <c r="F1006" s="48" t="s">
        <v>5425</v>
      </c>
      <c r="G1006" s="55" t="s">
        <v>96</v>
      </c>
      <c r="H1006" s="64">
        <v>0.00974</v>
      </c>
      <c r="I1006" s="44"/>
      <c r="J1006" s="44"/>
      <c r="K1006" s="44"/>
      <c r="L1006" s="44"/>
      <c r="M1006" s="44"/>
      <c r="N1006" s="44"/>
      <c r="O1006" s="44"/>
      <c r="P1006" s="44"/>
      <c r="Q1006" s="44"/>
      <c r="R1006" s="44"/>
      <c r="S1006" s="44"/>
      <c r="T1006" s="44"/>
      <c r="U1006" s="44"/>
    </row>
    <row r="1007">
      <c r="A1007" s="48" t="s">
        <v>10261</v>
      </c>
      <c r="B1007" s="44"/>
      <c r="C1007" s="48" t="s">
        <v>10262</v>
      </c>
      <c r="D1007" s="44"/>
      <c r="E1007" s="48" t="s">
        <v>5561</v>
      </c>
      <c r="F1007" s="48" t="s">
        <v>6210</v>
      </c>
      <c r="G1007" s="55" t="s">
        <v>96</v>
      </c>
      <c r="H1007" s="64">
        <v>0.00972</v>
      </c>
      <c r="I1007" s="44"/>
      <c r="J1007" s="44"/>
      <c r="K1007" s="44"/>
      <c r="L1007" s="44"/>
      <c r="M1007" s="44"/>
      <c r="N1007" s="44"/>
      <c r="O1007" s="44"/>
      <c r="P1007" s="44"/>
      <c r="Q1007" s="44"/>
      <c r="R1007" s="44"/>
      <c r="S1007" s="44"/>
      <c r="T1007" s="44"/>
      <c r="U1007" s="44"/>
    </row>
    <row r="1008">
      <c r="A1008" s="48" t="s">
        <v>10263</v>
      </c>
      <c r="B1008" s="44"/>
      <c r="C1008" s="48" t="s">
        <v>10081</v>
      </c>
      <c r="D1008" s="44"/>
      <c r="E1008" s="48" t="s">
        <v>5348</v>
      </c>
      <c r="F1008" s="48" t="s">
        <v>5300</v>
      </c>
      <c r="G1008" s="55" t="s">
        <v>96</v>
      </c>
      <c r="H1008" s="64">
        <v>0.00969</v>
      </c>
      <c r="I1008" s="44"/>
      <c r="J1008" s="44"/>
      <c r="K1008" s="44"/>
      <c r="L1008" s="44"/>
      <c r="M1008" s="44"/>
      <c r="N1008" s="44"/>
      <c r="O1008" s="44"/>
      <c r="P1008" s="44"/>
      <c r="Q1008" s="44"/>
      <c r="R1008" s="44"/>
      <c r="S1008" s="44"/>
      <c r="T1008" s="44"/>
      <c r="U1008" s="44"/>
    </row>
    <row r="1009">
      <c r="A1009" s="48" t="s">
        <v>6580</v>
      </c>
      <c r="B1009" s="44"/>
      <c r="C1009" s="48" t="s">
        <v>6581</v>
      </c>
      <c r="D1009" s="44"/>
      <c r="E1009" s="48" t="s">
        <v>5271</v>
      </c>
      <c r="F1009" s="48" t="s">
        <v>4340</v>
      </c>
      <c r="G1009" s="55" t="s">
        <v>96</v>
      </c>
      <c r="H1009" s="64">
        <v>0.00968</v>
      </c>
      <c r="I1009" s="44"/>
      <c r="J1009" s="44"/>
      <c r="K1009" s="44"/>
      <c r="L1009" s="44"/>
      <c r="M1009" s="44"/>
      <c r="N1009" s="44"/>
      <c r="O1009" s="44"/>
      <c r="P1009" s="44"/>
      <c r="Q1009" s="44"/>
      <c r="R1009" s="44"/>
      <c r="S1009" s="44"/>
      <c r="T1009" s="44"/>
      <c r="U1009" s="44"/>
    </row>
    <row r="1010">
      <c r="A1010" s="48" t="s">
        <v>10264</v>
      </c>
      <c r="B1010" s="44"/>
      <c r="C1010" s="48" t="s">
        <v>9988</v>
      </c>
      <c r="D1010" s="44"/>
      <c r="E1010" s="48" t="s">
        <v>5283</v>
      </c>
      <c r="F1010" s="48" t="s">
        <v>4095</v>
      </c>
      <c r="G1010" s="55" t="s">
        <v>96</v>
      </c>
      <c r="H1010" s="64">
        <v>0.00967</v>
      </c>
      <c r="I1010" s="44"/>
      <c r="J1010" s="44"/>
      <c r="K1010" s="44"/>
      <c r="L1010" s="44"/>
      <c r="M1010" s="44"/>
      <c r="N1010" s="44"/>
      <c r="O1010" s="44"/>
      <c r="P1010" s="44"/>
      <c r="Q1010" s="44"/>
      <c r="R1010" s="44"/>
      <c r="S1010" s="44"/>
      <c r="T1010" s="44"/>
      <c r="U1010" s="44"/>
    </row>
    <row r="1011">
      <c r="A1011" s="48" t="s">
        <v>10265</v>
      </c>
      <c r="B1011" s="44"/>
      <c r="C1011" s="48" t="s">
        <v>10266</v>
      </c>
      <c r="D1011" s="44"/>
      <c r="E1011" s="48" t="s">
        <v>5467</v>
      </c>
      <c r="F1011" s="48" t="s">
        <v>5425</v>
      </c>
      <c r="G1011" s="55" t="s">
        <v>96</v>
      </c>
      <c r="H1011" s="64">
        <v>0.00963</v>
      </c>
      <c r="I1011" s="44"/>
      <c r="J1011" s="44"/>
      <c r="K1011" s="44"/>
      <c r="L1011" s="44"/>
      <c r="M1011" s="44"/>
      <c r="N1011" s="44"/>
      <c r="O1011" s="44"/>
      <c r="P1011" s="44"/>
      <c r="Q1011" s="44"/>
      <c r="R1011" s="44"/>
      <c r="S1011" s="44"/>
      <c r="T1011" s="44"/>
      <c r="U1011" s="44"/>
    </row>
    <row r="1012">
      <c r="A1012" s="48" t="s">
        <v>10267</v>
      </c>
      <c r="B1012" s="44"/>
      <c r="C1012" s="48" t="s">
        <v>10268</v>
      </c>
      <c r="D1012" s="44"/>
      <c r="E1012" s="48" t="s">
        <v>5366</v>
      </c>
      <c r="F1012" s="48" t="s">
        <v>8784</v>
      </c>
      <c r="G1012" s="55" t="s">
        <v>96</v>
      </c>
      <c r="H1012" s="64">
        <v>0.00962</v>
      </c>
      <c r="I1012" s="44"/>
      <c r="J1012" s="44"/>
      <c r="K1012" s="44"/>
      <c r="L1012" s="44"/>
      <c r="M1012" s="44"/>
      <c r="N1012" s="44"/>
      <c r="O1012" s="44"/>
      <c r="P1012" s="44"/>
      <c r="Q1012" s="44"/>
      <c r="R1012" s="44"/>
      <c r="S1012" s="44"/>
      <c r="T1012" s="44"/>
      <c r="U1012" s="44"/>
    </row>
    <row r="1013">
      <c r="A1013" s="48" t="s">
        <v>10269</v>
      </c>
      <c r="B1013" s="44"/>
      <c r="C1013" s="48" t="s">
        <v>10270</v>
      </c>
      <c r="D1013" s="44"/>
      <c r="E1013" s="48" t="s">
        <v>6172</v>
      </c>
      <c r="F1013" s="48" t="s">
        <v>8784</v>
      </c>
      <c r="G1013" s="55" t="s">
        <v>96</v>
      </c>
      <c r="H1013" s="64">
        <v>0.00961</v>
      </c>
      <c r="I1013" s="44"/>
      <c r="J1013" s="44"/>
      <c r="K1013" s="44"/>
      <c r="L1013" s="44"/>
      <c r="M1013" s="44"/>
      <c r="N1013" s="44"/>
      <c r="O1013" s="44"/>
      <c r="P1013" s="44"/>
      <c r="Q1013" s="44"/>
      <c r="R1013" s="44"/>
      <c r="S1013" s="44"/>
      <c r="T1013" s="44"/>
      <c r="U1013" s="44"/>
    </row>
    <row r="1014">
      <c r="A1014" s="48" t="s">
        <v>10271</v>
      </c>
      <c r="B1014" s="44"/>
      <c r="C1014" s="48" t="s">
        <v>10272</v>
      </c>
      <c r="D1014" s="44"/>
      <c r="E1014" s="48" t="s">
        <v>5650</v>
      </c>
      <c r="F1014" s="48" t="s">
        <v>9513</v>
      </c>
      <c r="G1014" s="55" t="s">
        <v>96</v>
      </c>
      <c r="H1014" s="64">
        <v>0.00959</v>
      </c>
      <c r="I1014" s="44"/>
      <c r="J1014" s="44"/>
      <c r="K1014" s="44"/>
      <c r="L1014" s="44"/>
      <c r="M1014" s="44"/>
      <c r="N1014" s="44"/>
      <c r="O1014" s="44"/>
      <c r="P1014" s="44"/>
      <c r="Q1014" s="44"/>
      <c r="R1014" s="44"/>
      <c r="S1014" s="44"/>
      <c r="T1014" s="44"/>
      <c r="U1014" s="44"/>
    </row>
    <row r="1015">
      <c r="A1015" s="48" t="s">
        <v>10273</v>
      </c>
      <c r="B1015" s="44"/>
      <c r="C1015" s="48" t="s">
        <v>10274</v>
      </c>
      <c r="D1015" s="44"/>
      <c r="E1015" s="48" t="s">
        <v>5407</v>
      </c>
      <c r="F1015" s="48" t="s">
        <v>5300</v>
      </c>
      <c r="G1015" s="55" t="s">
        <v>96</v>
      </c>
      <c r="H1015" s="64">
        <v>0.00959</v>
      </c>
      <c r="I1015" s="44"/>
      <c r="J1015" s="44"/>
      <c r="K1015" s="44"/>
      <c r="L1015" s="44"/>
      <c r="M1015" s="44"/>
      <c r="N1015" s="44"/>
      <c r="O1015" s="44"/>
      <c r="P1015" s="44"/>
      <c r="Q1015" s="44"/>
      <c r="R1015" s="44"/>
      <c r="S1015" s="44"/>
      <c r="T1015" s="44"/>
      <c r="U1015" s="44"/>
    </row>
    <row r="1016">
      <c r="A1016" s="48" t="s">
        <v>10275</v>
      </c>
      <c r="B1016" s="44"/>
      <c r="C1016" s="48" t="s">
        <v>10276</v>
      </c>
      <c r="D1016" s="44"/>
      <c r="E1016" s="48" t="s">
        <v>5326</v>
      </c>
      <c r="F1016" s="48" t="s">
        <v>4095</v>
      </c>
      <c r="G1016" s="55" t="s">
        <v>96</v>
      </c>
      <c r="H1016" s="64">
        <v>0.00957</v>
      </c>
      <c r="I1016" s="44"/>
      <c r="J1016" s="44"/>
      <c r="K1016" s="44"/>
      <c r="L1016" s="44"/>
      <c r="M1016" s="44"/>
      <c r="N1016" s="44"/>
      <c r="O1016" s="44"/>
      <c r="P1016" s="44"/>
      <c r="Q1016" s="44"/>
      <c r="R1016" s="44"/>
      <c r="S1016" s="44"/>
      <c r="T1016" s="44"/>
      <c r="U1016" s="44"/>
    </row>
    <row r="1017">
      <c r="A1017" s="48" t="s">
        <v>10277</v>
      </c>
      <c r="B1017" s="44"/>
      <c r="C1017" s="48" t="s">
        <v>10278</v>
      </c>
      <c r="D1017" s="44"/>
      <c r="E1017" s="48" t="s">
        <v>5276</v>
      </c>
      <c r="F1017" s="48" t="s">
        <v>8759</v>
      </c>
      <c r="G1017" s="55" t="s">
        <v>96</v>
      </c>
      <c r="H1017" s="64">
        <v>0.00955</v>
      </c>
      <c r="I1017" s="44"/>
      <c r="J1017" s="44"/>
      <c r="K1017" s="44"/>
      <c r="L1017" s="44"/>
      <c r="M1017" s="44"/>
      <c r="N1017" s="44"/>
      <c r="O1017" s="44"/>
      <c r="P1017" s="44"/>
      <c r="Q1017" s="44"/>
      <c r="R1017" s="44"/>
      <c r="S1017" s="44"/>
      <c r="T1017" s="44"/>
      <c r="U1017" s="44"/>
    </row>
    <row r="1018">
      <c r="A1018" s="48" t="s">
        <v>10279</v>
      </c>
      <c r="B1018" s="44"/>
      <c r="C1018" s="48" t="s">
        <v>10280</v>
      </c>
      <c r="D1018" s="44"/>
      <c r="E1018" s="48" t="s">
        <v>5434</v>
      </c>
      <c r="F1018" s="48" t="s">
        <v>5927</v>
      </c>
      <c r="G1018" s="55" t="s">
        <v>96</v>
      </c>
      <c r="H1018" s="64">
        <v>0.00943</v>
      </c>
      <c r="I1018" s="44"/>
      <c r="J1018" s="44"/>
      <c r="K1018" s="44"/>
      <c r="L1018" s="44"/>
      <c r="M1018" s="44"/>
      <c r="N1018" s="44"/>
      <c r="O1018" s="44"/>
      <c r="P1018" s="44"/>
      <c r="Q1018" s="44"/>
      <c r="R1018" s="44"/>
      <c r="S1018" s="44"/>
      <c r="T1018" s="44"/>
      <c r="U1018" s="44"/>
    </row>
    <row r="1019">
      <c r="A1019" s="48" t="s">
        <v>10281</v>
      </c>
      <c r="B1019" s="44"/>
      <c r="C1019" s="48" t="s">
        <v>6274</v>
      </c>
      <c r="D1019" s="44"/>
      <c r="E1019" s="48" t="s">
        <v>6275</v>
      </c>
      <c r="F1019" s="48" t="s">
        <v>4340</v>
      </c>
      <c r="G1019" s="55" t="s">
        <v>96</v>
      </c>
      <c r="H1019" s="64">
        <v>0.00935</v>
      </c>
      <c r="I1019" s="44"/>
      <c r="J1019" s="44"/>
      <c r="K1019" s="44"/>
      <c r="L1019" s="44"/>
      <c r="M1019" s="44"/>
      <c r="N1019" s="44"/>
      <c r="O1019" s="44"/>
      <c r="P1019" s="44"/>
      <c r="Q1019" s="44"/>
      <c r="R1019" s="44"/>
      <c r="S1019" s="44"/>
      <c r="T1019" s="44"/>
      <c r="U1019" s="44"/>
    </row>
    <row r="1020">
      <c r="A1020" s="48" t="s">
        <v>10282</v>
      </c>
      <c r="B1020" s="44"/>
      <c r="C1020" s="48" t="s">
        <v>10283</v>
      </c>
      <c r="D1020" s="44"/>
      <c r="E1020" s="48" t="s">
        <v>5564</v>
      </c>
      <c r="F1020" s="48" t="s">
        <v>5941</v>
      </c>
      <c r="G1020" s="55" t="s">
        <v>96</v>
      </c>
      <c r="H1020" s="64">
        <v>0.00935</v>
      </c>
      <c r="I1020" s="44"/>
      <c r="J1020" s="44"/>
      <c r="K1020" s="44"/>
      <c r="L1020" s="44"/>
      <c r="M1020" s="44"/>
      <c r="N1020" s="44"/>
      <c r="O1020" s="44"/>
      <c r="P1020" s="44"/>
      <c r="Q1020" s="44"/>
      <c r="R1020" s="44"/>
      <c r="S1020" s="44"/>
      <c r="T1020" s="44"/>
      <c r="U1020" s="44"/>
    </row>
    <row r="1021">
      <c r="A1021" s="48" t="s">
        <v>10284</v>
      </c>
      <c r="B1021" s="44"/>
      <c r="C1021" s="48" t="s">
        <v>10285</v>
      </c>
      <c r="D1021" s="44"/>
      <c r="E1021" s="48" t="s">
        <v>7611</v>
      </c>
      <c r="F1021" s="48" t="s">
        <v>8784</v>
      </c>
      <c r="G1021" s="55" t="s">
        <v>96</v>
      </c>
      <c r="H1021" s="64">
        <v>0.00935</v>
      </c>
      <c r="I1021" s="44"/>
      <c r="J1021" s="44"/>
      <c r="K1021" s="44"/>
      <c r="L1021" s="44"/>
      <c r="M1021" s="44"/>
      <c r="N1021" s="44"/>
      <c r="O1021" s="44"/>
      <c r="P1021" s="44"/>
      <c r="Q1021" s="44"/>
      <c r="R1021" s="44"/>
      <c r="S1021" s="44"/>
      <c r="T1021" s="44"/>
      <c r="U1021" s="44"/>
    </row>
    <row r="1022">
      <c r="A1022" s="48" t="s">
        <v>6260</v>
      </c>
      <c r="B1022" s="44"/>
      <c r="C1022" s="48" t="s">
        <v>10286</v>
      </c>
      <c r="D1022" s="44"/>
      <c r="E1022" s="48" t="s">
        <v>5235</v>
      </c>
      <c r="F1022" s="48" t="s">
        <v>5836</v>
      </c>
      <c r="G1022" s="55" t="s">
        <v>96</v>
      </c>
      <c r="H1022" s="64">
        <v>0.00934</v>
      </c>
      <c r="I1022" s="44"/>
      <c r="J1022" s="44"/>
      <c r="K1022" s="44"/>
      <c r="L1022" s="44"/>
      <c r="M1022" s="44"/>
      <c r="N1022" s="44"/>
      <c r="O1022" s="44"/>
      <c r="P1022" s="44"/>
      <c r="Q1022" s="44"/>
      <c r="R1022" s="44"/>
      <c r="S1022" s="44"/>
      <c r="T1022" s="44"/>
      <c r="U1022" s="44"/>
    </row>
    <row r="1023">
      <c r="A1023" s="48" t="s">
        <v>10287</v>
      </c>
      <c r="B1023" s="44"/>
      <c r="C1023" s="48" t="s">
        <v>10288</v>
      </c>
      <c r="D1023" s="44"/>
      <c r="E1023" s="48" t="s">
        <v>5395</v>
      </c>
      <c r="F1023" s="48" t="s">
        <v>8784</v>
      </c>
      <c r="G1023" s="55" t="s">
        <v>96</v>
      </c>
      <c r="H1023" s="64">
        <v>0.00932</v>
      </c>
      <c r="I1023" s="44"/>
      <c r="J1023" s="44"/>
      <c r="K1023" s="44"/>
      <c r="L1023" s="44"/>
      <c r="M1023" s="44"/>
      <c r="N1023" s="44"/>
      <c r="O1023" s="44"/>
      <c r="P1023" s="44"/>
      <c r="Q1023" s="44"/>
      <c r="R1023" s="44"/>
      <c r="S1023" s="44"/>
      <c r="T1023" s="44"/>
      <c r="U1023" s="44"/>
    </row>
    <row r="1024">
      <c r="A1024" s="48" t="s">
        <v>10289</v>
      </c>
      <c r="B1024" s="44"/>
      <c r="C1024" s="48" t="s">
        <v>10290</v>
      </c>
      <c r="D1024" s="44"/>
      <c r="E1024" s="48" t="s">
        <v>5215</v>
      </c>
      <c r="F1024" s="48" t="s">
        <v>8784</v>
      </c>
      <c r="G1024" s="55" t="s">
        <v>96</v>
      </c>
      <c r="H1024" s="64">
        <v>0.00931</v>
      </c>
      <c r="I1024" s="44"/>
      <c r="J1024" s="44"/>
      <c r="K1024" s="44"/>
      <c r="L1024" s="44"/>
      <c r="M1024" s="44"/>
      <c r="N1024" s="44"/>
      <c r="O1024" s="44"/>
      <c r="P1024" s="44"/>
      <c r="Q1024" s="44"/>
      <c r="R1024" s="44"/>
      <c r="S1024" s="44"/>
      <c r="T1024" s="44"/>
      <c r="U1024" s="44"/>
    </row>
    <row r="1025">
      <c r="A1025" s="48" t="s">
        <v>10291</v>
      </c>
      <c r="B1025" s="44"/>
      <c r="C1025" s="48" t="s">
        <v>10292</v>
      </c>
      <c r="D1025" s="44"/>
      <c r="E1025" s="48" t="s">
        <v>5564</v>
      </c>
      <c r="F1025" s="48" t="s">
        <v>8784</v>
      </c>
      <c r="G1025" s="55" t="s">
        <v>96</v>
      </c>
      <c r="H1025" s="64">
        <v>0.00927</v>
      </c>
      <c r="I1025" s="44"/>
      <c r="J1025" s="44"/>
      <c r="K1025" s="44"/>
      <c r="L1025" s="44"/>
      <c r="M1025" s="44"/>
      <c r="N1025" s="44"/>
      <c r="O1025" s="44"/>
      <c r="P1025" s="44"/>
      <c r="Q1025" s="44"/>
      <c r="R1025" s="44"/>
      <c r="S1025" s="44"/>
      <c r="T1025" s="44"/>
      <c r="U1025" s="44"/>
    </row>
    <row r="1026">
      <c r="A1026" s="48" t="s">
        <v>10293</v>
      </c>
      <c r="B1026" s="44"/>
      <c r="C1026" s="48" t="s">
        <v>10294</v>
      </c>
      <c r="D1026" s="44"/>
      <c r="E1026" s="48" t="s">
        <v>5232</v>
      </c>
      <c r="F1026" s="48" t="s">
        <v>8784</v>
      </c>
      <c r="G1026" s="55" t="s">
        <v>96</v>
      </c>
      <c r="H1026" s="64">
        <v>0.00923</v>
      </c>
      <c r="I1026" s="44"/>
      <c r="J1026" s="44"/>
      <c r="K1026" s="44"/>
      <c r="L1026" s="44"/>
      <c r="M1026" s="44"/>
      <c r="N1026" s="44"/>
      <c r="O1026" s="44"/>
      <c r="P1026" s="44"/>
      <c r="Q1026" s="44"/>
      <c r="R1026" s="44"/>
      <c r="S1026" s="44"/>
      <c r="T1026" s="44"/>
      <c r="U1026" s="44"/>
    </row>
    <row r="1027">
      <c r="A1027" s="48" t="s">
        <v>10295</v>
      </c>
      <c r="B1027" s="44"/>
      <c r="C1027" s="48" t="s">
        <v>10296</v>
      </c>
      <c r="D1027" s="44"/>
      <c r="E1027" s="48" t="s">
        <v>5374</v>
      </c>
      <c r="F1027" s="48" t="s">
        <v>4095</v>
      </c>
      <c r="G1027" s="55" t="s">
        <v>96</v>
      </c>
      <c r="H1027" s="64">
        <v>0.00923</v>
      </c>
      <c r="I1027" s="44"/>
      <c r="J1027" s="44"/>
      <c r="K1027" s="44"/>
      <c r="L1027" s="44"/>
      <c r="M1027" s="44"/>
      <c r="N1027" s="44"/>
      <c r="O1027" s="44"/>
      <c r="P1027" s="44"/>
      <c r="Q1027" s="44"/>
      <c r="R1027" s="44"/>
      <c r="S1027" s="44"/>
      <c r="T1027" s="44"/>
      <c r="U1027" s="44"/>
    </row>
    <row r="1028">
      <c r="A1028" s="48" t="s">
        <v>6719</v>
      </c>
      <c r="B1028" s="44"/>
      <c r="C1028" s="48" t="s">
        <v>6720</v>
      </c>
      <c r="D1028" s="44"/>
      <c r="E1028" s="48" t="s">
        <v>5261</v>
      </c>
      <c r="F1028" s="48" t="s">
        <v>4340</v>
      </c>
      <c r="G1028" s="55" t="s">
        <v>96</v>
      </c>
      <c r="H1028" s="64">
        <v>0.00921</v>
      </c>
      <c r="I1028" s="44"/>
      <c r="J1028" s="44"/>
      <c r="K1028" s="44"/>
      <c r="L1028" s="44"/>
      <c r="M1028" s="44"/>
      <c r="N1028" s="44"/>
      <c r="O1028" s="44"/>
      <c r="P1028" s="44"/>
      <c r="Q1028" s="44"/>
      <c r="R1028" s="44"/>
      <c r="S1028" s="44"/>
      <c r="T1028" s="44"/>
      <c r="U1028" s="44"/>
    </row>
    <row r="1029">
      <c r="A1029" s="48" t="s">
        <v>10297</v>
      </c>
      <c r="B1029" s="44"/>
      <c r="C1029" s="48" t="s">
        <v>10298</v>
      </c>
      <c r="D1029" s="44"/>
      <c r="E1029" s="48" t="s">
        <v>6238</v>
      </c>
      <c r="F1029" s="48" t="s">
        <v>5277</v>
      </c>
      <c r="G1029" s="55" t="s">
        <v>96</v>
      </c>
      <c r="H1029" s="64">
        <v>0.00921</v>
      </c>
      <c r="I1029" s="44"/>
      <c r="J1029" s="44"/>
      <c r="K1029" s="44"/>
      <c r="L1029" s="44"/>
      <c r="M1029" s="44"/>
      <c r="N1029" s="44"/>
      <c r="O1029" s="44"/>
      <c r="P1029" s="44"/>
      <c r="Q1029" s="44"/>
      <c r="R1029" s="44"/>
      <c r="S1029" s="44"/>
      <c r="T1029" s="44"/>
      <c r="U1029" s="44"/>
    </row>
    <row r="1030">
      <c r="A1030" s="48" t="s">
        <v>5476</v>
      </c>
      <c r="B1030" s="44"/>
      <c r="C1030" s="48" t="s">
        <v>10299</v>
      </c>
      <c r="D1030" s="44"/>
      <c r="E1030" s="48" t="s">
        <v>9144</v>
      </c>
      <c r="F1030" s="48" t="s">
        <v>4095</v>
      </c>
      <c r="G1030" s="55" t="s">
        <v>96</v>
      </c>
      <c r="H1030" s="64">
        <v>0.00914</v>
      </c>
      <c r="I1030" s="44"/>
      <c r="J1030" s="44"/>
      <c r="K1030" s="44"/>
      <c r="L1030" s="44"/>
      <c r="M1030" s="44"/>
      <c r="N1030" s="44"/>
      <c r="O1030" s="44"/>
      <c r="P1030" s="44"/>
      <c r="Q1030" s="44"/>
      <c r="R1030" s="44"/>
      <c r="S1030" s="44"/>
      <c r="T1030" s="44"/>
      <c r="U1030" s="44"/>
    </row>
    <row r="1031">
      <c r="A1031" s="48" t="s">
        <v>10300</v>
      </c>
      <c r="B1031" s="44"/>
      <c r="C1031" s="48" t="s">
        <v>10301</v>
      </c>
      <c r="D1031" s="44"/>
      <c r="E1031" s="48" t="s">
        <v>9039</v>
      </c>
      <c r="F1031" s="48" t="s">
        <v>8784</v>
      </c>
      <c r="G1031" s="55" t="s">
        <v>96</v>
      </c>
      <c r="H1031" s="64">
        <v>0.00912</v>
      </c>
      <c r="I1031" s="44"/>
      <c r="J1031" s="44"/>
      <c r="K1031" s="44"/>
      <c r="L1031" s="44"/>
      <c r="M1031" s="44"/>
      <c r="N1031" s="44"/>
      <c r="O1031" s="44"/>
      <c r="P1031" s="44"/>
      <c r="Q1031" s="44"/>
      <c r="R1031" s="44"/>
      <c r="S1031" s="44"/>
      <c r="T1031" s="44"/>
      <c r="U1031" s="44"/>
    </row>
    <row r="1032">
      <c r="A1032" s="48" t="s">
        <v>10302</v>
      </c>
      <c r="B1032" s="44"/>
      <c r="C1032" s="48" t="s">
        <v>10303</v>
      </c>
      <c r="D1032" s="44"/>
      <c r="E1032" s="48" t="s">
        <v>6191</v>
      </c>
      <c r="F1032" s="48" t="s">
        <v>9414</v>
      </c>
      <c r="G1032" s="55" t="s">
        <v>96</v>
      </c>
      <c r="H1032" s="64">
        <v>0.0091</v>
      </c>
      <c r="I1032" s="44"/>
      <c r="J1032" s="44"/>
      <c r="K1032" s="44"/>
      <c r="L1032" s="44"/>
      <c r="M1032" s="44"/>
      <c r="N1032" s="44"/>
      <c r="O1032" s="44"/>
      <c r="P1032" s="44"/>
      <c r="Q1032" s="44"/>
      <c r="R1032" s="44"/>
      <c r="S1032" s="44"/>
      <c r="T1032" s="44"/>
      <c r="U1032" s="44"/>
    </row>
    <row r="1033">
      <c r="A1033" s="48" t="s">
        <v>10304</v>
      </c>
      <c r="B1033" s="44"/>
      <c r="C1033" s="48" t="s">
        <v>10305</v>
      </c>
      <c r="D1033" s="44"/>
      <c r="E1033" s="48" t="s">
        <v>5283</v>
      </c>
      <c r="F1033" s="48" t="s">
        <v>9021</v>
      </c>
      <c r="G1033" s="55" t="s">
        <v>96</v>
      </c>
      <c r="H1033" s="64">
        <v>0.00906</v>
      </c>
      <c r="I1033" s="44"/>
      <c r="J1033" s="44"/>
      <c r="K1033" s="44"/>
      <c r="L1033" s="44"/>
      <c r="M1033" s="44"/>
      <c r="N1033" s="44"/>
      <c r="O1033" s="44"/>
      <c r="P1033" s="44"/>
      <c r="Q1033" s="44"/>
      <c r="R1033" s="44"/>
      <c r="S1033" s="44"/>
      <c r="T1033" s="44"/>
      <c r="U1033" s="44"/>
    </row>
    <row r="1034">
      <c r="A1034" s="48" t="s">
        <v>10306</v>
      </c>
      <c r="B1034" s="44"/>
      <c r="C1034" s="48" t="s">
        <v>10307</v>
      </c>
      <c r="D1034" s="44"/>
      <c r="E1034" s="48" t="s">
        <v>5229</v>
      </c>
      <c r="F1034" s="48" t="s">
        <v>8784</v>
      </c>
      <c r="G1034" s="55" t="s">
        <v>96</v>
      </c>
      <c r="H1034" s="64">
        <v>0.00906</v>
      </c>
      <c r="I1034" s="44"/>
      <c r="J1034" s="44"/>
      <c r="K1034" s="44"/>
      <c r="L1034" s="44"/>
      <c r="M1034" s="44"/>
      <c r="N1034" s="44"/>
      <c r="O1034" s="44"/>
      <c r="P1034" s="44"/>
      <c r="Q1034" s="44"/>
      <c r="R1034" s="44"/>
      <c r="S1034" s="44"/>
      <c r="T1034" s="44"/>
      <c r="U1034" s="44"/>
    </row>
    <row r="1035">
      <c r="A1035" s="48" t="s">
        <v>10308</v>
      </c>
      <c r="B1035" s="44"/>
      <c r="C1035" s="48" t="s">
        <v>10309</v>
      </c>
      <c r="D1035" s="44"/>
      <c r="E1035" s="48" t="s">
        <v>5261</v>
      </c>
      <c r="F1035" s="48" t="s">
        <v>5425</v>
      </c>
      <c r="G1035" s="55" t="s">
        <v>96</v>
      </c>
      <c r="H1035" s="64">
        <v>0.00903</v>
      </c>
      <c r="I1035" s="44"/>
      <c r="J1035" s="44"/>
      <c r="K1035" s="44"/>
      <c r="L1035" s="44"/>
      <c r="M1035" s="44"/>
      <c r="N1035" s="44"/>
      <c r="O1035" s="44"/>
      <c r="P1035" s="44"/>
      <c r="Q1035" s="44"/>
      <c r="R1035" s="44"/>
      <c r="S1035" s="44"/>
      <c r="T1035" s="44"/>
      <c r="U1035" s="44"/>
    </row>
    <row r="1036">
      <c r="A1036" s="48" t="s">
        <v>8087</v>
      </c>
      <c r="B1036" s="44"/>
      <c r="C1036" s="48" t="s">
        <v>6992</v>
      </c>
      <c r="D1036" s="44"/>
      <c r="E1036" s="48" t="s">
        <v>6009</v>
      </c>
      <c r="F1036" s="48" t="s">
        <v>4340</v>
      </c>
      <c r="G1036" s="55" t="s">
        <v>96</v>
      </c>
      <c r="H1036" s="64">
        <v>0.00896</v>
      </c>
      <c r="I1036" s="44"/>
      <c r="J1036" s="44"/>
      <c r="K1036" s="44"/>
      <c r="L1036" s="44"/>
      <c r="M1036" s="44"/>
      <c r="N1036" s="44"/>
      <c r="O1036" s="44"/>
      <c r="P1036" s="44"/>
      <c r="Q1036" s="44"/>
      <c r="R1036" s="44"/>
      <c r="S1036" s="44"/>
      <c r="T1036" s="44"/>
      <c r="U1036" s="44"/>
    </row>
    <row r="1037">
      <c r="A1037" s="48" t="s">
        <v>6846</v>
      </c>
      <c r="B1037" s="44"/>
      <c r="C1037" s="48" t="s">
        <v>6847</v>
      </c>
      <c r="D1037" s="44"/>
      <c r="E1037" s="48" t="s">
        <v>5756</v>
      </c>
      <c r="F1037" s="48" t="s">
        <v>4340</v>
      </c>
      <c r="G1037" s="55" t="s">
        <v>96</v>
      </c>
      <c r="H1037" s="64">
        <v>0.00896</v>
      </c>
      <c r="I1037" s="44"/>
      <c r="J1037" s="44"/>
      <c r="K1037" s="44"/>
      <c r="L1037" s="44"/>
      <c r="M1037" s="44"/>
      <c r="N1037" s="44"/>
      <c r="O1037" s="44"/>
      <c r="P1037" s="44"/>
      <c r="Q1037" s="44"/>
      <c r="R1037" s="44"/>
      <c r="S1037" s="44"/>
      <c r="T1037" s="44"/>
      <c r="U1037" s="44"/>
    </row>
    <row r="1038">
      <c r="A1038" s="48" t="s">
        <v>6717</v>
      </c>
      <c r="B1038" s="44"/>
      <c r="C1038" s="48" t="s">
        <v>6718</v>
      </c>
      <c r="D1038" s="44"/>
      <c r="E1038" s="48" t="s">
        <v>5964</v>
      </c>
      <c r="F1038" s="48" t="s">
        <v>4340</v>
      </c>
      <c r="G1038" s="55" t="s">
        <v>96</v>
      </c>
      <c r="H1038" s="64">
        <v>0.00893</v>
      </c>
      <c r="I1038" s="44"/>
      <c r="J1038" s="44"/>
      <c r="K1038" s="44"/>
      <c r="L1038" s="44"/>
      <c r="M1038" s="44"/>
      <c r="N1038" s="44"/>
      <c r="O1038" s="44"/>
      <c r="P1038" s="44"/>
      <c r="Q1038" s="44"/>
      <c r="R1038" s="44"/>
      <c r="S1038" s="44"/>
      <c r="T1038" s="44"/>
      <c r="U1038" s="44"/>
    </row>
    <row r="1039">
      <c r="A1039" s="48" t="s">
        <v>10310</v>
      </c>
      <c r="B1039" s="44"/>
      <c r="C1039" s="48" t="s">
        <v>10311</v>
      </c>
      <c r="D1039" s="44"/>
      <c r="E1039" s="48" t="s">
        <v>5564</v>
      </c>
      <c r="F1039" s="48" t="s">
        <v>9414</v>
      </c>
      <c r="G1039" s="55" t="s">
        <v>96</v>
      </c>
      <c r="H1039" s="64">
        <v>0.0089</v>
      </c>
      <c r="I1039" s="44"/>
      <c r="J1039" s="44"/>
      <c r="K1039" s="44"/>
      <c r="L1039" s="44"/>
      <c r="M1039" s="44"/>
      <c r="N1039" s="44"/>
      <c r="O1039" s="44"/>
      <c r="P1039" s="44"/>
      <c r="Q1039" s="44"/>
      <c r="R1039" s="44"/>
      <c r="S1039" s="44"/>
      <c r="T1039" s="44"/>
      <c r="U1039" s="44"/>
    </row>
    <row r="1040">
      <c r="A1040" s="48" t="s">
        <v>10312</v>
      </c>
      <c r="B1040" s="44"/>
      <c r="C1040" s="48" t="s">
        <v>10313</v>
      </c>
      <c r="D1040" s="44"/>
      <c r="E1040" s="48" t="s">
        <v>5235</v>
      </c>
      <c r="F1040" s="48" t="s">
        <v>9021</v>
      </c>
      <c r="G1040" s="55" t="s">
        <v>96</v>
      </c>
      <c r="H1040" s="64">
        <v>0.00888</v>
      </c>
      <c r="I1040" s="44"/>
      <c r="J1040" s="44"/>
      <c r="K1040" s="44"/>
      <c r="L1040" s="44"/>
      <c r="M1040" s="44"/>
      <c r="N1040" s="44"/>
      <c r="O1040" s="44"/>
      <c r="P1040" s="44"/>
      <c r="Q1040" s="44"/>
      <c r="R1040" s="44"/>
      <c r="S1040" s="44"/>
      <c r="T1040" s="44"/>
      <c r="U1040" s="44"/>
    </row>
    <row r="1041">
      <c r="A1041" s="48" t="s">
        <v>10314</v>
      </c>
      <c r="B1041" s="44"/>
      <c r="C1041" s="48" t="s">
        <v>10315</v>
      </c>
      <c r="D1041" s="44"/>
      <c r="E1041" s="48" t="s">
        <v>5283</v>
      </c>
      <c r="F1041" s="48" t="s">
        <v>4095</v>
      </c>
      <c r="G1041" s="55" t="s">
        <v>96</v>
      </c>
      <c r="H1041" s="64">
        <v>0.00883</v>
      </c>
      <c r="I1041" s="44"/>
      <c r="J1041" s="44"/>
      <c r="K1041" s="44"/>
      <c r="L1041" s="44"/>
      <c r="M1041" s="44"/>
      <c r="N1041" s="44"/>
      <c r="O1041" s="44"/>
      <c r="P1041" s="44"/>
      <c r="Q1041" s="44"/>
      <c r="R1041" s="44"/>
      <c r="S1041" s="44"/>
      <c r="T1041" s="44"/>
      <c r="U1041" s="44"/>
    </row>
    <row r="1042">
      <c r="A1042" s="48" t="s">
        <v>10316</v>
      </c>
      <c r="B1042" s="44"/>
      <c r="C1042" s="48" t="s">
        <v>10317</v>
      </c>
      <c r="D1042" s="44"/>
      <c r="E1042" s="48" t="s">
        <v>5235</v>
      </c>
      <c r="F1042" s="48" t="s">
        <v>8784</v>
      </c>
      <c r="G1042" s="55" t="s">
        <v>96</v>
      </c>
      <c r="H1042" s="64">
        <v>0.0088</v>
      </c>
      <c r="I1042" s="44"/>
      <c r="J1042" s="44"/>
      <c r="K1042" s="44"/>
      <c r="L1042" s="44"/>
      <c r="M1042" s="44"/>
      <c r="N1042" s="44"/>
      <c r="O1042" s="44"/>
      <c r="P1042" s="44"/>
      <c r="Q1042" s="44"/>
      <c r="R1042" s="44"/>
      <c r="S1042" s="44"/>
      <c r="T1042" s="44"/>
      <c r="U1042" s="44"/>
    </row>
    <row r="1043">
      <c r="A1043" s="48" t="s">
        <v>10318</v>
      </c>
      <c r="B1043" s="44"/>
      <c r="C1043" s="48" t="s">
        <v>10319</v>
      </c>
      <c r="D1043" s="44"/>
      <c r="E1043" s="48" t="s">
        <v>5501</v>
      </c>
      <c r="F1043" s="48" t="s">
        <v>8784</v>
      </c>
      <c r="G1043" s="55" t="s">
        <v>96</v>
      </c>
      <c r="H1043" s="64">
        <v>0.00875</v>
      </c>
      <c r="I1043" s="44"/>
      <c r="J1043" s="44"/>
      <c r="K1043" s="44"/>
      <c r="L1043" s="44"/>
      <c r="M1043" s="44"/>
      <c r="N1043" s="44"/>
      <c r="O1043" s="44"/>
      <c r="P1043" s="44"/>
      <c r="Q1043" s="44"/>
      <c r="R1043" s="44"/>
      <c r="S1043" s="44"/>
      <c r="T1043" s="44"/>
      <c r="U1043" s="44"/>
    </row>
    <row r="1044">
      <c r="A1044" s="48" t="s">
        <v>10320</v>
      </c>
      <c r="B1044" s="44"/>
      <c r="C1044" s="48" t="s">
        <v>10321</v>
      </c>
      <c r="D1044" s="44"/>
      <c r="E1044" s="48" t="s">
        <v>5238</v>
      </c>
      <c r="F1044" s="48" t="s">
        <v>8784</v>
      </c>
      <c r="G1044" s="55" t="s">
        <v>96</v>
      </c>
      <c r="H1044" s="64">
        <v>0.00875</v>
      </c>
      <c r="I1044" s="44"/>
      <c r="J1044" s="44"/>
      <c r="K1044" s="44"/>
      <c r="L1044" s="44"/>
      <c r="M1044" s="44"/>
      <c r="N1044" s="44"/>
      <c r="O1044" s="44"/>
      <c r="P1044" s="44"/>
      <c r="Q1044" s="44"/>
      <c r="R1044" s="44"/>
      <c r="S1044" s="44"/>
      <c r="T1044" s="44"/>
      <c r="U1044" s="44"/>
    </row>
    <row r="1045">
      <c r="A1045" s="48" t="s">
        <v>10322</v>
      </c>
      <c r="B1045" s="44"/>
      <c r="C1045" s="48" t="s">
        <v>10323</v>
      </c>
      <c r="D1045" s="44"/>
      <c r="E1045" s="48" t="s">
        <v>5218</v>
      </c>
      <c r="F1045" s="48" t="s">
        <v>5425</v>
      </c>
      <c r="G1045" s="55" t="s">
        <v>96</v>
      </c>
      <c r="H1045" s="64">
        <v>0.0087</v>
      </c>
      <c r="I1045" s="44"/>
      <c r="J1045" s="44"/>
      <c r="K1045" s="44"/>
      <c r="L1045" s="44"/>
      <c r="M1045" s="44"/>
      <c r="N1045" s="44"/>
      <c r="O1045" s="44"/>
      <c r="P1045" s="44"/>
      <c r="Q1045" s="44"/>
      <c r="R1045" s="44"/>
      <c r="S1045" s="44"/>
      <c r="T1045" s="44"/>
      <c r="U1045" s="44"/>
    </row>
    <row r="1046">
      <c r="A1046" s="48" t="s">
        <v>4304</v>
      </c>
      <c r="B1046" s="44"/>
      <c r="C1046" s="48" t="s">
        <v>10324</v>
      </c>
      <c r="D1046" s="44"/>
      <c r="E1046" s="48" t="s">
        <v>5467</v>
      </c>
      <c r="F1046" s="48" t="s">
        <v>4357</v>
      </c>
      <c r="G1046" s="55" t="s">
        <v>96</v>
      </c>
      <c r="H1046" s="64">
        <v>0.00868</v>
      </c>
      <c r="I1046" s="44"/>
      <c r="J1046" s="44"/>
      <c r="K1046" s="44"/>
      <c r="L1046" s="44"/>
      <c r="M1046" s="44"/>
      <c r="N1046" s="44"/>
      <c r="O1046" s="44"/>
      <c r="P1046" s="44"/>
      <c r="Q1046" s="44"/>
      <c r="R1046" s="44"/>
      <c r="S1046" s="44"/>
      <c r="T1046" s="44"/>
      <c r="U1046" s="44"/>
    </row>
    <row r="1047">
      <c r="A1047" s="48" t="s">
        <v>10325</v>
      </c>
      <c r="B1047" s="44"/>
      <c r="C1047" s="48" t="s">
        <v>10326</v>
      </c>
      <c r="D1047" s="44"/>
      <c r="E1047" s="48" t="s">
        <v>6238</v>
      </c>
      <c r="F1047" s="48" t="s">
        <v>4436</v>
      </c>
      <c r="G1047" s="55" t="s">
        <v>96</v>
      </c>
      <c r="H1047" s="64">
        <v>0.00867</v>
      </c>
      <c r="I1047" s="44"/>
      <c r="J1047" s="44"/>
      <c r="K1047" s="44"/>
      <c r="L1047" s="44"/>
      <c r="M1047" s="44"/>
      <c r="N1047" s="44"/>
      <c r="O1047" s="44"/>
      <c r="P1047" s="44"/>
      <c r="Q1047" s="44"/>
      <c r="R1047" s="44"/>
      <c r="S1047" s="44"/>
      <c r="T1047" s="44"/>
      <c r="U1047" s="44"/>
    </row>
    <row r="1048">
      <c r="A1048" s="48" t="s">
        <v>4578</v>
      </c>
      <c r="B1048" s="44"/>
      <c r="C1048" s="48" t="s">
        <v>10327</v>
      </c>
      <c r="D1048" s="44"/>
      <c r="E1048" s="48" t="s">
        <v>6130</v>
      </c>
      <c r="F1048" s="48" t="s">
        <v>4357</v>
      </c>
      <c r="G1048" s="55" t="s">
        <v>96</v>
      </c>
      <c r="H1048" s="64">
        <v>0.00867</v>
      </c>
      <c r="I1048" s="44"/>
      <c r="J1048" s="44"/>
      <c r="K1048" s="44"/>
      <c r="L1048" s="44"/>
      <c r="M1048" s="44"/>
      <c r="N1048" s="44"/>
      <c r="O1048" s="44"/>
      <c r="P1048" s="44"/>
      <c r="Q1048" s="44"/>
      <c r="R1048" s="44"/>
      <c r="S1048" s="44"/>
      <c r="T1048" s="44"/>
      <c r="U1048" s="44"/>
    </row>
    <row r="1049">
      <c r="A1049" s="48" t="s">
        <v>10328</v>
      </c>
      <c r="B1049" s="44"/>
      <c r="C1049" s="48" t="s">
        <v>10329</v>
      </c>
      <c r="D1049" s="44"/>
      <c r="E1049" s="48" t="s">
        <v>5445</v>
      </c>
      <c r="F1049" s="48" t="s">
        <v>8784</v>
      </c>
      <c r="G1049" s="55" t="s">
        <v>96</v>
      </c>
      <c r="H1049" s="64">
        <v>0.00863</v>
      </c>
      <c r="I1049" s="44"/>
      <c r="J1049" s="44"/>
      <c r="K1049" s="44"/>
      <c r="L1049" s="44"/>
      <c r="M1049" s="44"/>
      <c r="N1049" s="44"/>
      <c r="O1049" s="44"/>
      <c r="P1049" s="44"/>
      <c r="Q1049" s="44"/>
      <c r="R1049" s="44"/>
      <c r="S1049" s="44"/>
      <c r="T1049" s="44"/>
      <c r="U1049" s="44"/>
    </row>
    <row r="1050">
      <c r="A1050" s="48" t="s">
        <v>10330</v>
      </c>
      <c r="B1050" s="44"/>
      <c r="C1050" s="48" t="s">
        <v>10331</v>
      </c>
      <c r="D1050" s="44"/>
      <c r="E1050" s="48" t="s">
        <v>5434</v>
      </c>
      <c r="F1050" s="48" t="s">
        <v>8784</v>
      </c>
      <c r="G1050" s="55" t="s">
        <v>96</v>
      </c>
      <c r="H1050" s="64">
        <v>0.00859</v>
      </c>
      <c r="I1050" s="44"/>
      <c r="J1050" s="44"/>
      <c r="K1050" s="44"/>
      <c r="L1050" s="44"/>
      <c r="M1050" s="44"/>
      <c r="N1050" s="44"/>
      <c r="O1050" s="44"/>
      <c r="P1050" s="44"/>
      <c r="Q1050" s="44"/>
      <c r="R1050" s="44"/>
      <c r="S1050" s="44"/>
      <c r="T1050" s="44"/>
      <c r="U1050" s="44"/>
    </row>
    <row r="1051">
      <c r="A1051" s="48" t="s">
        <v>10332</v>
      </c>
      <c r="B1051" s="44"/>
      <c r="C1051" s="48" t="s">
        <v>10333</v>
      </c>
      <c r="D1051" s="44"/>
      <c r="E1051" s="48" t="s">
        <v>5964</v>
      </c>
      <c r="F1051" s="48" t="s">
        <v>8784</v>
      </c>
      <c r="G1051" s="55" t="s">
        <v>96</v>
      </c>
      <c r="H1051" s="64">
        <v>0.00857</v>
      </c>
      <c r="I1051" s="44"/>
      <c r="J1051" s="44"/>
      <c r="K1051" s="44"/>
      <c r="L1051" s="44"/>
      <c r="M1051" s="44"/>
      <c r="N1051" s="44"/>
      <c r="O1051" s="44"/>
      <c r="P1051" s="44"/>
      <c r="Q1051" s="44"/>
      <c r="R1051" s="44"/>
      <c r="S1051" s="44"/>
      <c r="T1051" s="44"/>
      <c r="U1051" s="44"/>
    </row>
    <row r="1052">
      <c r="A1052" s="48" t="s">
        <v>10334</v>
      </c>
      <c r="B1052" s="44"/>
      <c r="C1052" s="48" t="s">
        <v>10335</v>
      </c>
      <c r="D1052" s="44"/>
      <c r="E1052" s="48" t="s">
        <v>5624</v>
      </c>
      <c r="F1052" s="48" t="s">
        <v>4095</v>
      </c>
      <c r="G1052" s="55" t="s">
        <v>96</v>
      </c>
      <c r="H1052" s="64">
        <v>0.00851</v>
      </c>
      <c r="I1052" s="44"/>
      <c r="J1052" s="44"/>
      <c r="K1052" s="44"/>
      <c r="L1052" s="44"/>
      <c r="M1052" s="44"/>
      <c r="N1052" s="44"/>
      <c r="O1052" s="44"/>
      <c r="P1052" s="44"/>
      <c r="Q1052" s="44"/>
      <c r="R1052" s="44"/>
      <c r="S1052" s="44"/>
      <c r="T1052" s="44"/>
      <c r="U1052" s="44"/>
    </row>
    <row r="1053">
      <c r="A1053" s="48" t="s">
        <v>10336</v>
      </c>
      <c r="B1053" s="44"/>
      <c r="C1053" s="48" t="s">
        <v>10337</v>
      </c>
      <c r="D1053" s="44"/>
      <c r="E1053" s="48" t="s">
        <v>5366</v>
      </c>
      <c r="F1053" s="48" t="s">
        <v>8759</v>
      </c>
      <c r="G1053" s="55" t="s">
        <v>96</v>
      </c>
      <c r="H1053" s="64">
        <v>0.0085</v>
      </c>
      <c r="I1053" s="44"/>
      <c r="J1053" s="44"/>
      <c r="K1053" s="44"/>
      <c r="L1053" s="44"/>
      <c r="M1053" s="44"/>
      <c r="N1053" s="44"/>
      <c r="O1053" s="44"/>
      <c r="P1053" s="44"/>
      <c r="Q1053" s="44"/>
      <c r="R1053" s="44"/>
      <c r="S1053" s="44"/>
      <c r="T1053" s="44"/>
      <c r="U1053" s="44"/>
    </row>
    <row r="1054">
      <c r="A1054" s="48" t="s">
        <v>10338</v>
      </c>
      <c r="B1054" s="44"/>
      <c r="C1054" s="48" t="s">
        <v>10339</v>
      </c>
      <c r="D1054" s="44"/>
      <c r="E1054" s="48" t="s">
        <v>5366</v>
      </c>
      <c r="F1054" s="48" t="s">
        <v>5425</v>
      </c>
      <c r="G1054" s="55" t="s">
        <v>96</v>
      </c>
      <c r="H1054" s="64">
        <v>0.00839</v>
      </c>
      <c r="I1054" s="44"/>
      <c r="J1054" s="44"/>
      <c r="K1054" s="44"/>
      <c r="L1054" s="44"/>
      <c r="M1054" s="44"/>
      <c r="N1054" s="44"/>
      <c r="O1054" s="44"/>
      <c r="P1054" s="44"/>
      <c r="Q1054" s="44"/>
      <c r="R1054" s="44"/>
      <c r="S1054" s="44"/>
      <c r="T1054" s="44"/>
      <c r="U1054" s="44"/>
    </row>
    <row r="1055">
      <c r="A1055" s="48" t="s">
        <v>10340</v>
      </c>
      <c r="B1055" s="44"/>
      <c r="C1055" s="48" t="s">
        <v>10341</v>
      </c>
      <c r="D1055" s="44"/>
      <c r="E1055" s="48" t="s">
        <v>5215</v>
      </c>
      <c r="F1055" s="48" t="s">
        <v>4436</v>
      </c>
      <c r="G1055" s="55" t="s">
        <v>96</v>
      </c>
      <c r="H1055" s="64">
        <v>0.00838</v>
      </c>
      <c r="I1055" s="44"/>
      <c r="J1055" s="44"/>
      <c r="K1055" s="44"/>
      <c r="L1055" s="44"/>
      <c r="M1055" s="44"/>
      <c r="N1055" s="44"/>
      <c r="O1055" s="44"/>
      <c r="P1055" s="44"/>
      <c r="Q1055" s="44"/>
      <c r="R1055" s="44"/>
      <c r="S1055" s="44"/>
      <c r="T1055" s="44"/>
      <c r="U1055" s="44"/>
    </row>
    <row r="1056">
      <c r="A1056" s="48" t="s">
        <v>10342</v>
      </c>
      <c r="B1056" s="44"/>
      <c r="C1056" s="48" t="s">
        <v>3735</v>
      </c>
      <c r="D1056" s="44"/>
      <c r="E1056" s="48" t="s">
        <v>6130</v>
      </c>
      <c r="F1056" s="48" t="s">
        <v>9617</v>
      </c>
      <c r="G1056" s="55" t="s">
        <v>96</v>
      </c>
      <c r="H1056" s="64">
        <v>0.00835</v>
      </c>
      <c r="I1056" s="44"/>
      <c r="J1056" s="44"/>
      <c r="K1056" s="44"/>
      <c r="L1056" s="44"/>
      <c r="M1056" s="44"/>
      <c r="N1056" s="44"/>
      <c r="O1056" s="44"/>
      <c r="P1056" s="44"/>
      <c r="Q1056" s="44"/>
      <c r="R1056" s="44"/>
      <c r="S1056" s="44"/>
      <c r="T1056" s="44"/>
      <c r="U1056" s="44"/>
    </row>
    <row r="1057">
      <c r="A1057" s="48" t="s">
        <v>10343</v>
      </c>
      <c r="B1057" s="44"/>
      <c r="C1057" s="48" t="s">
        <v>10344</v>
      </c>
      <c r="D1057" s="44"/>
      <c r="E1057" s="48" t="s">
        <v>5218</v>
      </c>
      <c r="F1057" s="48" t="s">
        <v>5747</v>
      </c>
      <c r="G1057" s="55" t="s">
        <v>96</v>
      </c>
      <c r="H1057" s="64">
        <v>0.00825</v>
      </c>
      <c r="I1057" s="44"/>
      <c r="J1057" s="44"/>
      <c r="K1057" s="44"/>
      <c r="L1057" s="44"/>
      <c r="M1057" s="44"/>
      <c r="N1057" s="44"/>
      <c r="O1057" s="44"/>
      <c r="P1057" s="44"/>
      <c r="Q1057" s="44"/>
      <c r="R1057" s="44"/>
      <c r="S1057" s="44"/>
      <c r="T1057" s="44"/>
      <c r="U1057" s="44"/>
    </row>
    <row r="1058">
      <c r="A1058" s="48" t="s">
        <v>10345</v>
      </c>
      <c r="B1058" s="44"/>
      <c r="C1058" s="48" t="s">
        <v>10346</v>
      </c>
      <c r="D1058" s="44"/>
      <c r="E1058" s="48" t="s">
        <v>5561</v>
      </c>
      <c r="F1058" s="48" t="s">
        <v>6220</v>
      </c>
      <c r="G1058" s="55" t="s">
        <v>96</v>
      </c>
      <c r="H1058" s="64">
        <v>0.00822</v>
      </c>
      <c r="I1058" s="44"/>
      <c r="J1058" s="44"/>
      <c r="K1058" s="44"/>
      <c r="L1058" s="44"/>
      <c r="M1058" s="44"/>
      <c r="N1058" s="44"/>
      <c r="O1058" s="44"/>
      <c r="P1058" s="44"/>
      <c r="Q1058" s="44"/>
      <c r="R1058" s="44"/>
      <c r="S1058" s="44"/>
      <c r="T1058" s="44"/>
      <c r="U1058" s="44"/>
    </row>
    <row r="1059">
      <c r="A1059" s="48" t="s">
        <v>10347</v>
      </c>
      <c r="B1059" s="44"/>
      <c r="C1059" s="48" t="s">
        <v>10348</v>
      </c>
      <c r="D1059" s="44"/>
      <c r="E1059" s="48" t="s">
        <v>7360</v>
      </c>
      <c r="F1059" s="48" t="s">
        <v>4095</v>
      </c>
      <c r="G1059" s="55" t="s">
        <v>96</v>
      </c>
      <c r="H1059" s="64">
        <v>0.00822</v>
      </c>
      <c r="I1059" s="44"/>
      <c r="J1059" s="44"/>
      <c r="K1059" s="44"/>
      <c r="L1059" s="44"/>
      <c r="M1059" s="44"/>
      <c r="N1059" s="44"/>
      <c r="O1059" s="44"/>
      <c r="P1059" s="44"/>
      <c r="Q1059" s="44"/>
      <c r="R1059" s="44"/>
      <c r="S1059" s="44"/>
      <c r="T1059" s="44"/>
      <c r="U1059" s="44"/>
    </row>
    <row r="1060">
      <c r="A1060" s="48" t="s">
        <v>10349</v>
      </c>
      <c r="B1060" s="44"/>
      <c r="C1060" s="48" t="s">
        <v>10350</v>
      </c>
      <c r="D1060" s="44"/>
      <c r="E1060" s="48" t="s">
        <v>5267</v>
      </c>
      <c r="F1060" s="48" t="s">
        <v>8784</v>
      </c>
      <c r="G1060" s="55" t="s">
        <v>96</v>
      </c>
      <c r="H1060" s="64">
        <v>0.00814</v>
      </c>
      <c r="I1060" s="44"/>
      <c r="J1060" s="44"/>
      <c r="K1060" s="44"/>
      <c r="L1060" s="44"/>
      <c r="M1060" s="44"/>
      <c r="N1060" s="44"/>
      <c r="O1060" s="44"/>
      <c r="P1060" s="44"/>
      <c r="Q1060" s="44"/>
      <c r="R1060" s="44"/>
      <c r="S1060" s="44"/>
      <c r="T1060" s="44"/>
      <c r="U1060" s="44"/>
    </row>
    <row r="1061">
      <c r="A1061" s="48" t="s">
        <v>10351</v>
      </c>
      <c r="B1061" s="44"/>
      <c r="C1061" s="48" t="s">
        <v>10352</v>
      </c>
      <c r="D1061" s="44"/>
      <c r="E1061" s="48" t="s">
        <v>5321</v>
      </c>
      <c r="F1061" s="48" t="s">
        <v>8784</v>
      </c>
      <c r="G1061" s="55" t="s">
        <v>96</v>
      </c>
      <c r="H1061" s="64">
        <v>0.00812</v>
      </c>
      <c r="I1061" s="44"/>
      <c r="J1061" s="44"/>
      <c r="K1061" s="44"/>
      <c r="L1061" s="44"/>
      <c r="M1061" s="44"/>
      <c r="N1061" s="44"/>
      <c r="O1061" s="44"/>
      <c r="P1061" s="44"/>
      <c r="Q1061" s="44"/>
      <c r="R1061" s="44"/>
      <c r="S1061" s="44"/>
      <c r="T1061" s="44"/>
      <c r="U1061" s="44"/>
    </row>
    <row r="1062">
      <c r="A1062" s="48" t="s">
        <v>10353</v>
      </c>
      <c r="B1062" s="44"/>
      <c r="C1062" s="48" t="s">
        <v>10354</v>
      </c>
      <c r="D1062" s="44"/>
      <c r="E1062" s="48" t="s">
        <v>5964</v>
      </c>
      <c r="F1062" s="48" t="s">
        <v>5747</v>
      </c>
      <c r="G1062" s="55" t="s">
        <v>96</v>
      </c>
      <c r="H1062" s="64">
        <v>0.00808</v>
      </c>
      <c r="I1062" s="44"/>
      <c r="J1062" s="44"/>
      <c r="K1062" s="44"/>
      <c r="L1062" s="44"/>
      <c r="M1062" s="44"/>
      <c r="N1062" s="44"/>
      <c r="O1062" s="44"/>
      <c r="P1062" s="44"/>
      <c r="Q1062" s="44"/>
      <c r="R1062" s="44"/>
      <c r="S1062" s="44"/>
      <c r="T1062" s="44"/>
      <c r="U1062" s="44"/>
    </row>
    <row r="1063">
      <c r="A1063" s="48" t="s">
        <v>10355</v>
      </c>
      <c r="B1063" s="44"/>
      <c r="C1063" s="48" t="s">
        <v>10356</v>
      </c>
      <c r="D1063" s="44"/>
      <c r="E1063" s="48" t="s">
        <v>8154</v>
      </c>
      <c r="F1063" s="48" t="s">
        <v>9021</v>
      </c>
      <c r="G1063" s="55" t="s">
        <v>96</v>
      </c>
      <c r="H1063" s="64">
        <v>0.00804</v>
      </c>
      <c r="I1063" s="44"/>
      <c r="J1063" s="44"/>
      <c r="K1063" s="44"/>
      <c r="L1063" s="44"/>
      <c r="M1063" s="44"/>
      <c r="N1063" s="44"/>
      <c r="O1063" s="44"/>
      <c r="P1063" s="44"/>
      <c r="Q1063" s="44"/>
      <c r="R1063" s="44"/>
      <c r="S1063" s="44"/>
      <c r="T1063" s="44"/>
      <c r="U1063" s="44"/>
    </row>
    <row r="1064">
      <c r="A1064" s="48" t="s">
        <v>10357</v>
      </c>
      <c r="B1064" s="44"/>
      <c r="C1064" s="48" t="s">
        <v>10358</v>
      </c>
      <c r="D1064" s="44"/>
      <c r="E1064" s="48" t="s">
        <v>5478</v>
      </c>
      <c r="F1064" s="48" t="s">
        <v>5329</v>
      </c>
      <c r="G1064" s="55" t="s">
        <v>96</v>
      </c>
      <c r="H1064" s="64">
        <v>0.00803</v>
      </c>
      <c r="I1064" s="44"/>
      <c r="J1064" s="44"/>
      <c r="K1064" s="44"/>
      <c r="L1064" s="44"/>
      <c r="M1064" s="44"/>
      <c r="N1064" s="44"/>
      <c r="O1064" s="44"/>
      <c r="P1064" s="44"/>
      <c r="Q1064" s="44"/>
      <c r="R1064" s="44"/>
      <c r="S1064" s="44"/>
      <c r="T1064" s="44"/>
      <c r="U1064" s="44"/>
    </row>
    <row r="1065">
      <c r="A1065" s="48" t="s">
        <v>10359</v>
      </c>
      <c r="B1065" s="44"/>
      <c r="C1065" s="48" t="s">
        <v>10360</v>
      </c>
      <c r="D1065" s="44"/>
      <c r="E1065" s="48" t="s">
        <v>5589</v>
      </c>
      <c r="F1065" s="48" t="s">
        <v>9299</v>
      </c>
      <c r="G1065" s="55" t="s">
        <v>96</v>
      </c>
      <c r="H1065" s="64">
        <v>0.00802</v>
      </c>
      <c r="I1065" s="44"/>
      <c r="J1065" s="44"/>
      <c r="K1065" s="44"/>
      <c r="L1065" s="44"/>
      <c r="M1065" s="44"/>
      <c r="N1065" s="44"/>
      <c r="O1065" s="44"/>
      <c r="P1065" s="44"/>
      <c r="Q1065" s="44"/>
      <c r="R1065" s="44"/>
      <c r="S1065" s="44"/>
      <c r="T1065" s="44"/>
      <c r="U1065" s="44"/>
    </row>
    <row r="1066">
      <c r="A1066" s="48" t="s">
        <v>10361</v>
      </c>
      <c r="B1066" s="44"/>
      <c r="C1066" s="48" t="s">
        <v>10362</v>
      </c>
      <c r="D1066" s="44"/>
      <c r="E1066" s="48" t="s">
        <v>6115</v>
      </c>
      <c r="F1066" s="48" t="s">
        <v>6698</v>
      </c>
      <c r="G1066" s="55" t="s">
        <v>96</v>
      </c>
      <c r="H1066" s="64">
        <v>0.00802</v>
      </c>
      <c r="I1066" s="44"/>
      <c r="J1066" s="44"/>
      <c r="K1066" s="44"/>
      <c r="L1066" s="44"/>
      <c r="M1066" s="44"/>
      <c r="N1066" s="44"/>
      <c r="O1066" s="44"/>
      <c r="P1066" s="44"/>
      <c r="Q1066" s="44"/>
      <c r="R1066" s="44"/>
      <c r="S1066" s="44"/>
      <c r="T1066" s="44"/>
      <c r="U1066" s="44"/>
    </row>
    <row r="1067">
      <c r="A1067" s="48" t="s">
        <v>10363</v>
      </c>
      <c r="B1067" s="44"/>
      <c r="C1067" s="48" t="s">
        <v>10364</v>
      </c>
      <c r="D1067" s="44"/>
      <c r="E1067" s="48" t="s">
        <v>5650</v>
      </c>
      <c r="F1067" s="48" t="s">
        <v>5927</v>
      </c>
      <c r="G1067" s="55" t="s">
        <v>96</v>
      </c>
      <c r="H1067" s="64">
        <v>0.00802</v>
      </c>
      <c r="I1067" s="44"/>
      <c r="J1067" s="44"/>
      <c r="K1067" s="44"/>
      <c r="L1067" s="44"/>
      <c r="M1067" s="44"/>
      <c r="N1067" s="44"/>
      <c r="O1067" s="44"/>
      <c r="P1067" s="44"/>
      <c r="Q1067" s="44"/>
      <c r="R1067" s="44"/>
      <c r="S1067" s="44"/>
      <c r="T1067" s="44"/>
      <c r="U1067" s="44"/>
    </row>
    <row r="1068">
      <c r="A1068" s="48" t="s">
        <v>10365</v>
      </c>
      <c r="B1068" s="44"/>
      <c r="C1068" s="48" t="s">
        <v>10366</v>
      </c>
      <c r="D1068" s="44"/>
      <c r="E1068" s="48" t="s">
        <v>5215</v>
      </c>
      <c r="F1068" s="48" t="s">
        <v>8784</v>
      </c>
      <c r="G1068" s="55" t="s">
        <v>96</v>
      </c>
      <c r="H1068" s="64">
        <v>0.00801</v>
      </c>
      <c r="I1068" s="44"/>
      <c r="J1068" s="44"/>
      <c r="K1068" s="44"/>
      <c r="L1068" s="44"/>
      <c r="M1068" s="44"/>
      <c r="N1068" s="44"/>
      <c r="O1068" s="44"/>
      <c r="P1068" s="44"/>
      <c r="Q1068" s="44"/>
      <c r="R1068" s="44"/>
      <c r="S1068" s="44"/>
      <c r="T1068" s="44"/>
      <c r="U1068" s="44"/>
    </row>
    <row r="1069">
      <c r="A1069" s="48" t="s">
        <v>7183</v>
      </c>
      <c r="B1069" s="44"/>
      <c r="C1069" s="48" t="s">
        <v>7184</v>
      </c>
      <c r="D1069" s="44"/>
      <c r="E1069" s="48" t="s">
        <v>5422</v>
      </c>
      <c r="F1069" s="48" t="s">
        <v>4340</v>
      </c>
      <c r="G1069" s="55" t="s">
        <v>96</v>
      </c>
      <c r="H1069" s="64">
        <v>0.00797</v>
      </c>
      <c r="I1069" s="44"/>
      <c r="J1069" s="44"/>
      <c r="K1069" s="44"/>
      <c r="L1069" s="44"/>
      <c r="M1069" s="44"/>
      <c r="N1069" s="44"/>
      <c r="O1069" s="44"/>
      <c r="P1069" s="44"/>
      <c r="Q1069" s="44"/>
      <c r="R1069" s="44"/>
      <c r="S1069" s="44"/>
      <c r="T1069" s="44"/>
      <c r="U1069" s="44"/>
    </row>
    <row r="1070">
      <c r="A1070" s="48" t="s">
        <v>7346</v>
      </c>
      <c r="B1070" s="44"/>
      <c r="C1070" s="48" t="s">
        <v>7347</v>
      </c>
      <c r="D1070" s="44"/>
      <c r="E1070" s="48" t="s">
        <v>5855</v>
      </c>
      <c r="F1070" s="48" t="s">
        <v>4340</v>
      </c>
      <c r="G1070" s="55" t="s">
        <v>96</v>
      </c>
      <c r="H1070" s="64">
        <v>0.00795</v>
      </c>
      <c r="I1070" s="44"/>
      <c r="J1070" s="44"/>
      <c r="K1070" s="44"/>
      <c r="L1070" s="44"/>
      <c r="M1070" s="44"/>
      <c r="N1070" s="44"/>
      <c r="O1070" s="44"/>
      <c r="P1070" s="44"/>
      <c r="Q1070" s="44"/>
      <c r="R1070" s="44"/>
      <c r="S1070" s="44"/>
      <c r="T1070" s="44"/>
      <c r="U1070" s="44"/>
    </row>
    <row r="1071">
      <c r="A1071" s="48" t="s">
        <v>10367</v>
      </c>
      <c r="B1071" s="44"/>
      <c r="C1071" s="48" t="s">
        <v>7047</v>
      </c>
      <c r="D1071" s="44"/>
      <c r="E1071" s="48" t="s">
        <v>6801</v>
      </c>
      <c r="F1071" s="48" t="s">
        <v>4340</v>
      </c>
      <c r="G1071" s="55" t="s">
        <v>96</v>
      </c>
      <c r="H1071" s="64">
        <v>0.00794</v>
      </c>
      <c r="I1071" s="44"/>
      <c r="J1071" s="44"/>
      <c r="K1071" s="44"/>
      <c r="L1071" s="44"/>
      <c r="M1071" s="44"/>
      <c r="N1071" s="44"/>
      <c r="O1071" s="44"/>
      <c r="P1071" s="44"/>
      <c r="Q1071" s="44"/>
      <c r="R1071" s="44"/>
      <c r="S1071" s="44"/>
      <c r="T1071" s="44"/>
      <c r="U1071" s="44"/>
    </row>
    <row r="1072">
      <c r="A1072" s="48" t="s">
        <v>10368</v>
      </c>
      <c r="B1072" s="44"/>
      <c r="C1072" s="48" t="s">
        <v>10369</v>
      </c>
      <c r="D1072" s="44"/>
      <c r="E1072" s="48" t="s">
        <v>5561</v>
      </c>
      <c r="F1072" s="48" t="s">
        <v>5927</v>
      </c>
      <c r="G1072" s="55" t="s">
        <v>96</v>
      </c>
      <c r="H1072" s="64">
        <v>0.00792</v>
      </c>
      <c r="I1072" s="44"/>
      <c r="J1072" s="44"/>
      <c r="K1072" s="44"/>
      <c r="L1072" s="44"/>
      <c r="M1072" s="44"/>
      <c r="N1072" s="44"/>
      <c r="O1072" s="44"/>
      <c r="P1072" s="44"/>
      <c r="Q1072" s="44"/>
      <c r="R1072" s="44"/>
      <c r="S1072" s="44"/>
      <c r="T1072" s="44"/>
      <c r="U1072" s="44"/>
    </row>
    <row r="1073">
      <c r="A1073" s="48" t="s">
        <v>4091</v>
      </c>
      <c r="B1073" s="44"/>
      <c r="C1073" s="48" t="s">
        <v>10370</v>
      </c>
      <c r="D1073" s="44"/>
      <c r="E1073" s="48" t="s">
        <v>5235</v>
      </c>
      <c r="F1073" s="48" t="s">
        <v>5836</v>
      </c>
      <c r="G1073" s="55" t="s">
        <v>96</v>
      </c>
      <c r="H1073" s="64">
        <v>0.00792</v>
      </c>
      <c r="I1073" s="44"/>
      <c r="J1073" s="44"/>
      <c r="K1073" s="44"/>
      <c r="L1073" s="44"/>
      <c r="M1073" s="44"/>
      <c r="N1073" s="44"/>
      <c r="O1073" s="44"/>
      <c r="P1073" s="44"/>
      <c r="Q1073" s="44"/>
      <c r="R1073" s="44"/>
      <c r="S1073" s="44"/>
      <c r="T1073" s="44"/>
      <c r="U1073" s="44"/>
    </row>
    <row r="1074">
      <c r="A1074" s="48" t="s">
        <v>10371</v>
      </c>
      <c r="B1074" s="44"/>
      <c r="C1074" s="48" t="s">
        <v>10372</v>
      </c>
      <c r="D1074" s="44"/>
      <c r="E1074" s="48" t="s">
        <v>5459</v>
      </c>
      <c r="F1074" s="48" t="s">
        <v>5300</v>
      </c>
      <c r="G1074" s="55" t="s">
        <v>96</v>
      </c>
      <c r="H1074" s="64">
        <v>0.00791</v>
      </c>
      <c r="I1074" s="44"/>
      <c r="J1074" s="44"/>
      <c r="K1074" s="44"/>
      <c r="L1074" s="44"/>
      <c r="M1074" s="44"/>
      <c r="N1074" s="44"/>
      <c r="O1074" s="44"/>
      <c r="P1074" s="44"/>
      <c r="Q1074" s="44"/>
      <c r="R1074" s="44"/>
      <c r="S1074" s="44"/>
      <c r="T1074" s="44"/>
      <c r="U1074" s="44"/>
    </row>
    <row r="1075">
      <c r="A1075" s="48" t="s">
        <v>10373</v>
      </c>
      <c r="B1075" s="44"/>
      <c r="C1075" s="48" t="s">
        <v>9717</v>
      </c>
      <c r="D1075" s="44"/>
      <c r="E1075" s="48" t="s">
        <v>5756</v>
      </c>
      <c r="F1075" s="48" t="s">
        <v>8767</v>
      </c>
      <c r="G1075" s="55" t="s">
        <v>96</v>
      </c>
      <c r="H1075" s="64">
        <v>0.00791</v>
      </c>
      <c r="I1075" s="44"/>
      <c r="J1075" s="44"/>
      <c r="K1075" s="44"/>
      <c r="L1075" s="44"/>
      <c r="M1075" s="44"/>
      <c r="N1075" s="44"/>
      <c r="O1075" s="44"/>
      <c r="P1075" s="44"/>
      <c r="Q1075" s="44"/>
      <c r="R1075" s="44"/>
      <c r="S1075" s="44"/>
      <c r="T1075" s="44"/>
      <c r="U1075" s="44"/>
    </row>
    <row r="1076">
      <c r="A1076" s="48" t="s">
        <v>10374</v>
      </c>
      <c r="B1076" s="44"/>
      <c r="C1076" s="48" t="s">
        <v>10375</v>
      </c>
      <c r="D1076" s="44"/>
      <c r="E1076" s="48" t="s">
        <v>5422</v>
      </c>
      <c r="F1076" s="48" t="s">
        <v>4095</v>
      </c>
      <c r="G1076" s="55" t="s">
        <v>96</v>
      </c>
      <c r="H1076" s="64">
        <v>0.00784</v>
      </c>
      <c r="I1076" s="44"/>
      <c r="J1076" s="44"/>
      <c r="K1076" s="44"/>
      <c r="L1076" s="44"/>
      <c r="M1076" s="44"/>
      <c r="N1076" s="44"/>
      <c r="O1076" s="44"/>
      <c r="P1076" s="44"/>
      <c r="Q1076" s="44"/>
      <c r="R1076" s="44"/>
      <c r="S1076" s="44"/>
      <c r="T1076" s="44"/>
      <c r="U1076" s="44"/>
    </row>
    <row r="1077">
      <c r="A1077" s="48" t="s">
        <v>10376</v>
      </c>
      <c r="B1077" s="44"/>
      <c r="C1077" s="48" t="s">
        <v>10377</v>
      </c>
      <c r="D1077" s="44"/>
      <c r="E1077" s="48" t="s">
        <v>6931</v>
      </c>
      <c r="F1077" s="48" t="s">
        <v>5927</v>
      </c>
      <c r="G1077" s="55" t="s">
        <v>96</v>
      </c>
      <c r="H1077" s="64">
        <v>0.00783</v>
      </c>
      <c r="I1077" s="44"/>
      <c r="J1077" s="44"/>
      <c r="K1077" s="44"/>
      <c r="L1077" s="44"/>
      <c r="M1077" s="44"/>
      <c r="N1077" s="44"/>
      <c r="O1077" s="44"/>
      <c r="P1077" s="44"/>
      <c r="Q1077" s="44"/>
      <c r="R1077" s="44"/>
      <c r="S1077" s="44"/>
      <c r="T1077" s="44"/>
      <c r="U1077" s="44"/>
    </row>
    <row r="1078">
      <c r="A1078" s="48" t="s">
        <v>10378</v>
      </c>
      <c r="B1078" s="44"/>
      <c r="C1078" s="48" t="s">
        <v>10379</v>
      </c>
      <c r="D1078" s="44"/>
      <c r="E1078" s="48" t="s">
        <v>6130</v>
      </c>
      <c r="F1078" s="48" t="s">
        <v>9299</v>
      </c>
      <c r="G1078" s="55" t="s">
        <v>96</v>
      </c>
      <c r="H1078" s="64">
        <v>0.00781</v>
      </c>
      <c r="I1078" s="44"/>
      <c r="J1078" s="44"/>
      <c r="K1078" s="44"/>
      <c r="L1078" s="44"/>
      <c r="M1078" s="44"/>
      <c r="N1078" s="44"/>
      <c r="O1078" s="44"/>
      <c r="P1078" s="44"/>
      <c r="Q1078" s="44"/>
      <c r="R1078" s="44"/>
      <c r="S1078" s="44"/>
      <c r="T1078" s="44"/>
      <c r="U1078" s="44"/>
    </row>
    <row r="1079">
      <c r="A1079" s="48" t="s">
        <v>10380</v>
      </c>
      <c r="B1079" s="44"/>
      <c r="C1079" s="48" t="s">
        <v>10381</v>
      </c>
      <c r="D1079" s="44"/>
      <c r="E1079" s="48" t="s">
        <v>5561</v>
      </c>
      <c r="F1079" s="48" t="s">
        <v>8784</v>
      </c>
      <c r="G1079" s="55" t="s">
        <v>96</v>
      </c>
      <c r="H1079" s="64">
        <v>0.0078</v>
      </c>
      <c r="I1079" s="44"/>
      <c r="J1079" s="44"/>
      <c r="K1079" s="44"/>
      <c r="L1079" s="44"/>
      <c r="M1079" s="44"/>
      <c r="N1079" s="44"/>
      <c r="O1079" s="44"/>
      <c r="P1079" s="44"/>
      <c r="Q1079" s="44"/>
      <c r="R1079" s="44"/>
      <c r="S1079" s="44"/>
      <c r="T1079" s="44"/>
      <c r="U1079" s="44"/>
    </row>
    <row r="1080">
      <c r="A1080" s="48" t="s">
        <v>10382</v>
      </c>
      <c r="B1080" s="44"/>
      <c r="C1080" s="48" t="s">
        <v>10383</v>
      </c>
      <c r="D1080" s="44"/>
      <c r="E1080" s="48" t="s">
        <v>5377</v>
      </c>
      <c r="F1080" s="48" t="s">
        <v>9414</v>
      </c>
      <c r="G1080" s="55" t="s">
        <v>96</v>
      </c>
      <c r="H1080" s="64">
        <v>0.00779</v>
      </c>
      <c r="I1080" s="44"/>
      <c r="J1080" s="44"/>
      <c r="K1080" s="44"/>
      <c r="L1080" s="44"/>
      <c r="M1080" s="44"/>
      <c r="N1080" s="44"/>
      <c r="O1080" s="44"/>
      <c r="P1080" s="44"/>
      <c r="Q1080" s="44"/>
      <c r="R1080" s="44"/>
      <c r="S1080" s="44"/>
      <c r="T1080" s="44"/>
      <c r="U1080" s="44"/>
    </row>
    <row r="1081">
      <c r="A1081" s="48" t="s">
        <v>10384</v>
      </c>
      <c r="B1081" s="44"/>
      <c r="C1081" s="48" t="s">
        <v>10385</v>
      </c>
      <c r="D1081" s="44"/>
      <c r="E1081" s="48" t="s">
        <v>5450</v>
      </c>
      <c r="F1081" s="48" t="s">
        <v>5836</v>
      </c>
      <c r="G1081" s="55" t="s">
        <v>96</v>
      </c>
      <c r="H1081" s="64">
        <v>0.00777</v>
      </c>
      <c r="I1081" s="44"/>
      <c r="J1081" s="44"/>
      <c r="K1081" s="44"/>
      <c r="L1081" s="44"/>
      <c r="M1081" s="44"/>
      <c r="N1081" s="44"/>
      <c r="O1081" s="44"/>
      <c r="P1081" s="44"/>
      <c r="Q1081" s="44"/>
      <c r="R1081" s="44"/>
      <c r="S1081" s="44"/>
      <c r="T1081" s="44"/>
      <c r="U1081" s="44"/>
    </row>
    <row r="1082">
      <c r="A1082" s="48" t="s">
        <v>10386</v>
      </c>
      <c r="B1082" s="44"/>
      <c r="C1082" s="48" t="s">
        <v>10387</v>
      </c>
      <c r="D1082" s="44"/>
      <c r="E1082" s="48" t="s">
        <v>6338</v>
      </c>
      <c r="F1082" s="48" t="s">
        <v>6210</v>
      </c>
      <c r="G1082" s="55" t="s">
        <v>96</v>
      </c>
      <c r="H1082" s="64">
        <v>0.00775</v>
      </c>
      <c r="I1082" s="44"/>
      <c r="J1082" s="44"/>
      <c r="K1082" s="44"/>
      <c r="L1082" s="44"/>
      <c r="M1082" s="44"/>
      <c r="N1082" s="44"/>
      <c r="O1082" s="44"/>
      <c r="P1082" s="44"/>
      <c r="Q1082" s="44"/>
      <c r="R1082" s="44"/>
      <c r="S1082" s="44"/>
      <c r="T1082" s="44"/>
      <c r="U1082" s="44"/>
    </row>
    <row r="1083">
      <c r="A1083" s="48" t="s">
        <v>10388</v>
      </c>
      <c r="B1083" s="44"/>
      <c r="C1083" s="48" t="s">
        <v>10389</v>
      </c>
      <c r="D1083" s="44"/>
      <c r="E1083" s="48" t="s">
        <v>5215</v>
      </c>
      <c r="F1083" s="48" t="s">
        <v>8784</v>
      </c>
      <c r="G1083" s="55" t="s">
        <v>96</v>
      </c>
      <c r="H1083" s="64">
        <v>0.00772</v>
      </c>
      <c r="I1083" s="44"/>
      <c r="J1083" s="44"/>
      <c r="K1083" s="44"/>
      <c r="L1083" s="44"/>
      <c r="M1083" s="44"/>
      <c r="N1083" s="44"/>
      <c r="O1083" s="44"/>
      <c r="P1083" s="44"/>
      <c r="Q1083" s="44"/>
      <c r="R1083" s="44"/>
      <c r="S1083" s="44"/>
      <c r="T1083" s="44"/>
      <c r="U1083" s="44"/>
    </row>
    <row r="1084">
      <c r="A1084" s="48" t="s">
        <v>6878</v>
      </c>
      <c r="B1084" s="44"/>
      <c r="C1084" s="48" t="s">
        <v>6879</v>
      </c>
      <c r="D1084" s="44"/>
      <c r="E1084" s="48" t="s">
        <v>5964</v>
      </c>
      <c r="F1084" s="48" t="s">
        <v>4340</v>
      </c>
      <c r="G1084" s="55" t="s">
        <v>96</v>
      </c>
      <c r="H1084" s="64">
        <v>0.0077</v>
      </c>
      <c r="I1084" s="44"/>
      <c r="J1084" s="44"/>
      <c r="K1084" s="44"/>
      <c r="L1084" s="44"/>
      <c r="M1084" s="44"/>
      <c r="N1084" s="44"/>
      <c r="O1084" s="44"/>
      <c r="P1084" s="44"/>
      <c r="Q1084" s="44"/>
      <c r="R1084" s="44"/>
      <c r="S1084" s="44"/>
      <c r="T1084" s="44"/>
      <c r="U1084" s="44"/>
    </row>
    <row r="1085">
      <c r="A1085" s="48" t="s">
        <v>10390</v>
      </c>
      <c r="B1085" s="44"/>
      <c r="C1085" s="48" t="s">
        <v>10391</v>
      </c>
      <c r="D1085" s="44"/>
      <c r="E1085" s="48" t="s">
        <v>9189</v>
      </c>
      <c r="F1085" s="48" t="s">
        <v>8784</v>
      </c>
      <c r="G1085" s="55" t="s">
        <v>96</v>
      </c>
      <c r="H1085" s="64">
        <v>0.00768</v>
      </c>
      <c r="I1085" s="44"/>
      <c r="J1085" s="44"/>
      <c r="K1085" s="44"/>
      <c r="L1085" s="44"/>
      <c r="M1085" s="44"/>
      <c r="N1085" s="44"/>
      <c r="O1085" s="44"/>
      <c r="P1085" s="44"/>
      <c r="Q1085" s="44"/>
      <c r="R1085" s="44"/>
      <c r="S1085" s="44"/>
      <c r="T1085" s="44"/>
      <c r="U1085" s="44"/>
    </row>
    <row r="1086">
      <c r="A1086" s="48" t="s">
        <v>10392</v>
      </c>
      <c r="B1086" s="44"/>
      <c r="C1086" s="48" t="s">
        <v>10393</v>
      </c>
      <c r="D1086" s="44"/>
      <c r="E1086" s="48" t="s">
        <v>8648</v>
      </c>
      <c r="F1086" s="48" t="s">
        <v>9021</v>
      </c>
      <c r="G1086" s="55" t="s">
        <v>96</v>
      </c>
      <c r="H1086" s="64">
        <v>0.00767</v>
      </c>
      <c r="I1086" s="44"/>
      <c r="J1086" s="44"/>
      <c r="K1086" s="44"/>
      <c r="L1086" s="44"/>
      <c r="M1086" s="44"/>
      <c r="N1086" s="44"/>
      <c r="O1086" s="44"/>
      <c r="P1086" s="44"/>
      <c r="Q1086" s="44"/>
      <c r="R1086" s="44"/>
      <c r="S1086" s="44"/>
      <c r="T1086" s="44"/>
      <c r="U1086" s="44"/>
    </row>
    <row r="1087">
      <c r="A1087" s="48" t="s">
        <v>10394</v>
      </c>
      <c r="B1087" s="44"/>
      <c r="C1087" s="48" t="s">
        <v>10395</v>
      </c>
      <c r="D1087" s="44"/>
      <c r="E1087" s="48" t="s">
        <v>5326</v>
      </c>
      <c r="F1087" s="48" t="s">
        <v>6988</v>
      </c>
      <c r="G1087" s="55" t="s">
        <v>96</v>
      </c>
      <c r="H1087" s="64">
        <v>0.0076</v>
      </c>
      <c r="I1087" s="44"/>
      <c r="J1087" s="44"/>
      <c r="K1087" s="44"/>
      <c r="L1087" s="44"/>
      <c r="M1087" s="44"/>
      <c r="N1087" s="44"/>
      <c r="O1087" s="44"/>
      <c r="P1087" s="44"/>
      <c r="Q1087" s="44"/>
      <c r="R1087" s="44"/>
      <c r="S1087" s="44"/>
      <c r="T1087" s="44"/>
      <c r="U1087" s="44"/>
    </row>
    <row r="1088">
      <c r="A1088" s="48" t="s">
        <v>10396</v>
      </c>
      <c r="B1088" s="44"/>
      <c r="C1088" s="48" t="s">
        <v>10397</v>
      </c>
      <c r="D1088" s="44"/>
      <c r="E1088" s="48" t="s">
        <v>5326</v>
      </c>
      <c r="F1088" s="48" t="s">
        <v>8784</v>
      </c>
      <c r="G1088" s="55" t="s">
        <v>96</v>
      </c>
      <c r="H1088" s="64">
        <v>0.0076</v>
      </c>
      <c r="I1088" s="44"/>
      <c r="J1088" s="44"/>
      <c r="K1088" s="44"/>
      <c r="L1088" s="44"/>
      <c r="M1088" s="44"/>
      <c r="N1088" s="44"/>
      <c r="O1088" s="44"/>
      <c r="P1088" s="44"/>
      <c r="Q1088" s="44"/>
      <c r="R1088" s="44"/>
      <c r="S1088" s="44"/>
      <c r="T1088" s="44"/>
      <c r="U1088" s="44"/>
    </row>
    <row r="1089">
      <c r="A1089" s="48" t="s">
        <v>10398</v>
      </c>
      <c r="B1089" s="44"/>
      <c r="C1089" s="48" t="s">
        <v>10218</v>
      </c>
      <c r="D1089" s="44"/>
      <c r="E1089" s="48" t="s">
        <v>5459</v>
      </c>
      <c r="F1089" s="48" t="s">
        <v>5300</v>
      </c>
      <c r="G1089" s="55" t="s">
        <v>96</v>
      </c>
      <c r="H1089" s="64">
        <v>0.00754</v>
      </c>
      <c r="I1089" s="44"/>
      <c r="J1089" s="44"/>
      <c r="K1089" s="44"/>
      <c r="L1089" s="44"/>
      <c r="M1089" s="44"/>
      <c r="N1089" s="44"/>
      <c r="O1089" s="44"/>
      <c r="P1089" s="44"/>
      <c r="Q1089" s="44"/>
      <c r="R1089" s="44"/>
      <c r="S1089" s="44"/>
      <c r="T1089" s="44"/>
      <c r="U1089" s="44"/>
    </row>
    <row r="1090">
      <c r="A1090" s="48" t="s">
        <v>10399</v>
      </c>
      <c r="B1090" s="44"/>
      <c r="C1090" s="48" t="s">
        <v>10400</v>
      </c>
      <c r="D1090" s="44"/>
      <c r="E1090" s="48" t="s">
        <v>5525</v>
      </c>
      <c r="F1090" s="48" t="s">
        <v>6988</v>
      </c>
      <c r="G1090" s="55" t="s">
        <v>96</v>
      </c>
      <c r="H1090" s="64">
        <v>0.00752</v>
      </c>
      <c r="I1090" s="44"/>
      <c r="J1090" s="44"/>
      <c r="K1090" s="44"/>
      <c r="L1090" s="44"/>
      <c r="M1090" s="44"/>
      <c r="N1090" s="44"/>
      <c r="O1090" s="44"/>
      <c r="P1090" s="44"/>
      <c r="Q1090" s="44"/>
      <c r="R1090" s="44"/>
      <c r="S1090" s="44"/>
      <c r="T1090" s="44"/>
      <c r="U1090" s="44"/>
    </row>
    <row r="1091">
      <c r="A1091" s="48" t="s">
        <v>10401</v>
      </c>
      <c r="B1091" s="44"/>
      <c r="C1091" s="48" t="s">
        <v>10402</v>
      </c>
      <c r="D1091" s="44"/>
      <c r="E1091" s="48" t="s">
        <v>5450</v>
      </c>
      <c r="F1091" s="48" t="s">
        <v>5300</v>
      </c>
      <c r="G1091" s="55" t="s">
        <v>96</v>
      </c>
      <c r="H1091" s="64">
        <v>0.00752</v>
      </c>
      <c r="I1091" s="44"/>
      <c r="J1091" s="44"/>
      <c r="K1091" s="44"/>
      <c r="L1091" s="44"/>
      <c r="M1091" s="44"/>
      <c r="N1091" s="44"/>
      <c r="O1091" s="44"/>
      <c r="P1091" s="44"/>
      <c r="Q1091" s="44"/>
      <c r="R1091" s="44"/>
      <c r="S1091" s="44"/>
      <c r="T1091" s="44"/>
      <c r="U1091" s="44"/>
    </row>
    <row r="1092">
      <c r="A1092" s="48" t="s">
        <v>10403</v>
      </c>
      <c r="B1092" s="44"/>
      <c r="C1092" s="48" t="s">
        <v>10404</v>
      </c>
      <c r="D1092" s="44"/>
      <c r="E1092" s="48" t="s">
        <v>5501</v>
      </c>
      <c r="F1092" s="48" t="s">
        <v>8784</v>
      </c>
      <c r="G1092" s="55" t="s">
        <v>96</v>
      </c>
      <c r="H1092" s="64">
        <v>0.00751</v>
      </c>
      <c r="I1092" s="44"/>
      <c r="J1092" s="44"/>
      <c r="K1092" s="44"/>
      <c r="L1092" s="44"/>
      <c r="M1092" s="44"/>
      <c r="N1092" s="44"/>
      <c r="O1092" s="44"/>
      <c r="P1092" s="44"/>
      <c r="Q1092" s="44"/>
      <c r="R1092" s="44"/>
      <c r="S1092" s="44"/>
      <c r="T1092" s="44"/>
      <c r="U1092" s="44"/>
    </row>
    <row r="1093">
      <c r="A1093" s="48" t="s">
        <v>10405</v>
      </c>
      <c r="B1093" s="44"/>
      <c r="C1093" s="48" t="s">
        <v>10406</v>
      </c>
      <c r="D1093" s="44"/>
      <c r="E1093" s="48" t="s">
        <v>5961</v>
      </c>
      <c r="F1093" s="48" t="s">
        <v>8784</v>
      </c>
      <c r="G1093" s="55" t="s">
        <v>96</v>
      </c>
      <c r="H1093" s="64">
        <v>0.00749</v>
      </c>
      <c r="I1093" s="44"/>
      <c r="J1093" s="44"/>
      <c r="K1093" s="44"/>
      <c r="L1093" s="44"/>
      <c r="M1093" s="44"/>
      <c r="N1093" s="44"/>
      <c r="O1093" s="44"/>
      <c r="P1093" s="44"/>
      <c r="Q1093" s="44"/>
      <c r="R1093" s="44"/>
      <c r="S1093" s="44"/>
      <c r="T1093" s="44"/>
      <c r="U1093" s="44"/>
    </row>
    <row r="1094">
      <c r="A1094" s="48" t="s">
        <v>10407</v>
      </c>
      <c r="B1094" s="44"/>
      <c r="C1094" s="48" t="s">
        <v>10408</v>
      </c>
      <c r="D1094" s="44"/>
      <c r="E1094" s="48" t="s">
        <v>5271</v>
      </c>
      <c r="F1094" s="48" t="s">
        <v>4357</v>
      </c>
      <c r="G1094" s="55" t="s">
        <v>96</v>
      </c>
      <c r="H1094" s="64">
        <v>0.0074</v>
      </c>
      <c r="I1094" s="44"/>
      <c r="J1094" s="44"/>
      <c r="K1094" s="44"/>
      <c r="L1094" s="44"/>
      <c r="M1094" s="44"/>
      <c r="N1094" s="44"/>
      <c r="O1094" s="44"/>
      <c r="P1094" s="44"/>
      <c r="Q1094" s="44"/>
      <c r="R1094" s="44"/>
      <c r="S1094" s="44"/>
      <c r="T1094" s="44"/>
      <c r="U1094" s="44"/>
    </row>
    <row r="1095">
      <c r="A1095" s="48" t="s">
        <v>10409</v>
      </c>
      <c r="B1095" s="44"/>
      <c r="C1095" s="48" t="s">
        <v>10410</v>
      </c>
      <c r="D1095" s="44"/>
      <c r="E1095" s="48" t="s">
        <v>5478</v>
      </c>
      <c r="F1095" s="48" t="s">
        <v>8759</v>
      </c>
      <c r="G1095" s="55" t="s">
        <v>96</v>
      </c>
      <c r="H1095" s="64">
        <v>0.00739</v>
      </c>
      <c r="I1095" s="44"/>
      <c r="J1095" s="44"/>
      <c r="K1095" s="44"/>
      <c r="L1095" s="44"/>
      <c r="M1095" s="44"/>
      <c r="N1095" s="44"/>
      <c r="O1095" s="44"/>
      <c r="P1095" s="44"/>
      <c r="Q1095" s="44"/>
      <c r="R1095" s="44"/>
      <c r="S1095" s="44"/>
      <c r="T1095" s="44"/>
      <c r="U1095" s="44"/>
    </row>
    <row r="1096">
      <c r="A1096" s="48" t="s">
        <v>10411</v>
      </c>
      <c r="B1096" s="44"/>
      <c r="C1096" s="48" t="s">
        <v>10412</v>
      </c>
      <c r="D1096" s="44"/>
      <c r="E1096" s="48" t="s">
        <v>5296</v>
      </c>
      <c r="F1096" s="48" t="s">
        <v>9021</v>
      </c>
      <c r="G1096" s="55" t="s">
        <v>96</v>
      </c>
      <c r="H1096" s="64">
        <v>0.00738</v>
      </c>
      <c r="I1096" s="44"/>
      <c r="J1096" s="44"/>
      <c r="K1096" s="44"/>
      <c r="L1096" s="44"/>
      <c r="M1096" s="44"/>
      <c r="N1096" s="44"/>
      <c r="O1096" s="44"/>
      <c r="P1096" s="44"/>
      <c r="Q1096" s="44"/>
      <c r="R1096" s="44"/>
      <c r="S1096" s="44"/>
      <c r="T1096" s="44"/>
      <c r="U1096" s="44"/>
    </row>
    <row r="1097">
      <c r="A1097" s="48" t="s">
        <v>10413</v>
      </c>
      <c r="B1097" s="44"/>
      <c r="C1097" s="48" t="s">
        <v>10414</v>
      </c>
      <c r="D1097" s="44"/>
      <c r="E1097" s="48" t="s">
        <v>5309</v>
      </c>
      <c r="F1097" s="48" t="s">
        <v>8784</v>
      </c>
      <c r="G1097" s="55" t="s">
        <v>96</v>
      </c>
      <c r="H1097" s="64">
        <v>0.00738</v>
      </c>
      <c r="I1097" s="44"/>
      <c r="J1097" s="44"/>
      <c r="K1097" s="44"/>
      <c r="L1097" s="44"/>
      <c r="M1097" s="44"/>
      <c r="N1097" s="44"/>
      <c r="O1097" s="44"/>
      <c r="P1097" s="44"/>
      <c r="Q1097" s="44"/>
      <c r="R1097" s="44"/>
      <c r="S1097" s="44"/>
      <c r="T1097" s="44"/>
      <c r="U1097" s="44"/>
    </row>
    <row r="1098">
      <c r="A1098" s="48" t="s">
        <v>6840</v>
      </c>
      <c r="B1098" s="44"/>
      <c r="C1098" s="48" t="s">
        <v>6841</v>
      </c>
      <c r="D1098" s="44"/>
      <c r="E1098" s="48" t="s">
        <v>5215</v>
      </c>
      <c r="F1098" s="48" t="s">
        <v>4340</v>
      </c>
      <c r="G1098" s="55" t="s">
        <v>96</v>
      </c>
      <c r="H1098" s="64">
        <v>0.00738</v>
      </c>
      <c r="I1098" s="44"/>
      <c r="J1098" s="44"/>
      <c r="K1098" s="44"/>
      <c r="L1098" s="44"/>
      <c r="M1098" s="44"/>
      <c r="N1098" s="44"/>
      <c r="O1098" s="44"/>
      <c r="P1098" s="44"/>
      <c r="Q1098" s="44"/>
      <c r="R1098" s="44"/>
      <c r="S1098" s="44"/>
      <c r="T1098" s="44"/>
      <c r="U1098" s="44"/>
    </row>
    <row r="1099">
      <c r="A1099" s="48" t="s">
        <v>10415</v>
      </c>
      <c r="B1099" s="44"/>
      <c r="C1099" s="48" t="s">
        <v>10416</v>
      </c>
      <c r="D1099" s="44"/>
      <c r="E1099" s="48" t="s">
        <v>5561</v>
      </c>
      <c r="F1099" s="48" t="s">
        <v>6220</v>
      </c>
      <c r="G1099" s="55" t="s">
        <v>96</v>
      </c>
      <c r="H1099" s="64">
        <v>0.00733</v>
      </c>
      <c r="I1099" s="44"/>
      <c r="J1099" s="44"/>
      <c r="K1099" s="44"/>
      <c r="L1099" s="44"/>
      <c r="M1099" s="44"/>
      <c r="N1099" s="44"/>
      <c r="O1099" s="44"/>
      <c r="P1099" s="44"/>
      <c r="Q1099" s="44"/>
      <c r="R1099" s="44"/>
      <c r="S1099" s="44"/>
      <c r="T1099" s="44"/>
      <c r="U1099" s="44"/>
    </row>
    <row r="1100">
      <c r="A1100" s="48" t="s">
        <v>10417</v>
      </c>
      <c r="B1100" s="44"/>
      <c r="C1100" s="48" t="s">
        <v>10418</v>
      </c>
      <c r="D1100" s="44"/>
      <c r="E1100" s="48" t="s">
        <v>5249</v>
      </c>
      <c r="F1100" s="48" t="s">
        <v>4436</v>
      </c>
      <c r="G1100" s="55" t="s">
        <v>96</v>
      </c>
      <c r="H1100" s="64">
        <v>0.00729</v>
      </c>
      <c r="I1100" s="44"/>
      <c r="J1100" s="44"/>
      <c r="K1100" s="44"/>
      <c r="L1100" s="44"/>
      <c r="M1100" s="44"/>
      <c r="N1100" s="44"/>
      <c r="O1100" s="44"/>
      <c r="P1100" s="44"/>
      <c r="Q1100" s="44"/>
      <c r="R1100" s="44"/>
      <c r="S1100" s="44"/>
      <c r="T1100" s="44"/>
      <c r="U1100" s="44"/>
    </row>
    <row r="1101">
      <c r="A1101" s="48" t="s">
        <v>6871</v>
      </c>
      <c r="B1101" s="44"/>
      <c r="C1101" s="48" t="s">
        <v>6872</v>
      </c>
      <c r="D1101" s="44"/>
      <c r="E1101" s="48" t="s">
        <v>5434</v>
      </c>
      <c r="F1101" s="48" t="s">
        <v>5927</v>
      </c>
      <c r="G1101" s="55" t="s">
        <v>96</v>
      </c>
      <c r="H1101" s="64">
        <v>0.00726</v>
      </c>
      <c r="I1101" s="44"/>
      <c r="J1101" s="44"/>
      <c r="K1101" s="44"/>
      <c r="L1101" s="44"/>
      <c r="M1101" s="44"/>
      <c r="N1101" s="44"/>
      <c r="O1101" s="44"/>
      <c r="P1101" s="44"/>
      <c r="Q1101" s="44"/>
      <c r="R1101" s="44"/>
      <c r="S1101" s="44"/>
      <c r="T1101" s="44"/>
      <c r="U1101" s="44"/>
    </row>
    <row r="1102">
      <c r="A1102" s="48" t="s">
        <v>10419</v>
      </c>
      <c r="B1102" s="44"/>
      <c r="C1102" s="48" t="s">
        <v>10420</v>
      </c>
      <c r="D1102" s="44"/>
      <c r="E1102" s="48" t="s">
        <v>5561</v>
      </c>
      <c r="F1102" s="48" t="s">
        <v>9021</v>
      </c>
      <c r="G1102" s="55" t="s">
        <v>96</v>
      </c>
      <c r="H1102" s="64">
        <v>0.00723</v>
      </c>
      <c r="I1102" s="44"/>
      <c r="J1102" s="44"/>
      <c r="K1102" s="44"/>
      <c r="L1102" s="44"/>
      <c r="M1102" s="44"/>
      <c r="N1102" s="44"/>
      <c r="O1102" s="44"/>
      <c r="P1102" s="44"/>
      <c r="Q1102" s="44"/>
      <c r="R1102" s="44"/>
      <c r="S1102" s="44"/>
      <c r="T1102" s="44"/>
      <c r="U1102" s="44"/>
    </row>
    <row r="1103">
      <c r="A1103" s="48" t="s">
        <v>10421</v>
      </c>
      <c r="B1103" s="44"/>
      <c r="C1103" s="48" t="s">
        <v>10422</v>
      </c>
      <c r="D1103" s="44"/>
      <c r="E1103" s="48" t="s">
        <v>5241</v>
      </c>
      <c r="F1103" s="48" t="s">
        <v>8784</v>
      </c>
      <c r="G1103" s="55" t="s">
        <v>96</v>
      </c>
      <c r="H1103" s="64">
        <v>0.00721</v>
      </c>
      <c r="I1103" s="44"/>
      <c r="J1103" s="44"/>
      <c r="K1103" s="44"/>
      <c r="L1103" s="44"/>
      <c r="M1103" s="44"/>
      <c r="N1103" s="44"/>
      <c r="O1103" s="44"/>
      <c r="P1103" s="44"/>
      <c r="Q1103" s="44"/>
      <c r="R1103" s="44"/>
      <c r="S1103" s="44"/>
      <c r="T1103" s="44"/>
      <c r="U1103" s="44"/>
    </row>
    <row r="1104">
      <c r="A1104" s="48" t="s">
        <v>10423</v>
      </c>
      <c r="B1104" s="44"/>
      <c r="C1104" s="48" t="s">
        <v>10424</v>
      </c>
      <c r="D1104" s="44"/>
      <c r="E1104" s="48" t="s">
        <v>5704</v>
      </c>
      <c r="F1104" s="48" t="s">
        <v>8784</v>
      </c>
      <c r="G1104" s="55" t="s">
        <v>96</v>
      </c>
      <c r="H1104" s="64">
        <v>0.0072</v>
      </c>
      <c r="I1104" s="44"/>
      <c r="J1104" s="44"/>
      <c r="K1104" s="44"/>
      <c r="L1104" s="44"/>
      <c r="M1104" s="44"/>
      <c r="N1104" s="44"/>
      <c r="O1104" s="44"/>
      <c r="P1104" s="44"/>
      <c r="Q1104" s="44"/>
      <c r="R1104" s="44"/>
      <c r="S1104" s="44"/>
      <c r="T1104" s="44"/>
      <c r="U1104" s="44"/>
    </row>
    <row r="1105">
      <c r="A1105" s="48" t="s">
        <v>10425</v>
      </c>
      <c r="B1105" s="44"/>
      <c r="C1105" s="48" t="s">
        <v>10426</v>
      </c>
      <c r="D1105" s="44"/>
      <c r="E1105" s="48" t="s">
        <v>5561</v>
      </c>
      <c r="F1105" s="48" t="s">
        <v>5941</v>
      </c>
      <c r="G1105" s="55" t="s">
        <v>96</v>
      </c>
      <c r="H1105" s="64">
        <v>0.00717</v>
      </c>
      <c r="I1105" s="44"/>
      <c r="J1105" s="44"/>
      <c r="K1105" s="44"/>
      <c r="L1105" s="44"/>
      <c r="M1105" s="44"/>
      <c r="N1105" s="44"/>
      <c r="O1105" s="44"/>
      <c r="P1105" s="44"/>
      <c r="Q1105" s="44"/>
      <c r="R1105" s="44"/>
      <c r="S1105" s="44"/>
      <c r="T1105" s="44"/>
      <c r="U1105" s="44"/>
    </row>
    <row r="1106">
      <c r="A1106" s="48" t="s">
        <v>6175</v>
      </c>
      <c r="B1106" s="44"/>
      <c r="C1106" s="48" t="s">
        <v>10427</v>
      </c>
      <c r="D1106" s="44"/>
      <c r="E1106" s="48" t="s">
        <v>5561</v>
      </c>
      <c r="F1106" s="48" t="s">
        <v>8784</v>
      </c>
      <c r="G1106" s="55" t="s">
        <v>96</v>
      </c>
      <c r="H1106" s="64">
        <v>0.00716</v>
      </c>
      <c r="I1106" s="44"/>
      <c r="J1106" s="44"/>
      <c r="K1106" s="44"/>
      <c r="L1106" s="44"/>
      <c r="M1106" s="44"/>
      <c r="N1106" s="44"/>
      <c r="O1106" s="44"/>
      <c r="P1106" s="44"/>
      <c r="Q1106" s="44"/>
      <c r="R1106" s="44"/>
      <c r="S1106" s="44"/>
      <c r="T1106" s="44"/>
      <c r="U1106" s="44"/>
    </row>
    <row r="1107">
      <c r="A1107" s="48" t="s">
        <v>10428</v>
      </c>
      <c r="B1107" s="44"/>
      <c r="C1107" s="48" t="s">
        <v>10429</v>
      </c>
      <c r="D1107" s="44"/>
      <c r="E1107" s="48" t="s">
        <v>5326</v>
      </c>
      <c r="F1107" s="48" t="s">
        <v>8784</v>
      </c>
      <c r="G1107" s="55" t="s">
        <v>96</v>
      </c>
      <c r="H1107" s="64">
        <v>0.00715</v>
      </c>
      <c r="I1107" s="44"/>
      <c r="J1107" s="44"/>
      <c r="K1107" s="44"/>
      <c r="L1107" s="44"/>
      <c r="M1107" s="44"/>
      <c r="N1107" s="44"/>
      <c r="O1107" s="44"/>
      <c r="P1107" s="44"/>
      <c r="Q1107" s="44"/>
      <c r="R1107" s="44"/>
      <c r="S1107" s="44"/>
      <c r="T1107" s="44"/>
      <c r="U1107" s="44"/>
    </row>
    <row r="1108">
      <c r="A1108" s="48" t="s">
        <v>10430</v>
      </c>
      <c r="B1108" s="44"/>
      <c r="C1108" s="48" t="s">
        <v>10431</v>
      </c>
      <c r="D1108" s="44"/>
      <c r="E1108" s="48" t="s">
        <v>5434</v>
      </c>
      <c r="F1108" s="48" t="s">
        <v>9414</v>
      </c>
      <c r="G1108" s="55" t="s">
        <v>96</v>
      </c>
      <c r="H1108" s="64">
        <v>0.00713</v>
      </c>
      <c r="I1108" s="44"/>
      <c r="J1108" s="44"/>
      <c r="K1108" s="44"/>
      <c r="L1108" s="44"/>
      <c r="M1108" s="44"/>
      <c r="N1108" s="44"/>
      <c r="O1108" s="44"/>
      <c r="P1108" s="44"/>
      <c r="Q1108" s="44"/>
      <c r="R1108" s="44"/>
      <c r="S1108" s="44"/>
      <c r="T1108" s="44"/>
      <c r="U1108" s="44"/>
    </row>
    <row r="1109">
      <c r="A1109" s="48" t="s">
        <v>10432</v>
      </c>
      <c r="B1109" s="44"/>
      <c r="C1109" s="48" t="s">
        <v>10433</v>
      </c>
      <c r="D1109" s="44"/>
      <c r="E1109" s="48" t="s">
        <v>5513</v>
      </c>
      <c r="F1109" s="48" t="s">
        <v>9021</v>
      </c>
      <c r="G1109" s="55" t="s">
        <v>96</v>
      </c>
      <c r="H1109" s="64">
        <v>0.00712</v>
      </c>
      <c r="I1109" s="44"/>
      <c r="J1109" s="44"/>
      <c r="K1109" s="44"/>
      <c r="L1109" s="44"/>
      <c r="M1109" s="44"/>
      <c r="N1109" s="44"/>
      <c r="O1109" s="44"/>
      <c r="P1109" s="44"/>
      <c r="Q1109" s="44"/>
      <c r="R1109" s="44"/>
      <c r="S1109" s="44"/>
      <c r="T1109" s="44"/>
      <c r="U1109" s="44"/>
    </row>
    <row r="1110">
      <c r="A1110" s="48" t="s">
        <v>10434</v>
      </c>
      <c r="B1110" s="44"/>
      <c r="C1110" s="48" t="s">
        <v>10435</v>
      </c>
      <c r="D1110" s="44"/>
      <c r="E1110" s="48" t="s">
        <v>5218</v>
      </c>
      <c r="F1110" s="48" t="s">
        <v>8784</v>
      </c>
      <c r="G1110" s="55" t="s">
        <v>96</v>
      </c>
      <c r="H1110" s="64">
        <v>0.00709</v>
      </c>
      <c r="I1110" s="44"/>
      <c r="J1110" s="44"/>
      <c r="K1110" s="44"/>
      <c r="L1110" s="44"/>
      <c r="M1110" s="44"/>
      <c r="N1110" s="44"/>
      <c r="O1110" s="44"/>
      <c r="P1110" s="44"/>
      <c r="Q1110" s="44"/>
      <c r="R1110" s="44"/>
      <c r="S1110" s="44"/>
      <c r="T1110" s="44"/>
      <c r="U1110" s="44"/>
    </row>
    <row r="1111">
      <c r="A1111" s="48" t="s">
        <v>10436</v>
      </c>
      <c r="B1111" s="44"/>
      <c r="C1111" s="48" t="s">
        <v>9928</v>
      </c>
      <c r="D1111" s="44"/>
      <c r="E1111" s="48" t="s">
        <v>5450</v>
      </c>
      <c r="F1111" s="48" t="s">
        <v>9021</v>
      </c>
      <c r="G1111" s="55" t="s">
        <v>96</v>
      </c>
      <c r="H1111" s="64">
        <v>0.00707</v>
      </c>
      <c r="I1111" s="44"/>
      <c r="J1111" s="44"/>
      <c r="K1111" s="44"/>
      <c r="L1111" s="44"/>
      <c r="M1111" s="44"/>
      <c r="N1111" s="44"/>
      <c r="O1111" s="44"/>
      <c r="P1111" s="44"/>
      <c r="Q1111" s="44"/>
      <c r="R1111" s="44"/>
      <c r="S1111" s="44"/>
      <c r="T1111" s="44"/>
      <c r="U1111" s="44"/>
    </row>
    <row r="1112">
      <c r="A1112" s="48" t="s">
        <v>7115</v>
      </c>
      <c r="B1112" s="44"/>
      <c r="C1112" s="48" t="s">
        <v>7116</v>
      </c>
      <c r="D1112" s="44"/>
      <c r="E1112" s="48" t="s">
        <v>6172</v>
      </c>
      <c r="F1112" s="48" t="s">
        <v>4340</v>
      </c>
      <c r="G1112" s="55" t="s">
        <v>96</v>
      </c>
      <c r="H1112" s="64">
        <v>0.00706</v>
      </c>
      <c r="I1112" s="44"/>
      <c r="J1112" s="44"/>
      <c r="K1112" s="44"/>
      <c r="L1112" s="44"/>
      <c r="M1112" s="44"/>
      <c r="N1112" s="44"/>
      <c r="O1112" s="44"/>
      <c r="P1112" s="44"/>
      <c r="Q1112" s="44"/>
      <c r="R1112" s="44"/>
      <c r="S1112" s="44"/>
      <c r="T1112" s="44"/>
      <c r="U1112" s="44"/>
    </row>
    <row r="1113">
      <c r="A1113" s="48" t="s">
        <v>10437</v>
      </c>
      <c r="B1113" s="44"/>
      <c r="C1113" s="48" t="s">
        <v>10438</v>
      </c>
      <c r="D1113" s="44"/>
      <c r="E1113" s="48" t="s">
        <v>5235</v>
      </c>
      <c r="F1113" s="48" t="s">
        <v>4357</v>
      </c>
      <c r="G1113" s="55" t="s">
        <v>96</v>
      </c>
      <c r="H1113" s="64">
        <v>0.00705</v>
      </c>
      <c r="I1113" s="44"/>
      <c r="J1113" s="44"/>
      <c r="K1113" s="44"/>
      <c r="L1113" s="44"/>
      <c r="M1113" s="44"/>
      <c r="N1113" s="44"/>
      <c r="O1113" s="44"/>
      <c r="P1113" s="44"/>
      <c r="Q1113" s="44"/>
      <c r="R1113" s="44"/>
      <c r="S1113" s="44"/>
      <c r="T1113" s="44"/>
      <c r="U1113" s="44"/>
    </row>
    <row r="1114">
      <c r="A1114" s="48" t="s">
        <v>10439</v>
      </c>
      <c r="B1114" s="44"/>
      <c r="C1114" s="48" t="s">
        <v>10440</v>
      </c>
      <c r="D1114" s="44"/>
      <c r="E1114" s="48" t="s">
        <v>5561</v>
      </c>
      <c r="F1114" s="48" t="s">
        <v>8784</v>
      </c>
      <c r="G1114" s="55" t="s">
        <v>96</v>
      </c>
      <c r="H1114" s="64">
        <v>0.00704</v>
      </c>
      <c r="I1114" s="44"/>
      <c r="J1114" s="44"/>
      <c r="K1114" s="44"/>
      <c r="L1114" s="44"/>
      <c r="M1114" s="44"/>
      <c r="N1114" s="44"/>
      <c r="O1114" s="44"/>
      <c r="P1114" s="44"/>
      <c r="Q1114" s="44"/>
      <c r="R1114" s="44"/>
      <c r="S1114" s="44"/>
      <c r="T1114" s="44"/>
      <c r="U1114" s="44"/>
    </row>
    <row r="1115">
      <c r="A1115" s="48" t="s">
        <v>10441</v>
      </c>
      <c r="B1115" s="44"/>
      <c r="C1115" s="48" t="s">
        <v>10442</v>
      </c>
      <c r="D1115" s="44"/>
      <c r="E1115" s="48" t="s">
        <v>5561</v>
      </c>
      <c r="F1115" s="48" t="s">
        <v>6220</v>
      </c>
      <c r="G1115" s="55" t="s">
        <v>96</v>
      </c>
      <c r="H1115" s="64">
        <v>0.00702</v>
      </c>
      <c r="I1115" s="44"/>
      <c r="J1115" s="44"/>
      <c r="K1115" s="44"/>
      <c r="L1115" s="44"/>
      <c r="M1115" s="44"/>
      <c r="N1115" s="44"/>
      <c r="O1115" s="44"/>
      <c r="P1115" s="44"/>
      <c r="Q1115" s="44"/>
      <c r="R1115" s="44"/>
      <c r="S1115" s="44"/>
      <c r="T1115" s="44"/>
      <c r="U1115" s="44"/>
    </row>
    <row r="1116">
      <c r="A1116" s="48" t="s">
        <v>10443</v>
      </c>
      <c r="B1116" s="44"/>
      <c r="C1116" s="48" t="s">
        <v>10444</v>
      </c>
      <c r="D1116" s="44"/>
      <c r="E1116" s="48" t="s">
        <v>5434</v>
      </c>
      <c r="F1116" s="48" t="s">
        <v>5268</v>
      </c>
      <c r="G1116" s="55" t="s">
        <v>96</v>
      </c>
      <c r="H1116" s="64">
        <v>0.00698</v>
      </c>
      <c r="I1116" s="44"/>
      <c r="J1116" s="44"/>
      <c r="K1116" s="44"/>
      <c r="L1116" s="44"/>
      <c r="M1116" s="44"/>
      <c r="N1116" s="44"/>
      <c r="O1116" s="44"/>
      <c r="P1116" s="44"/>
      <c r="Q1116" s="44"/>
      <c r="R1116" s="44"/>
      <c r="S1116" s="44"/>
      <c r="T1116" s="44"/>
      <c r="U1116" s="44"/>
    </row>
    <row r="1117">
      <c r="A1117" s="48" t="s">
        <v>10445</v>
      </c>
      <c r="B1117" s="44"/>
      <c r="C1117" s="48" t="s">
        <v>10446</v>
      </c>
      <c r="D1117" s="44"/>
      <c r="E1117" s="48" t="s">
        <v>6238</v>
      </c>
      <c r="F1117" s="48" t="s">
        <v>5747</v>
      </c>
      <c r="G1117" s="55" t="s">
        <v>96</v>
      </c>
      <c r="H1117" s="64">
        <v>0.00695</v>
      </c>
      <c r="I1117" s="44"/>
      <c r="J1117" s="44"/>
      <c r="K1117" s="44"/>
      <c r="L1117" s="44"/>
      <c r="M1117" s="44"/>
      <c r="N1117" s="44"/>
      <c r="O1117" s="44"/>
      <c r="P1117" s="44"/>
      <c r="Q1117" s="44"/>
      <c r="R1117" s="44"/>
      <c r="S1117" s="44"/>
      <c r="T1117" s="44"/>
      <c r="U1117" s="44"/>
    </row>
    <row r="1118">
      <c r="A1118" s="48" t="s">
        <v>10447</v>
      </c>
      <c r="B1118" s="44"/>
      <c r="C1118" s="48" t="s">
        <v>9807</v>
      </c>
      <c r="D1118" s="44"/>
      <c r="E1118" s="48" t="s">
        <v>5215</v>
      </c>
      <c r="F1118" s="48" t="s">
        <v>9021</v>
      </c>
      <c r="G1118" s="55" t="s">
        <v>96</v>
      </c>
      <c r="H1118" s="64">
        <v>0.00693</v>
      </c>
      <c r="I1118" s="44"/>
      <c r="J1118" s="44"/>
      <c r="K1118" s="44"/>
      <c r="L1118" s="44"/>
      <c r="M1118" s="44"/>
      <c r="N1118" s="44"/>
      <c r="O1118" s="44"/>
      <c r="P1118" s="44"/>
      <c r="Q1118" s="44"/>
      <c r="R1118" s="44"/>
      <c r="S1118" s="44"/>
      <c r="T1118" s="44"/>
      <c r="U1118" s="44"/>
    </row>
    <row r="1119">
      <c r="A1119" s="48" t="s">
        <v>10448</v>
      </c>
      <c r="B1119" s="44"/>
      <c r="C1119" s="48" t="s">
        <v>10449</v>
      </c>
      <c r="D1119" s="44"/>
      <c r="E1119" s="48" t="s">
        <v>5249</v>
      </c>
      <c r="F1119" s="48" t="s">
        <v>5425</v>
      </c>
      <c r="G1119" s="55" t="s">
        <v>96</v>
      </c>
      <c r="H1119" s="64">
        <v>0.00687</v>
      </c>
      <c r="I1119" s="44"/>
      <c r="J1119" s="44"/>
      <c r="K1119" s="44"/>
      <c r="L1119" s="44"/>
      <c r="M1119" s="44"/>
      <c r="N1119" s="44"/>
      <c r="O1119" s="44"/>
      <c r="P1119" s="44"/>
      <c r="Q1119" s="44"/>
      <c r="R1119" s="44"/>
      <c r="S1119" s="44"/>
      <c r="T1119" s="44"/>
      <c r="U1119" s="44"/>
    </row>
    <row r="1120">
      <c r="A1120" s="48" t="s">
        <v>10450</v>
      </c>
      <c r="B1120" s="44"/>
      <c r="C1120" s="48" t="s">
        <v>10451</v>
      </c>
      <c r="D1120" s="44"/>
      <c r="E1120" s="48" t="s">
        <v>5235</v>
      </c>
      <c r="F1120" s="48" t="s">
        <v>4357</v>
      </c>
      <c r="G1120" s="55" t="s">
        <v>96</v>
      </c>
      <c r="H1120" s="64">
        <v>0.00685</v>
      </c>
      <c r="I1120" s="44"/>
      <c r="J1120" s="44"/>
      <c r="K1120" s="44"/>
      <c r="L1120" s="44"/>
      <c r="M1120" s="44"/>
      <c r="N1120" s="44"/>
      <c r="O1120" s="44"/>
      <c r="P1120" s="44"/>
      <c r="Q1120" s="44"/>
      <c r="R1120" s="44"/>
      <c r="S1120" s="44"/>
      <c r="T1120" s="44"/>
      <c r="U1120" s="44"/>
    </row>
    <row r="1121">
      <c r="A1121" s="48" t="s">
        <v>10452</v>
      </c>
      <c r="B1121" s="44"/>
      <c r="C1121" s="48" t="s">
        <v>10453</v>
      </c>
      <c r="D1121" s="44"/>
      <c r="E1121" s="48" t="s">
        <v>10454</v>
      </c>
      <c r="F1121" s="48" t="s">
        <v>9414</v>
      </c>
      <c r="G1121" s="55" t="s">
        <v>96</v>
      </c>
      <c r="H1121" s="64">
        <v>0.00685</v>
      </c>
      <c r="I1121" s="44"/>
      <c r="J1121" s="44"/>
      <c r="K1121" s="44"/>
      <c r="L1121" s="44"/>
      <c r="M1121" s="44"/>
      <c r="N1121" s="44"/>
      <c r="O1121" s="44"/>
      <c r="P1121" s="44"/>
      <c r="Q1121" s="44"/>
      <c r="R1121" s="44"/>
      <c r="S1121" s="44"/>
      <c r="T1121" s="44"/>
      <c r="U1121" s="44"/>
    </row>
    <row r="1122">
      <c r="A1122" s="48" t="s">
        <v>7141</v>
      </c>
      <c r="B1122" s="44"/>
      <c r="C1122" s="48" t="s">
        <v>7142</v>
      </c>
      <c r="D1122" s="44"/>
      <c r="E1122" s="48" t="s">
        <v>5246</v>
      </c>
      <c r="F1122" s="48" t="s">
        <v>4340</v>
      </c>
      <c r="G1122" s="55" t="s">
        <v>96</v>
      </c>
      <c r="H1122" s="64">
        <v>0.00684</v>
      </c>
      <c r="I1122" s="44"/>
      <c r="J1122" s="44"/>
      <c r="K1122" s="44"/>
      <c r="L1122" s="44"/>
      <c r="M1122" s="44"/>
      <c r="N1122" s="44"/>
      <c r="O1122" s="44"/>
      <c r="P1122" s="44"/>
      <c r="Q1122" s="44"/>
      <c r="R1122" s="44"/>
      <c r="S1122" s="44"/>
      <c r="T1122" s="44"/>
      <c r="U1122" s="44"/>
    </row>
    <row r="1123">
      <c r="A1123" s="48" t="s">
        <v>10455</v>
      </c>
      <c r="B1123" s="44"/>
      <c r="C1123" s="48" t="s">
        <v>10456</v>
      </c>
      <c r="D1123" s="44"/>
      <c r="E1123" s="48" t="s">
        <v>5561</v>
      </c>
      <c r="F1123" s="48" t="s">
        <v>9513</v>
      </c>
      <c r="G1123" s="55" t="s">
        <v>96</v>
      </c>
      <c r="H1123" s="64">
        <v>0.00684</v>
      </c>
      <c r="I1123" s="44"/>
      <c r="J1123" s="44"/>
      <c r="K1123" s="44"/>
      <c r="L1123" s="44"/>
      <c r="M1123" s="44"/>
      <c r="N1123" s="44"/>
      <c r="O1123" s="44"/>
      <c r="P1123" s="44"/>
      <c r="Q1123" s="44"/>
      <c r="R1123" s="44"/>
      <c r="S1123" s="44"/>
      <c r="T1123" s="44"/>
      <c r="U1123" s="44"/>
    </row>
    <row r="1124">
      <c r="A1124" s="48" t="s">
        <v>10457</v>
      </c>
      <c r="B1124" s="44"/>
      <c r="C1124" s="48" t="s">
        <v>10458</v>
      </c>
      <c r="D1124" s="44"/>
      <c r="E1124" s="48" t="s">
        <v>5431</v>
      </c>
      <c r="F1124" s="48" t="s">
        <v>8784</v>
      </c>
      <c r="G1124" s="55" t="s">
        <v>96</v>
      </c>
      <c r="H1124" s="64">
        <v>0.00683</v>
      </c>
      <c r="I1124" s="44"/>
      <c r="J1124" s="44"/>
      <c r="K1124" s="44"/>
      <c r="L1124" s="44"/>
      <c r="M1124" s="44"/>
      <c r="N1124" s="44"/>
      <c r="O1124" s="44"/>
      <c r="P1124" s="44"/>
      <c r="Q1124" s="44"/>
      <c r="R1124" s="44"/>
      <c r="S1124" s="44"/>
      <c r="T1124" s="44"/>
      <c r="U1124" s="44"/>
    </row>
    <row r="1125">
      <c r="A1125" s="48" t="s">
        <v>10459</v>
      </c>
      <c r="B1125" s="44"/>
      <c r="C1125" s="48" t="s">
        <v>10460</v>
      </c>
      <c r="D1125" s="44"/>
      <c r="E1125" s="48" t="s">
        <v>5431</v>
      </c>
      <c r="F1125" s="48" t="s">
        <v>8784</v>
      </c>
      <c r="G1125" s="55" t="s">
        <v>96</v>
      </c>
      <c r="H1125" s="64">
        <v>0.00682</v>
      </c>
      <c r="I1125" s="44"/>
      <c r="J1125" s="44"/>
      <c r="K1125" s="44"/>
      <c r="L1125" s="44"/>
      <c r="M1125" s="44"/>
      <c r="N1125" s="44"/>
      <c r="O1125" s="44"/>
      <c r="P1125" s="44"/>
      <c r="Q1125" s="44"/>
      <c r="R1125" s="44"/>
      <c r="S1125" s="44"/>
      <c r="T1125" s="44"/>
      <c r="U1125" s="44"/>
    </row>
    <row r="1126">
      <c r="A1126" s="48" t="s">
        <v>10461</v>
      </c>
      <c r="B1126" s="44"/>
      <c r="C1126" s="48" t="s">
        <v>10462</v>
      </c>
      <c r="D1126" s="44"/>
      <c r="E1126" s="48" t="s">
        <v>5264</v>
      </c>
      <c r="F1126" s="48" t="s">
        <v>4153</v>
      </c>
      <c r="G1126" s="55" t="s">
        <v>96</v>
      </c>
      <c r="H1126" s="64">
        <v>0.00682</v>
      </c>
      <c r="I1126" s="44"/>
      <c r="J1126" s="44"/>
      <c r="K1126" s="44"/>
      <c r="L1126" s="44"/>
      <c r="M1126" s="44"/>
      <c r="N1126" s="44"/>
      <c r="O1126" s="44"/>
      <c r="P1126" s="44"/>
      <c r="Q1126" s="44"/>
      <c r="R1126" s="44"/>
      <c r="S1126" s="44"/>
      <c r="T1126" s="44"/>
      <c r="U1126" s="44"/>
    </row>
    <row r="1127">
      <c r="A1127" s="48" t="s">
        <v>10463</v>
      </c>
      <c r="B1127" s="44"/>
      <c r="C1127" s="48" t="s">
        <v>10464</v>
      </c>
      <c r="D1127" s="44"/>
      <c r="E1127" s="48" t="s">
        <v>5459</v>
      </c>
      <c r="F1127" s="48" t="s">
        <v>5425</v>
      </c>
      <c r="G1127" s="55" t="s">
        <v>96</v>
      </c>
      <c r="H1127" s="64">
        <v>0.00681</v>
      </c>
      <c r="I1127" s="44"/>
      <c r="J1127" s="44"/>
      <c r="K1127" s="44"/>
      <c r="L1127" s="44"/>
      <c r="M1127" s="44"/>
      <c r="N1127" s="44"/>
      <c r="O1127" s="44"/>
      <c r="P1127" s="44"/>
      <c r="Q1127" s="44"/>
      <c r="R1127" s="44"/>
      <c r="S1127" s="44"/>
      <c r="T1127" s="44"/>
      <c r="U1127" s="44"/>
    </row>
    <row r="1128">
      <c r="A1128" s="48" t="s">
        <v>10465</v>
      </c>
      <c r="B1128" s="44"/>
      <c r="C1128" s="48" t="s">
        <v>10466</v>
      </c>
      <c r="D1128" s="44"/>
      <c r="E1128" s="48" t="s">
        <v>5445</v>
      </c>
      <c r="F1128" s="48" t="s">
        <v>8784</v>
      </c>
      <c r="G1128" s="55" t="s">
        <v>96</v>
      </c>
      <c r="H1128" s="64">
        <v>0.00677</v>
      </c>
      <c r="I1128" s="44"/>
      <c r="J1128" s="44"/>
      <c r="K1128" s="44"/>
      <c r="L1128" s="44"/>
      <c r="M1128" s="44"/>
      <c r="N1128" s="44"/>
      <c r="O1128" s="44"/>
      <c r="P1128" s="44"/>
      <c r="Q1128" s="44"/>
      <c r="R1128" s="44"/>
      <c r="S1128" s="44"/>
      <c r="T1128" s="44"/>
      <c r="U1128" s="44"/>
    </row>
    <row r="1129">
      <c r="A1129" s="48" t="s">
        <v>10467</v>
      </c>
      <c r="B1129" s="44"/>
      <c r="C1129" s="48" t="s">
        <v>10468</v>
      </c>
      <c r="D1129" s="44"/>
      <c r="E1129" s="48" t="s">
        <v>5434</v>
      </c>
      <c r="F1129" s="48" t="s">
        <v>8784</v>
      </c>
      <c r="G1129" s="55" t="s">
        <v>96</v>
      </c>
      <c r="H1129" s="64">
        <v>0.00677</v>
      </c>
      <c r="I1129" s="44"/>
      <c r="J1129" s="44"/>
      <c r="K1129" s="44"/>
      <c r="L1129" s="44"/>
      <c r="M1129" s="44"/>
      <c r="N1129" s="44"/>
      <c r="O1129" s="44"/>
      <c r="P1129" s="44"/>
      <c r="Q1129" s="44"/>
      <c r="R1129" s="44"/>
      <c r="S1129" s="44"/>
      <c r="T1129" s="44"/>
      <c r="U1129" s="44"/>
    </row>
    <row r="1130">
      <c r="A1130" s="48" t="s">
        <v>10469</v>
      </c>
      <c r="B1130" s="44"/>
      <c r="C1130" s="48" t="s">
        <v>10470</v>
      </c>
      <c r="D1130" s="44"/>
      <c r="E1130" s="48" t="s">
        <v>5232</v>
      </c>
      <c r="F1130" s="48" t="s">
        <v>8784</v>
      </c>
      <c r="G1130" s="55" t="s">
        <v>96</v>
      </c>
      <c r="H1130" s="64">
        <v>0.00676</v>
      </c>
      <c r="I1130" s="44"/>
      <c r="J1130" s="44"/>
      <c r="K1130" s="44"/>
      <c r="L1130" s="44"/>
      <c r="M1130" s="44"/>
      <c r="N1130" s="44"/>
      <c r="O1130" s="44"/>
      <c r="P1130" s="44"/>
      <c r="Q1130" s="44"/>
      <c r="R1130" s="44"/>
      <c r="S1130" s="44"/>
      <c r="T1130" s="44"/>
      <c r="U1130" s="44"/>
    </row>
    <row r="1131">
      <c r="A1131" s="48" t="s">
        <v>10471</v>
      </c>
      <c r="B1131" s="44"/>
      <c r="C1131" s="48" t="s">
        <v>10472</v>
      </c>
      <c r="D1131" s="44"/>
      <c r="E1131" s="48" t="s">
        <v>5215</v>
      </c>
      <c r="F1131" s="48" t="s">
        <v>8784</v>
      </c>
      <c r="G1131" s="55" t="s">
        <v>96</v>
      </c>
      <c r="H1131" s="64">
        <v>0.00674</v>
      </c>
      <c r="I1131" s="44"/>
      <c r="J1131" s="44"/>
      <c r="K1131" s="44"/>
      <c r="L1131" s="44"/>
      <c r="M1131" s="44"/>
      <c r="N1131" s="44"/>
      <c r="O1131" s="44"/>
      <c r="P1131" s="44"/>
      <c r="Q1131" s="44"/>
      <c r="R1131" s="44"/>
      <c r="S1131" s="44"/>
      <c r="T1131" s="44"/>
      <c r="U1131" s="44"/>
    </row>
    <row r="1132">
      <c r="A1132" s="48" t="s">
        <v>10473</v>
      </c>
      <c r="B1132" s="44"/>
      <c r="C1132" s="48" t="s">
        <v>10474</v>
      </c>
      <c r="D1132" s="44"/>
      <c r="E1132" s="48" t="s">
        <v>5366</v>
      </c>
      <c r="F1132" s="48" t="s">
        <v>4095</v>
      </c>
      <c r="G1132" s="55" t="s">
        <v>96</v>
      </c>
      <c r="H1132" s="64">
        <v>0.00671</v>
      </c>
      <c r="I1132" s="44"/>
      <c r="J1132" s="44"/>
      <c r="K1132" s="44"/>
      <c r="L1132" s="44"/>
      <c r="M1132" s="44"/>
      <c r="N1132" s="44"/>
      <c r="O1132" s="44"/>
      <c r="P1132" s="44"/>
      <c r="Q1132" s="44"/>
      <c r="R1132" s="44"/>
      <c r="S1132" s="44"/>
      <c r="T1132" s="44"/>
      <c r="U1132" s="44"/>
    </row>
    <row r="1133">
      <c r="A1133" s="48" t="s">
        <v>10475</v>
      </c>
      <c r="B1133" s="44"/>
      <c r="C1133" s="48" t="s">
        <v>3863</v>
      </c>
      <c r="D1133" s="44"/>
      <c r="E1133" s="48" t="s">
        <v>6115</v>
      </c>
      <c r="F1133" s="48" t="s">
        <v>4357</v>
      </c>
      <c r="G1133" s="55" t="s">
        <v>96</v>
      </c>
      <c r="H1133" s="64">
        <v>0.00671</v>
      </c>
      <c r="I1133" s="44"/>
      <c r="J1133" s="44"/>
      <c r="K1133" s="44"/>
      <c r="L1133" s="44"/>
      <c r="M1133" s="44"/>
      <c r="N1133" s="44"/>
      <c r="O1133" s="44"/>
      <c r="P1133" s="44"/>
      <c r="Q1133" s="44"/>
      <c r="R1133" s="44"/>
      <c r="S1133" s="44"/>
      <c r="T1133" s="44"/>
      <c r="U1133" s="44"/>
    </row>
    <row r="1134">
      <c r="A1134" s="48" t="s">
        <v>10476</v>
      </c>
      <c r="B1134" s="44"/>
      <c r="C1134" s="48" t="s">
        <v>10477</v>
      </c>
      <c r="D1134" s="44"/>
      <c r="E1134" s="48" t="s">
        <v>5456</v>
      </c>
      <c r="F1134" s="48" t="s">
        <v>8784</v>
      </c>
      <c r="G1134" s="55" t="s">
        <v>96</v>
      </c>
      <c r="H1134" s="64">
        <v>0.00671</v>
      </c>
      <c r="I1134" s="44"/>
      <c r="J1134" s="44"/>
      <c r="K1134" s="44"/>
      <c r="L1134" s="44"/>
      <c r="M1134" s="44"/>
      <c r="N1134" s="44"/>
      <c r="O1134" s="44"/>
      <c r="P1134" s="44"/>
      <c r="Q1134" s="44"/>
      <c r="R1134" s="44"/>
      <c r="S1134" s="44"/>
      <c r="T1134" s="44"/>
      <c r="U1134" s="44"/>
    </row>
    <row r="1135">
      <c r="A1135" s="48" t="s">
        <v>10478</v>
      </c>
      <c r="B1135" s="44"/>
      <c r="C1135" s="48" t="s">
        <v>10479</v>
      </c>
      <c r="D1135" s="44"/>
      <c r="E1135" s="48" t="s">
        <v>5374</v>
      </c>
      <c r="F1135" s="48" t="s">
        <v>8784</v>
      </c>
      <c r="G1135" s="55" t="s">
        <v>96</v>
      </c>
      <c r="H1135" s="64">
        <v>0.00669</v>
      </c>
      <c r="I1135" s="44"/>
      <c r="J1135" s="44"/>
      <c r="K1135" s="44"/>
      <c r="L1135" s="44"/>
      <c r="M1135" s="44"/>
      <c r="N1135" s="44"/>
      <c r="O1135" s="44"/>
      <c r="P1135" s="44"/>
      <c r="Q1135" s="44"/>
      <c r="R1135" s="44"/>
      <c r="S1135" s="44"/>
      <c r="T1135" s="44"/>
      <c r="U1135" s="44"/>
    </row>
    <row r="1136">
      <c r="A1136" s="48" t="s">
        <v>10480</v>
      </c>
      <c r="B1136" s="44"/>
      <c r="C1136" s="48" t="s">
        <v>10481</v>
      </c>
      <c r="D1136" s="44"/>
      <c r="E1136" s="48" t="s">
        <v>5241</v>
      </c>
      <c r="F1136" s="48" t="s">
        <v>5277</v>
      </c>
      <c r="G1136" s="55" t="s">
        <v>96</v>
      </c>
      <c r="H1136" s="64">
        <v>0.00669</v>
      </c>
      <c r="I1136" s="44"/>
      <c r="J1136" s="44"/>
      <c r="K1136" s="44"/>
      <c r="L1136" s="44"/>
      <c r="M1136" s="44"/>
      <c r="N1136" s="44"/>
      <c r="O1136" s="44"/>
      <c r="P1136" s="44"/>
      <c r="Q1136" s="44"/>
      <c r="R1136" s="44"/>
      <c r="S1136" s="44"/>
      <c r="T1136" s="44"/>
      <c r="U1136" s="44"/>
    </row>
    <row r="1137">
      <c r="A1137" s="48" t="s">
        <v>10482</v>
      </c>
      <c r="B1137" s="44"/>
      <c r="C1137" s="48" t="s">
        <v>10483</v>
      </c>
      <c r="D1137" s="44"/>
      <c r="E1137" s="48" t="s">
        <v>6115</v>
      </c>
      <c r="F1137" s="48" t="s">
        <v>8784</v>
      </c>
      <c r="G1137" s="55" t="s">
        <v>96</v>
      </c>
      <c r="H1137" s="64">
        <v>0.00669</v>
      </c>
      <c r="I1137" s="44"/>
      <c r="J1137" s="44"/>
      <c r="K1137" s="44"/>
      <c r="L1137" s="44"/>
      <c r="M1137" s="44"/>
      <c r="N1137" s="44"/>
      <c r="O1137" s="44"/>
      <c r="P1137" s="44"/>
      <c r="Q1137" s="44"/>
      <c r="R1137" s="44"/>
      <c r="S1137" s="44"/>
      <c r="T1137" s="44"/>
      <c r="U1137" s="44"/>
    </row>
    <row r="1138">
      <c r="A1138" s="48" t="s">
        <v>10484</v>
      </c>
      <c r="B1138" s="44"/>
      <c r="C1138" s="48" t="s">
        <v>10485</v>
      </c>
      <c r="D1138" s="44"/>
      <c r="E1138" s="48" t="s">
        <v>5341</v>
      </c>
      <c r="F1138" s="48" t="s">
        <v>5425</v>
      </c>
      <c r="G1138" s="55" t="s">
        <v>96</v>
      </c>
      <c r="H1138" s="64">
        <v>0.00668</v>
      </c>
      <c r="I1138" s="44"/>
      <c r="J1138" s="44"/>
      <c r="K1138" s="44"/>
      <c r="L1138" s="44"/>
      <c r="M1138" s="44"/>
      <c r="N1138" s="44"/>
      <c r="O1138" s="44"/>
      <c r="P1138" s="44"/>
      <c r="Q1138" s="44"/>
      <c r="R1138" s="44"/>
      <c r="S1138" s="44"/>
      <c r="T1138" s="44"/>
      <c r="U1138" s="44"/>
    </row>
    <row r="1139">
      <c r="A1139" s="48" t="s">
        <v>6707</v>
      </c>
      <c r="B1139" s="44"/>
      <c r="C1139" s="48" t="s">
        <v>6708</v>
      </c>
      <c r="D1139" s="44"/>
      <c r="E1139" s="48" t="s">
        <v>6115</v>
      </c>
      <c r="F1139" s="48" t="s">
        <v>6217</v>
      </c>
      <c r="G1139" s="55" t="s">
        <v>96</v>
      </c>
      <c r="H1139" s="64">
        <v>0.00665</v>
      </c>
      <c r="I1139" s="44"/>
      <c r="J1139" s="44"/>
      <c r="K1139" s="44"/>
      <c r="L1139" s="44"/>
      <c r="M1139" s="44"/>
      <c r="N1139" s="44"/>
      <c r="O1139" s="44"/>
      <c r="P1139" s="44"/>
      <c r="Q1139" s="44"/>
      <c r="R1139" s="44"/>
      <c r="S1139" s="44"/>
      <c r="T1139" s="44"/>
      <c r="U1139" s="44"/>
    </row>
    <row r="1140">
      <c r="A1140" s="48" t="s">
        <v>6790</v>
      </c>
      <c r="B1140" s="44"/>
      <c r="C1140" s="48" t="s">
        <v>6791</v>
      </c>
      <c r="D1140" s="44"/>
      <c r="E1140" s="48" t="s">
        <v>5215</v>
      </c>
      <c r="F1140" s="48" t="s">
        <v>6217</v>
      </c>
      <c r="G1140" s="55" t="s">
        <v>96</v>
      </c>
      <c r="H1140" s="64">
        <v>0.00664</v>
      </c>
      <c r="I1140" s="44"/>
      <c r="J1140" s="44"/>
      <c r="K1140" s="44"/>
      <c r="L1140" s="44"/>
      <c r="M1140" s="44"/>
      <c r="N1140" s="44"/>
      <c r="O1140" s="44"/>
      <c r="P1140" s="44"/>
      <c r="Q1140" s="44"/>
      <c r="R1140" s="44"/>
      <c r="S1140" s="44"/>
      <c r="T1140" s="44"/>
      <c r="U1140" s="44"/>
    </row>
    <row r="1141">
      <c r="A1141" s="48" t="s">
        <v>10486</v>
      </c>
      <c r="B1141" s="44"/>
      <c r="C1141" s="48" t="s">
        <v>10487</v>
      </c>
      <c r="D1141" s="44"/>
      <c r="E1141" s="48" t="s">
        <v>5232</v>
      </c>
      <c r="F1141" s="48" t="s">
        <v>8784</v>
      </c>
      <c r="G1141" s="55" t="s">
        <v>96</v>
      </c>
      <c r="H1141" s="64">
        <v>0.00663</v>
      </c>
      <c r="I1141" s="44"/>
      <c r="J1141" s="44"/>
      <c r="K1141" s="44"/>
      <c r="L1141" s="44"/>
      <c r="M1141" s="44"/>
      <c r="N1141" s="44"/>
      <c r="O1141" s="44"/>
      <c r="P1141" s="44"/>
      <c r="Q1141" s="44"/>
      <c r="R1141" s="44"/>
      <c r="S1141" s="44"/>
      <c r="T1141" s="44"/>
      <c r="U1141" s="44"/>
    </row>
    <row r="1142">
      <c r="A1142" s="48" t="s">
        <v>10488</v>
      </c>
      <c r="B1142" s="44"/>
      <c r="C1142" s="48" t="s">
        <v>10489</v>
      </c>
      <c r="D1142" s="44"/>
      <c r="E1142" s="48" t="s">
        <v>5978</v>
      </c>
      <c r="F1142" s="48" t="s">
        <v>9021</v>
      </c>
      <c r="G1142" s="55" t="s">
        <v>96</v>
      </c>
      <c r="H1142" s="64">
        <v>0.00662</v>
      </c>
      <c r="I1142" s="44"/>
      <c r="J1142" s="44"/>
      <c r="K1142" s="44"/>
      <c r="L1142" s="44"/>
      <c r="M1142" s="44"/>
      <c r="N1142" s="44"/>
      <c r="O1142" s="44"/>
      <c r="P1142" s="44"/>
      <c r="Q1142" s="44"/>
      <c r="R1142" s="44"/>
      <c r="S1142" s="44"/>
      <c r="T1142" s="44"/>
      <c r="U1142" s="44"/>
    </row>
    <row r="1143">
      <c r="A1143" s="48" t="s">
        <v>10490</v>
      </c>
      <c r="B1143" s="44"/>
      <c r="C1143" s="48" t="s">
        <v>10491</v>
      </c>
      <c r="D1143" s="44"/>
      <c r="E1143" s="48" t="s">
        <v>5961</v>
      </c>
      <c r="F1143" s="48" t="s">
        <v>8784</v>
      </c>
      <c r="G1143" s="55" t="s">
        <v>96</v>
      </c>
      <c r="H1143" s="64">
        <v>0.00661</v>
      </c>
      <c r="I1143" s="44"/>
      <c r="J1143" s="44"/>
      <c r="K1143" s="44"/>
      <c r="L1143" s="44"/>
      <c r="M1143" s="44"/>
      <c r="N1143" s="44"/>
      <c r="O1143" s="44"/>
      <c r="P1143" s="44"/>
      <c r="Q1143" s="44"/>
      <c r="R1143" s="44"/>
      <c r="S1143" s="44"/>
      <c r="T1143" s="44"/>
      <c r="U1143" s="44"/>
    </row>
    <row r="1144">
      <c r="A1144" s="48" t="s">
        <v>10492</v>
      </c>
      <c r="B1144" s="44"/>
      <c r="C1144" s="48" t="s">
        <v>10493</v>
      </c>
      <c r="D1144" s="44"/>
      <c r="E1144" s="48" t="s">
        <v>6012</v>
      </c>
      <c r="F1144" s="48" t="s">
        <v>4095</v>
      </c>
      <c r="G1144" s="55" t="s">
        <v>96</v>
      </c>
      <c r="H1144" s="64">
        <v>0.00661</v>
      </c>
      <c r="I1144" s="44"/>
      <c r="J1144" s="44"/>
      <c r="K1144" s="44"/>
      <c r="L1144" s="44"/>
      <c r="M1144" s="44"/>
      <c r="N1144" s="44"/>
      <c r="O1144" s="44"/>
      <c r="P1144" s="44"/>
      <c r="Q1144" s="44"/>
      <c r="R1144" s="44"/>
      <c r="S1144" s="44"/>
      <c r="T1144" s="44"/>
      <c r="U1144" s="44"/>
    </row>
    <row r="1145">
      <c r="A1145" s="48" t="s">
        <v>10494</v>
      </c>
      <c r="B1145" s="44"/>
      <c r="C1145" s="48" t="s">
        <v>10495</v>
      </c>
      <c r="D1145" s="44"/>
      <c r="E1145" s="48" t="s">
        <v>5369</v>
      </c>
      <c r="F1145" s="48" t="s">
        <v>8784</v>
      </c>
      <c r="G1145" s="55" t="s">
        <v>96</v>
      </c>
      <c r="H1145" s="64">
        <v>0.00659</v>
      </c>
      <c r="I1145" s="44"/>
      <c r="J1145" s="44"/>
      <c r="K1145" s="44"/>
      <c r="L1145" s="44"/>
      <c r="M1145" s="44"/>
      <c r="N1145" s="44"/>
      <c r="O1145" s="44"/>
      <c r="P1145" s="44"/>
      <c r="Q1145" s="44"/>
      <c r="R1145" s="44"/>
      <c r="S1145" s="44"/>
      <c r="T1145" s="44"/>
      <c r="U1145" s="44"/>
    </row>
    <row r="1146">
      <c r="A1146" s="48" t="s">
        <v>10496</v>
      </c>
      <c r="B1146" s="44"/>
      <c r="C1146" s="48" t="s">
        <v>10497</v>
      </c>
      <c r="D1146" s="44"/>
      <c r="E1146" s="48" t="s">
        <v>5450</v>
      </c>
      <c r="F1146" s="48" t="s">
        <v>9414</v>
      </c>
      <c r="G1146" s="55" t="s">
        <v>96</v>
      </c>
      <c r="H1146" s="64">
        <v>0.00658</v>
      </c>
      <c r="I1146" s="44"/>
      <c r="J1146" s="44"/>
      <c r="K1146" s="44"/>
      <c r="L1146" s="44"/>
      <c r="M1146" s="44"/>
      <c r="N1146" s="44"/>
      <c r="O1146" s="44"/>
      <c r="P1146" s="44"/>
      <c r="Q1146" s="44"/>
      <c r="R1146" s="44"/>
      <c r="S1146" s="44"/>
      <c r="T1146" s="44"/>
      <c r="U1146" s="44"/>
    </row>
    <row r="1147">
      <c r="A1147" s="48" t="s">
        <v>10498</v>
      </c>
      <c r="B1147" s="44"/>
      <c r="C1147" s="48" t="s">
        <v>10499</v>
      </c>
      <c r="D1147" s="44"/>
      <c r="E1147" s="48" t="s">
        <v>5283</v>
      </c>
      <c r="F1147" s="48" t="s">
        <v>8767</v>
      </c>
      <c r="G1147" s="55" t="s">
        <v>96</v>
      </c>
      <c r="H1147" s="64">
        <v>0.00658</v>
      </c>
      <c r="I1147" s="44"/>
      <c r="J1147" s="44"/>
      <c r="K1147" s="44"/>
      <c r="L1147" s="44"/>
      <c r="M1147" s="44"/>
      <c r="N1147" s="44"/>
      <c r="O1147" s="44"/>
      <c r="P1147" s="44"/>
      <c r="Q1147" s="44"/>
      <c r="R1147" s="44"/>
      <c r="S1147" s="44"/>
      <c r="T1147" s="44"/>
      <c r="U1147" s="44"/>
    </row>
    <row r="1148">
      <c r="A1148" s="48" t="s">
        <v>10500</v>
      </c>
      <c r="B1148" s="44"/>
      <c r="C1148" s="48" t="s">
        <v>10501</v>
      </c>
      <c r="D1148" s="44"/>
      <c r="E1148" s="48" t="s">
        <v>5704</v>
      </c>
      <c r="F1148" s="48" t="s">
        <v>8784</v>
      </c>
      <c r="G1148" s="55" t="s">
        <v>96</v>
      </c>
      <c r="H1148" s="64">
        <v>0.00656</v>
      </c>
      <c r="I1148" s="44"/>
      <c r="J1148" s="44"/>
      <c r="K1148" s="44"/>
      <c r="L1148" s="44"/>
      <c r="M1148" s="44"/>
      <c r="N1148" s="44"/>
      <c r="O1148" s="44"/>
      <c r="P1148" s="44"/>
      <c r="Q1148" s="44"/>
      <c r="R1148" s="44"/>
      <c r="S1148" s="44"/>
      <c r="T1148" s="44"/>
      <c r="U1148" s="44"/>
    </row>
    <row r="1149">
      <c r="A1149" s="48" t="s">
        <v>10502</v>
      </c>
      <c r="B1149" s="44"/>
      <c r="C1149" s="48" t="s">
        <v>10503</v>
      </c>
      <c r="D1149" s="44"/>
      <c r="E1149" s="48" t="s">
        <v>6801</v>
      </c>
      <c r="F1149" s="48" t="s">
        <v>8784</v>
      </c>
      <c r="G1149" s="55" t="s">
        <v>96</v>
      </c>
      <c r="H1149" s="64">
        <v>0.00652</v>
      </c>
      <c r="I1149" s="44"/>
      <c r="J1149" s="44"/>
      <c r="K1149" s="44"/>
      <c r="L1149" s="44"/>
      <c r="M1149" s="44"/>
      <c r="N1149" s="44"/>
      <c r="O1149" s="44"/>
      <c r="P1149" s="44"/>
      <c r="Q1149" s="44"/>
      <c r="R1149" s="44"/>
      <c r="S1149" s="44"/>
      <c r="T1149" s="44"/>
      <c r="U1149" s="44"/>
    </row>
    <row r="1150">
      <c r="A1150" s="48" t="s">
        <v>6873</v>
      </c>
      <c r="B1150" s="44"/>
      <c r="C1150" s="48" t="s">
        <v>6874</v>
      </c>
      <c r="D1150" s="44"/>
      <c r="E1150" s="48" t="s">
        <v>6416</v>
      </c>
      <c r="F1150" s="48" t="s">
        <v>4340</v>
      </c>
      <c r="G1150" s="55" t="s">
        <v>96</v>
      </c>
      <c r="H1150" s="64">
        <v>0.00651</v>
      </c>
      <c r="I1150" s="44"/>
      <c r="J1150" s="44"/>
      <c r="K1150" s="44"/>
      <c r="L1150" s="44"/>
      <c r="M1150" s="44"/>
      <c r="N1150" s="44"/>
      <c r="O1150" s="44"/>
      <c r="P1150" s="44"/>
      <c r="Q1150" s="44"/>
      <c r="R1150" s="44"/>
      <c r="S1150" s="44"/>
      <c r="T1150" s="44"/>
      <c r="U1150" s="44"/>
    </row>
    <row r="1151">
      <c r="A1151" s="48" t="s">
        <v>10504</v>
      </c>
      <c r="B1151" s="44"/>
      <c r="C1151" s="48" t="s">
        <v>10505</v>
      </c>
      <c r="D1151" s="44"/>
      <c r="E1151" s="48" t="s">
        <v>6040</v>
      </c>
      <c r="F1151" s="48" t="s">
        <v>6988</v>
      </c>
      <c r="G1151" s="55" t="s">
        <v>96</v>
      </c>
      <c r="H1151" s="64">
        <v>0.00649</v>
      </c>
      <c r="I1151" s="44"/>
      <c r="J1151" s="44"/>
      <c r="K1151" s="44"/>
      <c r="L1151" s="44"/>
      <c r="M1151" s="44"/>
      <c r="N1151" s="44"/>
      <c r="O1151" s="44"/>
      <c r="P1151" s="44"/>
      <c r="Q1151" s="44"/>
      <c r="R1151" s="44"/>
      <c r="S1151" s="44"/>
      <c r="T1151" s="44"/>
      <c r="U1151" s="44"/>
    </row>
    <row r="1152">
      <c r="A1152" s="48" t="s">
        <v>10506</v>
      </c>
      <c r="B1152" s="44"/>
      <c r="C1152" s="48" t="s">
        <v>10507</v>
      </c>
      <c r="D1152" s="44"/>
      <c r="E1152" s="48" t="s">
        <v>9553</v>
      </c>
      <c r="F1152" s="48" t="s">
        <v>5941</v>
      </c>
      <c r="G1152" s="55" t="s">
        <v>96</v>
      </c>
      <c r="H1152" s="64">
        <v>0.00649</v>
      </c>
      <c r="I1152" s="44"/>
      <c r="J1152" s="44"/>
      <c r="K1152" s="44"/>
      <c r="L1152" s="44"/>
      <c r="M1152" s="44"/>
      <c r="N1152" s="44"/>
      <c r="O1152" s="44"/>
      <c r="P1152" s="44"/>
      <c r="Q1152" s="44"/>
      <c r="R1152" s="44"/>
      <c r="S1152" s="44"/>
      <c r="T1152" s="44"/>
      <c r="U1152" s="44"/>
    </row>
    <row r="1153">
      <c r="A1153" s="48" t="s">
        <v>10508</v>
      </c>
      <c r="B1153" s="44"/>
      <c r="C1153" s="48" t="s">
        <v>10509</v>
      </c>
      <c r="D1153" s="44"/>
      <c r="E1153" s="48" t="s">
        <v>7098</v>
      </c>
      <c r="F1153" s="48" t="s">
        <v>8784</v>
      </c>
      <c r="G1153" s="55" t="s">
        <v>96</v>
      </c>
      <c r="H1153" s="64">
        <v>0.00646</v>
      </c>
      <c r="I1153" s="44"/>
      <c r="J1153" s="44"/>
      <c r="K1153" s="44"/>
      <c r="L1153" s="44"/>
      <c r="M1153" s="44"/>
      <c r="N1153" s="44"/>
      <c r="O1153" s="44"/>
      <c r="P1153" s="44"/>
      <c r="Q1153" s="44"/>
      <c r="R1153" s="44"/>
      <c r="S1153" s="44"/>
      <c r="T1153" s="44"/>
      <c r="U1153" s="44"/>
    </row>
    <row r="1154">
      <c r="A1154" s="48" t="s">
        <v>10510</v>
      </c>
      <c r="B1154" s="44"/>
      <c r="C1154" s="48" t="s">
        <v>10511</v>
      </c>
      <c r="D1154" s="44"/>
      <c r="E1154" s="48" t="s">
        <v>9221</v>
      </c>
      <c r="F1154" s="48" t="s">
        <v>8784</v>
      </c>
      <c r="G1154" s="55" t="s">
        <v>96</v>
      </c>
      <c r="H1154" s="64">
        <v>0.00646</v>
      </c>
      <c r="I1154" s="44"/>
      <c r="J1154" s="44"/>
      <c r="K1154" s="44"/>
      <c r="L1154" s="44"/>
      <c r="M1154" s="44"/>
      <c r="N1154" s="44"/>
      <c r="O1154" s="44"/>
      <c r="P1154" s="44"/>
      <c r="Q1154" s="44"/>
      <c r="R1154" s="44"/>
      <c r="S1154" s="44"/>
      <c r="T1154" s="44"/>
      <c r="U1154" s="44"/>
    </row>
    <row r="1155">
      <c r="A1155" s="48" t="s">
        <v>10512</v>
      </c>
      <c r="B1155" s="44"/>
      <c r="C1155" s="48" t="s">
        <v>10513</v>
      </c>
      <c r="D1155" s="44"/>
      <c r="E1155" s="48" t="s">
        <v>5232</v>
      </c>
      <c r="F1155" s="48" t="s">
        <v>8784</v>
      </c>
      <c r="G1155" s="55" t="s">
        <v>96</v>
      </c>
      <c r="H1155" s="64">
        <v>0.00642</v>
      </c>
      <c r="I1155" s="44"/>
      <c r="J1155" s="44"/>
      <c r="K1155" s="44"/>
      <c r="L1155" s="44"/>
      <c r="M1155" s="44"/>
      <c r="N1155" s="44"/>
      <c r="O1155" s="44"/>
      <c r="P1155" s="44"/>
      <c r="Q1155" s="44"/>
      <c r="R1155" s="44"/>
      <c r="S1155" s="44"/>
      <c r="T1155" s="44"/>
      <c r="U1155" s="44"/>
    </row>
    <row r="1156">
      <c r="A1156" s="48" t="s">
        <v>4676</v>
      </c>
      <c r="B1156" s="44"/>
      <c r="C1156" s="48" t="s">
        <v>5669</v>
      </c>
      <c r="D1156" s="44"/>
      <c r="E1156" s="48" t="s">
        <v>5670</v>
      </c>
      <c r="F1156" s="48" t="s">
        <v>5300</v>
      </c>
      <c r="G1156" s="55" t="s">
        <v>96</v>
      </c>
      <c r="H1156" s="64">
        <v>0.00642</v>
      </c>
      <c r="I1156" s="44"/>
      <c r="J1156" s="44"/>
      <c r="K1156" s="44"/>
      <c r="L1156" s="44"/>
      <c r="M1156" s="44"/>
      <c r="N1156" s="44"/>
      <c r="O1156" s="44"/>
      <c r="P1156" s="44"/>
      <c r="Q1156" s="44"/>
      <c r="R1156" s="44"/>
      <c r="S1156" s="44"/>
      <c r="T1156" s="44"/>
      <c r="U1156" s="44"/>
    </row>
    <row r="1157">
      <c r="A1157" s="48" t="s">
        <v>10514</v>
      </c>
      <c r="B1157" s="44"/>
      <c r="C1157" s="48" t="s">
        <v>10515</v>
      </c>
      <c r="D1157" s="44"/>
      <c r="E1157" s="48" t="s">
        <v>5759</v>
      </c>
      <c r="F1157" s="48" t="s">
        <v>8784</v>
      </c>
      <c r="G1157" s="55" t="s">
        <v>96</v>
      </c>
      <c r="H1157" s="64">
        <v>0.00641</v>
      </c>
      <c r="I1157" s="44"/>
      <c r="J1157" s="44"/>
      <c r="K1157" s="44"/>
      <c r="L1157" s="44"/>
      <c r="M1157" s="44"/>
      <c r="N1157" s="44"/>
      <c r="O1157" s="44"/>
      <c r="P1157" s="44"/>
      <c r="Q1157" s="44"/>
      <c r="R1157" s="44"/>
      <c r="S1157" s="44"/>
      <c r="T1157" s="44"/>
      <c r="U1157" s="44"/>
    </row>
    <row r="1158">
      <c r="A1158" s="48" t="s">
        <v>6699</v>
      </c>
      <c r="B1158" s="44"/>
      <c r="C1158" s="48" t="s">
        <v>6700</v>
      </c>
      <c r="D1158" s="44"/>
      <c r="E1158" s="48" t="s">
        <v>5624</v>
      </c>
      <c r="F1158" s="48" t="s">
        <v>4340</v>
      </c>
      <c r="G1158" s="55" t="s">
        <v>96</v>
      </c>
      <c r="H1158" s="64">
        <v>0.0064</v>
      </c>
      <c r="I1158" s="44"/>
      <c r="J1158" s="44"/>
      <c r="K1158" s="44"/>
      <c r="L1158" s="44"/>
      <c r="M1158" s="44"/>
      <c r="N1158" s="44"/>
      <c r="O1158" s="44"/>
      <c r="P1158" s="44"/>
      <c r="Q1158" s="44"/>
      <c r="R1158" s="44"/>
      <c r="S1158" s="44"/>
      <c r="T1158" s="44"/>
      <c r="U1158" s="44"/>
    </row>
    <row r="1159">
      <c r="A1159" s="48" t="s">
        <v>10516</v>
      </c>
      <c r="B1159" s="44"/>
      <c r="C1159" s="48" t="s">
        <v>10517</v>
      </c>
      <c r="D1159" s="44"/>
      <c r="E1159" s="48" t="s">
        <v>5229</v>
      </c>
      <c r="F1159" s="48" t="s">
        <v>8784</v>
      </c>
      <c r="G1159" s="55" t="s">
        <v>96</v>
      </c>
      <c r="H1159" s="64">
        <v>0.0064</v>
      </c>
      <c r="I1159" s="44"/>
      <c r="J1159" s="44"/>
      <c r="K1159" s="44"/>
      <c r="L1159" s="44"/>
      <c r="M1159" s="44"/>
      <c r="N1159" s="44"/>
      <c r="O1159" s="44"/>
      <c r="P1159" s="44"/>
      <c r="Q1159" s="44"/>
      <c r="R1159" s="44"/>
      <c r="S1159" s="44"/>
      <c r="T1159" s="44"/>
      <c r="U1159" s="44"/>
    </row>
    <row r="1160">
      <c r="A1160" s="48" t="s">
        <v>10518</v>
      </c>
      <c r="B1160" s="44"/>
      <c r="C1160" s="48" t="s">
        <v>10519</v>
      </c>
      <c r="D1160" s="44"/>
      <c r="E1160" s="48" t="s">
        <v>5742</v>
      </c>
      <c r="F1160" s="48" t="s">
        <v>8784</v>
      </c>
      <c r="G1160" s="55" t="s">
        <v>96</v>
      </c>
      <c r="H1160" s="64">
        <v>0.00639</v>
      </c>
      <c r="I1160" s="44"/>
      <c r="J1160" s="44"/>
      <c r="K1160" s="44"/>
      <c r="L1160" s="44"/>
      <c r="M1160" s="44"/>
      <c r="N1160" s="44"/>
      <c r="O1160" s="44"/>
      <c r="P1160" s="44"/>
      <c r="Q1160" s="44"/>
      <c r="R1160" s="44"/>
      <c r="S1160" s="44"/>
      <c r="T1160" s="44"/>
      <c r="U1160" s="44"/>
    </row>
    <row r="1161">
      <c r="A1161" s="48" t="s">
        <v>10520</v>
      </c>
      <c r="B1161" s="44"/>
      <c r="C1161" s="48" t="s">
        <v>10521</v>
      </c>
      <c r="D1161" s="44"/>
      <c r="E1161" s="48" t="s">
        <v>5280</v>
      </c>
      <c r="F1161" s="48" t="s">
        <v>5300</v>
      </c>
      <c r="G1161" s="55" t="s">
        <v>96</v>
      </c>
      <c r="H1161" s="64">
        <v>0.00634</v>
      </c>
      <c r="I1161" s="44"/>
      <c r="J1161" s="44"/>
      <c r="K1161" s="44"/>
      <c r="L1161" s="44"/>
      <c r="M1161" s="44"/>
      <c r="N1161" s="44"/>
      <c r="O1161" s="44"/>
      <c r="P1161" s="44"/>
      <c r="Q1161" s="44"/>
      <c r="R1161" s="44"/>
      <c r="S1161" s="44"/>
      <c r="T1161" s="44"/>
      <c r="U1161" s="44"/>
    </row>
    <row r="1162">
      <c r="A1162" s="48" t="s">
        <v>10522</v>
      </c>
      <c r="B1162" s="44"/>
      <c r="C1162" s="48" t="s">
        <v>10523</v>
      </c>
      <c r="D1162" s="44"/>
      <c r="E1162" s="48" t="s">
        <v>5335</v>
      </c>
      <c r="F1162" s="48" t="s">
        <v>8784</v>
      </c>
      <c r="G1162" s="55" t="s">
        <v>96</v>
      </c>
      <c r="H1162" s="64">
        <v>0.00629</v>
      </c>
      <c r="I1162" s="44"/>
      <c r="J1162" s="44"/>
      <c r="K1162" s="44"/>
      <c r="L1162" s="44"/>
      <c r="M1162" s="44"/>
      <c r="N1162" s="44"/>
      <c r="O1162" s="44"/>
      <c r="P1162" s="44"/>
      <c r="Q1162" s="44"/>
      <c r="R1162" s="44"/>
      <c r="S1162" s="44"/>
      <c r="T1162" s="44"/>
      <c r="U1162" s="44"/>
    </row>
    <row r="1163">
      <c r="A1163" s="48" t="s">
        <v>10524</v>
      </c>
      <c r="B1163" s="44"/>
      <c r="C1163" s="48" t="s">
        <v>10525</v>
      </c>
      <c r="D1163" s="44"/>
      <c r="E1163" s="48" t="s">
        <v>5561</v>
      </c>
      <c r="F1163" s="48" t="s">
        <v>9021</v>
      </c>
      <c r="G1163" s="55" t="s">
        <v>96</v>
      </c>
      <c r="H1163" s="64">
        <v>0.00625</v>
      </c>
      <c r="I1163" s="44"/>
      <c r="J1163" s="44"/>
      <c r="K1163" s="44"/>
      <c r="L1163" s="44"/>
      <c r="M1163" s="44"/>
      <c r="N1163" s="44"/>
      <c r="O1163" s="44"/>
      <c r="P1163" s="44"/>
      <c r="Q1163" s="44"/>
      <c r="R1163" s="44"/>
      <c r="S1163" s="44"/>
      <c r="T1163" s="44"/>
      <c r="U1163" s="44"/>
    </row>
    <row r="1164">
      <c r="A1164" s="48" t="s">
        <v>6937</v>
      </c>
      <c r="B1164" s="44"/>
      <c r="C1164" s="48" t="s">
        <v>6938</v>
      </c>
      <c r="D1164" s="44"/>
      <c r="E1164" s="48" t="s">
        <v>5366</v>
      </c>
      <c r="F1164" s="48" t="s">
        <v>4340</v>
      </c>
      <c r="G1164" s="55" t="s">
        <v>96</v>
      </c>
      <c r="H1164" s="64">
        <v>0.00619</v>
      </c>
      <c r="I1164" s="44"/>
      <c r="J1164" s="44"/>
      <c r="K1164" s="44"/>
      <c r="L1164" s="44"/>
      <c r="M1164" s="44"/>
      <c r="N1164" s="44"/>
      <c r="O1164" s="44"/>
      <c r="P1164" s="44"/>
      <c r="Q1164" s="44"/>
      <c r="R1164" s="44"/>
      <c r="S1164" s="44"/>
      <c r="T1164" s="44"/>
      <c r="U1164" s="44"/>
    </row>
    <row r="1165">
      <c r="A1165" s="48" t="s">
        <v>10526</v>
      </c>
      <c r="B1165" s="44"/>
      <c r="C1165" s="48" t="s">
        <v>10527</v>
      </c>
      <c r="D1165" s="44"/>
      <c r="E1165" s="48" t="s">
        <v>5326</v>
      </c>
      <c r="F1165" s="48" t="s">
        <v>8784</v>
      </c>
      <c r="G1165" s="55" t="s">
        <v>96</v>
      </c>
      <c r="H1165" s="64">
        <v>0.00618</v>
      </c>
      <c r="I1165" s="44"/>
      <c r="J1165" s="44"/>
      <c r="K1165" s="44"/>
      <c r="L1165" s="44"/>
      <c r="M1165" s="44"/>
      <c r="N1165" s="44"/>
      <c r="O1165" s="44"/>
      <c r="P1165" s="44"/>
      <c r="Q1165" s="44"/>
      <c r="R1165" s="44"/>
      <c r="S1165" s="44"/>
      <c r="T1165" s="44"/>
      <c r="U1165" s="44"/>
    </row>
    <row r="1166">
      <c r="A1166" s="48" t="s">
        <v>10528</v>
      </c>
      <c r="B1166" s="44"/>
      <c r="C1166" s="48" t="s">
        <v>10529</v>
      </c>
      <c r="D1166" s="44"/>
      <c r="E1166" s="48" t="s">
        <v>10530</v>
      </c>
      <c r="F1166" s="48" t="s">
        <v>8784</v>
      </c>
      <c r="G1166" s="55" t="s">
        <v>96</v>
      </c>
      <c r="H1166" s="64">
        <v>0.00615</v>
      </c>
      <c r="I1166" s="44"/>
      <c r="J1166" s="44"/>
      <c r="K1166" s="44"/>
      <c r="L1166" s="44"/>
      <c r="M1166" s="44"/>
      <c r="N1166" s="44"/>
      <c r="O1166" s="44"/>
      <c r="P1166" s="44"/>
      <c r="Q1166" s="44"/>
      <c r="R1166" s="44"/>
      <c r="S1166" s="44"/>
      <c r="T1166" s="44"/>
      <c r="U1166" s="44"/>
    </row>
    <row r="1167">
      <c r="A1167" s="48" t="s">
        <v>10531</v>
      </c>
      <c r="B1167" s="44"/>
      <c r="C1167" s="48" t="s">
        <v>10017</v>
      </c>
      <c r="D1167" s="44"/>
      <c r="E1167" s="48" t="s">
        <v>5264</v>
      </c>
      <c r="F1167" s="48" t="s">
        <v>5268</v>
      </c>
      <c r="G1167" s="55" t="s">
        <v>96</v>
      </c>
      <c r="H1167" s="64">
        <v>0.00615</v>
      </c>
      <c r="I1167" s="44"/>
      <c r="J1167" s="44"/>
      <c r="K1167" s="44"/>
      <c r="L1167" s="44"/>
      <c r="M1167" s="44"/>
      <c r="N1167" s="44"/>
      <c r="O1167" s="44"/>
      <c r="P1167" s="44"/>
      <c r="Q1167" s="44"/>
      <c r="R1167" s="44"/>
      <c r="S1167" s="44"/>
      <c r="T1167" s="44"/>
      <c r="U1167" s="44"/>
    </row>
    <row r="1168">
      <c r="A1168" s="48" t="s">
        <v>10532</v>
      </c>
      <c r="B1168" s="44"/>
      <c r="C1168" s="48" t="s">
        <v>10533</v>
      </c>
      <c r="D1168" s="44"/>
      <c r="E1168" s="48" t="s">
        <v>5578</v>
      </c>
      <c r="F1168" s="48" t="s">
        <v>8784</v>
      </c>
      <c r="G1168" s="55" t="s">
        <v>96</v>
      </c>
      <c r="H1168" s="64">
        <v>0.00615</v>
      </c>
      <c r="I1168" s="44"/>
      <c r="J1168" s="44"/>
      <c r="K1168" s="44"/>
      <c r="L1168" s="44"/>
      <c r="M1168" s="44"/>
      <c r="N1168" s="44"/>
      <c r="O1168" s="44"/>
      <c r="P1168" s="44"/>
      <c r="Q1168" s="44"/>
      <c r="R1168" s="44"/>
      <c r="S1168" s="44"/>
      <c r="T1168" s="44"/>
      <c r="U1168" s="44"/>
    </row>
    <row r="1169">
      <c r="A1169" s="48" t="s">
        <v>5614</v>
      </c>
      <c r="B1169" s="44"/>
      <c r="C1169" s="48" t="s">
        <v>5615</v>
      </c>
      <c r="D1169" s="44"/>
      <c r="E1169" s="48" t="s">
        <v>5267</v>
      </c>
      <c r="F1169" s="48" t="s">
        <v>5277</v>
      </c>
      <c r="G1169" s="55" t="s">
        <v>96</v>
      </c>
      <c r="H1169" s="64">
        <v>0.00614</v>
      </c>
      <c r="I1169" s="44"/>
      <c r="J1169" s="44"/>
      <c r="K1169" s="44"/>
      <c r="L1169" s="44"/>
      <c r="M1169" s="44"/>
      <c r="N1169" s="44"/>
      <c r="O1169" s="44"/>
      <c r="P1169" s="44"/>
      <c r="Q1169" s="44"/>
      <c r="R1169" s="44"/>
      <c r="S1169" s="44"/>
      <c r="T1169" s="44"/>
      <c r="U1169" s="44"/>
    </row>
    <row r="1170">
      <c r="A1170" s="48" t="s">
        <v>10534</v>
      </c>
      <c r="B1170" s="44"/>
      <c r="C1170" s="48" t="s">
        <v>10535</v>
      </c>
      <c r="D1170" s="44"/>
      <c r="E1170" s="48" t="s">
        <v>5241</v>
      </c>
      <c r="F1170" s="48" t="s">
        <v>8784</v>
      </c>
      <c r="G1170" s="55" t="s">
        <v>96</v>
      </c>
      <c r="H1170" s="64">
        <v>0.00613</v>
      </c>
      <c r="I1170" s="44"/>
      <c r="J1170" s="44"/>
      <c r="K1170" s="44"/>
      <c r="L1170" s="44"/>
      <c r="M1170" s="44"/>
      <c r="N1170" s="44"/>
      <c r="O1170" s="44"/>
      <c r="P1170" s="44"/>
      <c r="Q1170" s="44"/>
      <c r="R1170" s="44"/>
      <c r="S1170" s="44"/>
      <c r="T1170" s="44"/>
      <c r="U1170" s="44"/>
    </row>
    <row r="1171">
      <c r="A1171" s="48" t="s">
        <v>10536</v>
      </c>
      <c r="B1171" s="44"/>
      <c r="C1171" s="48" t="s">
        <v>9576</v>
      </c>
      <c r="D1171" s="44"/>
      <c r="E1171" s="48" t="s">
        <v>5691</v>
      </c>
      <c r="F1171" s="48" t="s">
        <v>9021</v>
      </c>
      <c r="G1171" s="55" t="s">
        <v>96</v>
      </c>
      <c r="H1171" s="64">
        <v>0.00609</v>
      </c>
      <c r="I1171" s="44"/>
      <c r="J1171" s="44"/>
      <c r="K1171" s="44"/>
      <c r="L1171" s="44"/>
      <c r="M1171" s="44"/>
      <c r="N1171" s="44"/>
      <c r="O1171" s="44"/>
      <c r="P1171" s="44"/>
      <c r="Q1171" s="44"/>
      <c r="R1171" s="44"/>
      <c r="S1171" s="44"/>
      <c r="T1171" s="44"/>
      <c r="U1171" s="44"/>
    </row>
    <row r="1172">
      <c r="A1172" s="48" t="s">
        <v>10537</v>
      </c>
      <c r="B1172" s="44"/>
      <c r="C1172" s="48" t="s">
        <v>10538</v>
      </c>
      <c r="D1172" s="44"/>
      <c r="E1172" s="48" t="s">
        <v>5564</v>
      </c>
      <c r="F1172" s="48" t="s">
        <v>8784</v>
      </c>
      <c r="G1172" s="55" t="s">
        <v>96</v>
      </c>
      <c r="H1172" s="64">
        <v>0.00606</v>
      </c>
      <c r="I1172" s="44"/>
      <c r="J1172" s="44"/>
      <c r="K1172" s="44"/>
      <c r="L1172" s="44"/>
      <c r="M1172" s="44"/>
      <c r="N1172" s="44"/>
      <c r="O1172" s="44"/>
      <c r="P1172" s="44"/>
      <c r="Q1172" s="44"/>
      <c r="R1172" s="44"/>
      <c r="S1172" s="44"/>
      <c r="T1172" s="44"/>
      <c r="U1172" s="44"/>
    </row>
    <row r="1173">
      <c r="A1173" s="48" t="s">
        <v>6999</v>
      </c>
      <c r="B1173" s="44"/>
      <c r="C1173" s="48" t="s">
        <v>7000</v>
      </c>
      <c r="D1173" s="44"/>
      <c r="E1173" s="48" t="s">
        <v>5961</v>
      </c>
      <c r="F1173" s="48" t="s">
        <v>4340</v>
      </c>
      <c r="G1173" s="55" t="s">
        <v>96</v>
      </c>
      <c r="H1173" s="64">
        <v>0.00604</v>
      </c>
      <c r="I1173" s="44"/>
      <c r="J1173" s="44"/>
      <c r="K1173" s="44"/>
      <c r="L1173" s="44"/>
      <c r="M1173" s="44"/>
      <c r="N1173" s="44"/>
      <c r="O1173" s="44"/>
      <c r="P1173" s="44"/>
      <c r="Q1173" s="44"/>
      <c r="R1173" s="44"/>
      <c r="S1173" s="44"/>
      <c r="T1173" s="44"/>
      <c r="U1173" s="44"/>
    </row>
    <row r="1174">
      <c r="A1174" s="48" t="s">
        <v>6828</v>
      </c>
      <c r="B1174" s="44"/>
      <c r="C1174" s="48" t="s">
        <v>6829</v>
      </c>
      <c r="D1174" s="44"/>
      <c r="E1174" s="48" t="s">
        <v>5235</v>
      </c>
      <c r="F1174" s="48" t="s">
        <v>4340</v>
      </c>
      <c r="G1174" s="55" t="s">
        <v>96</v>
      </c>
      <c r="H1174" s="64">
        <v>0.00601</v>
      </c>
      <c r="I1174" s="44"/>
      <c r="J1174" s="44"/>
      <c r="K1174" s="44"/>
      <c r="L1174" s="44"/>
      <c r="M1174" s="44"/>
      <c r="N1174" s="44"/>
      <c r="O1174" s="44"/>
      <c r="P1174" s="44"/>
      <c r="Q1174" s="44"/>
      <c r="R1174" s="44"/>
      <c r="S1174" s="44"/>
      <c r="T1174" s="44"/>
      <c r="U1174" s="44"/>
    </row>
    <row r="1175">
      <c r="A1175" s="48" t="s">
        <v>10539</v>
      </c>
      <c r="B1175" s="44"/>
      <c r="C1175" s="48" t="s">
        <v>10540</v>
      </c>
      <c r="D1175" s="44"/>
      <c r="E1175" s="48" t="s">
        <v>5650</v>
      </c>
      <c r="F1175" s="48" t="s">
        <v>9299</v>
      </c>
      <c r="G1175" s="55" t="s">
        <v>96</v>
      </c>
      <c r="H1175" s="64">
        <v>0.00601</v>
      </c>
      <c r="I1175" s="44"/>
      <c r="J1175" s="44"/>
      <c r="K1175" s="44"/>
      <c r="L1175" s="44"/>
      <c r="M1175" s="44"/>
      <c r="N1175" s="44"/>
      <c r="O1175" s="44"/>
      <c r="P1175" s="44"/>
      <c r="Q1175" s="44"/>
      <c r="R1175" s="44"/>
      <c r="S1175" s="44"/>
      <c r="T1175" s="44"/>
      <c r="U1175" s="44"/>
    </row>
    <row r="1176">
      <c r="A1176" s="48" t="s">
        <v>10541</v>
      </c>
      <c r="B1176" s="44"/>
      <c r="C1176" s="48" t="s">
        <v>10542</v>
      </c>
      <c r="D1176" s="44"/>
      <c r="E1176" s="48" t="s">
        <v>5434</v>
      </c>
      <c r="F1176" s="48" t="s">
        <v>8784</v>
      </c>
      <c r="G1176" s="55" t="s">
        <v>96</v>
      </c>
      <c r="H1176" s="64">
        <v>0.00598</v>
      </c>
      <c r="I1176" s="44"/>
      <c r="J1176" s="44"/>
      <c r="K1176" s="44"/>
      <c r="L1176" s="44"/>
      <c r="M1176" s="44"/>
      <c r="N1176" s="44"/>
      <c r="O1176" s="44"/>
      <c r="P1176" s="44"/>
      <c r="Q1176" s="44"/>
      <c r="R1176" s="44"/>
      <c r="S1176" s="44"/>
      <c r="T1176" s="44"/>
      <c r="U1176" s="44"/>
    </row>
    <row r="1177">
      <c r="A1177" s="48" t="s">
        <v>10543</v>
      </c>
      <c r="B1177" s="44"/>
      <c r="C1177" s="48" t="s">
        <v>10544</v>
      </c>
      <c r="D1177" s="44"/>
      <c r="E1177" s="48" t="s">
        <v>5218</v>
      </c>
      <c r="F1177" s="48" t="s">
        <v>8784</v>
      </c>
      <c r="G1177" s="55" t="s">
        <v>96</v>
      </c>
      <c r="H1177" s="64">
        <v>0.00597</v>
      </c>
      <c r="I1177" s="44"/>
      <c r="J1177" s="44"/>
      <c r="K1177" s="44"/>
      <c r="L1177" s="44"/>
      <c r="M1177" s="44"/>
      <c r="N1177" s="44"/>
      <c r="O1177" s="44"/>
      <c r="P1177" s="44"/>
      <c r="Q1177" s="44"/>
      <c r="R1177" s="44"/>
      <c r="S1177" s="44"/>
      <c r="T1177" s="44"/>
      <c r="U1177" s="44"/>
    </row>
    <row r="1178">
      <c r="A1178" s="48" t="s">
        <v>10545</v>
      </c>
      <c r="B1178" s="44"/>
      <c r="C1178" s="48" t="s">
        <v>5433</v>
      </c>
      <c r="D1178" s="44"/>
      <c r="E1178" s="48" t="s">
        <v>5434</v>
      </c>
      <c r="F1178" s="48" t="s">
        <v>5277</v>
      </c>
      <c r="G1178" s="55" t="s">
        <v>96</v>
      </c>
      <c r="H1178" s="64">
        <v>0.00594</v>
      </c>
      <c r="I1178" s="44"/>
      <c r="J1178" s="44"/>
      <c r="K1178" s="44"/>
      <c r="L1178" s="44"/>
      <c r="M1178" s="44"/>
      <c r="N1178" s="44"/>
      <c r="O1178" s="44"/>
      <c r="P1178" s="44"/>
      <c r="Q1178" s="44"/>
      <c r="R1178" s="44"/>
      <c r="S1178" s="44"/>
      <c r="T1178" s="44"/>
      <c r="U1178" s="44"/>
    </row>
    <row r="1179">
      <c r="A1179" s="48" t="s">
        <v>10546</v>
      </c>
      <c r="B1179" s="44"/>
      <c r="C1179" s="48" t="s">
        <v>10547</v>
      </c>
      <c r="D1179" s="44"/>
      <c r="E1179" s="48" t="s">
        <v>6249</v>
      </c>
      <c r="F1179" s="48" t="s">
        <v>8784</v>
      </c>
      <c r="G1179" s="55" t="s">
        <v>96</v>
      </c>
      <c r="H1179" s="64">
        <v>0.00593</v>
      </c>
      <c r="I1179" s="44"/>
      <c r="J1179" s="44"/>
      <c r="K1179" s="44"/>
      <c r="L1179" s="44"/>
      <c r="M1179" s="44"/>
      <c r="N1179" s="44"/>
      <c r="O1179" s="44"/>
      <c r="P1179" s="44"/>
      <c r="Q1179" s="44"/>
      <c r="R1179" s="44"/>
      <c r="S1179" s="44"/>
      <c r="T1179" s="44"/>
      <c r="U1179" s="44"/>
    </row>
    <row r="1180">
      <c r="A1180" s="48" t="s">
        <v>4344</v>
      </c>
      <c r="B1180" s="44"/>
      <c r="C1180" s="48" t="s">
        <v>10548</v>
      </c>
      <c r="D1180" s="44"/>
      <c r="E1180" s="48" t="s">
        <v>5276</v>
      </c>
      <c r="F1180" s="48" t="s">
        <v>4095</v>
      </c>
      <c r="G1180" s="55" t="s">
        <v>96</v>
      </c>
      <c r="H1180" s="64">
        <v>0.00592</v>
      </c>
      <c r="I1180" s="44"/>
      <c r="J1180" s="44"/>
      <c r="K1180" s="44"/>
      <c r="L1180" s="44"/>
      <c r="M1180" s="44"/>
      <c r="N1180" s="44"/>
      <c r="O1180" s="44"/>
      <c r="P1180" s="44"/>
      <c r="Q1180" s="44"/>
      <c r="R1180" s="44"/>
      <c r="S1180" s="44"/>
      <c r="T1180" s="44"/>
      <c r="U1180" s="44"/>
    </row>
    <row r="1181">
      <c r="A1181" s="48" t="s">
        <v>10549</v>
      </c>
      <c r="B1181" s="44"/>
      <c r="C1181" s="48" t="s">
        <v>10550</v>
      </c>
      <c r="D1181" s="44"/>
      <c r="E1181" s="48" t="s">
        <v>5369</v>
      </c>
      <c r="F1181" s="48" t="s">
        <v>8784</v>
      </c>
      <c r="G1181" s="55" t="s">
        <v>96</v>
      </c>
      <c r="H1181" s="64">
        <v>0.00587</v>
      </c>
      <c r="I1181" s="44"/>
      <c r="J1181" s="44"/>
      <c r="K1181" s="44"/>
      <c r="L1181" s="44"/>
      <c r="M1181" s="44"/>
      <c r="N1181" s="44"/>
      <c r="O1181" s="44"/>
      <c r="P1181" s="44"/>
      <c r="Q1181" s="44"/>
      <c r="R1181" s="44"/>
      <c r="S1181" s="44"/>
      <c r="T1181" s="44"/>
      <c r="U1181" s="44"/>
    </row>
    <row r="1182">
      <c r="A1182" s="48" t="s">
        <v>10551</v>
      </c>
      <c r="B1182" s="44"/>
      <c r="C1182" s="48" t="s">
        <v>10552</v>
      </c>
      <c r="D1182" s="44"/>
      <c r="E1182" s="48" t="s">
        <v>5296</v>
      </c>
      <c r="F1182" s="48" t="s">
        <v>5747</v>
      </c>
      <c r="G1182" s="55" t="s">
        <v>96</v>
      </c>
      <c r="H1182" s="64">
        <v>0.00587</v>
      </c>
      <c r="I1182" s="44"/>
      <c r="J1182" s="44"/>
      <c r="K1182" s="44"/>
      <c r="L1182" s="44"/>
      <c r="M1182" s="44"/>
      <c r="N1182" s="44"/>
      <c r="O1182" s="44"/>
      <c r="P1182" s="44"/>
      <c r="Q1182" s="44"/>
      <c r="R1182" s="44"/>
      <c r="S1182" s="44"/>
      <c r="T1182" s="44"/>
      <c r="U1182" s="44"/>
    </row>
    <row r="1183">
      <c r="A1183" s="48" t="s">
        <v>6802</v>
      </c>
      <c r="B1183" s="44"/>
      <c r="C1183" s="48" t="s">
        <v>6803</v>
      </c>
      <c r="D1183" s="44"/>
      <c r="E1183" s="48" t="s">
        <v>6150</v>
      </c>
      <c r="F1183" s="48" t="s">
        <v>5927</v>
      </c>
      <c r="G1183" s="55" t="s">
        <v>96</v>
      </c>
      <c r="H1183" s="64">
        <v>0.00586</v>
      </c>
      <c r="I1183" s="44"/>
      <c r="J1183" s="44"/>
      <c r="K1183" s="44"/>
      <c r="L1183" s="44"/>
      <c r="M1183" s="44"/>
      <c r="N1183" s="44"/>
      <c r="O1183" s="44"/>
      <c r="P1183" s="44"/>
      <c r="Q1183" s="44"/>
      <c r="R1183" s="44"/>
      <c r="S1183" s="44"/>
      <c r="T1183" s="44"/>
      <c r="U1183" s="44"/>
    </row>
    <row r="1184">
      <c r="A1184" s="48" t="s">
        <v>10553</v>
      </c>
      <c r="B1184" s="44"/>
      <c r="C1184" s="48" t="s">
        <v>10554</v>
      </c>
      <c r="D1184" s="44"/>
      <c r="E1184" s="48" t="s">
        <v>5450</v>
      </c>
      <c r="F1184" s="48" t="s">
        <v>5747</v>
      </c>
      <c r="G1184" s="55" t="s">
        <v>96</v>
      </c>
      <c r="H1184" s="64">
        <v>0.00585</v>
      </c>
      <c r="I1184" s="44"/>
      <c r="J1184" s="44"/>
      <c r="K1184" s="44"/>
      <c r="L1184" s="44"/>
      <c r="M1184" s="44"/>
      <c r="N1184" s="44"/>
      <c r="O1184" s="44"/>
      <c r="P1184" s="44"/>
      <c r="Q1184" s="44"/>
      <c r="R1184" s="44"/>
      <c r="S1184" s="44"/>
      <c r="T1184" s="44"/>
      <c r="U1184" s="44"/>
    </row>
    <row r="1185">
      <c r="A1185" s="48" t="s">
        <v>10555</v>
      </c>
      <c r="B1185" s="44"/>
      <c r="C1185" s="48" t="s">
        <v>10556</v>
      </c>
      <c r="D1185" s="44"/>
      <c r="E1185" s="48" t="s">
        <v>6389</v>
      </c>
      <c r="F1185" s="48" t="s">
        <v>8784</v>
      </c>
      <c r="G1185" s="55" t="s">
        <v>96</v>
      </c>
      <c r="H1185" s="64">
        <v>0.00584</v>
      </c>
      <c r="I1185" s="44"/>
      <c r="J1185" s="44"/>
      <c r="K1185" s="44"/>
      <c r="L1185" s="44"/>
      <c r="M1185" s="44"/>
      <c r="N1185" s="44"/>
      <c r="O1185" s="44"/>
      <c r="P1185" s="44"/>
      <c r="Q1185" s="44"/>
      <c r="R1185" s="44"/>
      <c r="S1185" s="44"/>
      <c r="T1185" s="44"/>
      <c r="U1185" s="44"/>
    </row>
    <row r="1186">
      <c r="A1186" s="48" t="s">
        <v>10557</v>
      </c>
      <c r="B1186" s="44"/>
      <c r="C1186" s="48" t="s">
        <v>10558</v>
      </c>
      <c r="D1186" s="44"/>
      <c r="E1186" s="48" t="s">
        <v>5271</v>
      </c>
      <c r="F1186" s="48" t="s">
        <v>8784</v>
      </c>
      <c r="G1186" s="55" t="s">
        <v>96</v>
      </c>
      <c r="H1186" s="64">
        <v>0.00583</v>
      </c>
      <c r="I1186" s="44"/>
      <c r="J1186" s="44"/>
      <c r="K1186" s="44"/>
      <c r="L1186" s="44"/>
      <c r="M1186" s="44"/>
      <c r="N1186" s="44"/>
      <c r="O1186" s="44"/>
      <c r="P1186" s="44"/>
      <c r="Q1186" s="44"/>
      <c r="R1186" s="44"/>
      <c r="S1186" s="44"/>
      <c r="T1186" s="44"/>
      <c r="U1186" s="44"/>
    </row>
    <row r="1187">
      <c r="A1187" s="48" t="s">
        <v>10559</v>
      </c>
      <c r="B1187" s="44"/>
      <c r="C1187" s="48" t="s">
        <v>10560</v>
      </c>
      <c r="D1187" s="44"/>
      <c r="E1187" s="48" t="s">
        <v>5682</v>
      </c>
      <c r="F1187" s="48" t="s">
        <v>4357</v>
      </c>
      <c r="G1187" s="55" t="s">
        <v>96</v>
      </c>
      <c r="H1187" s="64">
        <v>0.00583</v>
      </c>
      <c r="I1187" s="44"/>
      <c r="J1187" s="44"/>
      <c r="K1187" s="44"/>
      <c r="L1187" s="44"/>
      <c r="M1187" s="44"/>
      <c r="N1187" s="44"/>
      <c r="O1187" s="44"/>
      <c r="P1187" s="44"/>
      <c r="Q1187" s="44"/>
      <c r="R1187" s="44"/>
      <c r="S1187" s="44"/>
      <c r="T1187" s="44"/>
      <c r="U1187" s="44"/>
    </row>
    <row r="1188">
      <c r="A1188" s="48" t="s">
        <v>10561</v>
      </c>
      <c r="B1188" s="44"/>
      <c r="C1188" s="48" t="s">
        <v>10562</v>
      </c>
      <c r="D1188" s="44"/>
      <c r="E1188" s="48" t="s">
        <v>5742</v>
      </c>
      <c r="F1188" s="48" t="s">
        <v>9513</v>
      </c>
      <c r="G1188" s="55" t="s">
        <v>96</v>
      </c>
      <c r="H1188" s="64">
        <v>0.00578</v>
      </c>
      <c r="I1188" s="44"/>
      <c r="J1188" s="44"/>
      <c r="K1188" s="44"/>
      <c r="L1188" s="44"/>
      <c r="M1188" s="44"/>
      <c r="N1188" s="44"/>
      <c r="O1188" s="44"/>
      <c r="P1188" s="44"/>
      <c r="Q1188" s="44"/>
      <c r="R1188" s="44"/>
      <c r="S1188" s="44"/>
      <c r="T1188" s="44"/>
      <c r="U1188" s="44"/>
    </row>
    <row r="1189">
      <c r="A1189" s="48" t="s">
        <v>10563</v>
      </c>
      <c r="B1189" s="44"/>
      <c r="C1189" s="48" t="s">
        <v>10564</v>
      </c>
      <c r="D1189" s="44"/>
      <c r="E1189" s="48" t="s">
        <v>5326</v>
      </c>
      <c r="F1189" s="48" t="s">
        <v>9299</v>
      </c>
      <c r="G1189" s="55" t="s">
        <v>96</v>
      </c>
      <c r="H1189" s="64">
        <v>0.00577</v>
      </c>
      <c r="I1189" s="44"/>
      <c r="J1189" s="44"/>
      <c r="K1189" s="44"/>
      <c r="L1189" s="44"/>
      <c r="M1189" s="44"/>
      <c r="N1189" s="44"/>
      <c r="O1189" s="44"/>
      <c r="P1189" s="44"/>
      <c r="Q1189" s="44"/>
      <c r="R1189" s="44"/>
      <c r="S1189" s="44"/>
      <c r="T1189" s="44"/>
      <c r="U1189" s="44"/>
    </row>
    <row r="1190">
      <c r="A1190" s="48" t="s">
        <v>10565</v>
      </c>
      <c r="B1190" s="44"/>
      <c r="C1190" s="48" t="s">
        <v>10566</v>
      </c>
      <c r="D1190" s="44"/>
      <c r="E1190" s="48" t="s">
        <v>5235</v>
      </c>
      <c r="F1190" s="48" t="s">
        <v>9513</v>
      </c>
      <c r="G1190" s="55" t="s">
        <v>96</v>
      </c>
      <c r="H1190" s="64">
        <v>0.00576</v>
      </c>
      <c r="I1190" s="44"/>
      <c r="J1190" s="44"/>
      <c r="K1190" s="44"/>
      <c r="L1190" s="44"/>
      <c r="M1190" s="44"/>
      <c r="N1190" s="44"/>
      <c r="O1190" s="44"/>
      <c r="P1190" s="44"/>
      <c r="Q1190" s="44"/>
      <c r="R1190" s="44"/>
      <c r="S1190" s="44"/>
      <c r="T1190" s="44"/>
      <c r="U1190" s="44"/>
    </row>
    <row r="1191">
      <c r="A1191" s="48" t="s">
        <v>10567</v>
      </c>
      <c r="B1191" s="44"/>
      <c r="C1191" s="48" t="s">
        <v>9115</v>
      </c>
      <c r="D1191" s="44"/>
      <c r="E1191" s="48" t="s">
        <v>5258</v>
      </c>
      <c r="F1191" s="48" t="s">
        <v>5300</v>
      </c>
      <c r="G1191" s="55" t="s">
        <v>96</v>
      </c>
      <c r="H1191" s="64">
        <v>0.00574</v>
      </c>
      <c r="I1191" s="44"/>
      <c r="J1191" s="44"/>
      <c r="K1191" s="44"/>
      <c r="L1191" s="44"/>
      <c r="M1191" s="44"/>
      <c r="N1191" s="44"/>
      <c r="O1191" s="44"/>
      <c r="P1191" s="44"/>
      <c r="Q1191" s="44"/>
      <c r="R1191" s="44"/>
      <c r="S1191" s="44"/>
      <c r="T1191" s="44"/>
      <c r="U1191" s="44"/>
    </row>
    <row r="1192">
      <c r="A1192" s="48" t="s">
        <v>10568</v>
      </c>
      <c r="B1192" s="44"/>
      <c r="C1192" s="48" t="s">
        <v>10569</v>
      </c>
      <c r="D1192" s="44"/>
      <c r="E1192" s="48" t="s">
        <v>6012</v>
      </c>
      <c r="F1192" s="48" t="s">
        <v>8784</v>
      </c>
      <c r="G1192" s="55" t="s">
        <v>96</v>
      </c>
      <c r="H1192" s="64">
        <v>0.00572</v>
      </c>
      <c r="I1192" s="44"/>
      <c r="J1192" s="44"/>
      <c r="K1192" s="44"/>
      <c r="L1192" s="44"/>
      <c r="M1192" s="44"/>
      <c r="N1192" s="44"/>
      <c r="O1192" s="44"/>
      <c r="P1192" s="44"/>
      <c r="Q1192" s="44"/>
      <c r="R1192" s="44"/>
      <c r="S1192" s="44"/>
      <c r="T1192" s="44"/>
      <c r="U1192" s="44"/>
    </row>
    <row r="1193">
      <c r="A1193" s="48" t="s">
        <v>10570</v>
      </c>
      <c r="B1193" s="44"/>
      <c r="C1193" s="48" t="s">
        <v>10571</v>
      </c>
      <c r="D1193" s="44"/>
      <c r="E1193" s="48" t="s">
        <v>5564</v>
      </c>
      <c r="F1193" s="48" t="s">
        <v>5941</v>
      </c>
      <c r="G1193" s="55" t="s">
        <v>96</v>
      </c>
      <c r="H1193" s="64">
        <v>0.00571</v>
      </c>
      <c r="I1193" s="44"/>
      <c r="J1193" s="44"/>
      <c r="K1193" s="44"/>
      <c r="L1193" s="44"/>
      <c r="M1193" s="44"/>
      <c r="N1193" s="44"/>
      <c r="O1193" s="44"/>
      <c r="P1193" s="44"/>
      <c r="Q1193" s="44"/>
      <c r="R1193" s="44"/>
      <c r="S1193" s="44"/>
      <c r="T1193" s="44"/>
      <c r="U1193" s="44"/>
    </row>
    <row r="1194">
      <c r="A1194" s="48" t="s">
        <v>5254</v>
      </c>
      <c r="B1194" s="44"/>
      <c r="C1194" s="48" t="s">
        <v>10572</v>
      </c>
      <c r="D1194" s="44"/>
      <c r="E1194" s="48" t="s">
        <v>5341</v>
      </c>
      <c r="F1194" s="48" t="s">
        <v>4436</v>
      </c>
      <c r="G1194" s="55" t="s">
        <v>96</v>
      </c>
      <c r="H1194" s="64">
        <v>0.00569</v>
      </c>
      <c r="I1194" s="44"/>
      <c r="J1194" s="44"/>
      <c r="K1194" s="44"/>
      <c r="L1194" s="44"/>
      <c r="M1194" s="44"/>
      <c r="N1194" s="44"/>
      <c r="O1194" s="44"/>
      <c r="P1194" s="44"/>
      <c r="Q1194" s="44"/>
      <c r="R1194" s="44"/>
      <c r="S1194" s="44"/>
      <c r="T1194" s="44"/>
      <c r="U1194" s="44"/>
    </row>
    <row r="1195">
      <c r="A1195" s="48" t="s">
        <v>10573</v>
      </c>
      <c r="B1195" s="44"/>
      <c r="C1195" s="48" t="s">
        <v>10574</v>
      </c>
      <c r="D1195" s="44"/>
      <c r="E1195" s="48" t="s">
        <v>6040</v>
      </c>
      <c r="F1195" s="48" t="s">
        <v>6220</v>
      </c>
      <c r="G1195" s="55" t="s">
        <v>96</v>
      </c>
      <c r="H1195" s="64">
        <v>0.00568</v>
      </c>
      <c r="I1195" s="44"/>
      <c r="J1195" s="44"/>
      <c r="K1195" s="44"/>
      <c r="L1195" s="44"/>
      <c r="M1195" s="44"/>
      <c r="N1195" s="44"/>
      <c r="O1195" s="44"/>
      <c r="P1195" s="44"/>
      <c r="Q1195" s="44"/>
      <c r="R1195" s="44"/>
      <c r="S1195" s="44"/>
      <c r="T1195" s="44"/>
      <c r="U1195" s="44"/>
    </row>
    <row r="1196">
      <c r="A1196" s="48" t="s">
        <v>6812</v>
      </c>
      <c r="B1196" s="44"/>
      <c r="C1196" s="48" t="s">
        <v>6813</v>
      </c>
      <c r="D1196" s="44"/>
      <c r="E1196" s="48" t="s">
        <v>5374</v>
      </c>
      <c r="F1196" s="48" t="s">
        <v>4340</v>
      </c>
      <c r="G1196" s="55" t="s">
        <v>96</v>
      </c>
      <c r="H1196" s="64">
        <v>0.00567</v>
      </c>
      <c r="I1196" s="44"/>
      <c r="J1196" s="44"/>
      <c r="K1196" s="44"/>
      <c r="L1196" s="44"/>
      <c r="M1196" s="44"/>
      <c r="N1196" s="44"/>
      <c r="O1196" s="44"/>
      <c r="P1196" s="44"/>
      <c r="Q1196" s="44"/>
      <c r="R1196" s="44"/>
      <c r="S1196" s="44"/>
      <c r="T1196" s="44"/>
      <c r="U1196" s="44"/>
    </row>
    <row r="1197">
      <c r="A1197" s="48" t="s">
        <v>10575</v>
      </c>
      <c r="B1197" s="44"/>
      <c r="C1197" s="48" t="s">
        <v>10576</v>
      </c>
      <c r="D1197" s="44"/>
      <c r="E1197" s="48" t="s">
        <v>6009</v>
      </c>
      <c r="F1197" s="48" t="s">
        <v>8784</v>
      </c>
      <c r="G1197" s="55" t="s">
        <v>96</v>
      </c>
      <c r="H1197" s="64">
        <v>0.00566</v>
      </c>
      <c r="I1197" s="44"/>
      <c r="J1197" s="44"/>
      <c r="K1197" s="44"/>
      <c r="L1197" s="44"/>
      <c r="M1197" s="44"/>
      <c r="N1197" s="44"/>
      <c r="O1197" s="44"/>
      <c r="P1197" s="44"/>
      <c r="Q1197" s="44"/>
      <c r="R1197" s="44"/>
      <c r="S1197" s="44"/>
      <c r="T1197" s="44"/>
      <c r="U1197" s="44"/>
    </row>
    <row r="1198">
      <c r="A1198" s="48" t="s">
        <v>10577</v>
      </c>
      <c r="B1198" s="44"/>
      <c r="C1198" s="48" t="s">
        <v>10578</v>
      </c>
      <c r="D1198" s="44"/>
      <c r="E1198" s="48" t="s">
        <v>5218</v>
      </c>
      <c r="F1198" s="48" t="s">
        <v>9021</v>
      </c>
      <c r="G1198" s="55" t="s">
        <v>96</v>
      </c>
      <c r="H1198" s="64">
        <v>0.00566</v>
      </c>
      <c r="I1198" s="44"/>
      <c r="J1198" s="44"/>
      <c r="K1198" s="44"/>
      <c r="L1198" s="44"/>
      <c r="M1198" s="44"/>
      <c r="N1198" s="44"/>
      <c r="O1198" s="44"/>
      <c r="P1198" s="44"/>
      <c r="Q1198" s="44"/>
      <c r="R1198" s="44"/>
      <c r="S1198" s="44"/>
      <c r="T1198" s="44"/>
      <c r="U1198" s="44"/>
    </row>
    <row r="1199">
      <c r="A1199" s="48" t="s">
        <v>10579</v>
      </c>
      <c r="B1199" s="44"/>
      <c r="C1199" s="48" t="s">
        <v>10580</v>
      </c>
      <c r="D1199" s="44"/>
      <c r="E1199" s="48" t="s">
        <v>6249</v>
      </c>
      <c r="F1199" s="48" t="s">
        <v>4357</v>
      </c>
      <c r="G1199" s="55" t="s">
        <v>96</v>
      </c>
      <c r="H1199" s="64">
        <v>0.00566</v>
      </c>
      <c r="I1199" s="44"/>
      <c r="J1199" s="44"/>
      <c r="K1199" s="44"/>
      <c r="L1199" s="44"/>
      <c r="M1199" s="44"/>
      <c r="N1199" s="44"/>
      <c r="O1199" s="44"/>
      <c r="P1199" s="44"/>
      <c r="Q1199" s="44"/>
      <c r="R1199" s="44"/>
      <c r="S1199" s="44"/>
      <c r="T1199" s="44"/>
      <c r="U1199" s="44"/>
    </row>
    <row r="1200">
      <c r="A1200" s="48" t="s">
        <v>10581</v>
      </c>
      <c r="B1200" s="44"/>
      <c r="C1200" s="48" t="s">
        <v>10582</v>
      </c>
      <c r="D1200" s="44"/>
      <c r="E1200" s="48" t="s">
        <v>5341</v>
      </c>
      <c r="F1200" s="48" t="s">
        <v>8784</v>
      </c>
      <c r="G1200" s="55" t="s">
        <v>96</v>
      </c>
      <c r="H1200" s="64">
        <v>0.00565</v>
      </c>
      <c r="I1200" s="44"/>
      <c r="J1200" s="44"/>
      <c r="K1200" s="44"/>
      <c r="L1200" s="44"/>
      <c r="M1200" s="44"/>
      <c r="N1200" s="44"/>
      <c r="O1200" s="44"/>
      <c r="P1200" s="44"/>
      <c r="Q1200" s="44"/>
      <c r="R1200" s="44"/>
      <c r="S1200" s="44"/>
      <c r="T1200" s="44"/>
      <c r="U1200" s="44"/>
    </row>
    <row r="1201">
      <c r="A1201" s="48" t="s">
        <v>7561</v>
      </c>
      <c r="B1201" s="44"/>
      <c r="C1201" s="48" t="s">
        <v>7562</v>
      </c>
      <c r="D1201" s="44"/>
      <c r="E1201" s="48" t="s">
        <v>5241</v>
      </c>
      <c r="F1201" s="48" t="s">
        <v>4340</v>
      </c>
      <c r="G1201" s="55" t="s">
        <v>96</v>
      </c>
      <c r="H1201" s="64">
        <v>0.00564</v>
      </c>
      <c r="I1201" s="44"/>
      <c r="J1201" s="44"/>
      <c r="K1201" s="44"/>
      <c r="L1201" s="44"/>
      <c r="M1201" s="44"/>
      <c r="N1201" s="44"/>
      <c r="O1201" s="44"/>
      <c r="P1201" s="44"/>
      <c r="Q1201" s="44"/>
      <c r="R1201" s="44"/>
      <c r="S1201" s="44"/>
      <c r="T1201" s="44"/>
      <c r="U1201" s="44"/>
    </row>
    <row r="1202">
      <c r="A1202" s="48" t="s">
        <v>10583</v>
      </c>
      <c r="B1202" s="44"/>
      <c r="C1202" s="48" t="s">
        <v>10584</v>
      </c>
      <c r="D1202" s="44"/>
      <c r="E1202" s="48" t="s">
        <v>5283</v>
      </c>
      <c r="F1202" s="48" t="s">
        <v>4357</v>
      </c>
      <c r="G1202" s="55" t="s">
        <v>96</v>
      </c>
      <c r="H1202" s="64">
        <v>0.00562</v>
      </c>
      <c r="I1202" s="44"/>
      <c r="J1202" s="44"/>
      <c r="K1202" s="44"/>
      <c r="L1202" s="44"/>
      <c r="M1202" s="44"/>
      <c r="N1202" s="44"/>
      <c r="O1202" s="44"/>
      <c r="P1202" s="44"/>
      <c r="Q1202" s="44"/>
      <c r="R1202" s="44"/>
      <c r="S1202" s="44"/>
      <c r="T1202" s="44"/>
      <c r="U1202" s="44"/>
    </row>
    <row r="1203">
      <c r="A1203" s="48" t="s">
        <v>10585</v>
      </c>
      <c r="B1203" s="44"/>
      <c r="C1203" s="48" t="s">
        <v>10586</v>
      </c>
      <c r="D1203" s="44"/>
      <c r="E1203" s="48" t="s">
        <v>5704</v>
      </c>
      <c r="F1203" s="48" t="s">
        <v>8784</v>
      </c>
      <c r="G1203" s="55" t="s">
        <v>96</v>
      </c>
      <c r="H1203" s="64">
        <v>0.00558</v>
      </c>
      <c r="I1203" s="44"/>
      <c r="J1203" s="44"/>
      <c r="K1203" s="44"/>
      <c r="L1203" s="44"/>
      <c r="M1203" s="44"/>
      <c r="N1203" s="44"/>
      <c r="O1203" s="44"/>
      <c r="P1203" s="44"/>
      <c r="Q1203" s="44"/>
      <c r="R1203" s="44"/>
      <c r="S1203" s="44"/>
      <c r="T1203" s="44"/>
      <c r="U1203" s="44"/>
    </row>
    <row r="1204">
      <c r="A1204" s="48" t="s">
        <v>10587</v>
      </c>
      <c r="B1204" s="44"/>
      <c r="C1204" s="48" t="s">
        <v>10588</v>
      </c>
      <c r="D1204" s="44"/>
      <c r="E1204" s="48" t="s">
        <v>5434</v>
      </c>
      <c r="F1204" s="48" t="s">
        <v>5425</v>
      </c>
      <c r="G1204" s="55" t="s">
        <v>96</v>
      </c>
      <c r="H1204" s="64">
        <v>0.00558</v>
      </c>
      <c r="I1204" s="44"/>
      <c r="J1204" s="44"/>
      <c r="K1204" s="44"/>
      <c r="L1204" s="44"/>
      <c r="M1204" s="44"/>
      <c r="N1204" s="44"/>
      <c r="O1204" s="44"/>
      <c r="P1204" s="44"/>
      <c r="Q1204" s="44"/>
      <c r="R1204" s="44"/>
      <c r="S1204" s="44"/>
      <c r="T1204" s="44"/>
      <c r="U1204" s="44"/>
    </row>
    <row r="1205">
      <c r="A1205" s="48" t="s">
        <v>10589</v>
      </c>
      <c r="B1205" s="44"/>
      <c r="C1205" s="48" t="s">
        <v>10590</v>
      </c>
      <c r="D1205" s="44"/>
      <c r="E1205" s="48" t="s">
        <v>6238</v>
      </c>
      <c r="F1205" s="48" t="s">
        <v>5277</v>
      </c>
      <c r="G1205" s="55" t="s">
        <v>96</v>
      </c>
      <c r="H1205" s="64">
        <v>0.00557</v>
      </c>
      <c r="I1205" s="44"/>
      <c r="J1205" s="44"/>
      <c r="K1205" s="44"/>
      <c r="L1205" s="44"/>
      <c r="M1205" s="44"/>
      <c r="N1205" s="44"/>
      <c r="O1205" s="44"/>
      <c r="P1205" s="44"/>
      <c r="Q1205" s="44"/>
      <c r="R1205" s="44"/>
      <c r="S1205" s="44"/>
      <c r="T1205" s="44"/>
      <c r="U1205" s="44"/>
    </row>
    <row r="1206">
      <c r="A1206" s="48" t="s">
        <v>10591</v>
      </c>
      <c r="B1206" s="44"/>
      <c r="C1206" s="48" t="s">
        <v>10592</v>
      </c>
      <c r="D1206" s="44"/>
      <c r="E1206" s="48" t="s">
        <v>5978</v>
      </c>
      <c r="F1206" s="48" t="s">
        <v>8784</v>
      </c>
      <c r="G1206" s="55" t="s">
        <v>96</v>
      </c>
      <c r="H1206" s="64">
        <v>0.00557</v>
      </c>
      <c r="I1206" s="44"/>
      <c r="J1206" s="44"/>
      <c r="K1206" s="44"/>
      <c r="L1206" s="44"/>
      <c r="M1206" s="44"/>
      <c r="N1206" s="44"/>
      <c r="O1206" s="44"/>
      <c r="P1206" s="44"/>
      <c r="Q1206" s="44"/>
      <c r="R1206" s="44"/>
      <c r="S1206" s="44"/>
      <c r="T1206" s="44"/>
      <c r="U1206" s="44"/>
    </row>
    <row r="1207">
      <c r="A1207" s="48" t="s">
        <v>10593</v>
      </c>
      <c r="B1207" s="44"/>
      <c r="C1207" s="48" t="s">
        <v>10594</v>
      </c>
      <c r="D1207" s="44"/>
      <c r="E1207" s="48" t="s">
        <v>5241</v>
      </c>
      <c r="F1207" s="48" t="s">
        <v>8759</v>
      </c>
      <c r="G1207" s="55" t="s">
        <v>96</v>
      </c>
      <c r="H1207" s="64">
        <v>0.00555</v>
      </c>
      <c r="I1207" s="44"/>
      <c r="J1207" s="44"/>
      <c r="K1207" s="44"/>
      <c r="L1207" s="44"/>
      <c r="M1207" s="44"/>
      <c r="N1207" s="44"/>
      <c r="O1207" s="44"/>
      <c r="P1207" s="44"/>
      <c r="Q1207" s="44"/>
      <c r="R1207" s="44"/>
      <c r="S1207" s="44"/>
      <c r="T1207" s="44"/>
      <c r="U1207" s="44"/>
    </row>
    <row r="1208">
      <c r="A1208" s="48" t="s">
        <v>7237</v>
      </c>
      <c r="B1208" s="44"/>
      <c r="C1208" s="48" t="s">
        <v>7238</v>
      </c>
      <c r="D1208" s="44"/>
      <c r="E1208" s="48" t="s">
        <v>5756</v>
      </c>
      <c r="F1208" s="48" t="s">
        <v>6210</v>
      </c>
      <c r="G1208" s="55" t="s">
        <v>96</v>
      </c>
      <c r="H1208" s="64">
        <v>0.00555</v>
      </c>
      <c r="I1208" s="44"/>
      <c r="J1208" s="44"/>
      <c r="K1208" s="44"/>
      <c r="L1208" s="44"/>
      <c r="M1208" s="44"/>
      <c r="N1208" s="44"/>
      <c r="O1208" s="44"/>
      <c r="P1208" s="44"/>
      <c r="Q1208" s="44"/>
      <c r="R1208" s="44"/>
      <c r="S1208" s="44"/>
      <c r="T1208" s="44"/>
      <c r="U1208" s="44"/>
    </row>
    <row r="1209">
      <c r="A1209" s="48" t="s">
        <v>10595</v>
      </c>
      <c r="B1209" s="44"/>
      <c r="C1209" s="48" t="s">
        <v>10574</v>
      </c>
      <c r="D1209" s="44"/>
      <c r="E1209" s="48" t="s">
        <v>6040</v>
      </c>
      <c r="F1209" s="48" t="s">
        <v>6220</v>
      </c>
      <c r="G1209" s="55" t="s">
        <v>96</v>
      </c>
      <c r="H1209" s="64">
        <v>0.00555</v>
      </c>
      <c r="I1209" s="44"/>
      <c r="J1209" s="44"/>
      <c r="K1209" s="44"/>
      <c r="L1209" s="44"/>
      <c r="M1209" s="44"/>
      <c r="N1209" s="44"/>
      <c r="O1209" s="44"/>
      <c r="P1209" s="44"/>
      <c r="Q1209" s="44"/>
      <c r="R1209" s="44"/>
      <c r="S1209" s="44"/>
      <c r="T1209" s="44"/>
      <c r="U1209" s="44"/>
    </row>
    <row r="1210">
      <c r="A1210" s="48" t="s">
        <v>10596</v>
      </c>
      <c r="B1210" s="44"/>
      <c r="C1210" s="48" t="s">
        <v>10597</v>
      </c>
      <c r="D1210" s="44"/>
      <c r="E1210" s="48" t="s">
        <v>6798</v>
      </c>
      <c r="F1210" s="48" t="s">
        <v>8784</v>
      </c>
      <c r="G1210" s="55" t="s">
        <v>96</v>
      </c>
      <c r="H1210" s="64">
        <v>0.00552</v>
      </c>
      <c r="I1210" s="44"/>
      <c r="J1210" s="44"/>
      <c r="K1210" s="44"/>
      <c r="L1210" s="44"/>
      <c r="M1210" s="44"/>
      <c r="N1210" s="44"/>
      <c r="O1210" s="44"/>
      <c r="P1210" s="44"/>
      <c r="Q1210" s="44"/>
      <c r="R1210" s="44"/>
      <c r="S1210" s="44"/>
      <c r="T1210" s="44"/>
      <c r="U1210" s="44"/>
    </row>
    <row r="1211">
      <c r="A1211" s="48" t="s">
        <v>10598</v>
      </c>
      <c r="B1211" s="44"/>
      <c r="C1211" s="48" t="s">
        <v>10599</v>
      </c>
      <c r="D1211" s="44"/>
      <c r="E1211" s="48" t="s">
        <v>7098</v>
      </c>
      <c r="F1211" s="48" t="s">
        <v>4357</v>
      </c>
      <c r="G1211" s="55" t="s">
        <v>96</v>
      </c>
      <c r="H1211" s="64">
        <v>0.00551</v>
      </c>
      <c r="I1211" s="44"/>
      <c r="J1211" s="44"/>
      <c r="K1211" s="44"/>
      <c r="L1211" s="44"/>
      <c r="M1211" s="44"/>
      <c r="N1211" s="44"/>
      <c r="O1211" s="44"/>
      <c r="P1211" s="44"/>
      <c r="Q1211" s="44"/>
      <c r="R1211" s="44"/>
      <c r="S1211" s="44"/>
      <c r="T1211" s="44"/>
      <c r="U1211" s="44"/>
    </row>
    <row r="1212">
      <c r="A1212" s="48" t="s">
        <v>4654</v>
      </c>
      <c r="B1212" s="44"/>
      <c r="C1212" s="48" t="s">
        <v>10600</v>
      </c>
      <c r="D1212" s="44"/>
      <c r="E1212" s="48" t="s">
        <v>5309</v>
      </c>
      <c r="F1212" s="48" t="s">
        <v>5300</v>
      </c>
      <c r="G1212" s="55" t="s">
        <v>96</v>
      </c>
      <c r="H1212" s="64">
        <v>0.00551</v>
      </c>
      <c r="I1212" s="44"/>
      <c r="J1212" s="44"/>
      <c r="K1212" s="44"/>
      <c r="L1212" s="44"/>
      <c r="M1212" s="44"/>
      <c r="N1212" s="44"/>
      <c r="O1212" s="44"/>
      <c r="P1212" s="44"/>
      <c r="Q1212" s="44"/>
      <c r="R1212" s="44"/>
      <c r="S1212" s="44"/>
      <c r="T1212" s="44"/>
      <c r="U1212" s="44"/>
    </row>
    <row r="1213">
      <c r="A1213" s="48" t="s">
        <v>7522</v>
      </c>
      <c r="B1213" s="44"/>
      <c r="C1213" s="48" t="s">
        <v>7523</v>
      </c>
      <c r="D1213" s="44"/>
      <c r="E1213" s="48" t="s">
        <v>5513</v>
      </c>
      <c r="F1213" s="48" t="s">
        <v>4340</v>
      </c>
      <c r="G1213" s="55" t="s">
        <v>96</v>
      </c>
      <c r="H1213" s="64">
        <v>0.0055</v>
      </c>
      <c r="I1213" s="44"/>
      <c r="J1213" s="44"/>
      <c r="K1213" s="44"/>
      <c r="L1213" s="44"/>
      <c r="M1213" s="44"/>
      <c r="N1213" s="44"/>
      <c r="O1213" s="44"/>
      <c r="P1213" s="44"/>
      <c r="Q1213" s="44"/>
      <c r="R1213" s="44"/>
      <c r="S1213" s="44"/>
      <c r="T1213" s="44"/>
      <c r="U1213" s="44"/>
    </row>
    <row r="1214">
      <c r="A1214" s="48" t="s">
        <v>7056</v>
      </c>
      <c r="B1214" s="44"/>
      <c r="C1214" s="48" t="s">
        <v>7057</v>
      </c>
      <c r="D1214" s="44"/>
      <c r="E1214" s="48" t="s">
        <v>5261</v>
      </c>
      <c r="F1214" s="48" t="s">
        <v>4340</v>
      </c>
      <c r="G1214" s="55" t="s">
        <v>96</v>
      </c>
      <c r="H1214" s="64">
        <v>0.00549</v>
      </c>
      <c r="I1214" s="44"/>
      <c r="J1214" s="44"/>
      <c r="K1214" s="44"/>
      <c r="L1214" s="44"/>
      <c r="M1214" s="44"/>
      <c r="N1214" s="44"/>
      <c r="O1214" s="44"/>
      <c r="P1214" s="44"/>
      <c r="Q1214" s="44"/>
      <c r="R1214" s="44"/>
      <c r="S1214" s="44"/>
      <c r="T1214" s="44"/>
      <c r="U1214" s="44"/>
    </row>
    <row r="1215">
      <c r="A1215" s="48" t="s">
        <v>10601</v>
      </c>
      <c r="B1215" s="44"/>
      <c r="C1215" s="48" t="s">
        <v>10602</v>
      </c>
      <c r="D1215" s="44"/>
      <c r="E1215" s="48" t="s">
        <v>5238</v>
      </c>
      <c r="F1215" s="48" t="s">
        <v>9021</v>
      </c>
      <c r="G1215" s="55" t="s">
        <v>96</v>
      </c>
      <c r="H1215" s="64">
        <v>0.00549</v>
      </c>
      <c r="I1215" s="44"/>
      <c r="J1215" s="44"/>
      <c r="K1215" s="44"/>
      <c r="L1215" s="44"/>
      <c r="M1215" s="44"/>
      <c r="N1215" s="44"/>
      <c r="O1215" s="44"/>
      <c r="P1215" s="44"/>
      <c r="Q1215" s="44"/>
      <c r="R1215" s="44"/>
      <c r="S1215" s="44"/>
      <c r="T1215" s="44"/>
      <c r="U1215" s="44"/>
    </row>
    <row r="1216">
      <c r="A1216" s="48" t="s">
        <v>6631</v>
      </c>
      <c r="B1216" s="44"/>
      <c r="C1216" s="48" t="s">
        <v>6632</v>
      </c>
      <c r="D1216" s="44"/>
      <c r="E1216" s="48" t="s">
        <v>5756</v>
      </c>
      <c r="F1216" s="48" t="s">
        <v>4340</v>
      </c>
      <c r="G1216" s="55" t="s">
        <v>96</v>
      </c>
      <c r="H1216" s="64">
        <v>0.00548</v>
      </c>
      <c r="I1216" s="44"/>
      <c r="J1216" s="44"/>
      <c r="K1216" s="44"/>
      <c r="L1216" s="44"/>
      <c r="M1216" s="44"/>
      <c r="N1216" s="44"/>
      <c r="O1216" s="44"/>
      <c r="P1216" s="44"/>
      <c r="Q1216" s="44"/>
      <c r="R1216" s="44"/>
      <c r="S1216" s="44"/>
      <c r="T1216" s="44"/>
      <c r="U1216" s="44"/>
    </row>
    <row r="1217">
      <c r="A1217" s="48" t="s">
        <v>10603</v>
      </c>
      <c r="B1217" s="44"/>
      <c r="C1217" s="48" t="s">
        <v>10604</v>
      </c>
      <c r="D1217" s="44"/>
      <c r="E1217" s="48" t="s">
        <v>5215</v>
      </c>
      <c r="F1217" s="48" t="s">
        <v>8784</v>
      </c>
      <c r="G1217" s="55" t="s">
        <v>96</v>
      </c>
      <c r="H1217" s="64">
        <v>0.00544</v>
      </c>
      <c r="I1217" s="44"/>
      <c r="J1217" s="44"/>
      <c r="K1217" s="44"/>
      <c r="L1217" s="44"/>
      <c r="M1217" s="44"/>
      <c r="N1217" s="44"/>
      <c r="O1217" s="44"/>
      <c r="P1217" s="44"/>
      <c r="Q1217" s="44"/>
      <c r="R1217" s="44"/>
      <c r="S1217" s="44"/>
      <c r="T1217" s="44"/>
      <c r="U1217" s="44"/>
    </row>
    <row r="1218">
      <c r="A1218" s="48" t="s">
        <v>9989</v>
      </c>
      <c r="B1218" s="44"/>
      <c r="C1218" s="48" t="s">
        <v>10605</v>
      </c>
      <c r="D1218" s="44"/>
      <c r="E1218" s="48" t="s">
        <v>6130</v>
      </c>
      <c r="F1218" s="48" t="s">
        <v>6210</v>
      </c>
      <c r="G1218" s="55" t="s">
        <v>96</v>
      </c>
      <c r="H1218" s="64">
        <v>0.00544</v>
      </c>
      <c r="I1218" s="44"/>
      <c r="J1218" s="44"/>
      <c r="K1218" s="44"/>
      <c r="L1218" s="44"/>
      <c r="M1218" s="44"/>
      <c r="N1218" s="44"/>
      <c r="O1218" s="44"/>
      <c r="P1218" s="44"/>
      <c r="Q1218" s="44"/>
      <c r="R1218" s="44"/>
      <c r="S1218" s="44"/>
      <c r="T1218" s="44"/>
      <c r="U1218" s="44"/>
    </row>
    <row r="1219">
      <c r="A1219" s="48" t="s">
        <v>10606</v>
      </c>
      <c r="B1219" s="44"/>
      <c r="C1219" s="48" t="s">
        <v>10607</v>
      </c>
      <c r="D1219" s="44"/>
      <c r="E1219" s="48" t="s">
        <v>5390</v>
      </c>
      <c r="F1219" s="48" t="s">
        <v>8784</v>
      </c>
      <c r="G1219" s="55" t="s">
        <v>96</v>
      </c>
      <c r="H1219" s="64">
        <v>0.00541</v>
      </c>
      <c r="I1219" s="44"/>
      <c r="J1219" s="44"/>
      <c r="K1219" s="44"/>
      <c r="L1219" s="44"/>
      <c r="M1219" s="44"/>
      <c r="N1219" s="44"/>
      <c r="O1219" s="44"/>
      <c r="P1219" s="44"/>
      <c r="Q1219" s="44"/>
      <c r="R1219" s="44"/>
      <c r="S1219" s="44"/>
      <c r="T1219" s="44"/>
      <c r="U1219" s="44"/>
    </row>
    <row r="1220">
      <c r="A1220" s="48" t="s">
        <v>10608</v>
      </c>
      <c r="B1220" s="44"/>
      <c r="C1220" s="48" t="s">
        <v>10609</v>
      </c>
      <c r="D1220" s="44"/>
      <c r="E1220" s="48" t="s">
        <v>5650</v>
      </c>
      <c r="F1220" s="48" t="s">
        <v>8784</v>
      </c>
      <c r="G1220" s="55" t="s">
        <v>96</v>
      </c>
      <c r="H1220" s="64">
        <v>0.00538</v>
      </c>
      <c r="I1220" s="44"/>
      <c r="J1220" s="44"/>
      <c r="K1220" s="44"/>
      <c r="L1220" s="44"/>
      <c r="M1220" s="44"/>
      <c r="N1220" s="44"/>
      <c r="O1220" s="44"/>
      <c r="P1220" s="44"/>
      <c r="Q1220" s="44"/>
      <c r="R1220" s="44"/>
      <c r="S1220" s="44"/>
      <c r="T1220" s="44"/>
      <c r="U1220" s="44"/>
    </row>
    <row r="1221">
      <c r="A1221" s="48" t="s">
        <v>10610</v>
      </c>
      <c r="B1221" s="44"/>
      <c r="C1221" s="48" t="s">
        <v>10611</v>
      </c>
      <c r="D1221" s="44"/>
      <c r="E1221" s="48" t="s">
        <v>5241</v>
      </c>
      <c r="F1221" s="48" t="s">
        <v>6988</v>
      </c>
      <c r="G1221" s="55" t="s">
        <v>96</v>
      </c>
      <c r="H1221" s="64">
        <v>0.00537</v>
      </c>
      <c r="I1221" s="44"/>
      <c r="J1221" s="44"/>
      <c r="K1221" s="44"/>
      <c r="L1221" s="44"/>
      <c r="M1221" s="44"/>
      <c r="N1221" s="44"/>
      <c r="O1221" s="44"/>
      <c r="P1221" s="44"/>
      <c r="Q1221" s="44"/>
      <c r="R1221" s="44"/>
      <c r="S1221" s="44"/>
      <c r="T1221" s="44"/>
      <c r="U1221" s="44"/>
    </row>
    <row r="1222">
      <c r="A1222" s="48" t="s">
        <v>7003</v>
      </c>
      <c r="B1222" s="44"/>
      <c r="C1222" s="48" t="s">
        <v>7004</v>
      </c>
      <c r="D1222" s="44"/>
      <c r="E1222" s="48" t="s">
        <v>6475</v>
      </c>
      <c r="F1222" s="48" t="s">
        <v>4340</v>
      </c>
      <c r="G1222" s="55" t="s">
        <v>96</v>
      </c>
      <c r="H1222" s="64">
        <v>0.00536</v>
      </c>
      <c r="I1222" s="44"/>
      <c r="J1222" s="44"/>
      <c r="K1222" s="44"/>
      <c r="L1222" s="44"/>
      <c r="M1222" s="44"/>
      <c r="N1222" s="44"/>
      <c r="O1222" s="44"/>
      <c r="P1222" s="44"/>
      <c r="Q1222" s="44"/>
      <c r="R1222" s="44"/>
      <c r="S1222" s="44"/>
      <c r="T1222" s="44"/>
      <c r="U1222" s="44"/>
    </row>
    <row r="1223">
      <c r="A1223" s="48" t="s">
        <v>10612</v>
      </c>
      <c r="B1223" s="44"/>
      <c r="C1223" s="48" t="s">
        <v>10613</v>
      </c>
      <c r="D1223" s="44"/>
      <c r="E1223" s="48" t="s">
        <v>6012</v>
      </c>
      <c r="F1223" s="48" t="s">
        <v>4095</v>
      </c>
      <c r="G1223" s="55" t="s">
        <v>96</v>
      </c>
      <c r="H1223" s="64">
        <v>0.00535</v>
      </c>
      <c r="I1223" s="44"/>
      <c r="J1223" s="44"/>
      <c r="K1223" s="44"/>
      <c r="L1223" s="44"/>
      <c r="M1223" s="44"/>
      <c r="N1223" s="44"/>
      <c r="O1223" s="44"/>
      <c r="P1223" s="44"/>
      <c r="Q1223" s="44"/>
      <c r="R1223" s="44"/>
      <c r="S1223" s="44"/>
      <c r="T1223" s="44"/>
      <c r="U1223" s="44"/>
    </row>
    <row r="1224">
      <c r="A1224" s="48" t="s">
        <v>10614</v>
      </c>
      <c r="B1224" s="44"/>
      <c r="C1224" s="48" t="s">
        <v>10615</v>
      </c>
      <c r="D1224" s="44"/>
      <c r="E1224" s="48" t="s">
        <v>5366</v>
      </c>
      <c r="F1224" s="48" t="s">
        <v>8784</v>
      </c>
      <c r="G1224" s="55" t="s">
        <v>96</v>
      </c>
      <c r="H1224" s="64">
        <v>0.00535</v>
      </c>
      <c r="I1224" s="44"/>
      <c r="J1224" s="44"/>
      <c r="K1224" s="44"/>
      <c r="L1224" s="44"/>
      <c r="M1224" s="44"/>
      <c r="N1224" s="44"/>
      <c r="O1224" s="44"/>
      <c r="P1224" s="44"/>
      <c r="Q1224" s="44"/>
      <c r="R1224" s="44"/>
      <c r="S1224" s="44"/>
      <c r="T1224" s="44"/>
      <c r="U1224" s="44"/>
    </row>
    <row r="1225">
      <c r="A1225" s="48" t="s">
        <v>10616</v>
      </c>
      <c r="B1225" s="44"/>
      <c r="C1225" s="48" t="s">
        <v>10617</v>
      </c>
      <c r="D1225" s="44"/>
      <c r="E1225" s="48" t="s">
        <v>6275</v>
      </c>
      <c r="F1225" s="48" t="s">
        <v>8784</v>
      </c>
      <c r="G1225" s="55" t="s">
        <v>96</v>
      </c>
      <c r="H1225" s="64">
        <v>0.00534</v>
      </c>
      <c r="I1225" s="44"/>
      <c r="J1225" s="44"/>
      <c r="K1225" s="44"/>
      <c r="L1225" s="44"/>
      <c r="M1225" s="44"/>
      <c r="N1225" s="44"/>
      <c r="O1225" s="44"/>
      <c r="P1225" s="44"/>
      <c r="Q1225" s="44"/>
      <c r="R1225" s="44"/>
      <c r="S1225" s="44"/>
      <c r="T1225" s="44"/>
      <c r="U1225" s="44"/>
    </row>
    <row r="1226">
      <c r="A1226" s="48" t="s">
        <v>10618</v>
      </c>
      <c r="B1226" s="44"/>
      <c r="C1226" s="48" t="s">
        <v>10619</v>
      </c>
      <c r="D1226" s="44"/>
      <c r="E1226" s="48" t="s">
        <v>5561</v>
      </c>
      <c r="F1226" s="48" t="s">
        <v>8784</v>
      </c>
      <c r="G1226" s="55" t="s">
        <v>96</v>
      </c>
      <c r="H1226" s="64">
        <v>0.00523</v>
      </c>
      <c r="I1226" s="44"/>
      <c r="J1226" s="44"/>
      <c r="K1226" s="44"/>
      <c r="L1226" s="44"/>
      <c r="M1226" s="44"/>
      <c r="N1226" s="44"/>
      <c r="O1226" s="44"/>
      <c r="P1226" s="44"/>
      <c r="Q1226" s="44"/>
      <c r="R1226" s="44"/>
      <c r="S1226" s="44"/>
      <c r="T1226" s="44"/>
      <c r="U1226" s="44"/>
    </row>
    <row r="1227">
      <c r="A1227" s="48" t="s">
        <v>10620</v>
      </c>
      <c r="B1227" s="44"/>
      <c r="C1227" s="48" t="s">
        <v>10621</v>
      </c>
      <c r="D1227" s="44"/>
      <c r="E1227" s="48" t="s">
        <v>5276</v>
      </c>
      <c r="F1227" s="48" t="s">
        <v>8784</v>
      </c>
      <c r="G1227" s="55" t="s">
        <v>96</v>
      </c>
      <c r="H1227" s="64">
        <v>0.0052</v>
      </c>
      <c r="I1227" s="44"/>
      <c r="J1227" s="44"/>
      <c r="K1227" s="44"/>
      <c r="L1227" s="44"/>
      <c r="M1227" s="44"/>
      <c r="N1227" s="44"/>
      <c r="O1227" s="44"/>
      <c r="P1227" s="44"/>
      <c r="Q1227" s="44"/>
      <c r="R1227" s="44"/>
      <c r="S1227" s="44"/>
      <c r="T1227" s="44"/>
      <c r="U1227" s="44"/>
    </row>
    <row r="1228">
      <c r="A1228" s="48" t="s">
        <v>10622</v>
      </c>
      <c r="B1228" s="44"/>
      <c r="C1228" s="48" t="s">
        <v>9783</v>
      </c>
      <c r="D1228" s="44"/>
      <c r="E1228" s="48" t="s">
        <v>7476</v>
      </c>
      <c r="F1228" s="48" t="s">
        <v>5300</v>
      </c>
      <c r="G1228" s="55" t="s">
        <v>96</v>
      </c>
      <c r="H1228" s="64">
        <v>0.00515</v>
      </c>
      <c r="I1228" s="44"/>
      <c r="J1228" s="44"/>
      <c r="K1228" s="44"/>
      <c r="L1228" s="44"/>
      <c r="M1228" s="44"/>
      <c r="N1228" s="44"/>
      <c r="O1228" s="44"/>
      <c r="P1228" s="44"/>
      <c r="Q1228" s="44"/>
      <c r="R1228" s="44"/>
      <c r="S1228" s="44"/>
      <c r="T1228" s="44"/>
      <c r="U1228" s="44"/>
    </row>
    <row r="1229">
      <c r="A1229" s="48" t="s">
        <v>10623</v>
      </c>
      <c r="B1229" s="44"/>
      <c r="C1229" s="48" t="s">
        <v>10624</v>
      </c>
      <c r="D1229" s="44"/>
      <c r="E1229" s="48" t="s">
        <v>5434</v>
      </c>
      <c r="F1229" s="48" t="s">
        <v>8784</v>
      </c>
      <c r="G1229" s="55" t="s">
        <v>96</v>
      </c>
      <c r="H1229" s="64">
        <v>0.00513</v>
      </c>
      <c r="I1229" s="44"/>
      <c r="J1229" s="44"/>
      <c r="K1229" s="44"/>
      <c r="L1229" s="44"/>
      <c r="M1229" s="44"/>
      <c r="N1229" s="44"/>
      <c r="O1229" s="44"/>
      <c r="P1229" s="44"/>
      <c r="Q1229" s="44"/>
      <c r="R1229" s="44"/>
      <c r="S1229" s="44"/>
      <c r="T1229" s="44"/>
      <c r="U1229" s="44"/>
    </row>
    <row r="1230">
      <c r="A1230" s="48" t="s">
        <v>10625</v>
      </c>
      <c r="B1230" s="44"/>
      <c r="C1230" s="48" t="s">
        <v>10626</v>
      </c>
      <c r="D1230" s="44"/>
      <c r="E1230" s="48" t="s">
        <v>5369</v>
      </c>
      <c r="F1230" s="48" t="s">
        <v>8784</v>
      </c>
      <c r="G1230" s="55" t="s">
        <v>96</v>
      </c>
      <c r="H1230" s="64">
        <v>0.00512</v>
      </c>
      <c r="I1230" s="44"/>
      <c r="J1230" s="44"/>
      <c r="K1230" s="44"/>
      <c r="L1230" s="44"/>
      <c r="M1230" s="44"/>
      <c r="N1230" s="44"/>
      <c r="O1230" s="44"/>
      <c r="P1230" s="44"/>
      <c r="Q1230" s="44"/>
      <c r="R1230" s="44"/>
      <c r="S1230" s="44"/>
      <c r="T1230" s="44"/>
      <c r="U1230" s="44"/>
    </row>
    <row r="1231">
      <c r="A1231" s="48" t="s">
        <v>10627</v>
      </c>
      <c r="B1231" s="44"/>
      <c r="C1231" s="48" t="s">
        <v>10628</v>
      </c>
      <c r="D1231" s="44"/>
      <c r="E1231" s="48" t="s">
        <v>5682</v>
      </c>
      <c r="F1231" s="48" t="s">
        <v>8784</v>
      </c>
      <c r="G1231" s="55" t="s">
        <v>96</v>
      </c>
      <c r="H1231" s="64">
        <v>0.0051</v>
      </c>
      <c r="I1231" s="44"/>
      <c r="J1231" s="44"/>
      <c r="K1231" s="44"/>
      <c r="L1231" s="44"/>
      <c r="M1231" s="44"/>
      <c r="N1231" s="44"/>
      <c r="O1231" s="44"/>
      <c r="P1231" s="44"/>
      <c r="Q1231" s="44"/>
      <c r="R1231" s="44"/>
      <c r="S1231" s="44"/>
      <c r="T1231" s="44"/>
      <c r="U1231" s="44"/>
    </row>
    <row r="1232">
      <c r="A1232" s="48" t="s">
        <v>7293</v>
      </c>
      <c r="B1232" s="44"/>
      <c r="C1232" s="48" t="s">
        <v>7294</v>
      </c>
      <c r="D1232" s="44"/>
      <c r="E1232" s="48" t="s">
        <v>5215</v>
      </c>
      <c r="F1232" s="48" t="s">
        <v>4340</v>
      </c>
      <c r="G1232" s="55" t="s">
        <v>96</v>
      </c>
      <c r="H1232" s="64">
        <v>0.0051</v>
      </c>
      <c r="I1232" s="44"/>
      <c r="J1232" s="44"/>
      <c r="K1232" s="44"/>
      <c r="L1232" s="44"/>
      <c r="M1232" s="44"/>
      <c r="N1232" s="44"/>
      <c r="O1232" s="44"/>
      <c r="P1232" s="44"/>
      <c r="Q1232" s="44"/>
      <c r="R1232" s="44"/>
      <c r="S1232" s="44"/>
      <c r="T1232" s="44"/>
      <c r="U1232" s="44"/>
    </row>
    <row r="1233">
      <c r="A1233" s="48" t="s">
        <v>10629</v>
      </c>
      <c r="B1233" s="44"/>
      <c r="C1233" s="48" t="s">
        <v>10630</v>
      </c>
      <c r="D1233" s="44"/>
      <c r="E1233" s="48" t="s">
        <v>5238</v>
      </c>
      <c r="F1233" s="48" t="s">
        <v>8784</v>
      </c>
      <c r="G1233" s="55" t="s">
        <v>96</v>
      </c>
      <c r="H1233" s="64">
        <v>0.00508</v>
      </c>
      <c r="I1233" s="44"/>
      <c r="J1233" s="44"/>
      <c r="K1233" s="44"/>
      <c r="L1233" s="44"/>
      <c r="M1233" s="44"/>
      <c r="N1233" s="44"/>
      <c r="O1233" s="44"/>
      <c r="P1233" s="44"/>
      <c r="Q1233" s="44"/>
      <c r="R1233" s="44"/>
      <c r="S1233" s="44"/>
      <c r="T1233" s="44"/>
      <c r="U1233" s="44"/>
    </row>
    <row r="1234">
      <c r="A1234" s="48" t="s">
        <v>10631</v>
      </c>
      <c r="B1234" s="44"/>
      <c r="C1234" s="48" t="s">
        <v>10632</v>
      </c>
      <c r="D1234" s="44"/>
      <c r="E1234" s="48" t="s">
        <v>5855</v>
      </c>
      <c r="F1234" s="48" t="s">
        <v>8784</v>
      </c>
      <c r="G1234" s="55" t="s">
        <v>96</v>
      </c>
      <c r="H1234" s="64">
        <v>0.00507</v>
      </c>
      <c r="I1234" s="44"/>
      <c r="J1234" s="44"/>
      <c r="K1234" s="44"/>
      <c r="L1234" s="44"/>
      <c r="M1234" s="44"/>
      <c r="N1234" s="44"/>
      <c r="O1234" s="44"/>
      <c r="P1234" s="44"/>
      <c r="Q1234" s="44"/>
      <c r="R1234" s="44"/>
      <c r="S1234" s="44"/>
      <c r="T1234" s="44"/>
      <c r="U1234" s="44"/>
    </row>
    <row r="1235">
      <c r="A1235" s="48" t="s">
        <v>10633</v>
      </c>
      <c r="B1235" s="44"/>
      <c r="C1235" s="48" t="s">
        <v>10634</v>
      </c>
      <c r="D1235" s="44"/>
      <c r="E1235" s="48" t="s">
        <v>6427</v>
      </c>
      <c r="F1235" s="48" t="s">
        <v>9021</v>
      </c>
      <c r="G1235" s="55" t="s">
        <v>96</v>
      </c>
      <c r="H1235" s="64">
        <v>0.00506</v>
      </c>
      <c r="I1235" s="44"/>
      <c r="J1235" s="44"/>
      <c r="K1235" s="44"/>
      <c r="L1235" s="44"/>
      <c r="M1235" s="44"/>
      <c r="N1235" s="44"/>
      <c r="O1235" s="44"/>
      <c r="P1235" s="44"/>
      <c r="Q1235" s="44"/>
      <c r="R1235" s="44"/>
      <c r="S1235" s="44"/>
      <c r="T1235" s="44"/>
      <c r="U1235" s="44"/>
    </row>
    <row r="1236">
      <c r="A1236" s="48" t="s">
        <v>10635</v>
      </c>
      <c r="B1236" s="44"/>
      <c r="C1236" s="48" t="s">
        <v>10636</v>
      </c>
      <c r="D1236" s="44"/>
      <c r="E1236" s="48" t="s">
        <v>5516</v>
      </c>
      <c r="F1236" s="48" t="s">
        <v>4340</v>
      </c>
      <c r="G1236" s="55" t="s">
        <v>96</v>
      </c>
      <c r="H1236" s="64">
        <v>0.00505</v>
      </c>
      <c r="I1236" s="44"/>
      <c r="J1236" s="44"/>
      <c r="K1236" s="44"/>
      <c r="L1236" s="44"/>
      <c r="M1236" s="44"/>
      <c r="N1236" s="44"/>
      <c r="O1236" s="44"/>
      <c r="P1236" s="44"/>
      <c r="Q1236" s="44"/>
      <c r="R1236" s="44"/>
      <c r="S1236" s="44"/>
      <c r="T1236" s="44"/>
      <c r="U1236" s="44"/>
    </row>
    <row r="1237">
      <c r="A1237" s="48" t="s">
        <v>10637</v>
      </c>
      <c r="B1237" s="44"/>
      <c r="C1237" s="48" t="s">
        <v>10638</v>
      </c>
      <c r="D1237" s="44"/>
      <c r="E1237" s="48" t="s">
        <v>5249</v>
      </c>
      <c r="F1237" s="48" t="s">
        <v>8784</v>
      </c>
      <c r="G1237" s="55" t="s">
        <v>96</v>
      </c>
      <c r="H1237" s="64">
        <v>0.00504</v>
      </c>
      <c r="I1237" s="44"/>
      <c r="J1237" s="44"/>
      <c r="K1237" s="44"/>
      <c r="L1237" s="44"/>
      <c r="M1237" s="44"/>
      <c r="N1237" s="44"/>
      <c r="O1237" s="44"/>
      <c r="P1237" s="44"/>
      <c r="Q1237" s="44"/>
      <c r="R1237" s="44"/>
      <c r="S1237" s="44"/>
      <c r="T1237" s="44"/>
      <c r="U1237" s="44"/>
    </row>
    <row r="1238">
      <c r="A1238" s="48" t="s">
        <v>10639</v>
      </c>
      <c r="B1238" s="44"/>
      <c r="C1238" s="48" t="s">
        <v>10640</v>
      </c>
      <c r="D1238" s="44"/>
      <c r="E1238" s="48" t="s">
        <v>5561</v>
      </c>
      <c r="F1238" s="48" t="s">
        <v>6220</v>
      </c>
      <c r="G1238" s="55" t="s">
        <v>96</v>
      </c>
      <c r="H1238" s="64">
        <v>0.00502</v>
      </c>
      <c r="I1238" s="44"/>
      <c r="J1238" s="44"/>
      <c r="K1238" s="44"/>
      <c r="L1238" s="44"/>
      <c r="M1238" s="44"/>
      <c r="N1238" s="44"/>
      <c r="O1238" s="44"/>
      <c r="P1238" s="44"/>
      <c r="Q1238" s="44"/>
      <c r="R1238" s="44"/>
      <c r="S1238" s="44"/>
      <c r="T1238" s="44"/>
      <c r="U1238" s="44"/>
    </row>
    <row r="1239">
      <c r="A1239" s="48" t="s">
        <v>10641</v>
      </c>
      <c r="B1239" s="44"/>
      <c r="C1239" s="48" t="s">
        <v>10642</v>
      </c>
      <c r="D1239" s="44"/>
      <c r="E1239" s="48" t="s">
        <v>5215</v>
      </c>
      <c r="F1239" s="48" t="s">
        <v>8759</v>
      </c>
      <c r="G1239" s="55" t="s">
        <v>96</v>
      </c>
      <c r="H1239" s="64">
        <v>0.00501</v>
      </c>
      <c r="I1239" s="44"/>
      <c r="J1239" s="44"/>
      <c r="K1239" s="44"/>
      <c r="L1239" s="44"/>
      <c r="M1239" s="44"/>
      <c r="N1239" s="44"/>
      <c r="O1239" s="44"/>
      <c r="P1239" s="44"/>
      <c r="Q1239" s="44"/>
      <c r="R1239" s="44"/>
      <c r="S1239" s="44"/>
      <c r="T1239" s="44"/>
      <c r="U1239" s="44"/>
    </row>
    <row r="1240">
      <c r="A1240" s="48" t="s">
        <v>10643</v>
      </c>
      <c r="B1240" s="44"/>
      <c r="C1240" s="48" t="s">
        <v>10644</v>
      </c>
      <c r="D1240" s="44"/>
      <c r="E1240" s="48" t="s">
        <v>5218</v>
      </c>
      <c r="F1240" s="48" t="s">
        <v>8784</v>
      </c>
      <c r="G1240" s="55" t="s">
        <v>96</v>
      </c>
      <c r="H1240" s="64">
        <v>0.00498</v>
      </c>
      <c r="I1240" s="44"/>
      <c r="J1240" s="44"/>
      <c r="K1240" s="44"/>
      <c r="L1240" s="44"/>
      <c r="M1240" s="44"/>
      <c r="N1240" s="44"/>
      <c r="O1240" s="44"/>
      <c r="P1240" s="44"/>
      <c r="Q1240" s="44"/>
      <c r="R1240" s="44"/>
      <c r="S1240" s="44"/>
      <c r="T1240" s="44"/>
      <c r="U1240" s="44"/>
    </row>
    <row r="1241">
      <c r="A1241" s="48" t="s">
        <v>10645</v>
      </c>
      <c r="B1241" s="44"/>
      <c r="C1241" s="48" t="s">
        <v>10646</v>
      </c>
      <c r="D1241" s="44"/>
      <c r="E1241" s="48" t="s">
        <v>5218</v>
      </c>
      <c r="F1241" s="48" t="s">
        <v>8784</v>
      </c>
      <c r="G1241" s="55" t="s">
        <v>96</v>
      </c>
      <c r="H1241" s="64">
        <v>0.00498</v>
      </c>
      <c r="I1241" s="44"/>
      <c r="J1241" s="44"/>
      <c r="K1241" s="44"/>
      <c r="L1241" s="44"/>
      <c r="M1241" s="44"/>
      <c r="N1241" s="44"/>
      <c r="O1241" s="44"/>
      <c r="P1241" s="44"/>
      <c r="Q1241" s="44"/>
      <c r="R1241" s="44"/>
      <c r="S1241" s="44"/>
      <c r="T1241" s="44"/>
      <c r="U1241" s="44"/>
    </row>
    <row r="1242">
      <c r="A1242" s="48" t="s">
        <v>10647</v>
      </c>
      <c r="B1242" s="44"/>
      <c r="C1242" s="48" t="s">
        <v>10648</v>
      </c>
      <c r="D1242" s="44"/>
      <c r="E1242" s="48" t="s">
        <v>5704</v>
      </c>
      <c r="F1242" s="48" t="s">
        <v>8784</v>
      </c>
      <c r="G1242" s="55" t="s">
        <v>96</v>
      </c>
      <c r="H1242" s="64">
        <v>0.00497</v>
      </c>
      <c r="I1242" s="44"/>
      <c r="J1242" s="44"/>
      <c r="K1242" s="44"/>
      <c r="L1242" s="44"/>
      <c r="M1242" s="44"/>
      <c r="N1242" s="44"/>
      <c r="O1242" s="44"/>
      <c r="P1242" s="44"/>
      <c r="Q1242" s="44"/>
      <c r="R1242" s="44"/>
      <c r="S1242" s="44"/>
      <c r="T1242" s="44"/>
      <c r="U1242" s="44"/>
    </row>
    <row r="1243">
      <c r="A1243" s="48" t="s">
        <v>10649</v>
      </c>
      <c r="B1243" s="44"/>
      <c r="C1243" s="48" t="s">
        <v>10650</v>
      </c>
      <c r="D1243" s="44"/>
      <c r="E1243" s="48" t="s">
        <v>5715</v>
      </c>
      <c r="F1243" s="48" t="s">
        <v>8784</v>
      </c>
      <c r="G1243" s="55" t="s">
        <v>96</v>
      </c>
      <c r="H1243" s="64">
        <v>0.00493</v>
      </c>
      <c r="I1243" s="44"/>
      <c r="J1243" s="44"/>
      <c r="K1243" s="44"/>
      <c r="L1243" s="44"/>
      <c r="M1243" s="44"/>
      <c r="N1243" s="44"/>
      <c r="O1243" s="44"/>
      <c r="P1243" s="44"/>
      <c r="Q1243" s="44"/>
      <c r="R1243" s="44"/>
      <c r="S1243" s="44"/>
      <c r="T1243" s="44"/>
      <c r="U1243" s="44"/>
    </row>
    <row r="1244">
      <c r="A1244" s="48" t="s">
        <v>10651</v>
      </c>
      <c r="B1244" s="44"/>
      <c r="C1244" s="48" t="s">
        <v>10652</v>
      </c>
      <c r="D1244" s="44"/>
      <c r="E1244" s="48" t="s">
        <v>6338</v>
      </c>
      <c r="F1244" s="48" t="s">
        <v>4436</v>
      </c>
      <c r="G1244" s="55" t="s">
        <v>96</v>
      </c>
      <c r="H1244" s="64">
        <v>0.00491</v>
      </c>
      <c r="I1244" s="44"/>
      <c r="J1244" s="44"/>
      <c r="K1244" s="44"/>
      <c r="L1244" s="44"/>
      <c r="M1244" s="44"/>
      <c r="N1244" s="44"/>
      <c r="O1244" s="44"/>
      <c r="P1244" s="44"/>
      <c r="Q1244" s="44"/>
      <c r="R1244" s="44"/>
      <c r="S1244" s="44"/>
      <c r="T1244" s="44"/>
      <c r="U1244" s="44"/>
    </row>
    <row r="1245">
      <c r="A1245" s="48" t="s">
        <v>10653</v>
      </c>
      <c r="B1245" s="44"/>
      <c r="C1245" s="48" t="s">
        <v>10654</v>
      </c>
      <c r="D1245" s="44"/>
      <c r="E1245" s="48" t="s">
        <v>5232</v>
      </c>
      <c r="F1245" s="48" t="s">
        <v>8784</v>
      </c>
      <c r="G1245" s="55" t="s">
        <v>96</v>
      </c>
      <c r="H1245" s="64">
        <v>0.00491</v>
      </c>
      <c r="I1245" s="44"/>
      <c r="J1245" s="44"/>
      <c r="K1245" s="44"/>
      <c r="L1245" s="44"/>
      <c r="M1245" s="44"/>
      <c r="N1245" s="44"/>
      <c r="O1245" s="44"/>
      <c r="P1245" s="44"/>
      <c r="Q1245" s="44"/>
      <c r="R1245" s="44"/>
      <c r="S1245" s="44"/>
      <c r="T1245" s="44"/>
      <c r="U1245" s="44"/>
    </row>
    <row r="1246">
      <c r="A1246" s="48" t="s">
        <v>10655</v>
      </c>
      <c r="B1246" s="44"/>
      <c r="C1246" s="48" t="s">
        <v>10656</v>
      </c>
      <c r="D1246" s="44"/>
      <c r="E1246" s="48" t="s">
        <v>5434</v>
      </c>
      <c r="F1246" s="48" t="s">
        <v>8784</v>
      </c>
      <c r="G1246" s="55" t="s">
        <v>96</v>
      </c>
      <c r="H1246" s="64">
        <v>0.00491</v>
      </c>
      <c r="I1246" s="44"/>
      <c r="J1246" s="44"/>
      <c r="K1246" s="44"/>
      <c r="L1246" s="44"/>
      <c r="M1246" s="44"/>
      <c r="N1246" s="44"/>
      <c r="O1246" s="44"/>
      <c r="P1246" s="44"/>
      <c r="Q1246" s="44"/>
      <c r="R1246" s="44"/>
      <c r="S1246" s="44"/>
      <c r="T1246" s="44"/>
      <c r="U1246" s="44"/>
    </row>
    <row r="1247">
      <c r="A1247" s="48" t="s">
        <v>7534</v>
      </c>
      <c r="B1247" s="44"/>
      <c r="C1247" s="48" t="s">
        <v>7535</v>
      </c>
      <c r="D1247" s="44"/>
      <c r="E1247" s="48" t="s">
        <v>5366</v>
      </c>
      <c r="F1247" s="48" t="s">
        <v>4340</v>
      </c>
      <c r="G1247" s="55" t="s">
        <v>96</v>
      </c>
      <c r="H1247" s="64">
        <v>0.00488</v>
      </c>
      <c r="I1247" s="44"/>
      <c r="J1247" s="44"/>
      <c r="K1247" s="44"/>
      <c r="L1247" s="44"/>
      <c r="M1247" s="44"/>
      <c r="N1247" s="44"/>
      <c r="O1247" s="44"/>
      <c r="P1247" s="44"/>
      <c r="Q1247" s="44"/>
      <c r="R1247" s="44"/>
      <c r="S1247" s="44"/>
      <c r="T1247" s="44"/>
      <c r="U1247" s="44"/>
    </row>
    <row r="1248">
      <c r="A1248" s="48" t="s">
        <v>10657</v>
      </c>
      <c r="B1248" s="44"/>
      <c r="C1248" s="48" t="s">
        <v>10658</v>
      </c>
      <c r="D1248" s="44"/>
      <c r="E1248" s="48" t="s">
        <v>5241</v>
      </c>
      <c r="F1248" s="48" t="s">
        <v>8784</v>
      </c>
      <c r="G1248" s="55" t="s">
        <v>96</v>
      </c>
      <c r="H1248" s="64">
        <v>0.00483</v>
      </c>
      <c r="I1248" s="44"/>
      <c r="J1248" s="44"/>
      <c r="K1248" s="44"/>
      <c r="L1248" s="44"/>
      <c r="M1248" s="44"/>
      <c r="N1248" s="44"/>
      <c r="O1248" s="44"/>
      <c r="P1248" s="44"/>
      <c r="Q1248" s="44"/>
      <c r="R1248" s="44"/>
      <c r="S1248" s="44"/>
      <c r="T1248" s="44"/>
      <c r="U1248" s="44"/>
    </row>
    <row r="1249">
      <c r="A1249" s="48" t="s">
        <v>7682</v>
      </c>
      <c r="B1249" s="44"/>
      <c r="C1249" s="48" t="s">
        <v>7683</v>
      </c>
      <c r="D1249" s="44"/>
      <c r="E1249" s="48" t="s">
        <v>5964</v>
      </c>
      <c r="F1249" s="48" t="s">
        <v>4340</v>
      </c>
      <c r="G1249" s="55" t="s">
        <v>96</v>
      </c>
      <c r="H1249" s="64">
        <v>0.00482</v>
      </c>
      <c r="I1249" s="44"/>
      <c r="J1249" s="44"/>
      <c r="K1249" s="44"/>
      <c r="L1249" s="44"/>
      <c r="M1249" s="44"/>
      <c r="N1249" s="44"/>
      <c r="O1249" s="44"/>
      <c r="P1249" s="44"/>
      <c r="Q1249" s="44"/>
      <c r="R1249" s="44"/>
      <c r="S1249" s="44"/>
      <c r="T1249" s="44"/>
      <c r="U1249" s="44"/>
    </row>
    <row r="1250">
      <c r="A1250" s="48" t="s">
        <v>7576</v>
      </c>
      <c r="B1250" s="44"/>
      <c r="C1250" s="48" t="s">
        <v>7577</v>
      </c>
      <c r="D1250" s="44"/>
      <c r="E1250" s="48" t="s">
        <v>5218</v>
      </c>
      <c r="F1250" s="48" t="s">
        <v>4340</v>
      </c>
      <c r="G1250" s="55" t="s">
        <v>96</v>
      </c>
      <c r="H1250" s="64">
        <v>0.0048</v>
      </c>
      <c r="I1250" s="44"/>
      <c r="J1250" s="44"/>
      <c r="K1250" s="44"/>
      <c r="L1250" s="44"/>
      <c r="M1250" s="44"/>
      <c r="N1250" s="44"/>
      <c r="O1250" s="44"/>
      <c r="P1250" s="44"/>
      <c r="Q1250" s="44"/>
      <c r="R1250" s="44"/>
      <c r="S1250" s="44"/>
      <c r="T1250" s="44"/>
      <c r="U1250" s="44"/>
    </row>
    <row r="1251">
      <c r="A1251" s="48" t="s">
        <v>10659</v>
      </c>
      <c r="B1251" s="44"/>
      <c r="C1251" s="48" t="s">
        <v>10660</v>
      </c>
      <c r="D1251" s="44"/>
      <c r="E1251" s="48" t="s">
        <v>5261</v>
      </c>
      <c r="F1251" s="48" t="s">
        <v>5425</v>
      </c>
      <c r="G1251" s="55" t="s">
        <v>96</v>
      </c>
      <c r="H1251" s="64">
        <v>0.00479</v>
      </c>
      <c r="I1251" s="44"/>
      <c r="J1251" s="44"/>
      <c r="K1251" s="44"/>
      <c r="L1251" s="44"/>
      <c r="M1251" s="44"/>
      <c r="N1251" s="44"/>
      <c r="O1251" s="44"/>
      <c r="P1251" s="44"/>
      <c r="Q1251" s="44"/>
      <c r="R1251" s="44"/>
      <c r="S1251" s="44"/>
      <c r="T1251" s="44"/>
      <c r="U1251" s="44"/>
    </row>
    <row r="1252">
      <c r="A1252" s="48" t="s">
        <v>10661</v>
      </c>
      <c r="B1252" s="44"/>
      <c r="C1252" s="48" t="s">
        <v>10662</v>
      </c>
      <c r="D1252" s="44"/>
      <c r="E1252" s="48" t="s">
        <v>7236</v>
      </c>
      <c r="F1252" s="48" t="s">
        <v>8784</v>
      </c>
      <c r="G1252" s="55" t="s">
        <v>96</v>
      </c>
      <c r="H1252" s="64">
        <v>0.00477</v>
      </c>
      <c r="I1252" s="44"/>
      <c r="J1252" s="44"/>
      <c r="K1252" s="44"/>
      <c r="L1252" s="44"/>
      <c r="M1252" s="44"/>
      <c r="N1252" s="44"/>
      <c r="O1252" s="44"/>
      <c r="P1252" s="44"/>
      <c r="Q1252" s="44"/>
      <c r="R1252" s="44"/>
      <c r="S1252" s="44"/>
      <c r="T1252" s="44"/>
      <c r="U1252" s="44"/>
    </row>
    <row r="1253">
      <c r="A1253" s="48" t="s">
        <v>10663</v>
      </c>
      <c r="B1253" s="44"/>
      <c r="C1253" s="48" t="s">
        <v>10664</v>
      </c>
      <c r="D1253" s="44"/>
      <c r="E1253" s="48" t="s">
        <v>6130</v>
      </c>
      <c r="F1253" s="48" t="s">
        <v>8784</v>
      </c>
      <c r="G1253" s="55" t="s">
        <v>96</v>
      </c>
      <c r="H1253" s="64">
        <v>0.00476</v>
      </c>
      <c r="I1253" s="44"/>
      <c r="J1253" s="44"/>
      <c r="K1253" s="44"/>
      <c r="L1253" s="44"/>
      <c r="M1253" s="44"/>
      <c r="N1253" s="44"/>
      <c r="O1253" s="44"/>
      <c r="P1253" s="44"/>
      <c r="Q1253" s="44"/>
      <c r="R1253" s="44"/>
      <c r="S1253" s="44"/>
      <c r="T1253" s="44"/>
      <c r="U1253" s="44"/>
    </row>
    <row r="1254">
      <c r="A1254" s="48" t="s">
        <v>10665</v>
      </c>
      <c r="B1254" s="44"/>
      <c r="C1254" s="48" t="s">
        <v>10666</v>
      </c>
      <c r="D1254" s="44"/>
      <c r="E1254" s="48" t="s">
        <v>5366</v>
      </c>
      <c r="F1254" s="48" t="s">
        <v>8784</v>
      </c>
      <c r="G1254" s="55" t="s">
        <v>96</v>
      </c>
      <c r="H1254" s="64">
        <v>0.00476</v>
      </c>
      <c r="I1254" s="44"/>
      <c r="J1254" s="44"/>
      <c r="K1254" s="44"/>
      <c r="L1254" s="44"/>
      <c r="M1254" s="44"/>
      <c r="N1254" s="44"/>
      <c r="O1254" s="44"/>
      <c r="P1254" s="44"/>
      <c r="Q1254" s="44"/>
      <c r="R1254" s="44"/>
      <c r="S1254" s="44"/>
      <c r="T1254" s="44"/>
      <c r="U1254" s="44"/>
    </row>
    <row r="1255">
      <c r="A1255" s="48" t="s">
        <v>10667</v>
      </c>
      <c r="B1255" s="44"/>
      <c r="C1255" s="48" t="s">
        <v>10668</v>
      </c>
      <c r="D1255" s="44"/>
      <c r="E1255" s="48" t="s">
        <v>5742</v>
      </c>
      <c r="F1255" s="48" t="s">
        <v>5927</v>
      </c>
      <c r="G1255" s="55" t="s">
        <v>96</v>
      </c>
      <c r="H1255" s="64">
        <v>0.00475</v>
      </c>
      <c r="I1255" s="44"/>
      <c r="J1255" s="44"/>
      <c r="K1255" s="44"/>
      <c r="L1255" s="44"/>
      <c r="M1255" s="44"/>
      <c r="N1255" s="44"/>
      <c r="O1255" s="44"/>
      <c r="P1255" s="44"/>
      <c r="Q1255" s="44"/>
      <c r="R1255" s="44"/>
      <c r="S1255" s="44"/>
      <c r="T1255" s="44"/>
      <c r="U1255" s="44"/>
    </row>
    <row r="1256">
      <c r="A1256" s="48" t="s">
        <v>10669</v>
      </c>
      <c r="B1256" s="44"/>
      <c r="C1256" s="48" t="s">
        <v>10670</v>
      </c>
      <c r="D1256" s="44"/>
      <c r="E1256" s="48" t="s">
        <v>5564</v>
      </c>
      <c r="F1256" s="48" t="s">
        <v>5941</v>
      </c>
      <c r="G1256" s="55" t="s">
        <v>96</v>
      </c>
      <c r="H1256" s="64">
        <v>0.00469</v>
      </c>
      <c r="I1256" s="44"/>
      <c r="J1256" s="44"/>
      <c r="K1256" s="44"/>
      <c r="L1256" s="44"/>
      <c r="M1256" s="44"/>
      <c r="N1256" s="44"/>
      <c r="O1256" s="44"/>
      <c r="P1256" s="44"/>
      <c r="Q1256" s="44"/>
      <c r="R1256" s="44"/>
      <c r="S1256" s="44"/>
      <c r="T1256" s="44"/>
      <c r="U1256" s="44"/>
    </row>
    <row r="1257">
      <c r="A1257" s="48" t="s">
        <v>10671</v>
      </c>
      <c r="B1257" s="44"/>
      <c r="C1257" s="48" t="s">
        <v>10672</v>
      </c>
      <c r="D1257" s="44"/>
      <c r="E1257" s="48" t="s">
        <v>6389</v>
      </c>
      <c r="F1257" s="48" t="s">
        <v>9021</v>
      </c>
      <c r="G1257" s="55" t="s">
        <v>96</v>
      </c>
      <c r="H1257" s="64">
        <v>0.00468</v>
      </c>
      <c r="I1257" s="44"/>
      <c r="J1257" s="44"/>
      <c r="K1257" s="44"/>
      <c r="L1257" s="44"/>
      <c r="M1257" s="44"/>
      <c r="N1257" s="44"/>
      <c r="O1257" s="44"/>
      <c r="P1257" s="44"/>
      <c r="Q1257" s="44"/>
      <c r="R1257" s="44"/>
      <c r="S1257" s="44"/>
      <c r="T1257" s="44"/>
      <c r="U1257" s="44"/>
    </row>
    <row r="1258">
      <c r="A1258" s="48" t="s">
        <v>10673</v>
      </c>
      <c r="B1258" s="44"/>
      <c r="C1258" s="48" t="s">
        <v>10674</v>
      </c>
      <c r="D1258" s="44"/>
      <c r="E1258" s="48" t="s">
        <v>5291</v>
      </c>
      <c r="F1258" s="48" t="s">
        <v>5941</v>
      </c>
      <c r="G1258" s="55" t="s">
        <v>96</v>
      </c>
      <c r="H1258" s="64">
        <v>0.00467</v>
      </c>
      <c r="I1258" s="44"/>
      <c r="J1258" s="44"/>
      <c r="K1258" s="44"/>
      <c r="L1258" s="44"/>
      <c r="M1258" s="44"/>
      <c r="N1258" s="44"/>
      <c r="O1258" s="44"/>
      <c r="P1258" s="44"/>
      <c r="Q1258" s="44"/>
      <c r="R1258" s="44"/>
      <c r="S1258" s="44"/>
      <c r="T1258" s="44"/>
      <c r="U1258" s="44"/>
    </row>
    <row r="1259">
      <c r="A1259" s="48" t="s">
        <v>10675</v>
      </c>
      <c r="B1259" s="44"/>
      <c r="C1259" s="48" t="s">
        <v>10676</v>
      </c>
      <c r="D1259" s="44"/>
      <c r="E1259" s="48" t="s">
        <v>5264</v>
      </c>
      <c r="F1259" s="48" t="s">
        <v>8784</v>
      </c>
      <c r="G1259" s="55" t="s">
        <v>96</v>
      </c>
      <c r="H1259" s="64">
        <v>0.00467</v>
      </c>
      <c r="I1259" s="44"/>
      <c r="J1259" s="44"/>
      <c r="K1259" s="44"/>
      <c r="L1259" s="44"/>
      <c r="M1259" s="44"/>
      <c r="N1259" s="44"/>
      <c r="O1259" s="44"/>
      <c r="P1259" s="44"/>
      <c r="Q1259" s="44"/>
      <c r="R1259" s="44"/>
      <c r="S1259" s="44"/>
      <c r="T1259" s="44"/>
      <c r="U1259" s="44"/>
    </row>
    <row r="1260">
      <c r="A1260" s="48" t="s">
        <v>10677</v>
      </c>
      <c r="B1260" s="44"/>
      <c r="C1260" s="48" t="s">
        <v>10678</v>
      </c>
      <c r="D1260" s="44"/>
      <c r="E1260" s="48" t="s">
        <v>8154</v>
      </c>
      <c r="F1260" s="48" t="s">
        <v>8784</v>
      </c>
      <c r="G1260" s="55" t="s">
        <v>96</v>
      </c>
      <c r="H1260" s="64">
        <v>0.00466</v>
      </c>
      <c r="I1260" s="44"/>
      <c r="J1260" s="44"/>
      <c r="K1260" s="44"/>
      <c r="L1260" s="44"/>
      <c r="M1260" s="44"/>
      <c r="N1260" s="44"/>
      <c r="O1260" s="44"/>
      <c r="P1260" s="44"/>
      <c r="Q1260" s="44"/>
      <c r="R1260" s="44"/>
      <c r="S1260" s="44"/>
      <c r="T1260" s="44"/>
      <c r="U1260" s="44"/>
    </row>
    <row r="1261">
      <c r="A1261" s="48" t="s">
        <v>10679</v>
      </c>
      <c r="B1261" s="44"/>
      <c r="C1261" s="48" t="s">
        <v>10680</v>
      </c>
      <c r="D1261" s="44"/>
      <c r="E1261" s="48" t="s">
        <v>7260</v>
      </c>
      <c r="F1261" s="48" t="s">
        <v>5425</v>
      </c>
      <c r="G1261" s="55" t="s">
        <v>96</v>
      </c>
      <c r="H1261" s="64">
        <v>0.00465</v>
      </c>
      <c r="I1261" s="44"/>
      <c r="J1261" s="44"/>
      <c r="K1261" s="44"/>
      <c r="L1261" s="44"/>
      <c r="M1261" s="44"/>
      <c r="N1261" s="44"/>
      <c r="O1261" s="44"/>
      <c r="P1261" s="44"/>
      <c r="Q1261" s="44"/>
      <c r="R1261" s="44"/>
      <c r="S1261" s="44"/>
      <c r="T1261" s="44"/>
      <c r="U1261" s="44"/>
    </row>
    <row r="1262">
      <c r="A1262" s="48" t="s">
        <v>10681</v>
      </c>
      <c r="B1262" s="44"/>
      <c r="C1262" s="48" t="s">
        <v>10682</v>
      </c>
      <c r="D1262" s="44"/>
      <c r="E1262" s="48" t="s">
        <v>6338</v>
      </c>
      <c r="F1262" s="48" t="s">
        <v>9299</v>
      </c>
      <c r="G1262" s="55" t="s">
        <v>96</v>
      </c>
      <c r="H1262" s="64">
        <v>0.00464</v>
      </c>
      <c r="I1262" s="44"/>
      <c r="J1262" s="44"/>
      <c r="K1262" s="44"/>
      <c r="L1262" s="44"/>
      <c r="M1262" s="44"/>
      <c r="N1262" s="44"/>
      <c r="O1262" s="44"/>
      <c r="P1262" s="44"/>
      <c r="Q1262" s="44"/>
      <c r="R1262" s="44"/>
      <c r="S1262" s="44"/>
      <c r="T1262" s="44"/>
      <c r="U1262" s="44"/>
    </row>
    <row r="1263">
      <c r="A1263" s="48" t="s">
        <v>10683</v>
      </c>
      <c r="B1263" s="44"/>
      <c r="C1263" s="48" t="s">
        <v>10684</v>
      </c>
      <c r="D1263" s="44"/>
      <c r="E1263" s="48" t="s">
        <v>5267</v>
      </c>
      <c r="F1263" s="48" t="s">
        <v>8784</v>
      </c>
      <c r="G1263" s="55" t="s">
        <v>96</v>
      </c>
      <c r="H1263" s="64">
        <v>0.00463</v>
      </c>
      <c r="I1263" s="44"/>
      <c r="J1263" s="44"/>
      <c r="K1263" s="44"/>
      <c r="L1263" s="44"/>
      <c r="M1263" s="44"/>
      <c r="N1263" s="44"/>
      <c r="O1263" s="44"/>
      <c r="P1263" s="44"/>
      <c r="Q1263" s="44"/>
      <c r="R1263" s="44"/>
      <c r="S1263" s="44"/>
      <c r="T1263" s="44"/>
      <c r="U1263" s="44"/>
    </row>
    <row r="1264">
      <c r="A1264" s="48" t="s">
        <v>10685</v>
      </c>
      <c r="B1264" s="44"/>
      <c r="C1264" s="48" t="s">
        <v>10686</v>
      </c>
      <c r="D1264" s="44"/>
      <c r="E1264" s="48" t="s">
        <v>9553</v>
      </c>
      <c r="F1264" s="48" t="s">
        <v>8784</v>
      </c>
      <c r="G1264" s="55" t="s">
        <v>96</v>
      </c>
      <c r="H1264" s="64">
        <v>0.0046</v>
      </c>
      <c r="I1264" s="44"/>
      <c r="J1264" s="44"/>
      <c r="K1264" s="44"/>
      <c r="L1264" s="44"/>
      <c r="M1264" s="44"/>
      <c r="N1264" s="44"/>
      <c r="O1264" s="44"/>
      <c r="P1264" s="44"/>
      <c r="Q1264" s="44"/>
      <c r="R1264" s="44"/>
      <c r="S1264" s="44"/>
      <c r="T1264" s="44"/>
      <c r="U1264" s="44"/>
    </row>
    <row r="1265">
      <c r="A1265" s="48" t="s">
        <v>10687</v>
      </c>
      <c r="B1265" s="44"/>
      <c r="C1265" s="48" t="s">
        <v>10688</v>
      </c>
      <c r="D1265" s="44"/>
      <c r="E1265" s="48" t="s">
        <v>5501</v>
      </c>
      <c r="F1265" s="48" t="s">
        <v>4095</v>
      </c>
      <c r="G1265" s="55" t="s">
        <v>96</v>
      </c>
      <c r="H1265" s="64">
        <v>0.0046</v>
      </c>
      <c r="I1265" s="44"/>
      <c r="J1265" s="44"/>
      <c r="K1265" s="44"/>
      <c r="L1265" s="44"/>
      <c r="M1265" s="44"/>
      <c r="N1265" s="44"/>
      <c r="O1265" s="44"/>
      <c r="P1265" s="44"/>
      <c r="Q1265" s="44"/>
      <c r="R1265" s="44"/>
      <c r="S1265" s="44"/>
      <c r="T1265" s="44"/>
      <c r="U1265" s="44"/>
    </row>
    <row r="1266">
      <c r="A1266" s="48" t="s">
        <v>10689</v>
      </c>
      <c r="B1266" s="44"/>
      <c r="C1266" s="48" t="s">
        <v>10690</v>
      </c>
      <c r="D1266" s="44"/>
      <c r="E1266" s="48" t="s">
        <v>5246</v>
      </c>
      <c r="F1266" s="48" t="s">
        <v>8784</v>
      </c>
      <c r="G1266" s="55" t="s">
        <v>96</v>
      </c>
      <c r="H1266" s="64">
        <v>0.0046</v>
      </c>
      <c r="I1266" s="44"/>
      <c r="J1266" s="44"/>
      <c r="K1266" s="44"/>
      <c r="L1266" s="44"/>
      <c r="M1266" s="44"/>
      <c r="N1266" s="44"/>
      <c r="O1266" s="44"/>
      <c r="P1266" s="44"/>
      <c r="Q1266" s="44"/>
      <c r="R1266" s="44"/>
      <c r="S1266" s="44"/>
      <c r="T1266" s="44"/>
      <c r="U1266" s="44"/>
    </row>
    <row r="1267">
      <c r="A1267" s="48" t="s">
        <v>10691</v>
      </c>
      <c r="B1267" s="44"/>
      <c r="C1267" s="48" t="s">
        <v>10692</v>
      </c>
      <c r="D1267" s="44"/>
      <c r="E1267" s="48" t="s">
        <v>6130</v>
      </c>
      <c r="F1267" s="48" t="s">
        <v>8784</v>
      </c>
      <c r="G1267" s="55" t="s">
        <v>96</v>
      </c>
      <c r="H1267" s="64">
        <v>0.00459</v>
      </c>
      <c r="I1267" s="44"/>
      <c r="J1267" s="44"/>
      <c r="K1267" s="44"/>
      <c r="L1267" s="44"/>
      <c r="M1267" s="44"/>
      <c r="N1267" s="44"/>
      <c r="O1267" s="44"/>
      <c r="P1267" s="44"/>
      <c r="Q1267" s="44"/>
      <c r="R1267" s="44"/>
      <c r="S1267" s="44"/>
      <c r="T1267" s="44"/>
      <c r="U1267" s="44"/>
    </row>
    <row r="1268">
      <c r="A1268" s="48" t="s">
        <v>10693</v>
      </c>
      <c r="B1268" s="44"/>
      <c r="C1268" s="48" t="s">
        <v>10694</v>
      </c>
      <c r="D1268" s="44"/>
      <c r="E1268" s="48" t="s">
        <v>7236</v>
      </c>
      <c r="F1268" s="48" t="s">
        <v>8784</v>
      </c>
      <c r="G1268" s="55" t="s">
        <v>96</v>
      </c>
      <c r="H1268" s="64">
        <v>0.00459</v>
      </c>
      <c r="I1268" s="44"/>
      <c r="J1268" s="44"/>
      <c r="K1268" s="44"/>
      <c r="L1268" s="44"/>
      <c r="M1268" s="44"/>
      <c r="N1268" s="44"/>
      <c r="O1268" s="44"/>
      <c r="P1268" s="44"/>
      <c r="Q1268" s="44"/>
      <c r="R1268" s="44"/>
      <c r="S1268" s="44"/>
      <c r="T1268" s="44"/>
      <c r="U1268" s="44"/>
    </row>
    <row r="1269">
      <c r="A1269" s="48" t="s">
        <v>10695</v>
      </c>
      <c r="B1269" s="44"/>
      <c r="C1269" s="48" t="s">
        <v>10696</v>
      </c>
      <c r="D1269" s="44"/>
      <c r="E1269" s="48" t="s">
        <v>5434</v>
      </c>
      <c r="F1269" s="48" t="s">
        <v>8784</v>
      </c>
      <c r="G1269" s="55" t="s">
        <v>96</v>
      </c>
      <c r="H1269" s="64">
        <v>0.00459</v>
      </c>
      <c r="I1269" s="44"/>
      <c r="J1269" s="44"/>
      <c r="K1269" s="44"/>
      <c r="L1269" s="44"/>
      <c r="M1269" s="44"/>
      <c r="N1269" s="44"/>
      <c r="O1269" s="44"/>
      <c r="P1269" s="44"/>
      <c r="Q1269" s="44"/>
      <c r="R1269" s="44"/>
      <c r="S1269" s="44"/>
      <c r="T1269" s="44"/>
      <c r="U1269" s="44"/>
    </row>
    <row r="1270">
      <c r="A1270" s="48" t="s">
        <v>10697</v>
      </c>
      <c r="B1270" s="44"/>
      <c r="C1270" s="48" t="s">
        <v>10698</v>
      </c>
      <c r="D1270" s="44"/>
      <c r="E1270" s="48" t="s">
        <v>5366</v>
      </c>
      <c r="F1270" s="48" t="s">
        <v>8784</v>
      </c>
      <c r="G1270" s="55" t="s">
        <v>96</v>
      </c>
      <c r="H1270" s="64">
        <v>0.00457</v>
      </c>
      <c r="I1270" s="44"/>
      <c r="J1270" s="44"/>
      <c r="K1270" s="44"/>
      <c r="L1270" s="44"/>
      <c r="M1270" s="44"/>
      <c r="N1270" s="44"/>
      <c r="O1270" s="44"/>
      <c r="P1270" s="44"/>
      <c r="Q1270" s="44"/>
      <c r="R1270" s="44"/>
      <c r="S1270" s="44"/>
      <c r="T1270" s="44"/>
      <c r="U1270" s="44"/>
    </row>
    <row r="1271">
      <c r="A1271" s="48" t="s">
        <v>7283</v>
      </c>
      <c r="B1271" s="44"/>
      <c r="C1271" s="48" t="s">
        <v>7284</v>
      </c>
      <c r="D1271" s="44"/>
      <c r="E1271" s="48" t="s">
        <v>5434</v>
      </c>
      <c r="F1271" s="48" t="s">
        <v>4340</v>
      </c>
      <c r="G1271" s="55" t="s">
        <v>96</v>
      </c>
      <c r="H1271" s="64">
        <v>0.00457</v>
      </c>
      <c r="I1271" s="44"/>
      <c r="J1271" s="44"/>
      <c r="K1271" s="44"/>
      <c r="L1271" s="44"/>
      <c r="M1271" s="44"/>
      <c r="N1271" s="44"/>
      <c r="O1271" s="44"/>
      <c r="P1271" s="44"/>
      <c r="Q1271" s="44"/>
      <c r="R1271" s="44"/>
      <c r="S1271" s="44"/>
      <c r="T1271" s="44"/>
      <c r="U1271" s="44"/>
    </row>
    <row r="1272">
      <c r="A1272" s="48" t="s">
        <v>10699</v>
      </c>
      <c r="B1272" s="44"/>
      <c r="C1272" s="48" t="s">
        <v>10700</v>
      </c>
      <c r="D1272" s="44"/>
      <c r="E1272" s="48" t="s">
        <v>6157</v>
      </c>
      <c r="F1272" s="48" t="s">
        <v>4095</v>
      </c>
      <c r="G1272" s="55" t="s">
        <v>96</v>
      </c>
      <c r="H1272" s="64">
        <v>0.00456</v>
      </c>
      <c r="I1272" s="44"/>
      <c r="J1272" s="44"/>
      <c r="K1272" s="44"/>
      <c r="L1272" s="44"/>
      <c r="M1272" s="44"/>
      <c r="N1272" s="44"/>
      <c r="O1272" s="44"/>
      <c r="P1272" s="44"/>
      <c r="Q1272" s="44"/>
      <c r="R1272" s="44"/>
      <c r="S1272" s="44"/>
      <c r="T1272" s="44"/>
      <c r="U1272" s="44"/>
    </row>
    <row r="1273">
      <c r="A1273" s="48" t="s">
        <v>10701</v>
      </c>
      <c r="B1273" s="44"/>
      <c r="C1273" s="48" t="s">
        <v>10702</v>
      </c>
      <c r="D1273" s="44"/>
      <c r="E1273" s="48" t="s">
        <v>5261</v>
      </c>
      <c r="F1273" s="48" t="s">
        <v>4340</v>
      </c>
      <c r="G1273" s="55" t="s">
        <v>96</v>
      </c>
      <c r="H1273" s="64">
        <v>0.00456</v>
      </c>
      <c r="I1273" s="44"/>
      <c r="J1273" s="44"/>
      <c r="K1273" s="44"/>
      <c r="L1273" s="44"/>
      <c r="M1273" s="44"/>
      <c r="N1273" s="44"/>
      <c r="O1273" s="44"/>
      <c r="P1273" s="44"/>
      <c r="Q1273" s="44"/>
      <c r="R1273" s="44"/>
      <c r="S1273" s="44"/>
      <c r="T1273" s="44"/>
      <c r="U1273" s="44"/>
    </row>
    <row r="1274">
      <c r="A1274" s="48" t="s">
        <v>10703</v>
      </c>
      <c r="B1274" s="44"/>
      <c r="C1274" s="48" t="s">
        <v>10704</v>
      </c>
      <c r="D1274" s="44"/>
      <c r="E1274" s="48" t="s">
        <v>5395</v>
      </c>
      <c r="F1274" s="48" t="s">
        <v>8759</v>
      </c>
      <c r="G1274" s="55" t="s">
        <v>96</v>
      </c>
      <c r="H1274" s="64">
        <v>0.00454</v>
      </c>
      <c r="I1274" s="44"/>
      <c r="J1274" s="44"/>
      <c r="K1274" s="44"/>
      <c r="L1274" s="44"/>
      <c r="M1274" s="44"/>
      <c r="N1274" s="44"/>
      <c r="O1274" s="44"/>
      <c r="P1274" s="44"/>
      <c r="Q1274" s="44"/>
      <c r="R1274" s="44"/>
      <c r="S1274" s="44"/>
      <c r="T1274" s="44"/>
      <c r="U1274" s="44"/>
    </row>
    <row r="1275">
      <c r="A1275" s="48" t="s">
        <v>10705</v>
      </c>
      <c r="B1275" s="44"/>
      <c r="C1275" s="48" t="s">
        <v>10706</v>
      </c>
      <c r="D1275" s="44"/>
      <c r="E1275" s="48" t="s">
        <v>5215</v>
      </c>
      <c r="F1275" s="48" t="s">
        <v>6220</v>
      </c>
      <c r="G1275" s="55" t="s">
        <v>96</v>
      </c>
      <c r="H1275" s="64">
        <v>0.00454</v>
      </c>
      <c r="I1275" s="44"/>
      <c r="J1275" s="44"/>
      <c r="K1275" s="44"/>
      <c r="L1275" s="44"/>
      <c r="M1275" s="44"/>
      <c r="N1275" s="44"/>
      <c r="O1275" s="44"/>
      <c r="P1275" s="44"/>
      <c r="Q1275" s="44"/>
      <c r="R1275" s="44"/>
      <c r="S1275" s="44"/>
      <c r="T1275" s="44"/>
      <c r="U1275" s="44"/>
    </row>
    <row r="1276">
      <c r="A1276" s="48" t="s">
        <v>7303</v>
      </c>
      <c r="B1276" s="44"/>
      <c r="C1276" s="48" t="s">
        <v>7304</v>
      </c>
      <c r="D1276" s="44"/>
      <c r="E1276" s="48" t="s">
        <v>5478</v>
      </c>
      <c r="F1276" s="48" t="s">
        <v>4340</v>
      </c>
      <c r="G1276" s="55" t="s">
        <v>96</v>
      </c>
      <c r="H1276" s="64">
        <v>0.00453</v>
      </c>
      <c r="I1276" s="44"/>
      <c r="J1276" s="44"/>
      <c r="K1276" s="44"/>
      <c r="L1276" s="44"/>
      <c r="M1276" s="44"/>
      <c r="N1276" s="44"/>
      <c r="O1276" s="44"/>
      <c r="P1276" s="44"/>
      <c r="Q1276" s="44"/>
      <c r="R1276" s="44"/>
      <c r="S1276" s="44"/>
      <c r="T1276" s="44"/>
      <c r="U1276" s="44"/>
    </row>
    <row r="1277">
      <c r="A1277" s="48" t="s">
        <v>10707</v>
      </c>
      <c r="B1277" s="44"/>
      <c r="C1277" s="48" t="s">
        <v>10708</v>
      </c>
      <c r="D1277" s="44"/>
      <c r="E1277" s="48" t="s">
        <v>5395</v>
      </c>
      <c r="F1277" s="48" t="s">
        <v>8784</v>
      </c>
      <c r="G1277" s="55" t="s">
        <v>96</v>
      </c>
      <c r="H1277" s="64">
        <v>0.00452</v>
      </c>
      <c r="I1277" s="44"/>
      <c r="J1277" s="44"/>
      <c r="K1277" s="44"/>
      <c r="L1277" s="44"/>
      <c r="M1277" s="44"/>
      <c r="N1277" s="44"/>
      <c r="O1277" s="44"/>
      <c r="P1277" s="44"/>
      <c r="Q1277" s="44"/>
      <c r="R1277" s="44"/>
      <c r="S1277" s="44"/>
      <c r="T1277" s="44"/>
      <c r="U1277" s="44"/>
    </row>
    <row r="1278">
      <c r="A1278" s="48" t="s">
        <v>10709</v>
      </c>
      <c r="B1278" s="44"/>
      <c r="C1278" s="48" t="s">
        <v>10710</v>
      </c>
      <c r="D1278" s="44"/>
      <c r="E1278" s="48" t="s">
        <v>5407</v>
      </c>
      <c r="F1278" s="48" t="s">
        <v>8784</v>
      </c>
      <c r="G1278" s="55" t="s">
        <v>96</v>
      </c>
      <c r="H1278" s="64">
        <v>0.00452</v>
      </c>
      <c r="I1278" s="44"/>
      <c r="J1278" s="44"/>
      <c r="K1278" s="44"/>
      <c r="L1278" s="44"/>
      <c r="M1278" s="44"/>
      <c r="N1278" s="44"/>
      <c r="O1278" s="44"/>
      <c r="P1278" s="44"/>
      <c r="Q1278" s="44"/>
      <c r="R1278" s="44"/>
      <c r="S1278" s="44"/>
      <c r="T1278" s="44"/>
      <c r="U1278" s="44"/>
    </row>
    <row r="1279">
      <c r="A1279" s="48" t="s">
        <v>10711</v>
      </c>
      <c r="B1279" s="44"/>
      <c r="C1279" s="48" t="s">
        <v>10712</v>
      </c>
      <c r="D1279" s="44"/>
      <c r="E1279" s="48" t="s">
        <v>5215</v>
      </c>
      <c r="F1279" s="48" t="s">
        <v>9617</v>
      </c>
      <c r="G1279" s="55" t="s">
        <v>96</v>
      </c>
      <c r="H1279" s="64">
        <v>0.0045</v>
      </c>
      <c r="I1279" s="44"/>
      <c r="J1279" s="44"/>
      <c r="K1279" s="44"/>
      <c r="L1279" s="44"/>
      <c r="M1279" s="44"/>
      <c r="N1279" s="44"/>
      <c r="O1279" s="44"/>
      <c r="P1279" s="44"/>
      <c r="Q1279" s="44"/>
      <c r="R1279" s="44"/>
      <c r="S1279" s="44"/>
      <c r="T1279" s="44"/>
      <c r="U1279" s="44"/>
    </row>
    <row r="1280">
      <c r="A1280" s="48" t="s">
        <v>10713</v>
      </c>
      <c r="B1280" s="44"/>
      <c r="C1280" s="48" t="s">
        <v>10438</v>
      </c>
      <c r="D1280" s="44"/>
      <c r="E1280" s="48" t="s">
        <v>5235</v>
      </c>
      <c r="F1280" s="48" t="s">
        <v>4357</v>
      </c>
      <c r="G1280" s="55" t="s">
        <v>96</v>
      </c>
      <c r="H1280" s="64">
        <v>0.00445</v>
      </c>
      <c r="I1280" s="44"/>
      <c r="J1280" s="44"/>
      <c r="K1280" s="44"/>
      <c r="L1280" s="44"/>
      <c r="M1280" s="44"/>
      <c r="N1280" s="44"/>
      <c r="O1280" s="44"/>
      <c r="P1280" s="44"/>
      <c r="Q1280" s="44"/>
      <c r="R1280" s="44"/>
      <c r="S1280" s="44"/>
      <c r="T1280" s="44"/>
      <c r="U1280" s="44"/>
    </row>
    <row r="1281">
      <c r="A1281" s="48" t="s">
        <v>10714</v>
      </c>
      <c r="B1281" s="44"/>
      <c r="C1281" s="48" t="s">
        <v>10715</v>
      </c>
      <c r="D1281" s="44"/>
      <c r="E1281" s="48" t="s">
        <v>6238</v>
      </c>
      <c r="F1281" s="48" t="s">
        <v>4436</v>
      </c>
      <c r="G1281" s="55" t="s">
        <v>96</v>
      </c>
      <c r="H1281" s="64">
        <v>0.00443</v>
      </c>
      <c r="I1281" s="44"/>
      <c r="J1281" s="44"/>
      <c r="K1281" s="44"/>
      <c r="L1281" s="44"/>
      <c r="M1281" s="44"/>
      <c r="N1281" s="44"/>
      <c r="O1281" s="44"/>
      <c r="P1281" s="44"/>
      <c r="Q1281" s="44"/>
      <c r="R1281" s="44"/>
      <c r="S1281" s="44"/>
      <c r="T1281" s="44"/>
      <c r="U1281" s="44"/>
    </row>
    <row r="1282">
      <c r="A1282" s="48" t="s">
        <v>10716</v>
      </c>
      <c r="B1282" s="44"/>
      <c r="C1282" s="48" t="s">
        <v>10717</v>
      </c>
      <c r="D1282" s="44"/>
      <c r="E1282" s="48" t="s">
        <v>9189</v>
      </c>
      <c r="F1282" s="48" t="s">
        <v>8784</v>
      </c>
      <c r="G1282" s="55" t="s">
        <v>96</v>
      </c>
      <c r="H1282" s="64">
        <v>0.00442</v>
      </c>
      <c r="I1282" s="44"/>
      <c r="J1282" s="44"/>
      <c r="K1282" s="44"/>
      <c r="L1282" s="44"/>
      <c r="M1282" s="44"/>
      <c r="N1282" s="44"/>
      <c r="O1282" s="44"/>
      <c r="P1282" s="44"/>
      <c r="Q1282" s="44"/>
      <c r="R1282" s="44"/>
      <c r="S1282" s="44"/>
      <c r="T1282" s="44"/>
      <c r="U1282" s="44"/>
    </row>
    <row r="1283">
      <c r="A1283" s="48" t="s">
        <v>10718</v>
      </c>
      <c r="B1283" s="44"/>
      <c r="C1283" s="48" t="s">
        <v>10719</v>
      </c>
      <c r="D1283" s="44"/>
      <c r="E1283" s="48" t="s">
        <v>5369</v>
      </c>
      <c r="F1283" s="48" t="s">
        <v>8784</v>
      </c>
      <c r="G1283" s="55" t="s">
        <v>96</v>
      </c>
      <c r="H1283" s="64">
        <v>0.00441</v>
      </c>
      <c r="I1283" s="44"/>
      <c r="J1283" s="44"/>
      <c r="K1283" s="44"/>
      <c r="L1283" s="44"/>
      <c r="M1283" s="44"/>
      <c r="N1283" s="44"/>
      <c r="O1283" s="44"/>
      <c r="P1283" s="44"/>
      <c r="Q1283" s="44"/>
      <c r="R1283" s="44"/>
      <c r="S1283" s="44"/>
      <c r="T1283" s="44"/>
      <c r="U1283" s="44"/>
    </row>
    <row r="1284">
      <c r="A1284" s="48" t="s">
        <v>10720</v>
      </c>
      <c r="B1284" s="44"/>
      <c r="C1284" s="48" t="s">
        <v>10721</v>
      </c>
      <c r="D1284" s="44"/>
      <c r="E1284" s="48" t="s">
        <v>6090</v>
      </c>
      <c r="F1284" s="48" t="s">
        <v>8784</v>
      </c>
      <c r="G1284" s="55" t="s">
        <v>96</v>
      </c>
      <c r="H1284" s="64">
        <v>0.00441</v>
      </c>
      <c r="I1284" s="44"/>
      <c r="J1284" s="44"/>
      <c r="K1284" s="44"/>
      <c r="L1284" s="44"/>
      <c r="M1284" s="44"/>
      <c r="N1284" s="44"/>
      <c r="O1284" s="44"/>
      <c r="P1284" s="44"/>
      <c r="Q1284" s="44"/>
      <c r="R1284" s="44"/>
      <c r="S1284" s="44"/>
      <c r="T1284" s="44"/>
      <c r="U1284" s="44"/>
    </row>
    <row r="1285">
      <c r="A1285" s="48" t="s">
        <v>10722</v>
      </c>
      <c r="B1285" s="44"/>
      <c r="C1285" s="48" t="s">
        <v>10723</v>
      </c>
      <c r="D1285" s="44"/>
      <c r="E1285" s="48" t="s">
        <v>5561</v>
      </c>
      <c r="F1285" s="48" t="s">
        <v>5941</v>
      </c>
      <c r="G1285" s="55" t="s">
        <v>96</v>
      </c>
      <c r="H1285" s="64">
        <v>0.00441</v>
      </c>
      <c r="I1285" s="44"/>
      <c r="J1285" s="44"/>
      <c r="K1285" s="44"/>
      <c r="L1285" s="44"/>
      <c r="M1285" s="44"/>
      <c r="N1285" s="44"/>
      <c r="O1285" s="44"/>
      <c r="P1285" s="44"/>
      <c r="Q1285" s="44"/>
      <c r="R1285" s="44"/>
      <c r="S1285" s="44"/>
      <c r="T1285" s="44"/>
      <c r="U1285" s="44"/>
    </row>
    <row r="1286">
      <c r="A1286" s="48" t="s">
        <v>7555</v>
      </c>
      <c r="B1286" s="44"/>
      <c r="C1286" s="48" t="s">
        <v>7556</v>
      </c>
      <c r="D1286" s="44"/>
      <c r="E1286" s="48" t="s">
        <v>5235</v>
      </c>
      <c r="F1286" s="48" t="s">
        <v>4340</v>
      </c>
      <c r="G1286" s="55" t="s">
        <v>96</v>
      </c>
      <c r="H1286" s="64">
        <v>0.00439</v>
      </c>
      <c r="I1286" s="44"/>
      <c r="J1286" s="44"/>
      <c r="K1286" s="44"/>
      <c r="L1286" s="44"/>
      <c r="M1286" s="44"/>
      <c r="N1286" s="44"/>
      <c r="O1286" s="44"/>
      <c r="P1286" s="44"/>
      <c r="Q1286" s="44"/>
      <c r="R1286" s="44"/>
      <c r="S1286" s="44"/>
      <c r="T1286" s="44"/>
      <c r="U1286" s="44"/>
    </row>
    <row r="1287">
      <c r="A1287" s="48" t="s">
        <v>10724</v>
      </c>
      <c r="B1287" s="44"/>
      <c r="C1287" s="48" t="s">
        <v>10725</v>
      </c>
      <c r="D1287" s="44"/>
      <c r="E1287" s="48" t="s">
        <v>5964</v>
      </c>
      <c r="F1287" s="48" t="s">
        <v>8784</v>
      </c>
      <c r="G1287" s="55" t="s">
        <v>96</v>
      </c>
      <c r="H1287" s="64">
        <v>0.00436</v>
      </c>
      <c r="I1287" s="44"/>
      <c r="J1287" s="44"/>
      <c r="K1287" s="44"/>
      <c r="L1287" s="44"/>
      <c r="M1287" s="44"/>
      <c r="N1287" s="44"/>
      <c r="O1287" s="44"/>
      <c r="P1287" s="44"/>
      <c r="Q1287" s="44"/>
      <c r="R1287" s="44"/>
      <c r="S1287" s="44"/>
      <c r="T1287" s="44"/>
      <c r="U1287" s="44"/>
    </row>
    <row r="1288">
      <c r="A1288" s="48" t="s">
        <v>10726</v>
      </c>
      <c r="B1288" s="44"/>
      <c r="C1288" s="48" t="s">
        <v>10727</v>
      </c>
      <c r="D1288" s="44"/>
      <c r="E1288" s="48" t="s">
        <v>5756</v>
      </c>
      <c r="F1288" s="48" t="s">
        <v>5927</v>
      </c>
      <c r="G1288" s="55" t="s">
        <v>96</v>
      </c>
      <c r="H1288" s="64">
        <v>0.00435</v>
      </c>
      <c r="I1288" s="44"/>
      <c r="J1288" s="44"/>
      <c r="K1288" s="44"/>
      <c r="L1288" s="44"/>
      <c r="M1288" s="44"/>
      <c r="N1288" s="44"/>
      <c r="O1288" s="44"/>
      <c r="P1288" s="44"/>
      <c r="Q1288" s="44"/>
      <c r="R1288" s="44"/>
      <c r="S1288" s="44"/>
      <c r="T1288" s="44"/>
      <c r="U1288" s="44"/>
    </row>
    <row r="1289">
      <c r="A1289" s="48" t="s">
        <v>10728</v>
      </c>
      <c r="B1289" s="44"/>
      <c r="C1289" s="48" t="s">
        <v>9020</v>
      </c>
      <c r="D1289" s="44"/>
      <c r="E1289" s="48" t="s">
        <v>5296</v>
      </c>
      <c r="F1289" s="48" t="s">
        <v>9021</v>
      </c>
      <c r="G1289" s="55" t="s">
        <v>96</v>
      </c>
      <c r="H1289" s="64">
        <v>0.00434</v>
      </c>
      <c r="I1289" s="44"/>
      <c r="J1289" s="44"/>
      <c r="K1289" s="44"/>
      <c r="L1289" s="44"/>
      <c r="M1289" s="44"/>
      <c r="N1289" s="44"/>
      <c r="O1289" s="44"/>
      <c r="P1289" s="44"/>
      <c r="Q1289" s="44"/>
      <c r="R1289" s="44"/>
      <c r="S1289" s="44"/>
      <c r="T1289" s="44"/>
      <c r="U1289" s="44"/>
    </row>
    <row r="1290">
      <c r="A1290" s="48" t="s">
        <v>10729</v>
      </c>
      <c r="B1290" s="44"/>
      <c r="C1290" s="48" t="s">
        <v>10730</v>
      </c>
      <c r="D1290" s="44"/>
      <c r="E1290" s="48" t="s">
        <v>5341</v>
      </c>
      <c r="F1290" s="48" t="s">
        <v>5941</v>
      </c>
      <c r="G1290" s="55" t="s">
        <v>96</v>
      </c>
      <c r="H1290" s="64">
        <v>0.00434</v>
      </c>
      <c r="I1290" s="44"/>
      <c r="J1290" s="44"/>
      <c r="K1290" s="44"/>
      <c r="L1290" s="44"/>
      <c r="M1290" s="44"/>
      <c r="N1290" s="44"/>
      <c r="O1290" s="44"/>
      <c r="P1290" s="44"/>
      <c r="Q1290" s="44"/>
      <c r="R1290" s="44"/>
      <c r="S1290" s="44"/>
      <c r="T1290" s="44"/>
      <c r="U1290" s="44"/>
    </row>
    <row r="1291">
      <c r="A1291" s="48" t="s">
        <v>10731</v>
      </c>
      <c r="B1291" s="44"/>
      <c r="C1291" s="48" t="s">
        <v>10732</v>
      </c>
      <c r="D1291" s="44"/>
      <c r="E1291" s="48" t="s">
        <v>5232</v>
      </c>
      <c r="F1291" s="48" t="s">
        <v>8784</v>
      </c>
      <c r="G1291" s="55" t="s">
        <v>96</v>
      </c>
      <c r="H1291" s="64">
        <v>0.0043</v>
      </c>
      <c r="I1291" s="44"/>
      <c r="J1291" s="44"/>
      <c r="K1291" s="44"/>
      <c r="L1291" s="44"/>
      <c r="M1291" s="44"/>
      <c r="N1291" s="44"/>
      <c r="O1291" s="44"/>
      <c r="P1291" s="44"/>
      <c r="Q1291" s="44"/>
      <c r="R1291" s="44"/>
      <c r="S1291" s="44"/>
      <c r="T1291" s="44"/>
      <c r="U1291" s="44"/>
    </row>
    <row r="1292">
      <c r="A1292" s="48" t="s">
        <v>10733</v>
      </c>
      <c r="B1292" s="44"/>
      <c r="C1292" s="48" t="s">
        <v>10734</v>
      </c>
      <c r="D1292" s="44"/>
      <c r="E1292" s="48" t="s">
        <v>5235</v>
      </c>
      <c r="F1292" s="48" t="s">
        <v>5941</v>
      </c>
      <c r="G1292" s="55" t="s">
        <v>96</v>
      </c>
      <c r="H1292" s="64">
        <v>0.00429</v>
      </c>
      <c r="I1292" s="44"/>
      <c r="J1292" s="44"/>
      <c r="K1292" s="44"/>
      <c r="L1292" s="44"/>
      <c r="M1292" s="44"/>
      <c r="N1292" s="44"/>
      <c r="O1292" s="44"/>
      <c r="P1292" s="44"/>
      <c r="Q1292" s="44"/>
      <c r="R1292" s="44"/>
      <c r="S1292" s="44"/>
      <c r="T1292" s="44"/>
      <c r="U1292" s="44"/>
    </row>
    <row r="1293">
      <c r="A1293" s="48" t="s">
        <v>10735</v>
      </c>
      <c r="B1293" s="44"/>
      <c r="C1293" s="48" t="s">
        <v>10736</v>
      </c>
      <c r="D1293" s="44"/>
      <c r="E1293" s="48" t="s">
        <v>5232</v>
      </c>
      <c r="F1293" s="48" t="s">
        <v>8784</v>
      </c>
      <c r="G1293" s="55" t="s">
        <v>96</v>
      </c>
      <c r="H1293" s="64">
        <v>0.00429</v>
      </c>
      <c r="I1293" s="44"/>
      <c r="J1293" s="44"/>
      <c r="K1293" s="44"/>
      <c r="L1293" s="44"/>
      <c r="M1293" s="44"/>
      <c r="N1293" s="44"/>
      <c r="O1293" s="44"/>
      <c r="P1293" s="44"/>
      <c r="Q1293" s="44"/>
      <c r="R1293" s="44"/>
      <c r="S1293" s="44"/>
      <c r="T1293" s="44"/>
      <c r="U1293" s="44"/>
    </row>
    <row r="1294">
      <c r="A1294" s="48" t="s">
        <v>7612</v>
      </c>
      <c r="B1294" s="44"/>
      <c r="C1294" s="48" t="s">
        <v>10737</v>
      </c>
      <c r="D1294" s="44"/>
      <c r="E1294" s="48" t="s">
        <v>5366</v>
      </c>
      <c r="F1294" s="48" t="s">
        <v>8784</v>
      </c>
      <c r="G1294" s="55" t="s">
        <v>96</v>
      </c>
      <c r="H1294" s="64">
        <v>0.00429</v>
      </c>
      <c r="I1294" s="44"/>
      <c r="J1294" s="44"/>
      <c r="K1294" s="44"/>
      <c r="L1294" s="44"/>
      <c r="M1294" s="44"/>
      <c r="N1294" s="44"/>
      <c r="O1294" s="44"/>
      <c r="P1294" s="44"/>
      <c r="Q1294" s="44"/>
      <c r="R1294" s="44"/>
      <c r="S1294" s="44"/>
      <c r="T1294" s="44"/>
      <c r="U1294" s="44"/>
    </row>
    <row r="1295">
      <c r="A1295" s="48" t="s">
        <v>10738</v>
      </c>
      <c r="B1295" s="44"/>
      <c r="C1295" s="48" t="s">
        <v>10739</v>
      </c>
      <c r="D1295" s="44"/>
      <c r="E1295" s="48" t="s">
        <v>5501</v>
      </c>
      <c r="F1295" s="48" t="s">
        <v>8784</v>
      </c>
      <c r="G1295" s="55" t="s">
        <v>96</v>
      </c>
      <c r="H1295" s="64">
        <v>0.00426</v>
      </c>
      <c r="I1295" s="44"/>
      <c r="J1295" s="44"/>
      <c r="K1295" s="44"/>
      <c r="L1295" s="44"/>
      <c r="M1295" s="44"/>
      <c r="N1295" s="44"/>
      <c r="O1295" s="44"/>
      <c r="P1295" s="44"/>
      <c r="Q1295" s="44"/>
      <c r="R1295" s="44"/>
      <c r="S1295" s="44"/>
      <c r="T1295" s="44"/>
      <c r="U1295" s="44"/>
    </row>
    <row r="1296">
      <c r="A1296" s="48" t="s">
        <v>10740</v>
      </c>
      <c r="B1296" s="44"/>
      <c r="C1296" s="48" t="s">
        <v>10741</v>
      </c>
      <c r="D1296" s="44"/>
      <c r="E1296" s="48" t="s">
        <v>5218</v>
      </c>
      <c r="F1296" s="48" t="s">
        <v>8784</v>
      </c>
      <c r="G1296" s="55" t="s">
        <v>96</v>
      </c>
      <c r="H1296" s="64">
        <v>0.00426</v>
      </c>
      <c r="I1296" s="44"/>
      <c r="J1296" s="44"/>
      <c r="K1296" s="44"/>
      <c r="L1296" s="44"/>
      <c r="M1296" s="44"/>
      <c r="N1296" s="44"/>
      <c r="O1296" s="44"/>
      <c r="P1296" s="44"/>
      <c r="Q1296" s="44"/>
      <c r="R1296" s="44"/>
      <c r="S1296" s="44"/>
      <c r="T1296" s="44"/>
      <c r="U1296" s="44"/>
    </row>
    <row r="1297">
      <c r="A1297" s="48" t="s">
        <v>6923</v>
      </c>
      <c r="B1297" s="44"/>
      <c r="C1297" s="48" t="s">
        <v>10742</v>
      </c>
      <c r="D1297" s="44"/>
      <c r="E1297" s="48" t="s">
        <v>5961</v>
      </c>
      <c r="F1297" s="48" t="s">
        <v>8784</v>
      </c>
      <c r="G1297" s="55" t="s">
        <v>96</v>
      </c>
      <c r="H1297" s="64">
        <v>0.00425</v>
      </c>
      <c r="I1297" s="44"/>
      <c r="J1297" s="44"/>
      <c r="K1297" s="44"/>
      <c r="L1297" s="44"/>
      <c r="M1297" s="44"/>
      <c r="N1297" s="44"/>
      <c r="O1297" s="44"/>
      <c r="P1297" s="44"/>
      <c r="Q1297" s="44"/>
      <c r="R1297" s="44"/>
      <c r="S1297" s="44"/>
      <c r="T1297" s="44"/>
      <c r="U1297" s="44"/>
    </row>
    <row r="1298">
      <c r="A1298" s="48" t="s">
        <v>5292</v>
      </c>
      <c r="B1298" s="44"/>
      <c r="C1298" s="48" t="s">
        <v>10743</v>
      </c>
      <c r="D1298" s="44"/>
      <c r="E1298" s="48" t="s">
        <v>5309</v>
      </c>
      <c r="F1298" s="48" t="s">
        <v>4436</v>
      </c>
      <c r="G1298" s="55" t="s">
        <v>96</v>
      </c>
      <c r="H1298" s="64">
        <v>0.00424</v>
      </c>
      <c r="I1298" s="44"/>
      <c r="J1298" s="44"/>
      <c r="K1298" s="44"/>
      <c r="L1298" s="44"/>
      <c r="M1298" s="44"/>
      <c r="N1298" s="44"/>
      <c r="O1298" s="44"/>
      <c r="P1298" s="44"/>
      <c r="Q1298" s="44"/>
      <c r="R1298" s="44"/>
      <c r="S1298" s="44"/>
      <c r="T1298" s="44"/>
      <c r="U1298" s="44"/>
    </row>
    <row r="1299">
      <c r="A1299" s="48" t="s">
        <v>10744</v>
      </c>
      <c r="B1299" s="44"/>
      <c r="C1299" s="48" t="s">
        <v>10745</v>
      </c>
      <c r="D1299" s="44"/>
      <c r="E1299" s="48" t="s">
        <v>5501</v>
      </c>
      <c r="F1299" s="48" t="s">
        <v>8784</v>
      </c>
      <c r="G1299" s="55" t="s">
        <v>96</v>
      </c>
      <c r="H1299" s="64">
        <v>0.0042</v>
      </c>
      <c r="I1299" s="44"/>
      <c r="J1299" s="44"/>
      <c r="K1299" s="44"/>
      <c r="L1299" s="44"/>
      <c r="M1299" s="44"/>
      <c r="N1299" s="44"/>
      <c r="O1299" s="44"/>
      <c r="P1299" s="44"/>
      <c r="Q1299" s="44"/>
      <c r="R1299" s="44"/>
      <c r="S1299" s="44"/>
      <c r="T1299" s="44"/>
      <c r="U1299" s="44"/>
    </row>
    <row r="1300">
      <c r="A1300" s="48" t="s">
        <v>10746</v>
      </c>
      <c r="B1300" s="44"/>
      <c r="C1300" s="48" t="s">
        <v>10747</v>
      </c>
      <c r="D1300" s="44"/>
      <c r="E1300" s="48" t="s">
        <v>5235</v>
      </c>
      <c r="F1300" s="48" t="s">
        <v>9617</v>
      </c>
      <c r="G1300" s="55" t="s">
        <v>96</v>
      </c>
      <c r="H1300" s="64">
        <v>0.00418</v>
      </c>
      <c r="I1300" s="44"/>
      <c r="J1300" s="44"/>
      <c r="K1300" s="44"/>
      <c r="L1300" s="44"/>
      <c r="M1300" s="44"/>
      <c r="N1300" s="44"/>
      <c r="O1300" s="44"/>
      <c r="P1300" s="44"/>
      <c r="Q1300" s="44"/>
      <c r="R1300" s="44"/>
      <c r="S1300" s="44"/>
      <c r="T1300" s="44"/>
      <c r="U1300" s="44"/>
    </row>
    <row r="1301">
      <c r="A1301" s="48" t="s">
        <v>10748</v>
      </c>
      <c r="B1301" s="44"/>
      <c r="C1301" s="48" t="s">
        <v>10749</v>
      </c>
      <c r="D1301" s="44"/>
      <c r="E1301" s="48" t="s">
        <v>5232</v>
      </c>
      <c r="F1301" s="48" t="s">
        <v>8784</v>
      </c>
      <c r="G1301" s="55" t="s">
        <v>96</v>
      </c>
      <c r="H1301" s="64">
        <v>0.00418</v>
      </c>
      <c r="I1301" s="44"/>
      <c r="J1301" s="44"/>
      <c r="K1301" s="44"/>
      <c r="L1301" s="44"/>
      <c r="M1301" s="44"/>
      <c r="N1301" s="44"/>
      <c r="O1301" s="44"/>
      <c r="P1301" s="44"/>
      <c r="Q1301" s="44"/>
      <c r="R1301" s="44"/>
      <c r="S1301" s="44"/>
      <c r="T1301" s="44"/>
      <c r="U1301" s="44"/>
    </row>
    <row r="1302">
      <c r="A1302" s="48" t="s">
        <v>10750</v>
      </c>
      <c r="B1302" s="44"/>
      <c r="C1302" s="48" t="s">
        <v>10751</v>
      </c>
      <c r="D1302" s="44"/>
      <c r="E1302" s="48" t="s">
        <v>6157</v>
      </c>
      <c r="F1302" s="48" t="s">
        <v>8784</v>
      </c>
      <c r="G1302" s="55" t="s">
        <v>96</v>
      </c>
      <c r="H1302" s="64">
        <v>0.00417</v>
      </c>
      <c r="I1302" s="44"/>
      <c r="J1302" s="44"/>
      <c r="K1302" s="44"/>
      <c r="L1302" s="44"/>
      <c r="M1302" s="44"/>
      <c r="N1302" s="44"/>
      <c r="O1302" s="44"/>
      <c r="P1302" s="44"/>
      <c r="Q1302" s="44"/>
      <c r="R1302" s="44"/>
      <c r="S1302" s="44"/>
      <c r="T1302" s="44"/>
      <c r="U1302" s="44"/>
    </row>
    <row r="1303">
      <c r="A1303" s="48" t="s">
        <v>6957</v>
      </c>
      <c r="B1303" s="44"/>
      <c r="C1303" s="48" t="s">
        <v>6958</v>
      </c>
      <c r="D1303" s="44"/>
      <c r="E1303" s="48" t="s">
        <v>5218</v>
      </c>
      <c r="F1303" s="48" t="s">
        <v>4340</v>
      </c>
      <c r="G1303" s="55" t="s">
        <v>96</v>
      </c>
      <c r="H1303" s="64">
        <v>0.00417</v>
      </c>
      <c r="I1303" s="44"/>
      <c r="J1303" s="44"/>
      <c r="K1303" s="44"/>
      <c r="L1303" s="44"/>
      <c r="M1303" s="44"/>
      <c r="N1303" s="44"/>
      <c r="O1303" s="44"/>
      <c r="P1303" s="44"/>
      <c r="Q1303" s="44"/>
      <c r="R1303" s="44"/>
      <c r="S1303" s="44"/>
      <c r="T1303" s="44"/>
      <c r="U1303" s="44"/>
    </row>
    <row r="1304">
      <c r="A1304" s="48" t="s">
        <v>10752</v>
      </c>
      <c r="B1304" s="44"/>
      <c r="C1304" s="48" t="s">
        <v>10753</v>
      </c>
      <c r="D1304" s="44"/>
      <c r="E1304" s="48" t="s">
        <v>5561</v>
      </c>
      <c r="F1304" s="48" t="s">
        <v>8784</v>
      </c>
      <c r="G1304" s="55" t="s">
        <v>96</v>
      </c>
      <c r="H1304" s="64">
        <v>0.00415</v>
      </c>
      <c r="I1304" s="44"/>
      <c r="J1304" s="44"/>
      <c r="K1304" s="44"/>
      <c r="L1304" s="44"/>
      <c r="M1304" s="44"/>
      <c r="N1304" s="44"/>
      <c r="O1304" s="44"/>
      <c r="P1304" s="44"/>
      <c r="Q1304" s="44"/>
      <c r="R1304" s="44"/>
      <c r="S1304" s="44"/>
      <c r="T1304" s="44"/>
      <c r="U1304" s="44"/>
    </row>
    <row r="1305">
      <c r="A1305" s="48" t="s">
        <v>10754</v>
      </c>
      <c r="B1305" s="44"/>
      <c r="C1305" s="48" t="s">
        <v>10755</v>
      </c>
      <c r="D1305" s="44"/>
      <c r="E1305" s="48" t="s">
        <v>9553</v>
      </c>
      <c r="F1305" s="48" t="s">
        <v>8784</v>
      </c>
      <c r="G1305" s="55" t="s">
        <v>96</v>
      </c>
      <c r="H1305" s="64">
        <v>0.00412</v>
      </c>
      <c r="I1305" s="44"/>
      <c r="J1305" s="44"/>
      <c r="K1305" s="44"/>
      <c r="L1305" s="44"/>
      <c r="M1305" s="44"/>
      <c r="N1305" s="44"/>
      <c r="O1305" s="44"/>
      <c r="P1305" s="44"/>
      <c r="Q1305" s="44"/>
      <c r="R1305" s="44"/>
      <c r="S1305" s="44"/>
      <c r="T1305" s="44"/>
      <c r="U1305" s="44"/>
    </row>
    <row r="1306">
      <c r="A1306" s="48" t="s">
        <v>10756</v>
      </c>
      <c r="B1306" s="44"/>
      <c r="C1306" s="48" t="s">
        <v>10757</v>
      </c>
      <c r="D1306" s="44"/>
      <c r="E1306" s="48" t="s">
        <v>6130</v>
      </c>
      <c r="F1306" s="48" t="s">
        <v>8784</v>
      </c>
      <c r="G1306" s="55" t="s">
        <v>96</v>
      </c>
      <c r="H1306" s="64">
        <v>0.00411</v>
      </c>
      <c r="I1306" s="44"/>
      <c r="J1306" s="44"/>
      <c r="K1306" s="44"/>
      <c r="L1306" s="44"/>
      <c r="M1306" s="44"/>
      <c r="N1306" s="44"/>
      <c r="O1306" s="44"/>
      <c r="P1306" s="44"/>
      <c r="Q1306" s="44"/>
      <c r="R1306" s="44"/>
      <c r="S1306" s="44"/>
      <c r="T1306" s="44"/>
      <c r="U1306" s="44"/>
    </row>
    <row r="1307">
      <c r="A1307" s="48" t="s">
        <v>10758</v>
      </c>
      <c r="B1307" s="44"/>
      <c r="C1307" s="48" t="s">
        <v>10759</v>
      </c>
      <c r="D1307" s="44"/>
      <c r="E1307" s="48" t="s">
        <v>5215</v>
      </c>
      <c r="F1307" s="48" t="s">
        <v>8784</v>
      </c>
      <c r="G1307" s="55" t="s">
        <v>96</v>
      </c>
      <c r="H1307" s="64">
        <v>0.00407</v>
      </c>
      <c r="I1307" s="44"/>
      <c r="J1307" s="44"/>
      <c r="K1307" s="44"/>
      <c r="L1307" s="44"/>
      <c r="M1307" s="44"/>
      <c r="N1307" s="44"/>
      <c r="O1307" s="44"/>
      <c r="P1307" s="44"/>
      <c r="Q1307" s="44"/>
      <c r="R1307" s="44"/>
      <c r="S1307" s="44"/>
      <c r="T1307" s="44"/>
      <c r="U1307" s="44"/>
    </row>
    <row r="1308">
      <c r="A1308" s="48" t="s">
        <v>10760</v>
      </c>
      <c r="B1308" s="44"/>
      <c r="C1308" s="48" t="s">
        <v>10761</v>
      </c>
      <c r="D1308" s="44"/>
      <c r="E1308" s="48" t="s">
        <v>5516</v>
      </c>
      <c r="F1308" s="48" t="s">
        <v>8784</v>
      </c>
      <c r="G1308" s="55" t="s">
        <v>96</v>
      </c>
      <c r="H1308" s="64">
        <v>0.00405</v>
      </c>
      <c r="I1308" s="44"/>
      <c r="J1308" s="44"/>
      <c r="K1308" s="44"/>
      <c r="L1308" s="44"/>
      <c r="M1308" s="44"/>
      <c r="N1308" s="44"/>
      <c r="O1308" s="44"/>
      <c r="P1308" s="44"/>
      <c r="Q1308" s="44"/>
      <c r="R1308" s="44"/>
      <c r="S1308" s="44"/>
      <c r="T1308" s="44"/>
      <c r="U1308" s="44"/>
    </row>
    <row r="1309">
      <c r="A1309" s="48" t="s">
        <v>10762</v>
      </c>
      <c r="B1309" s="44"/>
      <c r="C1309" s="48" t="s">
        <v>10763</v>
      </c>
      <c r="D1309" s="44"/>
      <c r="E1309" s="48" t="s">
        <v>6427</v>
      </c>
      <c r="F1309" s="48" t="s">
        <v>8784</v>
      </c>
      <c r="G1309" s="55" t="s">
        <v>96</v>
      </c>
      <c r="H1309" s="64">
        <v>0.00403</v>
      </c>
      <c r="I1309" s="44"/>
      <c r="J1309" s="44"/>
      <c r="K1309" s="44"/>
      <c r="L1309" s="44"/>
      <c r="M1309" s="44"/>
      <c r="N1309" s="44"/>
      <c r="O1309" s="44"/>
      <c r="P1309" s="44"/>
      <c r="Q1309" s="44"/>
      <c r="R1309" s="44"/>
      <c r="S1309" s="44"/>
      <c r="T1309" s="44"/>
      <c r="U1309" s="44"/>
    </row>
    <row r="1310">
      <c r="A1310" s="48" t="s">
        <v>7391</v>
      </c>
      <c r="B1310" s="44"/>
      <c r="C1310" s="48" t="s">
        <v>7392</v>
      </c>
      <c r="D1310" s="44"/>
      <c r="E1310" s="48" t="s">
        <v>5229</v>
      </c>
      <c r="F1310" s="48" t="s">
        <v>4340</v>
      </c>
      <c r="G1310" s="55" t="s">
        <v>96</v>
      </c>
      <c r="H1310" s="64">
        <v>0.00403</v>
      </c>
      <c r="I1310" s="44"/>
      <c r="J1310" s="44"/>
      <c r="K1310" s="44"/>
      <c r="L1310" s="44"/>
      <c r="M1310" s="44"/>
      <c r="N1310" s="44"/>
      <c r="O1310" s="44"/>
      <c r="P1310" s="44"/>
      <c r="Q1310" s="44"/>
      <c r="R1310" s="44"/>
      <c r="S1310" s="44"/>
      <c r="T1310" s="44"/>
      <c r="U1310" s="44"/>
    </row>
    <row r="1311">
      <c r="A1311" s="48" t="s">
        <v>7332</v>
      </c>
      <c r="B1311" s="44"/>
      <c r="C1311" s="48" t="s">
        <v>7333</v>
      </c>
      <c r="D1311" s="44"/>
      <c r="E1311" s="48" t="s">
        <v>7098</v>
      </c>
      <c r="F1311" s="48" t="s">
        <v>4340</v>
      </c>
      <c r="G1311" s="55" t="s">
        <v>96</v>
      </c>
      <c r="H1311" s="64">
        <v>0.004</v>
      </c>
      <c r="I1311" s="44"/>
      <c r="J1311" s="44"/>
      <c r="K1311" s="44"/>
      <c r="L1311" s="44"/>
      <c r="M1311" s="44"/>
      <c r="N1311" s="44"/>
      <c r="O1311" s="44"/>
      <c r="P1311" s="44"/>
      <c r="Q1311" s="44"/>
      <c r="R1311" s="44"/>
      <c r="S1311" s="44"/>
      <c r="T1311" s="44"/>
      <c r="U1311" s="44"/>
    </row>
    <row r="1312">
      <c r="A1312" s="48" t="s">
        <v>10764</v>
      </c>
      <c r="B1312" s="44"/>
      <c r="C1312" s="48" t="s">
        <v>10765</v>
      </c>
      <c r="D1312" s="44"/>
      <c r="E1312" s="48" t="s">
        <v>5961</v>
      </c>
      <c r="F1312" s="48" t="s">
        <v>5941</v>
      </c>
      <c r="G1312" s="55" t="s">
        <v>96</v>
      </c>
      <c r="H1312" s="64">
        <v>0.00399</v>
      </c>
      <c r="I1312" s="44"/>
      <c r="J1312" s="44"/>
      <c r="K1312" s="44"/>
      <c r="L1312" s="44"/>
      <c r="M1312" s="44"/>
      <c r="N1312" s="44"/>
      <c r="O1312" s="44"/>
      <c r="P1312" s="44"/>
      <c r="Q1312" s="44"/>
      <c r="R1312" s="44"/>
      <c r="S1312" s="44"/>
      <c r="T1312" s="44"/>
      <c r="U1312" s="44"/>
    </row>
    <row r="1313">
      <c r="A1313" s="48" t="s">
        <v>10766</v>
      </c>
      <c r="B1313" s="44"/>
      <c r="C1313" s="48" t="s">
        <v>10767</v>
      </c>
      <c r="D1313" s="44"/>
      <c r="E1313" s="48" t="s">
        <v>5434</v>
      </c>
      <c r="F1313" s="48" t="s">
        <v>8784</v>
      </c>
      <c r="G1313" s="55" t="s">
        <v>96</v>
      </c>
      <c r="H1313" s="64">
        <v>0.00397</v>
      </c>
      <c r="I1313" s="44"/>
      <c r="J1313" s="44"/>
      <c r="K1313" s="44"/>
      <c r="L1313" s="44"/>
      <c r="M1313" s="44"/>
      <c r="N1313" s="44"/>
      <c r="O1313" s="44"/>
      <c r="P1313" s="44"/>
      <c r="Q1313" s="44"/>
      <c r="R1313" s="44"/>
      <c r="S1313" s="44"/>
      <c r="T1313" s="44"/>
      <c r="U1313" s="44"/>
    </row>
    <row r="1314">
      <c r="A1314" s="48" t="s">
        <v>10768</v>
      </c>
      <c r="B1314" s="44"/>
      <c r="C1314" s="48" t="s">
        <v>10769</v>
      </c>
      <c r="D1314" s="44"/>
      <c r="E1314" s="48" t="s">
        <v>5215</v>
      </c>
      <c r="F1314" s="48" t="s">
        <v>8784</v>
      </c>
      <c r="G1314" s="55" t="s">
        <v>96</v>
      </c>
      <c r="H1314" s="64">
        <v>0.00396</v>
      </c>
      <c r="I1314" s="44"/>
      <c r="J1314" s="44"/>
      <c r="K1314" s="44"/>
      <c r="L1314" s="44"/>
      <c r="M1314" s="44"/>
      <c r="N1314" s="44"/>
      <c r="O1314" s="44"/>
      <c r="P1314" s="44"/>
      <c r="Q1314" s="44"/>
      <c r="R1314" s="44"/>
      <c r="S1314" s="44"/>
      <c r="T1314" s="44"/>
      <c r="U1314" s="44"/>
    </row>
    <row r="1315">
      <c r="A1315" s="48" t="s">
        <v>10770</v>
      </c>
      <c r="B1315" s="44"/>
      <c r="C1315" s="48" t="s">
        <v>10771</v>
      </c>
      <c r="D1315" s="44"/>
      <c r="E1315" s="48" t="s">
        <v>5291</v>
      </c>
      <c r="F1315" s="48" t="s">
        <v>8784</v>
      </c>
      <c r="G1315" s="55" t="s">
        <v>96</v>
      </c>
      <c r="H1315" s="64">
        <v>0.00394</v>
      </c>
      <c r="I1315" s="44"/>
      <c r="J1315" s="44"/>
      <c r="K1315" s="44"/>
      <c r="L1315" s="44"/>
      <c r="M1315" s="44"/>
      <c r="N1315" s="44"/>
      <c r="O1315" s="44"/>
      <c r="P1315" s="44"/>
      <c r="Q1315" s="44"/>
      <c r="R1315" s="44"/>
      <c r="S1315" s="44"/>
      <c r="T1315" s="44"/>
      <c r="U1315" s="44"/>
    </row>
    <row r="1316">
      <c r="A1316" s="48" t="s">
        <v>10772</v>
      </c>
      <c r="B1316" s="44"/>
      <c r="C1316" s="48" t="s">
        <v>10773</v>
      </c>
      <c r="D1316" s="44"/>
      <c r="E1316" s="48" t="s">
        <v>5374</v>
      </c>
      <c r="F1316" s="48" t="s">
        <v>8784</v>
      </c>
      <c r="G1316" s="55" t="s">
        <v>96</v>
      </c>
      <c r="H1316" s="64">
        <v>0.0039</v>
      </c>
      <c r="I1316" s="44"/>
      <c r="J1316" s="44"/>
      <c r="K1316" s="44"/>
      <c r="L1316" s="44"/>
      <c r="M1316" s="44"/>
      <c r="N1316" s="44"/>
      <c r="O1316" s="44"/>
      <c r="P1316" s="44"/>
      <c r="Q1316" s="44"/>
      <c r="R1316" s="44"/>
      <c r="S1316" s="44"/>
      <c r="T1316" s="44"/>
      <c r="U1316" s="44"/>
    </row>
    <row r="1317">
      <c r="A1317" s="48" t="s">
        <v>10774</v>
      </c>
      <c r="B1317" s="44"/>
      <c r="C1317" s="48" t="s">
        <v>10775</v>
      </c>
      <c r="D1317" s="44"/>
      <c r="E1317" s="48" t="s">
        <v>5218</v>
      </c>
      <c r="F1317" s="48" t="s">
        <v>8784</v>
      </c>
      <c r="G1317" s="55" t="s">
        <v>96</v>
      </c>
      <c r="H1317" s="64">
        <v>0.0039</v>
      </c>
      <c r="I1317" s="44"/>
      <c r="J1317" s="44"/>
      <c r="K1317" s="44"/>
      <c r="L1317" s="44"/>
      <c r="M1317" s="44"/>
      <c r="N1317" s="44"/>
      <c r="O1317" s="44"/>
      <c r="P1317" s="44"/>
      <c r="Q1317" s="44"/>
      <c r="R1317" s="44"/>
      <c r="S1317" s="44"/>
      <c r="T1317" s="44"/>
      <c r="U1317" s="44"/>
    </row>
    <row r="1318">
      <c r="A1318" s="48" t="s">
        <v>10776</v>
      </c>
      <c r="B1318" s="44"/>
      <c r="C1318" s="48" t="s">
        <v>10777</v>
      </c>
      <c r="D1318" s="44"/>
      <c r="E1318" s="48" t="s">
        <v>5235</v>
      </c>
      <c r="F1318" s="48" t="s">
        <v>4095</v>
      </c>
      <c r="G1318" s="55" t="s">
        <v>96</v>
      </c>
      <c r="H1318" s="64">
        <v>0.00389</v>
      </c>
      <c r="I1318" s="44"/>
      <c r="J1318" s="44"/>
      <c r="K1318" s="44"/>
      <c r="L1318" s="44"/>
      <c r="M1318" s="44"/>
      <c r="N1318" s="44"/>
      <c r="O1318" s="44"/>
      <c r="P1318" s="44"/>
      <c r="Q1318" s="44"/>
      <c r="R1318" s="44"/>
      <c r="S1318" s="44"/>
      <c r="T1318" s="44"/>
      <c r="U1318" s="44"/>
    </row>
    <row r="1319">
      <c r="A1319" s="48" t="s">
        <v>10778</v>
      </c>
      <c r="B1319" s="44"/>
      <c r="C1319" s="48" t="s">
        <v>10779</v>
      </c>
      <c r="D1319" s="44"/>
      <c r="E1319" s="48" t="s">
        <v>6338</v>
      </c>
      <c r="F1319" s="48" t="s">
        <v>5300</v>
      </c>
      <c r="G1319" s="55" t="s">
        <v>96</v>
      </c>
      <c r="H1319" s="64">
        <v>0.00389</v>
      </c>
      <c r="I1319" s="44"/>
      <c r="J1319" s="44"/>
      <c r="K1319" s="44"/>
      <c r="L1319" s="44"/>
      <c r="M1319" s="44"/>
      <c r="N1319" s="44"/>
      <c r="O1319" s="44"/>
      <c r="P1319" s="44"/>
      <c r="Q1319" s="44"/>
      <c r="R1319" s="44"/>
      <c r="S1319" s="44"/>
      <c r="T1319" s="44"/>
      <c r="U1319" s="44"/>
    </row>
    <row r="1320">
      <c r="A1320" s="48" t="s">
        <v>10780</v>
      </c>
      <c r="B1320" s="44"/>
      <c r="C1320" s="48" t="s">
        <v>10781</v>
      </c>
      <c r="D1320" s="44"/>
      <c r="E1320" s="48" t="s">
        <v>5369</v>
      </c>
      <c r="F1320" s="48" t="s">
        <v>8784</v>
      </c>
      <c r="G1320" s="55" t="s">
        <v>96</v>
      </c>
      <c r="H1320" s="64">
        <v>0.00387</v>
      </c>
      <c r="I1320" s="44"/>
      <c r="J1320" s="44"/>
      <c r="K1320" s="44"/>
      <c r="L1320" s="44"/>
      <c r="M1320" s="44"/>
      <c r="N1320" s="44"/>
      <c r="O1320" s="44"/>
      <c r="P1320" s="44"/>
      <c r="Q1320" s="44"/>
      <c r="R1320" s="44"/>
      <c r="S1320" s="44"/>
      <c r="T1320" s="44"/>
      <c r="U1320" s="44"/>
    </row>
    <row r="1321">
      <c r="A1321" s="48" t="s">
        <v>10782</v>
      </c>
      <c r="B1321" s="44"/>
      <c r="C1321" s="48" t="s">
        <v>10783</v>
      </c>
      <c r="D1321" s="44"/>
      <c r="E1321" s="48" t="s">
        <v>5434</v>
      </c>
      <c r="F1321" s="48" t="s">
        <v>8759</v>
      </c>
      <c r="G1321" s="55" t="s">
        <v>96</v>
      </c>
      <c r="H1321" s="64">
        <v>0.00386</v>
      </c>
      <c r="I1321" s="44"/>
      <c r="J1321" s="44"/>
      <c r="K1321" s="44"/>
      <c r="L1321" s="44"/>
      <c r="M1321" s="44"/>
      <c r="N1321" s="44"/>
      <c r="O1321" s="44"/>
      <c r="P1321" s="44"/>
      <c r="Q1321" s="44"/>
      <c r="R1321" s="44"/>
      <c r="S1321" s="44"/>
      <c r="T1321" s="44"/>
      <c r="U1321" s="44"/>
    </row>
    <row r="1322">
      <c r="A1322" s="48" t="s">
        <v>6118</v>
      </c>
      <c r="B1322" s="44"/>
      <c r="C1322" s="48" t="s">
        <v>10784</v>
      </c>
      <c r="D1322" s="44"/>
      <c r="E1322" s="48" t="s">
        <v>8648</v>
      </c>
      <c r="F1322" s="48" t="s">
        <v>8784</v>
      </c>
      <c r="G1322" s="55" t="s">
        <v>96</v>
      </c>
      <c r="H1322" s="64">
        <v>0.00384</v>
      </c>
      <c r="I1322" s="44"/>
      <c r="J1322" s="44"/>
      <c r="K1322" s="44"/>
      <c r="L1322" s="44"/>
      <c r="M1322" s="44"/>
      <c r="N1322" s="44"/>
      <c r="O1322" s="44"/>
      <c r="P1322" s="44"/>
      <c r="Q1322" s="44"/>
      <c r="R1322" s="44"/>
      <c r="S1322" s="44"/>
      <c r="T1322" s="44"/>
      <c r="U1322" s="44"/>
    </row>
    <row r="1323">
      <c r="A1323" s="48" t="s">
        <v>10785</v>
      </c>
      <c r="B1323" s="44"/>
      <c r="C1323" s="48" t="s">
        <v>10786</v>
      </c>
      <c r="D1323" s="44"/>
      <c r="E1323" s="48" t="s">
        <v>5276</v>
      </c>
      <c r="F1323" s="48" t="s">
        <v>8784</v>
      </c>
      <c r="G1323" s="55" t="s">
        <v>96</v>
      </c>
      <c r="H1323" s="64">
        <v>0.00384</v>
      </c>
      <c r="I1323" s="44"/>
      <c r="J1323" s="44"/>
      <c r="K1323" s="44"/>
      <c r="L1323" s="44"/>
      <c r="M1323" s="44"/>
      <c r="N1323" s="44"/>
      <c r="O1323" s="44"/>
      <c r="P1323" s="44"/>
      <c r="Q1323" s="44"/>
      <c r="R1323" s="44"/>
      <c r="S1323" s="44"/>
      <c r="T1323" s="44"/>
      <c r="U1323" s="44"/>
    </row>
    <row r="1324">
      <c r="A1324" s="48" t="s">
        <v>10787</v>
      </c>
      <c r="B1324" s="44"/>
      <c r="C1324" s="48" t="s">
        <v>7605</v>
      </c>
      <c r="D1324" s="44"/>
      <c r="E1324" s="48" t="s">
        <v>5229</v>
      </c>
      <c r="F1324" s="48" t="s">
        <v>4340</v>
      </c>
      <c r="G1324" s="55" t="s">
        <v>96</v>
      </c>
      <c r="H1324" s="64">
        <v>0.00383</v>
      </c>
      <c r="I1324" s="44"/>
      <c r="J1324" s="44"/>
      <c r="K1324" s="44"/>
      <c r="L1324" s="44"/>
      <c r="M1324" s="44"/>
      <c r="N1324" s="44"/>
      <c r="O1324" s="44"/>
      <c r="P1324" s="44"/>
      <c r="Q1324" s="44"/>
      <c r="R1324" s="44"/>
      <c r="S1324" s="44"/>
      <c r="T1324" s="44"/>
      <c r="U1324" s="44"/>
    </row>
    <row r="1325">
      <c r="A1325" s="48" t="s">
        <v>10788</v>
      </c>
      <c r="B1325" s="44"/>
      <c r="C1325" s="48" t="s">
        <v>10789</v>
      </c>
      <c r="D1325" s="44"/>
      <c r="E1325" s="48" t="s">
        <v>5374</v>
      </c>
      <c r="F1325" s="48" t="s">
        <v>8784</v>
      </c>
      <c r="G1325" s="55" t="s">
        <v>96</v>
      </c>
      <c r="H1325" s="64">
        <v>0.00381</v>
      </c>
      <c r="I1325" s="44"/>
      <c r="J1325" s="44"/>
      <c r="K1325" s="44"/>
      <c r="L1325" s="44"/>
      <c r="M1325" s="44"/>
      <c r="N1325" s="44"/>
      <c r="O1325" s="44"/>
      <c r="P1325" s="44"/>
      <c r="Q1325" s="44"/>
      <c r="R1325" s="44"/>
      <c r="S1325" s="44"/>
      <c r="T1325" s="44"/>
      <c r="U1325" s="44"/>
    </row>
    <row r="1326">
      <c r="A1326" s="48" t="s">
        <v>10790</v>
      </c>
      <c r="B1326" s="44"/>
      <c r="C1326" s="48" t="s">
        <v>10791</v>
      </c>
      <c r="D1326" s="44"/>
      <c r="E1326" s="48" t="s">
        <v>5759</v>
      </c>
      <c r="F1326" s="48" t="s">
        <v>9299</v>
      </c>
      <c r="G1326" s="55" t="s">
        <v>96</v>
      </c>
      <c r="H1326" s="64">
        <v>0.0038</v>
      </c>
      <c r="I1326" s="44"/>
      <c r="J1326" s="44"/>
      <c r="K1326" s="44"/>
      <c r="L1326" s="44"/>
      <c r="M1326" s="44"/>
      <c r="N1326" s="44"/>
      <c r="O1326" s="44"/>
      <c r="P1326" s="44"/>
      <c r="Q1326" s="44"/>
      <c r="R1326" s="44"/>
      <c r="S1326" s="44"/>
      <c r="T1326" s="44"/>
      <c r="U1326" s="44"/>
    </row>
    <row r="1327">
      <c r="A1327" s="48" t="s">
        <v>10792</v>
      </c>
      <c r="B1327" s="44"/>
      <c r="C1327" s="48" t="s">
        <v>10793</v>
      </c>
      <c r="D1327" s="44"/>
      <c r="E1327" s="48" t="s">
        <v>6172</v>
      </c>
      <c r="F1327" s="48" t="s">
        <v>6698</v>
      </c>
      <c r="G1327" s="55" t="s">
        <v>96</v>
      </c>
      <c r="H1327" s="64">
        <v>0.00379</v>
      </c>
      <c r="I1327" s="44"/>
      <c r="J1327" s="44"/>
      <c r="K1327" s="44"/>
      <c r="L1327" s="44"/>
      <c r="M1327" s="44"/>
      <c r="N1327" s="44"/>
      <c r="O1327" s="44"/>
      <c r="P1327" s="44"/>
      <c r="Q1327" s="44"/>
      <c r="R1327" s="44"/>
      <c r="S1327" s="44"/>
      <c r="T1327" s="44"/>
      <c r="U1327" s="44"/>
    </row>
    <row r="1328">
      <c r="A1328" s="48" t="s">
        <v>10794</v>
      </c>
      <c r="B1328" s="44"/>
      <c r="C1328" s="48" t="s">
        <v>10795</v>
      </c>
      <c r="D1328" s="44"/>
      <c r="E1328" s="48" t="s">
        <v>5561</v>
      </c>
      <c r="F1328" s="48" t="s">
        <v>6220</v>
      </c>
      <c r="G1328" s="55" t="s">
        <v>96</v>
      </c>
      <c r="H1328" s="64">
        <v>0.00377</v>
      </c>
      <c r="I1328" s="44"/>
      <c r="J1328" s="44"/>
      <c r="K1328" s="44"/>
      <c r="L1328" s="44"/>
      <c r="M1328" s="44"/>
      <c r="N1328" s="44"/>
      <c r="O1328" s="44"/>
      <c r="P1328" s="44"/>
      <c r="Q1328" s="44"/>
      <c r="R1328" s="44"/>
      <c r="S1328" s="44"/>
      <c r="T1328" s="44"/>
      <c r="U1328" s="44"/>
    </row>
    <row r="1329">
      <c r="A1329" s="48" t="s">
        <v>10796</v>
      </c>
      <c r="B1329" s="44"/>
      <c r="C1329" s="48" t="s">
        <v>10797</v>
      </c>
      <c r="D1329" s="44"/>
      <c r="E1329" s="48" t="s">
        <v>6130</v>
      </c>
      <c r="F1329" s="48" t="s">
        <v>8784</v>
      </c>
      <c r="G1329" s="55" t="s">
        <v>96</v>
      </c>
      <c r="H1329" s="64">
        <v>0.00376</v>
      </c>
      <c r="I1329" s="44"/>
      <c r="J1329" s="44"/>
      <c r="K1329" s="44"/>
      <c r="L1329" s="44"/>
      <c r="M1329" s="44"/>
      <c r="N1329" s="44"/>
      <c r="O1329" s="44"/>
      <c r="P1329" s="44"/>
      <c r="Q1329" s="44"/>
      <c r="R1329" s="44"/>
      <c r="S1329" s="44"/>
      <c r="T1329" s="44"/>
      <c r="U1329" s="44"/>
    </row>
    <row r="1330">
      <c r="A1330" s="48" t="s">
        <v>7724</v>
      </c>
      <c r="B1330" s="44"/>
      <c r="C1330" s="48" t="s">
        <v>7725</v>
      </c>
      <c r="D1330" s="44"/>
      <c r="E1330" s="48" t="s">
        <v>5218</v>
      </c>
      <c r="F1330" s="48" t="s">
        <v>4340</v>
      </c>
      <c r="G1330" s="55" t="s">
        <v>96</v>
      </c>
      <c r="H1330" s="64">
        <v>0.00373</v>
      </c>
      <c r="I1330" s="44"/>
      <c r="J1330" s="44"/>
      <c r="K1330" s="44"/>
      <c r="L1330" s="44"/>
      <c r="M1330" s="44"/>
      <c r="N1330" s="44"/>
      <c r="O1330" s="44"/>
      <c r="P1330" s="44"/>
      <c r="Q1330" s="44"/>
      <c r="R1330" s="44"/>
      <c r="S1330" s="44"/>
      <c r="T1330" s="44"/>
      <c r="U1330" s="44"/>
    </row>
    <row r="1331">
      <c r="A1331" s="48" t="s">
        <v>7751</v>
      </c>
      <c r="B1331" s="44"/>
      <c r="C1331" s="48" t="s">
        <v>7752</v>
      </c>
      <c r="D1331" s="44"/>
      <c r="E1331" s="48" t="s">
        <v>5501</v>
      </c>
      <c r="F1331" s="48" t="s">
        <v>4340</v>
      </c>
      <c r="G1331" s="55" t="s">
        <v>96</v>
      </c>
      <c r="H1331" s="64">
        <v>0.00368</v>
      </c>
      <c r="I1331" s="44"/>
      <c r="J1331" s="44"/>
      <c r="K1331" s="44"/>
      <c r="L1331" s="44"/>
      <c r="M1331" s="44"/>
      <c r="N1331" s="44"/>
      <c r="O1331" s="44"/>
      <c r="P1331" s="44"/>
      <c r="Q1331" s="44"/>
      <c r="R1331" s="44"/>
      <c r="S1331" s="44"/>
      <c r="T1331" s="44"/>
      <c r="U1331" s="44"/>
    </row>
    <row r="1332">
      <c r="A1332" s="48" t="s">
        <v>10798</v>
      </c>
      <c r="B1332" s="44"/>
      <c r="C1332" s="48" t="s">
        <v>10799</v>
      </c>
      <c r="D1332" s="44"/>
      <c r="E1332" s="48" t="s">
        <v>5316</v>
      </c>
      <c r="F1332" s="48" t="s">
        <v>5277</v>
      </c>
      <c r="G1332" s="55" t="s">
        <v>96</v>
      </c>
      <c r="H1332" s="64">
        <v>0.00368</v>
      </c>
      <c r="I1332" s="44"/>
      <c r="J1332" s="44"/>
      <c r="K1332" s="44"/>
      <c r="L1332" s="44"/>
      <c r="M1332" s="44"/>
      <c r="N1332" s="44"/>
      <c r="O1332" s="44"/>
      <c r="P1332" s="44"/>
      <c r="Q1332" s="44"/>
      <c r="R1332" s="44"/>
      <c r="S1332" s="44"/>
      <c r="T1332" s="44"/>
      <c r="U1332" s="44"/>
    </row>
    <row r="1333">
      <c r="A1333" s="48" t="s">
        <v>10800</v>
      </c>
      <c r="B1333" s="44"/>
      <c r="C1333" s="48" t="s">
        <v>10801</v>
      </c>
      <c r="D1333" s="44"/>
      <c r="E1333" s="48" t="s">
        <v>5366</v>
      </c>
      <c r="F1333" s="48" t="s">
        <v>4095</v>
      </c>
      <c r="G1333" s="55" t="s">
        <v>96</v>
      </c>
      <c r="H1333" s="64">
        <v>0.00367</v>
      </c>
      <c r="I1333" s="44"/>
      <c r="J1333" s="44"/>
      <c r="K1333" s="44"/>
      <c r="L1333" s="44"/>
      <c r="M1333" s="44"/>
      <c r="N1333" s="44"/>
      <c r="O1333" s="44"/>
      <c r="P1333" s="44"/>
      <c r="Q1333" s="44"/>
      <c r="R1333" s="44"/>
      <c r="S1333" s="44"/>
      <c r="T1333" s="44"/>
      <c r="U1333" s="44"/>
    </row>
    <row r="1334">
      <c r="A1334" s="48" t="s">
        <v>10802</v>
      </c>
      <c r="B1334" s="44"/>
      <c r="C1334" s="48" t="s">
        <v>10803</v>
      </c>
      <c r="D1334" s="44"/>
      <c r="E1334" s="48" t="s">
        <v>5249</v>
      </c>
      <c r="F1334" s="48" t="s">
        <v>8784</v>
      </c>
      <c r="G1334" s="55" t="s">
        <v>96</v>
      </c>
      <c r="H1334" s="64">
        <v>0.00367</v>
      </c>
      <c r="I1334" s="44"/>
      <c r="J1334" s="44"/>
      <c r="K1334" s="44"/>
      <c r="L1334" s="44"/>
      <c r="M1334" s="44"/>
      <c r="N1334" s="44"/>
      <c r="O1334" s="44"/>
      <c r="P1334" s="44"/>
      <c r="Q1334" s="44"/>
      <c r="R1334" s="44"/>
      <c r="S1334" s="44"/>
      <c r="T1334" s="44"/>
      <c r="U1334" s="44"/>
    </row>
    <row r="1335">
      <c r="A1335" s="48" t="s">
        <v>10804</v>
      </c>
      <c r="B1335" s="44"/>
      <c r="C1335" s="48" t="s">
        <v>10805</v>
      </c>
      <c r="D1335" s="44"/>
      <c r="E1335" s="48" t="s">
        <v>6130</v>
      </c>
      <c r="F1335" s="48" t="s">
        <v>8784</v>
      </c>
      <c r="G1335" s="55" t="s">
        <v>96</v>
      </c>
      <c r="H1335" s="64">
        <v>0.00367</v>
      </c>
      <c r="I1335" s="44"/>
      <c r="J1335" s="44"/>
      <c r="K1335" s="44"/>
      <c r="L1335" s="44"/>
      <c r="M1335" s="44"/>
      <c r="N1335" s="44"/>
      <c r="O1335" s="44"/>
      <c r="P1335" s="44"/>
      <c r="Q1335" s="44"/>
      <c r="R1335" s="44"/>
      <c r="S1335" s="44"/>
      <c r="T1335" s="44"/>
      <c r="U1335" s="44"/>
    </row>
    <row r="1336">
      <c r="A1336" s="48" t="s">
        <v>10806</v>
      </c>
      <c r="B1336" s="44"/>
      <c r="C1336" s="48" t="s">
        <v>10807</v>
      </c>
      <c r="D1336" s="44"/>
      <c r="E1336" s="48" t="s">
        <v>5321</v>
      </c>
      <c r="F1336" s="48" t="s">
        <v>8784</v>
      </c>
      <c r="G1336" s="55" t="s">
        <v>96</v>
      </c>
      <c r="H1336" s="64">
        <v>0.00365</v>
      </c>
      <c r="I1336" s="44"/>
      <c r="J1336" s="44"/>
      <c r="K1336" s="44"/>
      <c r="L1336" s="44"/>
      <c r="M1336" s="44"/>
      <c r="N1336" s="44"/>
      <c r="O1336" s="44"/>
      <c r="P1336" s="44"/>
      <c r="Q1336" s="44"/>
      <c r="R1336" s="44"/>
      <c r="S1336" s="44"/>
      <c r="T1336" s="44"/>
      <c r="U1336" s="44"/>
    </row>
    <row r="1337">
      <c r="A1337" s="48" t="s">
        <v>10808</v>
      </c>
      <c r="B1337" s="44"/>
      <c r="C1337" s="48" t="s">
        <v>10809</v>
      </c>
      <c r="D1337" s="44"/>
      <c r="E1337" s="48" t="s">
        <v>5704</v>
      </c>
      <c r="F1337" s="48" t="s">
        <v>8784</v>
      </c>
      <c r="G1337" s="55" t="s">
        <v>96</v>
      </c>
      <c r="H1337" s="64">
        <v>0.00363</v>
      </c>
      <c r="I1337" s="44"/>
      <c r="J1337" s="44"/>
      <c r="K1337" s="44"/>
      <c r="L1337" s="44"/>
      <c r="M1337" s="44"/>
      <c r="N1337" s="44"/>
      <c r="O1337" s="44"/>
      <c r="P1337" s="44"/>
      <c r="Q1337" s="44"/>
      <c r="R1337" s="44"/>
      <c r="S1337" s="44"/>
      <c r="T1337" s="44"/>
      <c r="U1337" s="44"/>
    </row>
    <row r="1338">
      <c r="A1338" s="48" t="s">
        <v>10810</v>
      </c>
      <c r="B1338" s="44"/>
      <c r="C1338" s="48" t="s">
        <v>10811</v>
      </c>
      <c r="D1338" s="44"/>
      <c r="E1338" s="48" t="s">
        <v>5407</v>
      </c>
      <c r="F1338" s="48" t="s">
        <v>8784</v>
      </c>
      <c r="G1338" s="55" t="s">
        <v>96</v>
      </c>
      <c r="H1338" s="64">
        <v>0.00362</v>
      </c>
      <c r="I1338" s="44"/>
      <c r="J1338" s="44"/>
      <c r="K1338" s="44"/>
      <c r="L1338" s="44"/>
      <c r="M1338" s="44"/>
      <c r="N1338" s="44"/>
      <c r="O1338" s="44"/>
      <c r="P1338" s="44"/>
      <c r="Q1338" s="44"/>
      <c r="R1338" s="44"/>
      <c r="S1338" s="44"/>
      <c r="T1338" s="44"/>
      <c r="U1338" s="44"/>
    </row>
    <row r="1339">
      <c r="A1339" s="48" t="s">
        <v>10812</v>
      </c>
      <c r="B1339" s="44"/>
      <c r="C1339" s="48" t="s">
        <v>10813</v>
      </c>
      <c r="D1339" s="44"/>
      <c r="E1339" s="48" t="s">
        <v>5215</v>
      </c>
      <c r="F1339" s="48" t="s">
        <v>9513</v>
      </c>
      <c r="G1339" s="55" t="s">
        <v>96</v>
      </c>
      <c r="H1339" s="64">
        <v>0.00361</v>
      </c>
      <c r="I1339" s="44"/>
      <c r="J1339" s="44"/>
      <c r="K1339" s="44"/>
      <c r="L1339" s="44"/>
      <c r="M1339" s="44"/>
      <c r="N1339" s="44"/>
      <c r="O1339" s="44"/>
      <c r="P1339" s="44"/>
      <c r="Q1339" s="44"/>
      <c r="R1339" s="44"/>
      <c r="S1339" s="44"/>
      <c r="T1339" s="44"/>
      <c r="U1339" s="44"/>
    </row>
    <row r="1340">
      <c r="A1340" s="48" t="s">
        <v>7607</v>
      </c>
      <c r="B1340" s="44"/>
      <c r="C1340" s="48" t="s">
        <v>7608</v>
      </c>
      <c r="D1340" s="44"/>
      <c r="E1340" s="48" t="s">
        <v>5229</v>
      </c>
      <c r="F1340" s="48" t="s">
        <v>4340</v>
      </c>
      <c r="G1340" s="55" t="s">
        <v>96</v>
      </c>
      <c r="H1340" s="64">
        <v>0.0036</v>
      </c>
      <c r="I1340" s="44"/>
      <c r="J1340" s="44"/>
      <c r="K1340" s="44"/>
      <c r="L1340" s="44"/>
      <c r="M1340" s="44"/>
      <c r="N1340" s="44"/>
      <c r="O1340" s="44"/>
      <c r="P1340" s="44"/>
      <c r="Q1340" s="44"/>
      <c r="R1340" s="44"/>
      <c r="S1340" s="44"/>
      <c r="T1340" s="44"/>
      <c r="U1340" s="44"/>
    </row>
    <row r="1341">
      <c r="A1341" s="48" t="s">
        <v>10814</v>
      </c>
      <c r="B1341" s="44"/>
      <c r="C1341" s="48" t="s">
        <v>10815</v>
      </c>
      <c r="D1341" s="44"/>
      <c r="E1341" s="48" t="s">
        <v>5366</v>
      </c>
      <c r="F1341" s="48" t="s">
        <v>8784</v>
      </c>
      <c r="G1341" s="55" t="s">
        <v>96</v>
      </c>
      <c r="H1341" s="64">
        <v>0.00359</v>
      </c>
      <c r="I1341" s="44"/>
      <c r="J1341" s="44"/>
      <c r="K1341" s="44"/>
      <c r="L1341" s="44"/>
      <c r="M1341" s="44"/>
      <c r="N1341" s="44"/>
      <c r="O1341" s="44"/>
      <c r="P1341" s="44"/>
      <c r="Q1341" s="44"/>
      <c r="R1341" s="44"/>
      <c r="S1341" s="44"/>
      <c r="T1341" s="44"/>
      <c r="U1341" s="44"/>
    </row>
    <row r="1342">
      <c r="A1342" s="48" t="s">
        <v>10816</v>
      </c>
      <c r="B1342" s="44"/>
      <c r="C1342" s="48" t="s">
        <v>10817</v>
      </c>
      <c r="D1342" s="44"/>
      <c r="E1342" s="48" t="s">
        <v>5326</v>
      </c>
      <c r="F1342" s="48" t="s">
        <v>4357</v>
      </c>
      <c r="G1342" s="55" t="s">
        <v>96</v>
      </c>
      <c r="H1342" s="64">
        <v>0.00359</v>
      </c>
      <c r="I1342" s="44"/>
      <c r="J1342" s="44"/>
      <c r="K1342" s="44"/>
      <c r="L1342" s="44"/>
      <c r="M1342" s="44"/>
      <c r="N1342" s="44"/>
      <c r="O1342" s="44"/>
      <c r="P1342" s="44"/>
      <c r="Q1342" s="44"/>
      <c r="R1342" s="44"/>
      <c r="S1342" s="44"/>
      <c r="T1342" s="44"/>
      <c r="U1342" s="44"/>
    </row>
    <row r="1343">
      <c r="A1343" s="48" t="s">
        <v>10818</v>
      </c>
      <c r="B1343" s="44"/>
      <c r="C1343" s="48" t="s">
        <v>10819</v>
      </c>
      <c r="D1343" s="44"/>
      <c r="E1343" s="48" t="s">
        <v>5264</v>
      </c>
      <c r="F1343" s="48" t="s">
        <v>8784</v>
      </c>
      <c r="G1343" s="55" t="s">
        <v>96</v>
      </c>
      <c r="H1343" s="64">
        <v>0.00359</v>
      </c>
      <c r="I1343" s="44"/>
      <c r="J1343" s="44"/>
      <c r="K1343" s="44"/>
      <c r="L1343" s="44"/>
      <c r="M1343" s="44"/>
      <c r="N1343" s="44"/>
      <c r="O1343" s="44"/>
      <c r="P1343" s="44"/>
      <c r="Q1343" s="44"/>
      <c r="R1343" s="44"/>
      <c r="S1343" s="44"/>
      <c r="T1343" s="44"/>
      <c r="U1343" s="44"/>
    </row>
    <row r="1344">
      <c r="A1344" s="48" t="s">
        <v>10820</v>
      </c>
      <c r="B1344" s="44"/>
      <c r="C1344" s="48" t="s">
        <v>10821</v>
      </c>
      <c r="D1344" s="44"/>
      <c r="E1344" s="48" t="s">
        <v>5235</v>
      </c>
      <c r="F1344" s="48" t="s">
        <v>8784</v>
      </c>
      <c r="G1344" s="55" t="s">
        <v>96</v>
      </c>
      <c r="H1344" s="64">
        <v>0.00358</v>
      </c>
      <c r="I1344" s="44"/>
      <c r="J1344" s="44"/>
      <c r="K1344" s="44"/>
      <c r="L1344" s="44"/>
      <c r="M1344" s="44"/>
      <c r="N1344" s="44"/>
      <c r="O1344" s="44"/>
      <c r="P1344" s="44"/>
      <c r="Q1344" s="44"/>
      <c r="R1344" s="44"/>
      <c r="S1344" s="44"/>
      <c r="T1344" s="44"/>
      <c r="U1344" s="44"/>
    </row>
    <row r="1345">
      <c r="A1345" s="48" t="s">
        <v>7590</v>
      </c>
      <c r="B1345" s="44"/>
      <c r="C1345" s="48" t="s">
        <v>7591</v>
      </c>
      <c r="D1345" s="44"/>
      <c r="E1345" s="48" t="s">
        <v>5218</v>
      </c>
      <c r="F1345" s="48" t="s">
        <v>4340</v>
      </c>
      <c r="G1345" s="55" t="s">
        <v>96</v>
      </c>
      <c r="H1345" s="64">
        <v>0.00357</v>
      </c>
      <c r="I1345" s="44"/>
      <c r="J1345" s="44"/>
      <c r="K1345" s="44"/>
      <c r="L1345" s="44"/>
      <c r="M1345" s="44"/>
      <c r="N1345" s="44"/>
      <c r="O1345" s="44"/>
      <c r="P1345" s="44"/>
      <c r="Q1345" s="44"/>
      <c r="R1345" s="44"/>
      <c r="S1345" s="44"/>
      <c r="T1345" s="44"/>
      <c r="U1345" s="44"/>
    </row>
    <row r="1346">
      <c r="A1346" s="48" t="s">
        <v>4723</v>
      </c>
      <c r="B1346" s="44"/>
      <c r="C1346" s="48" t="s">
        <v>9555</v>
      </c>
      <c r="D1346" s="44"/>
      <c r="E1346" s="48" t="s">
        <v>5459</v>
      </c>
      <c r="F1346" s="48" t="s">
        <v>5300</v>
      </c>
      <c r="G1346" s="55" t="s">
        <v>96</v>
      </c>
      <c r="H1346" s="64">
        <v>0.00357</v>
      </c>
      <c r="I1346" s="44"/>
      <c r="J1346" s="44"/>
      <c r="K1346" s="44"/>
      <c r="L1346" s="44"/>
      <c r="M1346" s="44"/>
      <c r="N1346" s="44"/>
      <c r="O1346" s="44"/>
      <c r="P1346" s="44"/>
      <c r="Q1346" s="44"/>
      <c r="R1346" s="44"/>
      <c r="S1346" s="44"/>
      <c r="T1346" s="44"/>
      <c r="U1346" s="44"/>
    </row>
    <row r="1347">
      <c r="A1347" s="48" t="s">
        <v>10822</v>
      </c>
      <c r="B1347" s="44"/>
      <c r="C1347" s="48" t="s">
        <v>10823</v>
      </c>
      <c r="D1347" s="44"/>
      <c r="E1347" s="48" t="s">
        <v>5478</v>
      </c>
      <c r="F1347" s="48" t="s">
        <v>4340</v>
      </c>
      <c r="G1347" s="55" t="s">
        <v>96</v>
      </c>
      <c r="H1347" s="64">
        <v>0.00356</v>
      </c>
      <c r="I1347" s="44"/>
      <c r="J1347" s="44"/>
      <c r="K1347" s="44"/>
      <c r="L1347" s="44"/>
      <c r="M1347" s="44"/>
      <c r="N1347" s="44"/>
      <c r="O1347" s="44"/>
      <c r="P1347" s="44"/>
      <c r="Q1347" s="44"/>
      <c r="R1347" s="44"/>
      <c r="S1347" s="44"/>
      <c r="T1347" s="44"/>
      <c r="U1347" s="44"/>
    </row>
    <row r="1348">
      <c r="A1348" s="48" t="s">
        <v>10824</v>
      </c>
      <c r="B1348" s="44"/>
      <c r="C1348" s="48" t="s">
        <v>10825</v>
      </c>
      <c r="D1348" s="44"/>
      <c r="E1348" s="48" t="s">
        <v>5434</v>
      </c>
      <c r="F1348" s="48" t="s">
        <v>8784</v>
      </c>
      <c r="G1348" s="55" t="s">
        <v>96</v>
      </c>
      <c r="H1348" s="64">
        <v>0.00353</v>
      </c>
      <c r="I1348" s="44"/>
      <c r="J1348" s="44"/>
      <c r="K1348" s="44"/>
      <c r="L1348" s="44"/>
      <c r="M1348" s="44"/>
      <c r="N1348" s="44"/>
      <c r="O1348" s="44"/>
      <c r="P1348" s="44"/>
      <c r="Q1348" s="44"/>
      <c r="R1348" s="44"/>
      <c r="S1348" s="44"/>
      <c r="T1348" s="44"/>
      <c r="U1348" s="44"/>
    </row>
    <row r="1349">
      <c r="A1349" s="48" t="s">
        <v>10826</v>
      </c>
      <c r="B1349" s="44"/>
      <c r="C1349" s="48" t="s">
        <v>10827</v>
      </c>
      <c r="D1349" s="44"/>
      <c r="E1349" s="48" t="s">
        <v>5215</v>
      </c>
      <c r="F1349" s="48" t="s">
        <v>8784</v>
      </c>
      <c r="G1349" s="55" t="s">
        <v>96</v>
      </c>
      <c r="H1349" s="64">
        <v>0.00351</v>
      </c>
      <c r="I1349" s="44"/>
      <c r="J1349" s="44"/>
      <c r="K1349" s="44"/>
      <c r="L1349" s="44"/>
      <c r="M1349" s="44"/>
      <c r="N1349" s="44"/>
      <c r="O1349" s="44"/>
      <c r="P1349" s="44"/>
      <c r="Q1349" s="44"/>
      <c r="R1349" s="44"/>
      <c r="S1349" s="44"/>
      <c r="T1349" s="44"/>
      <c r="U1349" s="44"/>
    </row>
    <row r="1350">
      <c r="A1350" s="48" t="s">
        <v>10828</v>
      </c>
      <c r="B1350" s="44"/>
      <c r="C1350" s="48" t="s">
        <v>10829</v>
      </c>
      <c r="D1350" s="44"/>
      <c r="E1350" s="48" t="s">
        <v>5321</v>
      </c>
      <c r="F1350" s="48" t="s">
        <v>8784</v>
      </c>
      <c r="G1350" s="55" t="s">
        <v>96</v>
      </c>
      <c r="H1350" s="64">
        <v>0.00351</v>
      </c>
      <c r="I1350" s="44"/>
      <c r="J1350" s="44"/>
      <c r="K1350" s="44"/>
      <c r="L1350" s="44"/>
      <c r="M1350" s="44"/>
      <c r="N1350" s="44"/>
      <c r="O1350" s="44"/>
      <c r="P1350" s="44"/>
      <c r="Q1350" s="44"/>
      <c r="R1350" s="44"/>
      <c r="S1350" s="44"/>
      <c r="T1350" s="44"/>
      <c r="U1350" s="44"/>
    </row>
    <row r="1351">
      <c r="A1351" s="48" t="s">
        <v>10830</v>
      </c>
      <c r="B1351" s="44"/>
      <c r="C1351" s="48" t="s">
        <v>10831</v>
      </c>
      <c r="D1351" s="44"/>
      <c r="E1351" s="48" t="s">
        <v>5374</v>
      </c>
      <c r="F1351" s="48" t="s">
        <v>8784</v>
      </c>
      <c r="G1351" s="55" t="s">
        <v>96</v>
      </c>
      <c r="H1351" s="64">
        <v>0.0035</v>
      </c>
      <c r="I1351" s="44"/>
      <c r="J1351" s="44"/>
      <c r="K1351" s="44"/>
      <c r="L1351" s="44"/>
      <c r="M1351" s="44"/>
      <c r="N1351" s="44"/>
      <c r="O1351" s="44"/>
      <c r="P1351" s="44"/>
      <c r="Q1351" s="44"/>
      <c r="R1351" s="44"/>
      <c r="S1351" s="44"/>
      <c r="T1351" s="44"/>
      <c r="U1351" s="44"/>
    </row>
    <row r="1352">
      <c r="A1352" s="48" t="s">
        <v>10832</v>
      </c>
      <c r="B1352" s="44"/>
      <c r="C1352" s="48" t="s">
        <v>10833</v>
      </c>
      <c r="D1352" s="44"/>
      <c r="E1352" s="48" t="s">
        <v>5561</v>
      </c>
      <c r="F1352" s="48" t="s">
        <v>6220</v>
      </c>
      <c r="G1352" s="55" t="s">
        <v>96</v>
      </c>
      <c r="H1352" s="64">
        <v>0.00349</v>
      </c>
      <c r="I1352" s="44"/>
      <c r="J1352" s="44"/>
      <c r="K1352" s="44"/>
      <c r="L1352" s="44"/>
      <c r="M1352" s="44"/>
      <c r="N1352" s="44"/>
      <c r="O1352" s="44"/>
      <c r="P1352" s="44"/>
      <c r="Q1352" s="44"/>
      <c r="R1352" s="44"/>
      <c r="S1352" s="44"/>
      <c r="T1352" s="44"/>
      <c r="U1352" s="44"/>
    </row>
    <row r="1353">
      <c r="A1353" s="48" t="s">
        <v>10834</v>
      </c>
      <c r="B1353" s="44"/>
      <c r="C1353" s="48" t="s">
        <v>10835</v>
      </c>
      <c r="D1353" s="44"/>
      <c r="E1353" s="48" t="s">
        <v>5670</v>
      </c>
      <c r="F1353" s="48" t="s">
        <v>8784</v>
      </c>
      <c r="G1353" s="55" t="s">
        <v>96</v>
      </c>
      <c r="H1353" s="64">
        <v>0.00348</v>
      </c>
      <c r="I1353" s="44"/>
      <c r="J1353" s="44"/>
      <c r="K1353" s="44"/>
      <c r="L1353" s="44"/>
      <c r="M1353" s="44"/>
      <c r="N1353" s="44"/>
      <c r="O1353" s="44"/>
      <c r="P1353" s="44"/>
      <c r="Q1353" s="44"/>
      <c r="R1353" s="44"/>
      <c r="S1353" s="44"/>
      <c r="T1353" s="44"/>
      <c r="U1353" s="44"/>
    </row>
    <row r="1354">
      <c r="A1354" s="48" t="s">
        <v>10836</v>
      </c>
      <c r="B1354" s="44"/>
      <c r="C1354" s="48" t="s">
        <v>9435</v>
      </c>
      <c r="D1354" s="44"/>
      <c r="E1354" s="48" t="s">
        <v>5422</v>
      </c>
      <c r="F1354" s="48" t="s">
        <v>9021</v>
      </c>
      <c r="G1354" s="55" t="s">
        <v>96</v>
      </c>
      <c r="H1354" s="64">
        <v>0.00347</v>
      </c>
      <c r="I1354" s="44"/>
      <c r="J1354" s="44"/>
      <c r="K1354" s="44"/>
      <c r="L1354" s="44"/>
      <c r="M1354" s="44"/>
      <c r="N1354" s="44"/>
      <c r="O1354" s="44"/>
      <c r="P1354" s="44"/>
      <c r="Q1354" s="44"/>
      <c r="R1354" s="44"/>
      <c r="S1354" s="44"/>
      <c r="T1354" s="44"/>
      <c r="U1354" s="44"/>
    </row>
    <row r="1355">
      <c r="A1355" s="48" t="s">
        <v>10837</v>
      </c>
      <c r="B1355" s="44"/>
      <c r="C1355" s="48" t="s">
        <v>10838</v>
      </c>
      <c r="D1355" s="44"/>
      <c r="E1355" s="48" t="s">
        <v>5341</v>
      </c>
      <c r="F1355" s="48" t="s">
        <v>5747</v>
      </c>
      <c r="G1355" s="55" t="s">
        <v>96</v>
      </c>
      <c r="H1355" s="64">
        <v>0.00345</v>
      </c>
      <c r="I1355" s="44"/>
      <c r="J1355" s="44"/>
      <c r="K1355" s="44"/>
      <c r="L1355" s="44"/>
      <c r="M1355" s="44"/>
      <c r="N1355" s="44"/>
      <c r="O1355" s="44"/>
      <c r="P1355" s="44"/>
      <c r="Q1355" s="44"/>
      <c r="R1355" s="44"/>
      <c r="S1355" s="44"/>
      <c r="T1355" s="44"/>
      <c r="U1355" s="44"/>
    </row>
    <row r="1356">
      <c r="A1356" s="48" t="s">
        <v>10839</v>
      </c>
      <c r="B1356" s="44"/>
      <c r="C1356" s="48" t="s">
        <v>10840</v>
      </c>
      <c r="D1356" s="44"/>
      <c r="E1356" s="48" t="s">
        <v>5501</v>
      </c>
      <c r="F1356" s="48" t="s">
        <v>8784</v>
      </c>
      <c r="G1356" s="55" t="s">
        <v>96</v>
      </c>
      <c r="H1356" s="64">
        <v>0.00343</v>
      </c>
      <c r="I1356" s="44"/>
      <c r="J1356" s="44"/>
      <c r="K1356" s="44"/>
      <c r="L1356" s="44"/>
      <c r="M1356" s="44"/>
      <c r="N1356" s="44"/>
      <c r="O1356" s="44"/>
      <c r="P1356" s="44"/>
      <c r="Q1356" s="44"/>
      <c r="R1356" s="44"/>
      <c r="S1356" s="44"/>
      <c r="T1356" s="44"/>
      <c r="U1356" s="44"/>
    </row>
    <row r="1357">
      <c r="A1357" s="48" t="s">
        <v>10841</v>
      </c>
      <c r="B1357" s="44"/>
      <c r="C1357" s="48" t="s">
        <v>10842</v>
      </c>
      <c r="D1357" s="44"/>
      <c r="E1357" s="48" t="s">
        <v>5235</v>
      </c>
      <c r="F1357" s="48" t="s">
        <v>5425</v>
      </c>
      <c r="G1357" s="55" t="s">
        <v>96</v>
      </c>
      <c r="H1357" s="64">
        <v>0.00343</v>
      </c>
      <c r="I1357" s="44"/>
      <c r="J1357" s="44"/>
      <c r="K1357" s="44"/>
      <c r="L1357" s="44"/>
      <c r="M1357" s="44"/>
      <c r="N1357" s="44"/>
      <c r="O1357" s="44"/>
      <c r="P1357" s="44"/>
      <c r="Q1357" s="44"/>
      <c r="R1357" s="44"/>
      <c r="S1357" s="44"/>
      <c r="T1357" s="44"/>
      <c r="U1357" s="44"/>
    </row>
    <row r="1358">
      <c r="A1358" s="48" t="s">
        <v>10843</v>
      </c>
      <c r="B1358" s="44"/>
      <c r="C1358" s="48" t="s">
        <v>10844</v>
      </c>
      <c r="D1358" s="44"/>
      <c r="E1358" s="48" t="s">
        <v>5561</v>
      </c>
      <c r="F1358" s="48" t="s">
        <v>4153</v>
      </c>
      <c r="G1358" s="55" t="s">
        <v>96</v>
      </c>
      <c r="H1358" s="64">
        <v>0.00343</v>
      </c>
      <c r="I1358" s="44"/>
      <c r="J1358" s="44"/>
      <c r="K1358" s="44"/>
      <c r="L1358" s="44"/>
      <c r="M1358" s="44"/>
      <c r="N1358" s="44"/>
      <c r="O1358" s="44"/>
      <c r="P1358" s="44"/>
      <c r="Q1358" s="44"/>
      <c r="R1358" s="44"/>
      <c r="S1358" s="44"/>
      <c r="T1358" s="44"/>
      <c r="U1358" s="44"/>
    </row>
    <row r="1359">
      <c r="A1359" s="48" t="s">
        <v>10845</v>
      </c>
      <c r="B1359" s="44"/>
      <c r="C1359" s="48" t="s">
        <v>10846</v>
      </c>
      <c r="D1359" s="44"/>
      <c r="E1359" s="48" t="s">
        <v>5326</v>
      </c>
      <c r="F1359" s="48" t="s">
        <v>8784</v>
      </c>
      <c r="G1359" s="55" t="s">
        <v>96</v>
      </c>
      <c r="H1359" s="64">
        <v>0.00343</v>
      </c>
      <c r="I1359" s="44"/>
      <c r="J1359" s="44"/>
      <c r="K1359" s="44"/>
      <c r="L1359" s="44"/>
      <c r="M1359" s="44"/>
      <c r="N1359" s="44"/>
      <c r="O1359" s="44"/>
      <c r="P1359" s="44"/>
      <c r="Q1359" s="44"/>
      <c r="R1359" s="44"/>
      <c r="S1359" s="44"/>
      <c r="T1359" s="44"/>
      <c r="U1359" s="44"/>
    </row>
    <row r="1360">
      <c r="A1360" s="48" t="s">
        <v>10847</v>
      </c>
      <c r="B1360" s="44"/>
      <c r="C1360" s="48" t="s">
        <v>10848</v>
      </c>
      <c r="D1360" s="44"/>
      <c r="E1360" s="48" t="s">
        <v>5704</v>
      </c>
      <c r="F1360" s="48" t="s">
        <v>8784</v>
      </c>
      <c r="G1360" s="55" t="s">
        <v>96</v>
      </c>
      <c r="H1360" s="64">
        <v>0.00342</v>
      </c>
      <c r="I1360" s="44"/>
      <c r="J1360" s="44"/>
      <c r="K1360" s="44"/>
      <c r="L1360" s="44"/>
      <c r="M1360" s="44"/>
      <c r="N1360" s="44"/>
      <c r="O1360" s="44"/>
      <c r="P1360" s="44"/>
      <c r="Q1360" s="44"/>
      <c r="R1360" s="44"/>
      <c r="S1360" s="44"/>
      <c r="T1360" s="44"/>
      <c r="U1360" s="44"/>
    </row>
    <row r="1361">
      <c r="A1361" s="48" t="s">
        <v>10849</v>
      </c>
      <c r="B1361" s="44"/>
      <c r="C1361" s="48" t="s">
        <v>10850</v>
      </c>
      <c r="D1361" s="44"/>
      <c r="E1361" s="48" t="s">
        <v>6040</v>
      </c>
      <c r="F1361" s="48" t="s">
        <v>8784</v>
      </c>
      <c r="G1361" s="55" t="s">
        <v>96</v>
      </c>
      <c r="H1361" s="64">
        <v>0.00342</v>
      </c>
      <c r="I1361" s="44"/>
      <c r="J1361" s="44"/>
      <c r="K1361" s="44"/>
      <c r="L1361" s="44"/>
      <c r="M1361" s="44"/>
      <c r="N1361" s="44"/>
      <c r="O1361" s="44"/>
      <c r="P1361" s="44"/>
      <c r="Q1361" s="44"/>
      <c r="R1361" s="44"/>
      <c r="S1361" s="44"/>
      <c r="T1361" s="44"/>
      <c r="U1361" s="44"/>
    </row>
    <row r="1362">
      <c r="A1362" s="48" t="s">
        <v>10851</v>
      </c>
      <c r="B1362" s="44"/>
      <c r="C1362" s="48" t="s">
        <v>10852</v>
      </c>
      <c r="D1362" s="44"/>
      <c r="E1362" s="48" t="s">
        <v>5377</v>
      </c>
      <c r="F1362" s="48" t="s">
        <v>8784</v>
      </c>
      <c r="G1362" s="55" t="s">
        <v>96</v>
      </c>
      <c r="H1362" s="64">
        <v>0.0034</v>
      </c>
      <c r="I1362" s="44"/>
      <c r="J1362" s="44"/>
      <c r="K1362" s="44"/>
      <c r="L1362" s="44"/>
      <c r="M1362" s="44"/>
      <c r="N1362" s="44"/>
      <c r="O1362" s="44"/>
      <c r="P1362" s="44"/>
      <c r="Q1362" s="44"/>
      <c r="R1362" s="44"/>
      <c r="S1362" s="44"/>
      <c r="T1362" s="44"/>
      <c r="U1362" s="44"/>
    </row>
    <row r="1363">
      <c r="A1363" s="48" t="s">
        <v>10853</v>
      </c>
      <c r="B1363" s="44"/>
      <c r="C1363" s="48" t="s">
        <v>10854</v>
      </c>
      <c r="D1363" s="44"/>
      <c r="E1363" s="48" t="s">
        <v>5321</v>
      </c>
      <c r="F1363" s="48" t="s">
        <v>8784</v>
      </c>
      <c r="G1363" s="55" t="s">
        <v>96</v>
      </c>
      <c r="H1363" s="64">
        <v>0.00338</v>
      </c>
      <c r="I1363" s="44"/>
      <c r="J1363" s="44"/>
      <c r="K1363" s="44"/>
      <c r="L1363" s="44"/>
      <c r="M1363" s="44"/>
      <c r="N1363" s="44"/>
      <c r="O1363" s="44"/>
      <c r="P1363" s="44"/>
      <c r="Q1363" s="44"/>
      <c r="R1363" s="44"/>
      <c r="S1363" s="44"/>
      <c r="T1363" s="44"/>
      <c r="U1363" s="44"/>
    </row>
    <row r="1364">
      <c r="A1364" s="48" t="s">
        <v>10855</v>
      </c>
      <c r="B1364" s="44"/>
      <c r="C1364" s="48" t="s">
        <v>10856</v>
      </c>
      <c r="D1364" s="44"/>
      <c r="E1364" s="48" t="s">
        <v>5229</v>
      </c>
      <c r="F1364" s="48" t="s">
        <v>8784</v>
      </c>
      <c r="G1364" s="55" t="s">
        <v>96</v>
      </c>
      <c r="H1364" s="64">
        <v>0.00338</v>
      </c>
      <c r="I1364" s="44"/>
      <c r="J1364" s="44"/>
      <c r="K1364" s="44"/>
      <c r="L1364" s="44"/>
      <c r="M1364" s="44"/>
      <c r="N1364" s="44"/>
      <c r="O1364" s="44"/>
      <c r="P1364" s="44"/>
      <c r="Q1364" s="44"/>
      <c r="R1364" s="44"/>
      <c r="S1364" s="44"/>
      <c r="T1364" s="44"/>
      <c r="U1364" s="44"/>
    </row>
    <row r="1365">
      <c r="A1365" s="48" t="s">
        <v>10857</v>
      </c>
      <c r="B1365" s="44"/>
      <c r="C1365" s="48" t="s">
        <v>10858</v>
      </c>
      <c r="D1365" s="44"/>
      <c r="E1365" s="48" t="s">
        <v>5264</v>
      </c>
      <c r="F1365" s="48" t="s">
        <v>8784</v>
      </c>
      <c r="G1365" s="55" t="s">
        <v>96</v>
      </c>
      <c r="H1365" s="64">
        <v>0.00337</v>
      </c>
      <c r="I1365" s="44"/>
      <c r="J1365" s="44"/>
      <c r="K1365" s="44"/>
      <c r="L1365" s="44"/>
      <c r="M1365" s="44"/>
      <c r="N1365" s="44"/>
      <c r="O1365" s="44"/>
      <c r="P1365" s="44"/>
      <c r="Q1365" s="44"/>
      <c r="R1365" s="44"/>
      <c r="S1365" s="44"/>
      <c r="T1365" s="44"/>
      <c r="U1365" s="44"/>
    </row>
    <row r="1366">
      <c r="A1366" s="48" t="s">
        <v>10859</v>
      </c>
      <c r="B1366" s="44"/>
      <c r="C1366" s="48" t="s">
        <v>10700</v>
      </c>
      <c r="D1366" s="44"/>
      <c r="E1366" s="48" t="s">
        <v>6157</v>
      </c>
      <c r="F1366" s="48" t="s">
        <v>4095</v>
      </c>
      <c r="G1366" s="55" t="s">
        <v>96</v>
      </c>
      <c r="H1366" s="64">
        <v>0.00336</v>
      </c>
      <c r="I1366" s="44"/>
      <c r="J1366" s="44"/>
      <c r="K1366" s="44"/>
      <c r="L1366" s="44"/>
      <c r="M1366" s="44"/>
      <c r="N1366" s="44"/>
      <c r="O1366" s="44"/>
      <c r="P1366" s="44"/>
      <c r="Q1366" s="44"/>
      <c r="R1366" s="44"/>
      <c r="S1366" s="44"/>
      <c r="T1366" s="44"/>
      <c r="U1366" s="44"/>
    </row>
    <row r="1367">
      <c r="A1367" s="48" t="s">
        <v>7165</v>
      </c>
      <c r="B1367" s="44"/>
      <c r="C1367" s="48" t="s">
        <v>7166</v>
      </c>
      <c r="D1367" s="44"/>
      <c r="E1367" s="48" t="s">
        <v>5811</v>
      </c>
      <c r="F1367" s="48" t="s">
        <v>4340</v>
      </c>
      <c r="G1367" s="55" t="s">
        <v>96</v>
      </c>
      <c r="H1367" s="64">
        <v>0.00336</v>
      </c>
      <c r="I1367" s="44"/>
      <c r="J1367" s="44"/>
      <c r="K1367" s="44"/>
      <c r="L1367" s="44"/>
      <c r="M1367" s="44"/>
      <c r="N1367" s="44"/>
      <c r="O1367" s="44"/>
      <c r="P1367" s="44"/>
      <c r="Q1367" s="44"/>
      <c r="R1367" s="44"/>
      <c r="S1367" s="44"/>
      <c r="T1367" s="44"/>
      <c r="U1367" s="44"/>
    </row>
    <row r="1368">
      <c r="A1368" s="48" t="s">
        <v>10860</v>
      </c>
      <c r="B1368" s="44"/>
      <c r="C1368" s="48" t="s">
        <v>10861</v>
      </c>
      <c r="D1368" s="44"/>
      <c r="E1368" s="48" t="s">
        <v>5366</v>
      </c>
      <c r="F1368" s="48" t="s">
        <v>8784</v>
      </c>
      <c r="G1368" s="55" t="s">
        <v>96</v>
      </c>
      <c r="H1368" s="64">
        <v>0.00336</v>
      </c>
      <c r="I1368" s="44"/>
      <c r="J1368" s="44"/>
      <c r="K1368" s="44"/>
      <c r="L1368" s="44"/>
      <c r="M1368" s="44"/>
      <c r="N1368" s="44"/>
      <c r="O1368" s="44"/>
      <c r="P1368" s="44"/>
      <c r="Q1368" s="44"/>
      <c r="R1368" s="44"/>
      <c r="S1368" s="44"/>
      <c r="T1368" s="44"/>
      <c r="U1368" s="44"/>
    </row>
    <row r="1369">
      <c r="A1369" s="48" t="s">
        <v>10862</v>
      </c>
      <c r="B1369" s="44"/>
      <c r="C1369" s="48" t="s">
        <v>10863</v>
      </c>
      <c r="D1369" s="44"/>
      <c r="E1369" s="48" t="s">
        <v>5309</v>
      </c>
      <c r="F1369" s="48" t="s">
        <v>6220</v>
      </c>
      <c r="G1369" s="55" t="s">
        <v>96</v>
      </c>
      <c r="H1369" s="64">
        <v>0.00335</v>
      </c>
      <c r="I1369" s="44"/>
      <c r="J1369" s="44"/>
      <c r="K1369" s="44"/>
      <c r="L1369" s="44"/>
      <c r="M1369" s="44"/>
      <c r="N1369" s="44"/>
      <c r="O1369" s="44"/>
      <c r="P1369" s="44"/>
      <c r="Q1369" s="44"/>
      <c r="R1369" s="44"/>
      <c r="S1369" s="44"/>
      <c r="T1369" s="44"/>
      <c r="U1369" s="44"/>
    </row>
    <row r="1370">
      <c r="A1370" s="48" t="s">
        <v>10864</v>
      </c>
      <c r="B1370" s="44"/>
      <c r="C1370" s="48" t="s">
        <v>10865</v>
      </c>
      <c r="D1370" s="44"/>
      <c r="E1370" s="48" t="s">
        <v>6238</v>
      </c>
      <c r="F1370" s="48" t="s">
        <v>9513</v>
      </c>
      <c r="G1370" s="55" t="s">
        <v>96</v>
      </c>
      <c r="H1370" s="64">
        <v>0.00334</v>
      </c>
      <c r="I1370" s="44"/>
      <c r="J1370" s="44"/>
      <c r="K1370" s="44"/>
      <c r="L1370" s="44"/>
      <c r="M1370" s="44"/>
      <c r="N1370" s="44"/>
      <c r="O1370" s="44"/>
      <c r="P1370" s="44"/>
      <c r="Q1370" s="44"/>
      <c r="R1370" s="44"/>
      <c r="S1370" s="44"/>
      <c r="T1370" s="44"/>
      <c r="U1370" s="44"/>
    </row>
    <row r="1371">
      <c r="A1371" s="48" t="s">
        <v>10866</v>
      </c>
      <c r="B1371" s="44"/>
      <c r="C1371" s="48" t="s">
        <v>10867</v>
      </c>
      <c r="D1371" s="44"/>
      <c r="E1371" s="48" t="s">
        <v>9039</v>
      </c>
      <c r="F1371" s="48" t="s">
        <v>8784</v>
      </c>
      <c r="G1371" s="55" t="s">
        <v>96</v>
      </c>
      <c r="H1371" s="64">
        <v>0.00333</v>
      </c>
      <c r="I1371" s="44"/>
      <c r="J1371" s="44"/>
      <c r="K1371" s="44"/>
      <c r="L1371" s="44"/>
      <c r="M1371" s="44"/>
      <c r="N1371" s="44"/>
      <c r="O1371" s="44"/>
      <c r="P1371" s="44"/>
      <c r="Q1371" s="44"/>
      <c r="R1371" s="44"/>
      <c r="S1371" s="44"/>
      <c r="T1371" s="44"/>
      <c r="U1371" s="44"/>
    </row>
    <row r="1372">
      <c r="A1372" s="48" t="s">
        <v>10868</v>
      </c>
      <c r="B1372" s="44"/>
      <c r="C1372" s="48" t="s">
        <v>10869</v>
      </c>
      <c r="D1372" s="44"/>
      <c r="E1372" s="48" t="s">
        <v>5467</v>
      </c>
      <c r="F1372" s="48" t="s">
        <v>8784</v>
      </c>
      <c r="G1372" s="55" t="s">
        <v>96</v>
      </c>
      <c r="H1372" s="64">
        <v>0.00333</v>
      </c>
      <c r="I1372" s="44"/>
      <c r="J1372" s="44"/>
      <c r="K1372" s="44"/>
      <c r="L1372" s="44"/>
      <c r="M1372" s="44"/>
      <c r="N1372" s="44"/>
      <c r="O1372" s="44"/>
      <c r="P1372" s="44"/>
      <c r="Q1372" s="44"/>
      <c r="R1372" s="44"/>
      <c r="S1372" s="44"/>
      <c r="T1372" s="44"/>
      <c r="U1372" s="44"/>
    </row>
    <row r="1373">
      <c r="A1373" s="48" t="s">
        <v>10870</v>
      </c>
      <c r="B1373" s="44"/>
      <c r="C1373" s="48" t="s">
        <v>10871</v>
      </c>
      <c r="D1373" s="44"/>
      <c r="E1373" s="48" t="s">
        <v>5341</v>
      </c>
      <c r="F1373" s="48" t="s">
        <v>8784</v>
      </c>
      <c r="G1373" s="55" t="s">
        <v>96</v>
      </c>
      <c r="H1373" s="64">
        <v>0.00332</v>
      </c>
      <c r="I1373" s="44"/>
      <c r="J1373" s="44"/>
      <c r="K1373" s="44"/>
      <c r="L1373" s="44"/>
      <c r="M1373" s="44"/>
      <c r="N1373" s="44"/>
      <c r="O1373" s="44"/>
      <c r="P1373" s="44"/>
      <c r="Q1373" s="44"/>
      <c r="R1373" s="44"/>
      <c r="S1373" s="44"/>
      <c r="T1373" s="44"/>
      <c r="U1373" s="44"/>
    </row>
    <row r="1374">
      <c r="A1374" s="48" t="s">
        <v>10872</v>
      </c>
      <c r="B1374" s="44"/>
      <c r="C1374" s="48" t="s">
        <v>10873</v>
      </c>
      <c r="D1374" s="44"/>
      <c r="E1374" s="48" t="s">
        <v>5501</v>
      </c>
      <c r="F1374" s="48" t="s">
        <v>8784</v>
      </c>
      <c r="G1374" s="55" t="s">
        <v>96</v>
      </c>
      <c r="H1374" s="64">
        <v>0.0033</v>
      </c>
      <c r="I1374" s="44"/>
      <c r="J1374" s="44"/>
      <c r="K1374" s="44"/>
      <c r="L1374" s="44"/>
      <c r="M1374" s="44"/>
      <c r="N1374" s="44"/>
      <c r="O1374" s="44"/>
      <c r="P1374" s="44"/>
      <c r="Q1374" s="44"/>
      <c r="R1374" s="44"/>
      <c r="S1374" s="44"/>
      <c r="T1374" s="44"/>
      <c r="U1374" s="44"/>
    </row>
    <row r="1375">
      <c r="A1375" s="48" t="s">
        <v>10874</v>
      </c>
      <c r="B1375" s="44"/>
      <c r="C1375" s="48" t="s">
        <v>10875</v>
      </c>
      <c r="D1375" s="44"/>
      <c r="E1375" s="48" t="s">
        <v>7098</v>
      </c>
      <c r="F1375" s="48" t="s">
        <v>8784</v>
      </c>
      <c r="G1375" s="55" t="s">
        <v>96</v>
      </c>
      <c r="H1375" s="64">
        <v>0.0033</v>
      </c>
      <c r="I1375" s="44"/>
      <c r="J1375" s="44"/>
      <c r="K1375" s="44"/>
      <c r="L1375" s="44"/>
      <c r="M1375" s="44"/>
      <c r="N1375" s="44"/>
      <c r="O1375" s="44"/>
      <c r="P1375" s="44"/>
      <c r="Q1375" s="44"/>
      <c r="R1375" s="44"/>
      <c r="S1375" s="44"/>
      <c r="T1375" s="44"/>
      <c r="U1375" s="44"/>
    </row>
    <row r="1376">
      <c r="A1376" s="48" t="s">
        <v>10876</v>
      </c>
      <c r="B1376" s="44"/>
      <c r="C1376" s="48" t="s">
        <v>10877</v>
      </c>
      <c r="D1376" s="44"/>
      <c r="E1376" s="48" t="s">
        <v>5215</v>
      </c>
      <c r="F1376" s="48" t="s">
        <v>8784</v>
      </c>
      <c r="G1376" s="55" t="s">
        <v>96</v>
      </c>
      <c r="H1376" s="64">
        <v>0.00329</v>
      </c>
      <c r="I1376" s="44"/>
      <c r="J1376" s="44"/>
      <c r="K1376" s="44"/>
      <c r="L1376" s="44"/>
      <c r="M1376" s="44"/>
      <c r="N1376" s="44"/>
      <c r="O1376" s="44"/>
      <c r="P1376" s="44"/>
      <c r="Q1376" s="44"/>
      <c r="R1376" s="44"/>
      <c r="S1376" s="44"/>
      <c r="T1376" s="44"/>
      <c r="U1376" s="44"/>
    </row>
    <row r="1377">
      <c r="A1377" s="48" t="s">
        <v>10878</v>
      </c>
      <c r="B1377" s="44"/>
      <c r="C1377" s="48" t="s">
        <v>10879</v>
      </c>
      <c r="D1377" s="44"/>
      <c r="E1377" s="48" t="s">
        <v>5366</v>
      </c>
      <c r="F1377" s="48" t="s">
        <v>8784</v>
      </c>
      <c r="G1377" s="55" t="s">
        <v>96</v>
      </c>
      <c r="H1377" s="64">
        <v>0.00328</v>
      </c>
      <c r="I1377" s="44"/>
      <c r="J1377" s="44"/>
      <c r="K1377" s="44"/>
      <c r="L1377" s="44"/>
      <c r="M1377" s="44"/>
      <c r="N1377" s="44"/>
      <c r="O1377" s="44"/>
      <c r="P1377" s="44"/>
      <c r="Q1377" s="44"/>
      <c r="R1377" s="44"/>
      <c r="S1377" s="44"/>
      <c r="T1377" s="44"/>
      <c r="U1377" s="44"/>
    </row>
    <row r="1378">
      <c r="A1378" s="48" t="s">
        <v>10880</v>
      </c>
      <c r="B1378" s="44"/>
      <c r="C1378" s="48" t="s">
        <v>10881</v>
      </c>
      <c r="D1378" s="44"/>
      <c r="E1378" s="48" t="s">
        <v>5564</v>
      </c>
      <c r="F1378" s="48" t="s">
        <v>8784</v>
      </c>
      <c r="G1378" s="55" t="s">
        <v>96</v>
      </c>
      <c r="H1378" s="64">
        <v>0.00325</v>
      </c>
      <c r="I1378" s="44"/>
      <c r="J1378" s="44"/>
      <c r="K1378" s="44"/>
      <c r="L1378" s="44"/>
      <c r="M1378" s="44"/>
      <c r="N1378" s="44"/>
      <c r="O1378" s="44"/>
      <c r="P1378" s="44"/>
      <c r="Q1378" s="44"/>
      <c r="R1378" s="44"/>
      <c r="S1378" s="44"/>
      <c r="T1378" s="44"/>
      <c r="U1378" s="44"/>
    </row>
    <row r="1379">
      <c r="A1379" s="48" t="s">
        <v>10882</v>
      </c>
      <c r="B1379" s="44"/>
      <c r="C1379" s="48" t="s">
        <v>10883</v>
      </c>
      <c r="D1379" s="44"/>
      <c r="E1379" s="48" t="s">
        <v>5215</v>
      </c>
      <c r="F1379" s="48" t="s">
        <v>8784</v>
      </c>
      <c r="G1379" s="55" t="s">
        <v>96</v>
      </c>
      <c r="H1379" s="64">
        <v>0.00324</v>
      </c>
      <c r="I1379" s="44"/>
      <c r="J1379" s="44"/>
      <c r="K1379" s="44"/>
      <c r="L1379" s="44"/>
      <c r="M1379" s="44"/>
      <c r="N1379" s="44"/>
      <c r="O1379" s="44"/>
      <c r="P1379" s="44"/>
      <c r="Q1379" s="44"/>
      <c r="R1379" s="44"/>
      <c r="S1379" s="44"/>
      <c r="T1379" s="44"/>
      <c r="U1379" s="44"/>
    </row>
    <row r="1380">
      <c r="A1380" s="48" t="s">
        <v>10884</v>
      </c>
      <c r="B1380" s="44"/>
      <c r="C1380" s="48" t="s">
        <v>10885</v>
      </c>
      <c r="D1380" s="44"/>
      <c r="E1380" s="48" t="s">
        <v>7222</v>
      </c>
      <c r="F1380" s="48" t="s">
        <v>5941</v>
      </c>
      <c r="G1380" s="55" t="s">
        <v>96</v>
      </c>
      <c r="H1380" s="64">
        <v>0.00322</v>
      </c>
      <c r="I1380" s="44"/>
      <c r="J1380" s="44"/>
      <c r="K1380" s="44"/>
      <c r="L1380" s="44"/>
      <c r="M1380" s="44"/>
      <c r="N1380" s="44"/>
      <c r="O1380" s="44"/>
      <c r="P1380" s="44"/>
      <c r="Q1380" s="44"/>
      <c r="R1380" s="44"/>
      <c r="S1380" s="44"/>
      <c r="T1380" s="44"/>
      <c r="U1380" s="44"/>
    </row>
    <row r="1381">
      <c r="A1381" s="48" t="s">
        <v>7205</v>
      </c>
      <c r="B1381" s="44"/>
      <c r="C1381" s="48" t="s">
        <v>6011</v>
      </c>
      <c r="D1381" s="44"/>
      <c r="E1381" s="48" t="s">
        <v>6012</v>
      </c>
      <c r="F1381" s="48" t="s">
        <v>4340</v>
      </c>
      <c r="G1381" s="55" t="s">
        <v>96</v>
      </c>
      <c r="H1381" s="64">
        <v>0.00321</v>
      </c>
      <c r="I1381" s="44"/>
      <c r="J1381" s="44"/>
      <c r="K1381" s="44"/>
      <c r="L1381" s="44"/>
      <c r="M1381" s="44"/>
      <c r="N1381" s="44"/>
      <c r="O1381" s="44"/>
      <c r="P1381" s="44"/>
      <c r="Q1381" s="44"/>
      <c r="R1381" s="44"/>
      <c r="S1381" s="44"/>
      <c r="T1381" s="44"/>
      <c r="U1381" s="44"/>
    </row>
    <row r="1382">
      <c r="A1382" s="48" t="s">
        <v>10886</v>
      </c>
      <c r="B1382" s="44"/>
      <c r="C1382" s="48" t="s">
        <v>10887</v>
      </c>
      <c r="D1382" s="44"/>
      <c r="E1382" s="48" t="s">
        <v>5215</v>
      </c>
      <c r="F1382" s="48" t="s">
        <v>4340</v>
      </c>
      <c r="G1382" s="55" t="s">
        <v>96</v>
      </c>
      <c r="H1382" s="64">
        <v>0.0032</v>
      </c>
      <c r="I1382" s="44"/>
      <c r="J1382" s="44"/>
      <c r="K1382" s="44"/>
      <c r="L1382" s="44"/>
      <c r="M1382" s="44"/>
      <c r="N1382" s="44"/>
      <c r="O1382" s="44"/>
      <c r="P1382" s="44"/>
      <c r="Q1382" s="44"/>
      <c r="R1382" s="44"/>
      <c r="S1382" s="44"/>
      <c r="T1382" s="44"/>
      <c r="U1382" s="44"/>
    </row>
    <row r="1383">
      <c r="A1383" s="48" t="s">
        <v>10888</v>
      </c>
      <c r="B1383" s="44"/>
      <c r="C1383" s="48" t="s">
        <v>10889</v>
      </c>
      <c r="D1383" s="44"/>
      <c r="E1383" s="48" t="s">
        <v>5704</v>
      </c>
      <c r="F1383" s="48" t="s">
        <v>8784</v>
      </c>
      <c r="G1383" s="55" t="s">
        <v>96</v>
      </c>
      <c r="H1383" s="64">
        <v>0.00316</v>
      </c>
      <c r="I1383" s="44"/>
      <c r="J1383" s="44"/>
      <c r="K1383" s="44"/>
      <c r="L1383" s="44"/>
      <c r="M1383" s="44"/>
      <c r="N1383" s="44"/>
      <c r="O1383" s="44"/>
      <c r="P1383" s="44"/>
      <c r="Q1383" s="44"/>
      <c r="R1383" s="44"/>
      <c r="S1383" s="44"/>
      <c r="T1383" s="44"/>
      <c r="U1383" s="44"/>
    </row>
    <row r="1384">
      <c r="A1384" s="48" t="s">
        <v>10890</v>
      </c>
      <c r="B1384" s="44"/>
      <c r="C1384" s="48" t="s">
        <v>10891</v>
      </c>
      <c r="D1384" s="44"/>
      <c r="E1384" s="48" t="s">
        <v>6172</v>
      </c>
      <c r="F1384" s="48" t="s">
        <v>8784</v>
      </c>
      <c r="G1384" s="55" t="s">
        <v>96</v>
      </c>
      <c r="H1384" s="64">
        <v>0.00314</v>
      </c>
      <c r="I1384" s="44"/>
      <c r="J1384" s="44"/>
      <c r="K1384" s="44"/>
      <c r="L1384" s="44"/>
      <c r="M1384" s="44"/>
      <c r="N1384" s="44"/>
      <c r="O1384" s="44"/>
      <c r="P1384" s="44"/>
      <c r="Q1384" s="44"/>
      <c r="R1384" s="44"/>
      <c r="S1384" s="44"/>
      <c r="T1384" s="44"/>
      <c r="U1384" s="44"/>
    </row>
    <row r="1385">
      <c r="A1385" s="48" t="s">
        <v>10892</v>
      </c>
      <c r="B1385" s="44"/>
      <c r="C1385" s="48" t="s">
        <v>10893</v>
      </c>
      <c r="D1385" s="44"/>
      <c r="E1385" s="48" t="s">
        <v>5564</v>
      </c>
      <c r="F1385" s="48" t="s">
        <v>8784</v>
      </c>
      <c r="G1385" s="55" t="s">
        <v>96</v>
      </c>
      <c r="H1385" s="64">
        <v>0.00313</v>
      </c>
      <c r="I1385" s="44"/>
      <c r="J1385" s="44"/>
      <c r="K1385" s="44"/>
      <c r="L1385" s="44"/>
      <c r="M1385" s="44"/>
      <c r="N1385" s="44"/>
      <c r="O1385" s="44"/>
      <c r="P1385" s="44"/>
      <c r="Q1385" s="44"/>
      <c r="R1385" s="44"/>
      <c r="S1385" s="44"/>
      <c r="T1385" s="44"/>
      <c r="U1385" s="44"/>
    </row>
    <row r="1386">
      <c r="A1386" s="48" t="s">
        <v>10894</v>
      </c>
      <c r="B1386" s="44"/>
      <c r="C1386" s="48" t="s">
        <v>10895</v>
      </c>
      <c r="D1386" s="44"/>
      <c r="E1386" s="48" t="s">
        <v>5675</v>
      </c>
      <c r="F1386" s="48" t="s">
        <v>5941</v>
      </c>
      <c r="G1386" s="55" t="s">
        <v>96</v>
      </c>
      <c r="H1386" s="64">
        <v>0.00313</v>
      </c>
      <c r="I1386" s="44"/>
      <c r="J1386" s="44"/>
      <c r="K1386" s="44"/>
      <c r="L1386" s="44"/>
      <c r="M1386" s="44"/>
      <c r="N1386" s="44"/>
      <c r="O1386" s="44"/>
      <c r="P1386" s="44"/>
      <c r="Q1386" s="44"/>
      <c r="R1386" s="44"/>
      <c r="S1386" s="44"/>
      <c r="T1386" s="44"/>
      <c r="U1386" s="44"/>
    </row>
    <row r="1387">
      <c r="A1387" s="48" t="s">
        <v>10896</v>
      </c>
      <c r="B1387" s="44"/>
      <c r="C1387" s="48" t="s">
        <v>10897</v>
      </c>
      <c r="D1387" s="44"/>
      <c r="E1387" s="48" t="s">
        <v>5291</v>
      </c>
      <c r="F1387" s="48" t="s">
        <v>8784</v>
      </c>
      <c r="G1387" s="55" t="s">
        <v>96</v>
      </c>
      <c r="H1387" s="64">
        <v>0.00312</v>
      </c>
      <c r="I1387" s="44"/>
      <c r="J1387" s="44"/>
      <c r="K1387" s="44"/>
      <c r="L1387" s="44"/>
      <c r="M1387" s="44"/>
      <c r="N1387" s="44"/>
      <c r="O1387" s="44"/>
      <c r="P1387" s="44"/>
      <c r="Q1387" s="44"/>
      <c r="R1387" s="44"/>
      <c r="S1387" s="44"/>
      <c r="T1387" s="44"/>
      <c r="U1387" s="44"/>
    </row>
    <row r="1388">
      <c r="A1388" s="48" t="s">
        <v>10898</v>
      </c>
      <c r="B1388" s="44"/>
      <c r="C1388" s="48" t="s">
        <v>10899</v>
      </c>
      <c r="D1388" s="44"/>
      <c r="E1388" s="48" t="s">
        <v>5650</v>
      </c>
      <c r="F1388" s="48" t="s">
        <v>8784</v>
      </c>
      <c r="G1388" s="55" t="s">
        <v>96</v>
      </c>
      <c r="H1388" s="64">
        <v>0.0031</v>
      </c>
      <c r="I1388" s="44"/>
      <c r="J1388" s="44"/>
      <c r="K1388" s="44"/>
      <c r="L1388" s="44"/>
      <c r="M1388" s="44"/>
      <c r="N1388" s="44"/>
      <c r="O1388" s="44"/>
      <c r="P1388" s="44"/>
      <c r="Q1388" s="44"/>
      <c r="R1388" s="44"/>
      <c r="S1388" s="44"/>
      <c r="T1388" s="44"/>
      <c r="U1388" s="44"/>
    </row>
    <row r="1389">
      <c r="A1389" s="48" t="s">
        <v>10900</v>
      </c>
      <c r="B1389" s="44"/>
      <c r="C1389" s="48" t="s">
        <v>10901</v>
      </c>
      <c r="D1389" s="44"/>
      <c r="E1389" s="48" t="s">
        <v>5855</v>
      </c>
      <c r="F1389" s="48" t="s">
        <v>8784</v>
      </c>
      <c r="G1389" s="55" t="s">
        <v>96</v>
      </c>
      <c r="H1389" s="64">
        <v>0.00309</v>
      </c>
      <c r="I1389" s="44"/>
      <c r="J1389" s="44"/>
      <c r="K1389" s="44"/>
      <c r="L1389" s="44"/>
      <c r="M1389" s="44"/>
      <c r="N1389" s="44"/>
      <c r="O1389" s="44"/>
      <c r="P1389" s="44"/>
      <c r="Q1389" s="44"/>
      <c r="R1389" s="44"/>
      <c r="S1389" s="44"/>
      <c r="T1389" s="44"/>
      <c r="U1389" s="44"/>
    </row>
    <row r="1390">
      <c r="A1390" s="48" t="s">
        <v>10902</v>
      </c>
      <c r="B1390" s="44"/>
      <c r="C1390" s="48" t="s">
        <v>10903</v>
      </c>
      <c r="D1390" s="44"/>
      <c r="E1390" s="48" t="s">
        <v>5341</v>
      </c>
      <c r="F1390" s="48" t="s">
        <v>8784</v>
      </c>
      <c r="G1390" s="55" t="s">
        <v>96</v>
      </c>
      <c r="H1390" s="64">
        <v>0.00309</v>
      </c>
      <c r="I1390" s="44"/>
      <c r="J1390" s="44"/>
      <c r="K1390" s="44"/>
      <c r="L1390" s="44"/>
      <c r="M1390" s="44"/>
      <c r="N1390" s="44"/>
      <c r="O1390" s="44"/>
      <c r="P1390" s="44"/>
      <c r="Q1390" s="44"/>
      <c r="R1390" s="44"/>
      <c r="S1390" s="44"/>
      <c r="T1390" s="44"/>
      <c r="U1390" s="44"/>
    </row>
    <row r="1391">
      <c r="A1391" s="48" t="s">
        <v>10904</v>
      </c>
      <c r="B1391" s="44"/>
      <c r="C1391" s="48" t="s">
        <v>10905</v>
      </c>
      <c r="D1391" s="44"/>
      <c r="E1391" s="48" t="s">
        <v>5366</v>
      </c>
      <c r="F1391" s="48" t="s">
        <v>9513</v>
      </c>
      <c r="G1391" s="55" t="s">
        <v>96</v>
      </c>
      <c r="H1391" s="64">
        <v>0.00308</v>
      </c>
      <c r="I1391" s="44"/>
      <c r="J1391" s="44"/>
      <c r="K1391" s="44"/>
      <c r="L1391" s="44"/>
      <c r="M1391" s="44"/>
      <c r="N1391" s="44"/>
      <c r="O1391" s="44"/>
      <c r="P1391" s="44"/>
      <c r="Q1391" s="44"/>
      <c r="R1391" s="44"/>
      <c r="S1391" s="44"/>
      <c r="T1391" s="44"/>
      <c r="U1391" s="44"/>
    </row>
    <row r="1392">
      <c r="A1392" s="48" t="s">
        <v>10906</v>
      </c>
      <c r="B1392" s="44"/>
      <c r="C1392" s="48" t="s">
        <v>10907</v>
      </c>
      <c r="D1392" s="44"/>
      <c r="E1392" s="48" t="s">
        <v>5561</v>
      </c>
      <c r="F1392" s="48" t="s">
        <v>9513</v>
      </c>
      <c r="G1392" s="55" t="s">
        <v>96</v>
      </c>
      <c r="H1392" s="64">
        <v>0.00302</v>
      </c>
      <c r="I1392" s="44"/>
      <c r="J1392" s="44"/>
      <c r="K1392" s="44"/>
      <c r="L1392" s="44"/>
      <c r="M1392" s="44"/>
      <c r="N1392" s="44"/>
      <c r="O1392" s="44"/>
      <c r="P1392" s="44"/>
      <c r="Q1392" s="44"/>
      <c r="R1392" s="44"/>
      <c r="S1392" s="44"/>
      <c r="T1392" s="44"/>
      <c r="U1392" s="44"/>
    </row>
    <row r="1393">
      <c r="A1393" s="48" t="s">
        <v>10908</v>
      </c>
      <c r="B1393" s="44"/>
      <c r="C1393" s="48" t="s">
        <v>10909</v>
      </c>
      <c r="D1393" s="44"/>
      <c r="E1393" s="48" t="s">
        <v>6115</v>
      </c>
      <c r="F1393" s="48" t="s">
        <v>8784</v>
      </c>
      <c r="G1393" s="55" t="s">
        <v>96</v>
      </c>
      <c r="H1393" s="64">
        <v>0.003</v>
      </c>
      <c r="I1393" s="44"/>
      <c r="J1393" s="44"/>
      <c r="K1393" s="44"/>
      <c r="L1393" s="44"/>
      <c r="M1393" s="44"/>
      <c r="N1393" s="44"/>
      <c r="O1393" s="44"/>
      <c r="P1393" s="44"/>
      <c r="Q1393" s="44"/>
      <c r="R1393" s="44"/>
      <c r="S1393" s="44"/>
      <c r="T1393" s="44"/>
      <c r="U1393" s="44"/>
    </row>
    <row r="1394">
      <c r="A1394" s="48" t="s">
        <v>10659</v>
      </c>
      <c r="B1394" s="44"/>
      <c r="C1394" s="48" t="s">
        <v>10910</v>
      </c>
      <c r="D1394" s="44"/>
      <c r="E1394" s="48" t="s">
        <v>6427</v>
      </c>
      <c r="F1394" s="48" t="s">
        <v>4357</v>
      </c>
      <c r="G1394" s="55" t="s">
        <v>96</v>
      </c>
      <c r="H1394" s="64">
        <v>0.00299</v>
      </c>
      <c r="I1394" s="44"/>
      <c r="J1394" s="44"/>
      <c r="K1394" s="44"/>
      <c r="L1394" s="44"/>
      <c r="M1394" s="44"/>
      <c r="N1394" s="44"/>
      <c r="O1394" s="44"/>
      <c r="P1394" s="44"/>
      <c r="Q1394" s="44"/>
      <c r="R1394" s="44"/>
      <c r="S1394" s="44"/>
      <c r="T1394" s="44"/>
      <c r="U1394" s="44"/>
    </row>
    <row r="1395">
      <c r="A1395" s="48" t="s">
        <v>10911</v>
      </c>
      <c r="B1395" s="44"/>
      <c r="C1395" s="48" t="s">
        <v>10912</v>
      </c>
      <c r="D1395" s="44"/>
      <c r="E1395" s="48" t="s">
        <v>5341</v>
      </c>
      <c r="F1395" s="48" t="s">
        <v>8784</v>
      </c>
      <c r="G1395" s="55" t="s">
        <v>96</v>
      </c>
      <c r="H1395" s="64">
        <v>0.00299</v>
      </c>
      <c r="I1395" s="44"/>
      <c r="J1395" s="44"/>
      <c r="K1395" s="44"/>
      <c r="L1395" s="44"/>
      <c r="M1395" s="44"/>
      <c r="N1395" s="44"/>
      <c r="O1395" s="44"/>
      <c r="P1395" s="44"/>
      <c r="Q1395" s="44"/>
      <c r="R1395" s="44"/>
      <c r="S1395" s="44"/>
      <c r="T1395" s="44"/>
      <c r="U1395" s="44"/>
    </row>
    <row r="1396">
      <c r="A1396" s="48" t="s">
        <v>10913</v>
      </c>
      <c r="B1396" s="44"/>
      <c r="C1396" s="48" t="s">
        <v>10914</v>
      </c>
      <c r="D1396" s="44"/>
      <c r="E1396" s="48" t="s">
        <v>5235</v>
      </c>
      <c r="F1396" s="48" t="s">
        <v>6220</v>
      </c>
      <c r="G1396" s="55" t="s">
        <v>96</v>
      </c>
      <c r="H1396" s="64">
        <v>0.00296</v>
      </c>
      <c r="I1396" s="44"/>
      <c r="J1396" s="44"/>
      <c r="K1396" s="44"/>
      <c r="L1396" s="44"/>
      <c r="M1396" s="44"/>
      <c r="N1396" s="44"/>
      <c r="O1396" s="44"/>
      <c r="P1396" s="44"/>
      <c r="Q1396" s="44"/>
      <c r="R1396" s="44"/>
      <c r="S1396" s="44"/>
      <c r="T1396" s="44"/>
      <c r="U1396" s="44"/>
    </row>
    <row r="1397">
      <c r="A1397" s="48" t="s">
        <v>7401</v>
      </c>
      <c r="B1397" s="44"/>
      <c r="C1397" s="48" t="s">
        <v>7402</v>
      </c>
      <c r="D1397" s="44"/>
      <c r="E1397" s="48" t="s">
        <v>5407</v>
      </c>
      <c r="F1397" s="48" t="s">
        <v>4340</v>
      </c>
      <c r="G1397" s="55" t="s">
        <v>96</v>
      </c>
      <c r="H1397" s="64">
        <v>0.00295</v>
      </c>
      <c r="I1397" s="44"/>
      <c r="J1397" s="44"/>
      <c r="K1397" s="44"/>
      <c r="L1397" s="44"/>
      <c r="M1397" s="44"/>
      <c r="N1397" s="44"/>
      <c r="O1397" s="44"/>
      <c r="P1397" s="44"/>
      <c r="Q1397" s="44"/>
      <c r="R1397" s="44"/>
      <c r="S1397" s="44"/>
      <c r="T1397" s="44"/>
      <c r="U1397" s="44"/>
    </row>
    <row r="1398">
      <c r="A1398" s="48" t="s">
        <v>10915</v>
      </c>
      <c r="B1398" s="44"/>
      <c r="C1398" s="48" t="s">
        <v>10916</v>
      </c>
      <c r="D1398" s="44"/>
      <c r="E1398" s="48" t="s">
        <v>5516</v>
      </c>
      <c r="F1398" s="48" t="s">
        <v>8784</v>
      </c>
      <c r="G1398" s="55" t="s">
        <v>96</v>
      </c>
      <c r="H1398" s="64">
        <v>0.00293</v>
      </c>
      <c r="I1398" s="44"/>
      <c r="J1398" s="44"/>
      <c r="K1398" s="44"/>
      <c r="L1398" s="44"/>
      <c r="M1398" s="44"/>
      <c r="N1398" s="44"/>
      <c r="O1398" s="44"/>
      <c r="P1398" s="44"/>
      <c r="Q1398" s="44"/>
      <c r="R1398" s="44"/>
      <c r="S1398" s="44"/>
      <c r="T1398" s="44"/>
      <c r="U1398" s="44"/>
    </row>
    <row r="1399">
      <c r="A1399" s="48" t="s">
        <v>10917</v>
      </c>
      <c r="B1399" s="44"/>
      <c r="C1399" s="48" t="s">
        <v>10918</v>
      </c>
      <c r="D1399" s="44"/>
      <c r="E1399" s="48" t="s">
        <v>6090</v>
      </c>
      <c r="F1399" s="48" t="s">
        <v>4340</v>
      </c>
      <c r="G1399" s="55" t="s">
        <v>96</v>
      </c>
      <c r="H1399" s="64">
        <v>0.00292</v>
      </c>
      <c r="I1399" s="44"/>
      <c r="J1399" s="44"/>
      <c r="K1399" s="44"/>
      <c r="L1399" s="44"/>
      <c r="M1399" s="44"/>
      <c r="N1399" s="44"/>
      <c r="O1399" s="44"/>
      <c r="P1399" s="44"/>
      <c r="Q1399" s="44"/>
      <c r="R1399" s="44"/>
      <c r="S1399" s="44"/>
      <c r="T1399" s="44"/>
      <c r="U1399" s="44"/>
    </row>
    <row r="1400">
      <c r="A1400" s="48" t="s">
        <v>10919</v>
      </c>
      <c r="B1400" s="44"/>
      <c r="C1400" s="48" t="s">
        <v>10920</v>
      </c>
      <c r="D1400" s="44"/>
      <c r="E1400" s="48" t="s">
        <v>5501</v>
      </c>
      <c r="F1400" s="48" t="s">
        <v>5300</v>
      </c>
      <c r="G1400" s="55" t="s">
        <v>96</v>
      </c>
      <c r="H1400" s="64">
        <v>0.0029</v>
      </c>
      <c r="I1400" s="44"/>
      <c r="J1400" s="44"/>
      <c r="K1400" s="44"/>
      <c r="L1400" s="44"/>
      <c r="M1400" s="44"/>
      <c r="N1400" s="44"/>
      <c r="O1400" s="44"/>
      <c r="P1400" s="44"/>
      <c r="Q1400" s="44"/>
      <c r="R1400" s="44"/>
      <c r="S1400" s="44"/>
      <c r="T1400" s="44"/>
      <c r="U1400" s="44"/>
    </row>
    <row r="1401">
      <c r="A1401" s="48" t="s">
        <v>10921</v>
      </c>
      <c r="B1401" s="44"/>
      <c r="C1401" s="48" t="s">
        <v>10922</v>
      </c>
      <c r="D1401" s="44"/>
      <c r="E1401" s="48" t="s">
        <v>5407</v>
      </c>
      <c r="F1401" s="48" t="s">
        <v>4095</v>
      </c>
      <c r="G1401" s="55" t="s">
        <v>96</v>
      </c>
      <c r="H1401" s="64">
        <v>0.00289</v>
      </c>
      <c r="I1401" s="44"/>
      <c r="J1401" s="44"/>
      <c r="K1401" s="44"/>
      <c r="L1401" s="44"/>
      <c r="M1401" s="44"/>
      <c r="N1401" s="44"/>
      <c r="O1401" s="44"/>
      <c r="P1401" s="44"/>
      <c r="Q1401" s="44"/>
      <c r="R1401" s="44"/>
      <c r="S1401" s="44"/>
      <c r="T1401" s="44"/>
      <c r="U1401" s="44"/>
    </row>
    <row r="1402">
      <c r="A1402" s="48" t="s">
        <v>10923</v>
      </c>
      <c r="B1402" s="44"/>
      <c r="C1402" s="48" t="s">
        <v>10924</v>
      </c>
      <c r="D1402" s="44"/>
      <c r="E1402" s="48" t="s">
        <v>9478</v>
      </c>
      <c r="F1402" s="48" t="s">
        <v>8784</v>
      </c>
      <c r="G1402" s="55" t="s">
        <v>96</v>
      </c>
      <c r="H1402" s="64">
        <v>0.00289</v>
      </c>
      <c r="I1402" s="44"/>
      <c r="J1402" s="44"/>
      <c r="K1402" s="44"/>
      <c r="L1402" s="44"/>
      <c r="M1402" s="44"/>
      <c r="N1402" s="44"/>
      <c r="O1402" s="44"/>
      <c r="P1402" s="44"/>
      <c r="Q1402" s="44"/>
      <c r="R1402" s="44"/>
      <c r="S1402" s="44"/>
      <c r="T1402" s="44"/>
      <c r="U1402" s="44"/>
    </row>
    <row r="1403">
      <c r="A1403" s="48" t="s">
        <v>10925</v>
      </c>
      <c r="B1403" s="44"/>
      <c r="C1403" s="48" t="s">
        <v>10926</v>
      </c>
      <c r="D1403" s="44"/>
      <c r="E1403" s="48" t="s">
        <v>5218</v>
      </c>
      <c r="F1403" s="48" t="s">
        <v>8784</v>
      </c>
      <c r="G1403" s="55" t="s">
        <v>96</v>
      </c>
      <c r="H1403" s="64">
        <v>0.00289</v>
      </c>
      <c r="I1403" s="44"/>
      <c r="J1403" s="44"/>
      <c r="K1403" s="44"/>
      <c r="L1403" s="44"/>
      <c r="M1403" s="44"/>
      <c r="N1403" s="44"/>
      <c r="O1403" s="44"/>
      <c r="P1403" s="44"/>
      <c r="Q1403" s="44"/>
      <c r="R1403" s="44"/>
      <c r="S1403" s="44"/>
      <c r="T1403" s="44"/>
      <c r="U1403" s="44"/>
    </row>
    <row r="1404">
      <c r="A1404" s="48" t="s">
        <v>10927</v>
      </c>
      <c r="B1404" s="44"/>
      <c r="C1404" s="48" t="s">
        <v>10928</v>
      </c>
      <c r="D1404" s="44"/>
      <c r="E1404" s="48" t="s">
        <v>5578</v>
      </c>
      <c r="F1404" s="48" t="s">
        <v>8784</v>
      </c>
      <c r="G1404" s="55" t="s">
        <v>96</v>
      </c>
      <c r="H1404" s="64">
        <v>0.00286</v>
      </c>
      <c r="I1404" s="44"/>
      <c r="J1404" s="44"/>
      <c r="K1404" s="44"/>
      <c r="L1404" s="44"/>
      <c r="M1404" s="44"/>
      <c r="N1404" s="44"/>
      <c r="O1404" s="44"/>
      <c r="P1404" s="44"/>
      <c r="Q1404" s="44"/>
      <c r="R1404" s="44"/>
      <c r="S1404" s="44"/>
      <c r="T1404" s="44"/>
      <c r="U1404" s="44"/>
    </row>
    <row r="1405">
      <c r="A1405" s="48" t="s">
        <v>10929</v>
      </c>
      <c r="B1405" s="44"/>
      <c r="C1405" s="48" t="s">
        <v>10930</v>
      </c>
      <c r="D1405" s="44"/>
      <c r="E1405" s="48" t="s">
        <v>5215</v>
      </c>
      <c r="F1405" s="48" t="s">
        <v>4340</v>
      </c>
      <c r="G1405" s="55" t="s">
        <v>96</v>
      </c>
      <c r="H1405" s="64">
        <v>0.00286</v>
      </c>
      <c r="I1405" s="44"/>
      <c r="J1405" s="44"/>
      <c r="K1405" s="44"/>
      <c r="L1405" s="44"/>
      <c r="M1405" s="44"/>
      <c r="N1405" s="44"/>
      <c r="O1405" s="44"/>
      <c r="P1405" s="44"/>
      <c r="Q1405" s="44"/>
      <c r="R1405" s="44"/>
      <c r="S1405" s="44"/>
      <c r="T1405" s="44"/>
      <c r="U1405" s="44"/>
    </row>
    <row r="1406">
      <c r="A1406" s="48" t="s">
        <v>10931</v>
      </c>
      <c r="B1406" s="44"/>
      <c r="C1406" s="48" t="s">
        <v>10932</v>
      </c>
      <c r="D1406" s="44"/>
      <c r="E1406" s="48" t="s">
        <v>6338</v>
      </c>
      <c r="F1406" s="48" t="s">
        <v>9513</v>
      </c>
      <c r="G1406" s="55" t="s">
        <v>96</v>
      </c>
      <c r="H1406" s="64">
        <v>0.00285</v>
      </c>
      <c r="I1406" s="44"/>
      <c r="J1406" s="44"/>
      <c r="K1406" s="44"/>
      <c r="L1406" s="44"/>
      <c r="M1406" s="44"/>
      <c r="N1406" s="44"/>
      <c r="O1406" s="44"/>
      <c r="P1406" s="44"/>
      <c r="Q1406" s="44"/>
      <c r="R1406" s="44"/>
      <c r="S1406" s="44"/>
      <c r="T1406" s="44"/>
      <c r="U1406" s="44"/>
    </row>
    <row r="1407">
      <c r="A1407" s="48" t="s">
        <v>10933</v>
      </c>
      <c r="B1407" s="44"/>
      <c r="C1407" s="48" t="s">
        <v>10934</v>
      </c>
      <c r="D1407" s="44"/>
      <c r="E1407" s="48" t="s">
        <v>5241</v>
      </c>
      <c r="F1407" s="48" t="s">
        <v>4095</v>
      </c>
      <c r="G1407" s="55" t="s">
        <v>96</v>
      </c>
      <c r="H1407" s="64">
        <v>0.00284</v>
      </c>
      <c r="I1407" s="44"/>
      <c r="J1407" s="44"/>
      <c r="K1407" s="44"/>
      <c r="L1407" s="44"/>
      <c r="M1407" s="44"/>
      <c r="N1407" s="44"/>
      <c r="O1407" s="44"/>
      <c r="P1407" s="44"/>
      <c r="Q1407" s="44"/>
      <c r="R1407" s="44"/>
      <c r="S1407" s="44"/>
      <c r="T1407" s="44"/>
      <c r="U1407" s="44"/>
    </row>
    <row r="1408">
      <c r="A1408" s="48" t="s">
        <v>10935</v>
      </c>
      <c r="B1408" s="44"/>
      <c r="C1408" s="48" t="s">
        <v>10936</v>
      </c>
      <c r="D1408" s="44"/>
      <c r="E1408" s="48" t="s">
        <v>5374</v>
      </c>
      <c r="F1408" s="48" t="s">
        <v>8784</v>
      </c>
      <c r="G1408" s="55" t="s">
        <v>96</v>
      </c>
      <c r="H1408" s="64">
        <v>0.00283</v>
      </c>
      <c r="I1408" s="44"/>
      <c r="J1408" s="44"/>
      <c r="K1408" s="44"/>
      <c r="L1408" s="44"/>
      <c r="M1408" s="44"/>
      <c r="N1408" s="44"/>
      <c r="O1408" s="44"/>
      <c r="P1408" s="44"/>
      <c r="Q1408" s="44"/>
      <c r="R1408" s="44"/>
      <c r="S1408" s="44"/>
      <c r="T1408" s="44"/>
      <c r="U1408" s="44"/>
    </row>
    <row r="1409">
      <c r="A1409" s="48" t="s">
        <v>6030</v>
      </c>
      <c r="B1409" s="44"/>
      <c r="C1409" s="48" t="s">
        <v>10937</v>
      </c>
      <c r="D1409" s="44"/>
      <c r="E1409" s="48" t="s">
        <v>5434</v>
      </c>
      <c r="F1409" s="48" t="s">
        <v>8784</v>
      </c>
      <c r="G1409" s="55" t="s">
        <v>96</v>
      </c>
      <c r="H1409" s="64">
        <v>0.00281</v>
      </c>
      <c r="I1409" s="44"/>
      <c r="J1409" s="44"/>
      <c r="K1409" s="44"/>
      <c r="L1409" s="44"/>
      <c r="M1409" s="44"/>
      <c r="N1409" s="44"/>
      <c r="O1409" s="44"/>
      <c r="P1409" s="44"/>
      <c r="Q1409" s="44"/>
      <c r="R1409" s="44"/>
      <c r="S1409" s="44"/>
      <c r="T1409" s="44"/>
      <c r="U1409" s="44"/>
    </row>
    <row r="1410">
      <c r="A1410" s="48" t="s">
        <v>10938</v>
      </c>
      <c r="B1410" s="44"/>
      <c r="C1410" s="48" t="s">
        <v>10939</v>
      </c>
      <c r="D1410" s="44"/>
      <c r="E1410" s="48" t="s">
        <v>5326</v>
      </c>
      <c r="F1410" s="48" t="s">
        <v>4095</v>
      </c>
      <c r="G1410" s="55" t="s">
        <v>96</v>
      </c>
      <c r="H1410" s="64">
        <v>0.00281</v>
      </c>
      <c r="I1410" s="44"/>
      <c r="J1410" s="44"/>
      <c r="K1410" s="44"/>
      <c r="L1410" s="44"/>
      <c r="M1410" s="44"/>
      <c r="N1410" s="44"/>
      <c r="O1410" s="44"/>
      <c r="P1410" s="44"/>
      <c r="Q1410" s="44"/>
      <c r="R1410" s="44"/>
      <c r="S1410" s="44"/>
      <c r="T1410" s="44"/>
      <c r="U1410" s="44"/>
    </row>
    <row r="1411">
      <c r="A1411" s="48" t="s">
        <v>10940</v>
      </c>
      <c r="B1411" s="44"/>
      <c r="C1411" s="48" t="s">
        <v>10941</v>
      </c>
      <c r="D1411" s="44"/>
      <c r="E1411" s="48" t="s">
        <v>6012</v>
      </c>
      <c r="F1411" s="48" t="s">
        <v>8784</v>
      </c>
      <c r="G1411" s="55" t="s">
        <v>96</v>
      </c>
      <c r="H1411" s="64">
        <v>0.0028</v>
      </c>
      <c r="I1411" s="44"/>
      <c r="J1411" s="44"/>
      <c r="K1411" s="44"/>
      <c r="L1411" s="44"/>
      <c r="M1411" s="44"/>
      <c r="N1411" s="44"/>
      <c r="O1411" s="44"/>
      <c r="P1411" s="44"/>
      <c r="Q1411" s="44"/>
      <c r="R1411" s="44"/>
      <c r="S1411" s="44"/>
      <c r="T1411" s="44"/>
      <c r="U1411" s="44"/>
    </row>
    <row r="1412">
      <c r="A1412" s="48" t="s">
        <v>10942</v>
      </c>
      <c r="B1412" s="44"/>
      <c r="C1412" s="48" t="s">
        <v>10943</v>
      </c>
      <c r="D1412" s="44"/>
      <c r="E1412" s="48" t="s">
        <v>5501</v>
      </c>
      <c r="F1412" s="48" t="s">
        <v>8784</v>
      </c>
      <c r="G1412" s="55" t="s">
        <v>96</v>
      </c>
      <c r="H1412" s="64">
        <v>0.00279</v>
      </c>
      <c r="I1412" s="44"/>
      <c r="J1412" s="44"/>
      <c r="K1412" s="44"/>
      <c r="L1412" s="44"/>
      <c r="M1412" s="44"/>
      <c r="N1412" s="44"/>
      <c r="O1412" s="44"/>
      <c r="P1412" s="44"/>
      <c r="Q1412" s="44"/>
      <c r="R1412" s="44"/>
      <c r="S1412" s="44"/>
      <c r="T1412" s="44"/>
      <c r="U1412" s="44"/>
    </row>
    <row r="1413">
      <c r="A1413" s="48" t="s">
        <v>10944</v>
      </c>
      <c r="B1413" s="44"/>
      <c r="C1413" s="48" t="s">
        <v>10945</v>
      </c>
      <c r="D1413" s="44"/>
      <c r="E1413" s="48" t="s">
        <v>6427</v>
      </c>
      <c r="F1413" s="48" t="s">
        <v>5927</v>
      </c>
      <c r="G1413" s="55" t="s">
        <v>96</v>
      </c>
      <c r="H1413" s="64">
        <v>0.00276</v>
      </c>
      <c r="I1413" s="44"/>
      <c r="J1413" s="44"/>
      <c r="K1413" s="44"/>
      <c r="L1413" s="44"/>
      <c r="M1413" s="44"/>
      <c r="N1413" s="44"/>
      <c r="O1413" s="44"/>
      <c r="P1413" s="44"/>
      <c r="Q1413" s="44"/>
      <c r="R1413" s="44"/>
      <c r="S1413" s="44"/>
      <c r="T1413" s="44"/>
      <c r="U1413" s="44"/>
    </row>
    <row r="1414">
      <c r="A1414" s="48" t="s">
        <v>10946</v>
      </c>
      <c r="B1414" s="44"/>
      <c r="C1414" s="48" t="s">
        <v>10947</v>
      </c>
      <c r="D1414" s="44"/>
      <c r="E1414" s="48" t="s">
        <v>6040</v>
      </c>
      <c r="F1414" s="48" t="s">
        <v>8784</v>
      </c>
      <c r="G1414" s="55" t="s">
        <v>96</v>
      </c>
      <c r="H1414" s="64">
        <v>0.00275</v>
      </c>
      <c r="I1414" s="44"/>
      <c r="J1414" s="44"/>
      <c r="K1414" s="44"/>
      <c r="L1414" s="44"/>
      <c r="M1414" s="44"/>
      <c r="N1414" s="44"/>
      <c r="O1414" s="44"/>
      <c r="P1414" s="44"/>
      <c r="Q1414" s="44"/>
      <c r="R1414" s="44"/>
      <c r="S1414" s="44"/>
      <c r="T1414" s="44"/>
      <c r="U1414" s="44"/>
    </row>
    <row r="1415">
      <c r="A1415" s="48" t="s">
        <v>10948</v>
      </c>
      <c r="B1415" s="44"/>
      <c r="C1415" s="48" t="s">
        <v>10949</v>
      </c>
      <c r="D1415" s="44"/>
      <c r="E1415" s="48" t="s">
        <v>5283</v>
      </c>
      <c r="F1415" s="48" t="s">
        <v>8784</v>
      </c>
      <c r="G1415" s="55" t="s">
        <v>96</v>
      </c>
      <c r="H1415" s="64">
        <v>0.00273</v>
      </c>
      <c r="I1415" s="44"/>
      <c r="J1415" s="44"/>
      <c r="K1415" s="44"/>
      <c r="L1415" s="44"/>
      <c r="M1415" s="44"/>
      <c r="N1415" s="44"/>
      <c r="O1415" s="44"/>
      <c r="P1415" s="44"/>
      <c r="Q1415" s="44"/>
      <c r="R1415" s="44"/>
      <c r="S1415" s="44"/>
      <c r="T1415" s="44"/>
      <c r="U1415" s="44"/>
    </row>
    <row r="1416">
      <c r="A1416" s="48" t="s">
        <v>10950</v>
      </c>
      <c r="B1416" s="44"/>
      <c r="C1416" s="48" t="s">
        <v>10951</v>
      </c>
      <c r="D1416" s="44"/>
      <c r="E1416" s="48" t="s">
        <v>5218</v>
      </c>
      <c r="F1416" s="48" t="s">
        <v>5927</v>
      </c>
      <c r="G1416" s="55" t="s">
        <v>96</v>
      </c>
      <c r="H1416" s="64">
        <v>0.00273</v>
      </c>
      <c r="I1416" s="44"/>
      <c r="J1416" s="44"/>
      <c r="K1416" s="44"/>
      <c r="L1416" s="44"/>
      <c r="M1416" s="44"/>
      <c r="N1416" s="44"/>
      <c r="O1416" s="44"/>
      <c r="P1416" s="44"/>
      <c r="Q1416" s="44"/>
      <c r="R1416" s="44"/>
      <c r="S1416" s="44"/>
      <c r="T1416" s="44"/>
      <c r="U1416" s="44"/>
    </row>
    <row r="1417">
      <c r="A1417" s="48" t="s">
        <v>10952</v>
      </c>
      <c r="B1417" s="44"/>
      <c r="C1417" s="48" t="s">
        <v>10953</v>
      </c>
      <c r="D1417" s="44"/>
      <c r="E1417" s="48" t="s">
        <v>5501</v>
      </c>
      <c r="F1417" s="48" t="s">
        <v>4340</v>
      </c>
      <c r="G1417" s="55" t="s">
        <v>96</v>
      </c>
      <c r="H1417" s="64">
        <v>0.00271</v>
      </c>
      <c r="I1417" s="44"/>
      <c r="J1417" s="44"/>
      <c r="K1417" s="44"/>
      <c r="L1417" s="44"/>
      <c r="M1417" s="44"/>
      <c r="N1417" s="44"/>
      <c r="O1417" s="44"/>
      <c r="P1417" s="44"/>
      <c r="Q1417" s="44"/>
      <c r="R1417" s="44"/>
      <c r="S1417" s="44"/>
      <c r="T1417" s="44"/>
      <c r="U1417" s="44"/>
    </row>
    <row r="1418">
      <c r="A1418" s="48" t="s">
        <v>10954</v>
      </c>
      <c r="B1418" s="44"/>
      <c r="C1418" s="48" t="s">
        <v>10955</v>
      </c>
      <c r="D1418" s="44"/>
      <c r="E1418" s="48" t="s">
        <v>5309</v>
      </c>
      <c r="F1418" s="48" t="s">
        <v>4340</v>
      </c>
      <c r="G1418" s="55" t="s">
        <v>96</v>
      </c>
      <c r="H1418" s="64">
        <v>0.0027</v>
      </c>
      <c r="I1418" s="44"/>
      <c r="J1418" s="44"/>
      <c r="K1418" s="44"/>
      <c r="L1418" s="44"/>
      <c r="M1418" s="44"/>
      <c r="N1418" s="44"/>
      <c r="O1418" s="44"/>
      <c r="P1418" s="44"/>
      <c r="Q1418" s="44"/>
      <c r="R1418" s="44"/>
      <c r="S1418" s="44"/>
      <c r="T1418" s="44"/>
      <c r="U1418" s="44"/>
    </row>
    <row r="1419">
      <c r="A1419" s="48" t="s">
        <v>10956</v>
      </c>
      <c r="B1419" s="44"/>
      <c r="C1419" s="48" t="s">
        <v>10957</v>
      </c>
      <c r="D1419" s="44"/>
      <c r="E1419" s="48" t="s">
        <v>5564</v>
      </c>
      <c r="F1419" s="48" t="s">
        <v>8784</v>
      </c>
      <c r="G1419" s="55" t="s">
        <v>96</v>
      </c>
      <c r="H1419" s="64">
        <v>0.00269</v>
      </c>
      <c r="I1419" s="44"/>
      <c r="J1419" s="44"/>
      <c r="K1419" s="44"/>
      <c r="L1419" s="44"/>
      <c r="M1419" s="44"/>
      <c r="N1419" s="44"/>
      <c r="O1419" s="44"/>
      <c r="P1419" s="44"/>
      <c r="Q1419" s="44"/>
      <c r="R1419" s="44"/>
      <c r="S1419" s="44"/>
      <c r="T1419" s="44"/>
      <c r="U1419" s="44"/>
    </row>
    <row r="1420">
      <c r="A1420" s="48" t="s">
        <v>10958</v>
      </c>
      <c r="B1420" s="44"/>
      <c r="C1420" s="48" t="s">
        <v>10959</v>
      </c>
      <c r="D1420" s="44"/>
      <c r="E1420" s="48" t="s">
        <v>5267</v>
      </c>
      <c r="F1420" s="48" t="s">
        <v>8767</v>
      </c>
      <c r="G1420" s="55" t="s">
        <v>96</v>
      </c>
      <c r="H1420" s="64">
        <v>0.00268</v>
      </c>
      <c r="I1420" s="44"/>
      <c r="J1420" s="44"/>
      <c r="K1420" s="44"/>
      <c r="L1420" s="44"/>
      <c r="M1420" s="44"/>
      <c r="N1420" s="44"/>
      <c r="O1420" s="44"/>
      <c r="P1420" s="44"/>
      <c r="Q1420" s="44"/>
      <c r="R1420" s="44"/>
      <c r="S1420" s="44"/>
      <c r="T1420" s="44"/>
      <c r="U1420" s="44"/>
    </row>
    <row r="1421">
      <c r="A1421" s="48" t="s">
        <v>10960</v>
      </c>
      <c r="B1421" s="44"/>
      <c r="C1421" s="48" t="s">
        <v>10961</v>
      </c>
      <c r="D1421" s="44"/>
      <c r="E1421" s="48" t="s">
        <v>5366</v>
      </c>
      <c r="F1421" s="48" t="s">
        <v>8784</v>
      </c>
      <c r="G1421" s="55" t="s">
        <v>96</v>
      </c>
      <c r="H1421" s="64">
        <v>0.00267</v>
      </c>
      <c r="I1421" s="44"/>
      <c r="J1421" s="44"/>
      <c r="K1421" s="44"/>
      <c r="L1421" s="44"/>
      <c r="M1421" s="44"/>
      <c r="N1421" s="44"/>
      <c r="O1421" s="44"/>
      <c r="P1421" s="44"/>
      <c r="Q1421" s="44"/>
      <c r="R1421" s="44"/>
      <c r="S1421" s="44"/>
      <c r="T1421" s="44"/>
      <c r="U1421" s="44"/>
    </row>
    <row r="1422">
      <c r="A1422" s="48" t="s">
        <v>10962</v>
      </c>
      <c r="B1422" s="44"/>
      <c r="C1422" s="48" t="s">
        <v>10963</v>
      </c>
      <c r="D1422" s="44"/>
      <c r="E1422" s="48" t="s">
        <v>6947</v>
      </c>
      <c r="F1422" s="48" t="s">
        <v>6210</v>
      </c>
      <c r="G1422" s="55" t="s">
        <v>96</v>
      </c>
      <c r="H1422" s="64">
        <v>0.00266</v>
      </c>
      <c r="I1422" s="44"/>
      <c r="J1422" s="44"/>
      <c r="K1422" s="44"/>
      <c r="L1422" s="44"/>
      <c r="M1422" s="44"/>
      <c r="N1422" s="44"/>
      <c r="O1422" s="44"/>
      <c r="P1422" s="44"/>
      <c r="Q1422" s="44"/>
      <c r="R1422" s="44"/>
      <c r="S1422" s="44"/>
      <c r="T1422" s="44"/>
      <c r="U1422" s="44"/>
    </row>
    <row r="1423">
      <c r="A1423" s="48" t="s">
        <v>7469</v>
      </c>
      <c r="B1423" s="44"/>
      <c r="C1423" s="48" t="s">
        <v>7470</v>
      </c>
      <c r="D1423" s="44"/>
      <c r="E1423" s="48" t="s">
        <v>7471</v>
      </c>
      <c r="F1423" s="48" t="s">
        <v>5941</v>
      </c>
      <c r="G1423" s="55" t="s">
        <v>96</v>
      </c>
      <c r="H1423" s="64">
        <v>0.00266</v>
      </c>
      <c r="I1423" s="44"/>
      <c r="J1423" s="44"/>
      <c r="K1423" s="44"/>
      <c r="L1423" s="44"/>
      <c r="M1423" s="44"/>
      <c r="N1423" s="44"/>
      <c r="O1423" s="44"/>
      <c r="P1423" s="44"/>
      <c r="Q1423" s="44"/>
      <c r="R1423" s="44"/>
      <c r="S1423" s="44"/>
      <c r="T1423" s="44"/>
      <c r="U1423" s="44"/>
    </row>
    <row r="1424">
      <c r="A1424" s="48" t="s">
        <v>10964</v>
      </c>
      <c r="B1424" s="44"/>
      <c r="C1424" s="48" t="s">
        <v>10965</v>
      </c>
      <c r="D1424" s="44"/>
      <c r="E1424" s="48" t="s">
        <v>5348</v>
      </c>
      <c r="F1424" s="48" t="s">
        <v>8784</v>
      </c>
      <c r="G1424" s="55" t="s">
        <v>96</v>
      </c>
      <c r="H1424" s="64">
        <v>0.00266</v>
      </c>
      <c r="I1424" s="44"/>
      <c r="J1424" s="44"/>
      <c r="K1424" s="44"/>
      <c r="L1424" s="44"/>
      <c r="M1424" s="44"/>
      <c r="N1424" s="44"/>
      <c r="O1424" s="44"/>
      <c r="P1424" s="44"/>
      <c r="Q1424" s="44"/>
      <c r="R1424" s="44"/>
      <c r="S1424" s="44"/>
      <c r="T1424" s="44"/>
      <c r="U1424" s="44"/>
    </row>
    <row r="1425">
      <c r="A1425" s="48" t="s">
        <v>10966</v>
      </c>
      <c r="B1425" s="44"/>
      <c r="C1425" s="48" t="s">
        <v>10967</v>
      </c>
      <c r="D1425" s="44"/>
      <c r="E1425" s="48" t="s">
        <v>5258</v>
      </c>
      <c r="F1425" s="48" t="s">
        <v>5425</v>
      </c>
      <c r="G1425" s="55" t="s">
        <v>96</v>
      </c>
      <c r="H1425" s="64">
        <v>0.00264</v>
      </c>
      <c r="I1425" s="44"/>
      <c r="J1425" s="44"/>
      <c r="K1425" s="44"/>
      <c r="L1425" s="44"/>
      <c r="M1425" s="44"/>
      <c r="N1425" s="44"/>
      <c r="O1425" s="44"/>
      <c r="P1425" s="44"/>
      <c r="Q1425" s="44"/>
      <c r="R1425" s="44"/>
      <c r="S1425" s="44"/>
      <c r="T1425" s="44"/>
      <c r="U1425" s="44"/>
    </row>
    <row r="1426">
      <c r="A1426" s="48" t="s">
        <v>6260</v>
      </c>
      <c r="B1426" s="44"/>
      <c r="C1426" s="48" t="s">
        <v>10112</v>
      </c>
      <c r="D1426" s="44"/>
      <c r="E1426" s="48" t="s">
        <v>5456</v>
      </c>
      <c r="F1426" s="48" t="s">
        <v>5747</v>
      </c>
      <c r="G1426" s="55" t="s">
        <v>96</v>
      </c>
      <c r="H1426" s="64">
        <v>0.00264</v>
      </c>
      <c r="I1426" s="44"/>
      <c r="J1426" s="44"/>
      <c r="K1426" s="44"/>
      <c r="L1426" s="44"/>
      <c r="M1426" s="44"/>
      <c r="N1426" s="44"/>
      <c r="O1426" s="44"/>
      <c r="P1426" s="44"/>
      <c r="Q1426" s="44"/>
      <c r="R1426" s="44"/>
      <c r="S1426" s="44"/>
      <c r="T1426" s="44"/>
      <c r="U1426" s="44"/>
    </row>
    <row r="1427">
      <c r="A1427" s="48" t="s">
        <v>10968</v>
      </c>
      <c r="B1427" s="44"/>
      <c r="C1427" s="48" t="s">
        <v>10969</v>
      </c>
      <c r="D1427" s="44"/>
      <c r="E1427" s="48" t="s">
        <v>6338</v>
      </c>
      <c r="F1427" s="48" t="s">
        <v>9513</v>
      </c>
      <c r="G1427" s="55" t="s">
        <v>96</v>
      </c>
      <c r="H1427" s="64">
        <v>0.00263</v>
      </c>
      <c r="I1427" s="44"/>
      <c r="J1427" s="44"/>
      <c r="K1427" s="44"/>
      <c r="L1427" s="44"/>
      <c r="M1427" s="44"/>
      <c r="N1427" s="44"/>
      <c r="O1427" s="44"/>
      <c r="P1427" s="44"/>
      <c r="Q1427" s="44"/>
      <c r="R1427" s="44"/>
      <c r="S1427" s="44"/>
      <c r="T1427" s="44"/>
      <c r="U1427" s="44"/>
    </row>
    <row r="1428">
      <c r="A1428" s="48" t="s">
        <v>10970</v>
      </c>
      <c r="B1428" s="44"/>
      <c r="C1428" s="48" t="s">
        <v>10971</v>
      </c>
      <c r="D1428" s="44"/>
      <c r="E1428" s="48" t="s">
        <v>5241</v>
      </c>
      <c r="F1428" s="48" t="s">
        <v>8784</v>
      </c>
      <c r="G1428" s="55" t="s">
        <v>96</v>
      </c>
      <c r="H1428" s="64">
        <v>0.00263</v>
      </c>
      <c r="I1428" s="44"/>
      <c r="J1428" s="44"/>
      <c r="K1428" s="44"/>
      <c r="L1428" s="44"/>
      <c r="M1428" s="44"/>
      <c r="N1428" s="44"/>
      <c r="O1428" s="44"/>
      <c r="P1428" s="44"/>
      <c r="Q1428" s="44"/>
      <c r="R1428" s="44"/>
      <c r="S1428" s="44"/>
      <c r="T1428" s="44"/>
      <c r="U1428" s="44"/>
    </row>
    <row r="1429">
      <c r="A1429" s="48" t="s">
        <v>10972</v>
      </c>
      <c r="B1429" s="44"/>
      <c r="C1429" s="48" t="s">
        <v>10973</v>
      </c>
      <c r="D1429" s="44"/>
      <c r="E1429" s="48" t="s">
        <v>5326</v>
      </c>
      <c r="F1429" s="48" t="s">
        <v>8784</v>
      </c>
      <c r="G1429" s="55" t="s">
        <v>96</v>
      </c>
      <c r="H1429" s="64">
        <v>0.00263</v>
      </c>
      <c r="I1429" s="44"/>
      <c r="J1429" s="44"/>
      <c r="K1429" s="44"/>
      <c r="L1429" s="44"/>
      <c r="M1429" s="44"/>
      <c r="N1429" s="44"/>
      <c r="O1429" s="44"/>
      <c r="P1429" s="44"/>
      <c r="Q1429" s="44"/>
      <c r="R1429" s="44"/>
      <c r="S1429" s="44"/>
      <c r="T1429" s="44"/>
      <c r="U1429" s="44"/>
    </row>
    <row r="1430">
      <c r="A1430" s="48" t="s">
        <v>10974</v>
      </c>
      <c r="B1430" s="44"/>
      <c r="C1430" s="48" t="s">
        <v>10975</v>
      </c>
      <c r="D1430" s="44"/>
      <c r="E1430" s="48" t="s">
        <v>5390</v>
      </c>
      <c r="F1430" s="48" t="s">
        <v>8784</v>
      </c>
      <c r="G1430" s="55" t="s">
        <v>96</v>
      </c>
      <c r="H1430" s="64">
        <v>0.00262</v>
      </c>
      <c r="I1430" s="44"/>
      <c r="J1430" s="44"/>
      <c r="K1430" s="44"/>
      <c r="L1430" s="44"/>
      <c r="M1430" s="44"/>
      <c r="N1430" s="44"/>
      <c r="O1430" s="44"/>
      <c r="P1430" s="44"/>
      <c r="Q1430" s="44"/>
      <c r="R1430" s="44"/>
      <c r="S1430" s="44"/>
      <c r="T1430" s="44"/>
      <c r="U1430" s="44"/>
    </row>
    <row r="1431">
      <c r="A1431" s="48" t="s">
        <v>10976</v>
      </c>
      <c r="B1431" s="44"/>
      <c r="C1431" s="48" t="s">
        <v>10977</v>
      </c>
      <c r="D1431" s="44"/>
      <c r="E1431" s="48" t="s">
        <v>5868</v>
      </c>
      <c r="F1431" s="48" t="s">
        <v>6210</v>
      </c>
      <c r="G1431" s="55" t="s">
        <v>96</v>
      </c>
      <c r="H1431" s="64">
        <v>0.0026</v>
      </c>
      <c r="I1431" s="44"/>
      <c r="J1431" s="44"/>
      <c r="K1431" s="44"/>
      <c r="L1431" s="44"/>
      <c r="M1431" s="44"/>
      <c r="N1431" s="44"/>
      <c r="O1431" s="44"/>
      <c r="P1431" s="44"/>
      <c r="Q1431" s="44"/>
      <c r="R1431" s="44"/>
      <c r="S1431" s="44"/>
      <c r="T1431" s="44"/>
      <c r="U1431" s="44"/>
    </row>
    <row r="1432">
      <c r="A1432" s="48" t="s">
        <v>10978</v>
      </c>
      <c r="B1432" s="44"/>
      <c r="C1432" s="48" t="s">
        <v>10979</v>
      </c>
      <c r="D1432" s="44"/>
      <c r="E1432" s="48" t="s">
        <v>8648</v>
      </c>
      <c r="F1432" s="48" t="s">
        <v>4340</v>
      </c>
      <c r="G1432" s="55" t="s">
        <v>96</v>
      </c>
      <c r="H1432" s="64">
        <v>0.0026</v>
      </c>
      <c r="I1432" s="44"/>
      <c r="J1432" s="44"/>
      <c r="K1432" s="44"/>
      <c r="L1432" s="44"/>
      <c r="M1432" s="44"/>
      <c r="N1432" s="44"/>
      <c r="O1432" s="44"/>
      <c r="P1432" s="44"/>
      <c r="Q1432" s="44"/>
      <c r="R1432" s="44"/>
      <c r="S1432" s="44"/>
      <c r="T1432" s="44"/>
      <c r="U1432" s="44"/>
    </row>
    <row r="1433">
      <c r="A1433" s="48" t="s">
        <v>10980</v>
      </c>
      <c r="B1433" s="44"/>
      <c r="C1433" s="48" t="s">
        <v>10981</v>
      </c>
      <c r="D1433" s="44"/>
      <c r="E1433" s="48" t="s">
        <v>5215</v>
      </c>
      <c r="F1433" s="48" t="s">
        <v>8784</v>
      </c>
      <c r="G1433" s="55" t="s">
        <v>96</v>
      </c>
      <c r="H1433" s="64">
        <v>0.00258</v>
      </c>
      <c r="I1433" s="44"/>
      <c r="J1433" s="44"/>
      <c r="K1433" s="44"/>
      <c r="L1433" s="44"/>
      <c r="M1433" s="44"/>
      <c r="N1433" s="44"/>
      <c r="O1433" s="44"/>
      <c r="P1433" s="44"/>
      <c r="Q1433" s="44"/>
      <c r="R1433" s="44"/>
      <c r="S1433" s="44"/>
      <c r="T1433" s="44"/>
      <c r="U1433" s="44"/>
    </row>
    <row r="1434">
      <c r="A1434" s="48" t="s">
        <v>10982</v>
      </c>
      <c r="B1434" s="44"/>
      <c r="C1434" s="48" t="s">
        <v>10983</v>
      </c>
      <c r="D1434" s="44"/>
      <c r="E1434" s="48" t="s">
        <v>9221</v>
      </c>
      <c r="F1434" s="48" t="s">
        <v>8784</v>
      </c>
      <c r="G1434" s="55" t="s">
        <v>96</v>
      </c>
      <c r="H1434" s="64">
        <v>0.00258</v>
      </c>
      <c r="I1434" s="44"/>
      <c r="J1434" s="44"/>
      <c r="K1434" s="44"/>
      <c r="L1434" s="44"/>
      <c r="M1434" s="44"/>
      <c r="N1434" s="44"/>
      <c r="O1434" s="44"/>
      <c r="P1434" s="44"/>
      <c r="Q1434" s="44"/>
      <c r="R1434" s="44"/>
      <c r="S1434" s="44"/>
      <c r="T1434" s="44"/>
      <c r="U1434" s="44"/>
    </row>
    <row r="1435">
      <c r="A1435" s="48" t="s">
        <v>10984</v>
      </c>
      <c r="B1435" s="44"/>
      <c r="C1435" s="48" t="s">
        <v>10985</v>
      </c>
      <c r="D1435" s="44"/>
      <c r="E1435" s="48" t="s">
        <v>6223</v>
      </c>
      <c r="F1435" s="48" t="s">
        <v>8784</v>
      </c>
      <c r="G1435" s="55" t="s">
        <v>96</v>
      </c>
      <c r="H1435" s="64">
        <v>0.00257</v>
      </c>
      <c r="I1435" s="44"/>
      <c r="J1435" s="44"/>
      <c r="K1435" s="44"/>
      <c r="L1435" s="44"/>
      <c r="M1435" s="44"/>
      <c r="N1435" s="44"/>
      <c r="O1435" s="44"/>
      <c r="P1435" s="44"/>
      <c r="Q1435" s="44"/>
      <c r="R1435" s="44"/>
      <c r="S1435" s="44"/>
      <c r="T1435" s="44"/>
      <c r="U1435" s="44"/>
    </row>
    <row r="1436">
      <c r="A1436" s="48" t="s">
        <v>10986</v>
      </c>
      <c r="B1436" s="44"/>
      <c r="C1436" s="48" t="s">
        <v>10987</v>
      </c>
      <c r="D1436" s="44"/>
      <c r="E1436" s="48" t="s">
        <v>5855</v>
      </c>
      <c r="F1436" s="48" t="s">
        <v>8784</v>
      </c>
      <c r="G1436" s="55" t="s">
        <v>96</v>
      </c>
      <c r="H1436" s="64">
        <v>0.00256</v>
      </c>
      <c r="I1436" s="44"/>
      <c r="J1436" s="44"/>
      <c r="K1436" s="44"/>
      <c r="L1436" s="44"/>
      <c r="M1436" s="44"/>
      <c r="N1436" s="44"/>
      <c r="O1436" s="44"/>
      <c r="P1436" s="44"/>
      <c r="Q1436" s="44"/>
      <c r="R1436" s="44"/>
      <c r="S1436" s="44"/>
      <c r="T1436" s="44"/>
      <c r="U1436" s="44"/>
    </row>
    <row r="1437">
      <c r="A1437" s="48" t="s">
        <v>10988</v>
      </c>
      <c r="B1437" s="44"/>
      <c r="C1437" s="48" t="s">
        <v>10989</v>
      </c>
      <c r="D1437" s="44"/>
      <c r="E1437" s="48" t="s">
        <v>5366</v>
      </c>
      <c r="F1437" s="48" t="s">
        <v>8784</v>
      </c>
      <c r="G1437" s="55" t="s">
        <v>96</v>
      </c>
      <c r="H1437" s="64">
        <v>0.00256</v>
      </c>
      <c r="I1437" s="44"/>
      <c r="J1437" s="44"/>
      <c r="K1437" s="44"/>
      <c r="L1437" s="44"/>
      <c r="M1437" s="44"/>
      <c r="N1437" s="44"/>
      <c r="O1437" s="44"/>
      <c r="P1437" s="44"/>
      <c r="Q1437" s="44"/>
      <c r="R1437" s="44"/>
      <c r="S1437" s="44"/>
      <c r="T1437" s="44"/>
      <c r="U1437" s="44"/>
    </row>
    <row r="1438">
      <c r="A1438" s="48" t="s">
        <v>10990</v>
      </c>
      <c r="B1438" s="44"/>
      <c r="C1438" s="48" t="s">
        <v>10991</v>
      </c>
      <c r="D1438" s="44"/>
      <c r="E1438" s="48" t="s">
        <v>6009</v>
      </c>
      <c r="F1438" s="48" t="s">
        <v>6698</v>
      </c>
      <c r="G1438" s="55" t="s">
        <v>96</v>
      </c>
      <c r="H1438" s="64">
        <v>0.00255</v>
      </c>
      <c r="I1438" s="44"/>
      <c r="J1438" s="44"/>
      <c r="K1438" s="44"/>
      <c r="L1438" s="44"/>
      <c r="M1438" s="44"/>
      <c r="N1438" s="44"/>
      <c r="O1438" s="44"/>
      <c r="P1438" s="44"/>
      <c r="Q1438" s="44"/>
      <c r="R1438" s="44"/>
      <c r="S1438" s="44"/>
      <c r="T1438" s="44"/>
      <c r="U1438" s="44"/>
    </row>
    <row r="1439">
      <c r="A1439" s="48" t="s">
        <v>10992</v>
      </c>
      <c r="B1439" s="44"/>
      <c r="C1439" s="48" t="s">
        <v>10993</v>
      </c>
      <c r="D1439" s="44"/>
      <c r="E1439" s="48" t="s">
        <v>6275</v>
      </c>
      <c r="F1439" s="48" t="s">
        <v>8784</v>
      </c>
      <c r="G1439" s="55" t="s">
        <v>96</v>
      </c>
      <c r="H1439" s="64">
        <v>0.00254</v>
      </c>
      <c r="I1439" s="44"/>
      <c r="J1439" s="44"/>
      <c r="K1439" s="44"/>
      <c r="L1439" s="44"/>
      <c r="M1439" s="44"/>
      <c r="N1439" s="44"/>
      <c r="O1439" s="44"/>
      <c r="P1439" s="44"/>
      <c r="Q1439" s="44"/>
      <c r="R1439" s="44"/>
      <c r="S1439" s="44"/>
      <c r="T1439" s="44"/>
      <c r="U1439" s="44"/>
    </row>
    <row r="1440">
      <c r="A1440" s="48" t="s">
        <v>10994</v>
      </c>
      <c r="B1440" s="44"/>
      <c r="C1440" s="48" t="s">
        <v>10995</v>
      </c>
      <c r="D1440" s="44"/>
      <c r="E1440" s="48" t="s">
        <v>5691</v>
      </c>
      <c r="F1440" s="48" t="s">
        <v>5300</v>
      </c>
      <c r="G1440" s="55" t="s">
        <v>96</v>
      </c>
      <c r="H1440" s="64">
        <v>0.00254</v>
      </c>
      <c r="I1440" s="44"/>
      <c r="J1440" s="44"/>
      <c r="K1440" s="44"/>
      <c r="L1440" s="44"/>
      <c r="M1440" s="44"/>
      <c r="N1440" s="44"/>
      <c r="O1440" s="44"/>
      <c r="P1440" s="44"/>
      <c r="Q1440" s="44"/>
      <c r="R1440" s="44"/>
      <c r="S1440" s="44"/>
      <c r="T1440" s="44"/>
      <c r="U1440" s="44"/>
    </row>
    <row r="1441">
      <c r="A1441" s="48" t="s">
        <v>10996</v>
      </c>
      <c r="B1441" s="44"/>
      <c r="C1441" s="48" t="s">
        <v>10997</v>
      </c>
      <c r="D1441" s="44"/>
      <c r="E1441" s="48" t="s">
        <v>5434</v>
      </c>
      <c r="F1441" s="48" t="s">
        <v>8784</v>
      </c>
      <c r="G1441" s="55" t="s">
        <v>96</v>
      </c>
      <c r="H1441" s="64">
        <v>0.0025</v>
      </c>
      <c r="I1441" s="44"/>
      <c r="J1441" s="44"/>
      <c r="K1441" s="44"/>
      <c r="L1441" s="44"/>
      <c r="M1441" s="44"/>
      <c r="N1441" s="44"/>
      <c r="O1441" s="44"/>
      <c r="P1441" s="44"/>
      <c r="Q1441" s="44"/>
      <c r="R1441" s="44"/>
      <c r="S1441" s="44"/>
      <c r="T1441" s="44"/>
      <c r="U1441" s="44"/>
    </row>
    <row r="1442">
      <c r="A1442" s="48" t="s">
        <v>7565</v>
      </c>
      <c r="B1442" s="44"/>
      <c r="C1442" s="48" t="s">
        <v>7566</v>
      </c>
      <c r="D1442" s="44"/>
      <c r="E1442" s="48" t="s">
        <v>5961</v>
      </c>
      <c r="F1442" s="48" t="s">
        <v>5927</v>
      </c>
      <c r="G1442" s="55" t="s">
        <v>96</v>
      </c>
      <c r="H1442" s="64">
        <v>0.00249</v>
      </c>
      <c r="I1442" s="44"/>
      <c r="J1442" s="44"/>
      <c r="K1442" s="44"/>
      <c r="L1442" s="44"/>
      <c r="M1442" s="44"/>
      <c r="N1442" s="44"/>
      <c r="O1442" s="44"/>
      <c r="P1442" s="44"/>
      <c r="Q1442" s="44"/>
      <c r="R1442" s="44"/>
      <c r="S1442" s="44"/>
      <c r="T1442" s="44"/>
      <c r="U1442" s="44"/>
    </row>
    <row r="1443">
      <c r="A1443" s="48" t="s">
        <v>10998</v>
      </c>
      <c r="B1443" s="44"/>
      <c r="C1443" s="48" t="s">
        <v>10999</v>
      </c>
      <c r="D1443" s="44"/>
      <c r="E1443" s="48" t="s">
        <v>5516</v>
      </c>
      <c r="F1443" s="48" t="s">
        <v>8784</v>
      </c>
      <c r="G1443" s="55" t="s">
        <v>96</v>
      </c>
      <c r="H1443" s="64">
        <v>0.00247</v>
      </c>
      <c r="I1443" s="44"/>
      <c r="J1443" s="44"/>
      <c r="K1443" s="44"/>
      <c r="L1443" s="44"/>
      <c r="M1443" s="44"/>
      <c r="N1443" s="44"/>
      <c r="O1443" s="44"/>
      <c r="P1443" s="44"/>
      <c r="Q1443" s="44"/>
      <c r="R1443" s="44"/>
      <c r="S1443" s="44"/>
      <c r="T1443" s="44"/>
      <c r="U1443" s="44"/>
    </row>
    <row r="1444">
      <c r="A1444" s="48" t="s">
        <v>11000</v>
      </c>
      <c r="B1444" s="44"/>
      <c r="C1444" s="48" t="s">
        <v>11001</v>
      </c>
      <c r="D1444" s="44"/>
      <c r="E1444" s="48" t="s">
        <v>6157</v>
      </c>
      <c r="F1444" s="48" t="s">
        <v>8784</v>
      </c>
      <c r="G1444" s="55" t="s">
        <v>96</v>
      </c>
      <c r="H1444" s="64">
        <v>0.00244</v>
      </c>
      <c r="I1444" s="44"/>
      <c r="J1444" s="44"/>
      <c r="K1444" s="44"/>
      <c r="L1444" s="44"/>
      <c r="M1444" s="44"/>
      <c r="N1444" s="44"/>
      <c r="O1444" s="44"/>
      <c r="P1444" s="44"/>
      <c r="Q1444" s="44"/>
      <c r="R1444" s="44"/>
      <c r="S1444" s="44"/>
      <c r="T1444" s="44"/>
      <c r="U1444" s="44"/>
    </row>
    <row r="1445">
      <c r="A1445" s="48" t="s">
        <v>11002</v>
      </c>
      <c r="B1445" s="44"/>
      <c r="C1445" s="48" t="s">
        <v>11003</v>
      </c>
      <c r="D1445" s="44"/>
      <c r="E1445" s="48" t="s">
        <v>5374</v>
      </c>
      <c r="F1445" s="48" t="s">
        <v>8784</v>
      </c>
      <c r="G1445" s="55" t="s">
        <v>96</v>
      </c>
      <c r="H1445" s="64">
        <v>0.00244</v>
      </c>
      <c r="I1445" s="44"/>
      <c r="J1445" s="44"/>
      <c r="K1445" s="44"/>
      <c r="L1445" s="44"/>
      <c r="M1445" s="44"/>
      <c r="N1445" s="44"/>
      <c r="O1445" s="44"/>
      <c r="P1445" s="44"/>
      <c r="Q1445" s="44"/>
      <c r="R1445" s="44"/>
      <c r="S1445" s="44"/>
      <c r="T1445" s="44"/>
      <c r="U1445" s="44"/>
    </row>
    <row r="1446">
      <c r="A1446" s="48" t="s">
        <v>11004</v>
      </c>
      <c r="B1446" s="44"/>
      <c r="C1446" s="48" t="s">
        <v>11005</v>
      </c>
      <c r="D1446" s="44"/>
      <c r="E1446" s="48" t="s">
        <v>9221</v>
      </c>
      <c r="F1446" s="48" t="s">
        <v>8784</v>
      </c>
      <c r="G1446" s="55" t="s">
        <v>96</v>
      </c>
      <c r="H1446" s="64">
        <v>0.00241</v>
      </c>
      <c r="I1446" s="44"/>
      <c r="J1446" s="44"/>
      <c r="K1446" s="44"/>
      <c r="L1446" s="44"/>
      <c r="M1446" s="44"/>
      <c r="N1446" s="44"/>
      <c r="O1446" s="44"/>
      <c r="P1446" s="44"/>
      <c r="Q1446" s="44"/>
      <c r="R1446" s="44"/>
      <c r="S1446" s="44"/>
      <c r="T1446" s="44"/>
      <c r="U1446" s="44"/>
    </row>
    <row r="1447">
      <c r="A1447" s="48" t="s">
        <v>11006</v>
      </c>
      <c r="B1447" s="44"/>
      <c r="C1447" s="48" t="s">
        <v>11007</v>
      </c>
      <c r="D1447" s="44"/>
      <c r="E1447" s="48" t="s">
        <v>5235</v>
      </c>
      <c r="F1447" s="48" t="s">
        <v>5941</v>
      </c>
      <c r="G1447" s="55" t="s">
        <v>96</v>
      </c>
      <c r="H1447" s="64">
        <v>0.0024</v>
      </c>
      <c r="I1447" s="44"/>
      <c r="J1447" s="44"/>
      <c r="K1447" s="44"/>
      <c r="L1447" s="44"/>
      <c r="M1447" s="44"/>
      <c r="N1447" s="44"/>
      <c r="O1447" s="44"/>
      <c r="P1447" s="44"/>
      <c r="Q1447" s="44"/>
      <c r="R1447" s="44"/>
      <c r="S1447" s="44"/>
      <c r="T1447" s="44"/>
      <c r="U1447" s="44"/>
    </row>
    <row r="1448">
      <c r="A1448" s="48" t="s">
        <v>11008</v>
      </c>
      <c r="B1448" s="44"/>
      <c r="C1448" s="48" t="s">
        <v>11009</v>
      </c>
      <c r="D1448" s="44"/>
      <c r="E1448" s="48" t="s">
        <v>5296</v>
      </c>
      <c r="F1448" s="48" t="s">
        <v>4357</v>
      </c>
      <c r="G1448" s="55" t="s">
        <v>96</v>
      </c>
      <c r="H1448" s="64">
        <v>0.00239</v>
      </c>
      <c r="I1448" s="44"/>
      <c r="J1448" s="44"/>
      <c r="K1448" s="44"/>
      <c r="L1448" s="44"/>
      <c r="M1448" s="44"/>
      <c r="N1448" s="44"/>
      <c r="O1448" s="44"/>
      <c r="P1448" s="44"/>
      <c r="Q1448" s="44"/>
      <c r="R1448" s="44"/>
      <c r="S1448" s="44"/>
      <c r="T1448" s="44"/>
      <c r="U1448" s="44"/>
    </row>
    <row r="1449">
      <c r="A1449" s="48" t="s">
        <v>11010</v>
      </c>
      <c r="B1449" s="44"/>
      <c r="C1449" s="48" t="s">
        <v>11011</v>
      </c>
      <c r="D1449" s="44"/>
      <c r="E1449" s="48" t="s">
        <v>5338</v>
      </c>
      <c r="F1449" s="48" t="s">
        <v>8784</v>
      </c>
      <c r="G1449" s="55" t="s">
        <v>96</v>
      </c>
      <c r="H1449" s="64">
        <v>0.00239</v>
      </c>
      <c r="I1449" s="44"/>
      <c r="J1449" s="44"/>
      <c r="K1449" s="44"/>
      <c r="L1449" s="44"/>
      <c r="M1449" s="44"/>
      <c r="N1449" s="44"/>
      <c r="O1449" s="44"/>
      <c r="P1449" s="44"/>
      <c r="Q1449" s="44"/>
      <c r="R1449" s="44"/>
      <c r="S1449" s="44"/>
      <c r="T1449" s="44"/>
      <c r="U1449" s="44"/>
    </row>
    <row r="1450">
      <c r="A1450" s="48" t="s">
        <v>11012</v>
      </c>
      <c r="B1450" s="44"/>
      <c r="C1450" s="48" t="s">
        <v>11013</v>
      </c>
      <c r="D1450" s="44"/>
      <c r="E1450" s="48" t="s">
        <v>5374</v>
      </c>
      <c r="F1450" s="48" t="s">
        <v>8784</v>
      </c>
      <c r="G1450" s="55" t="s">
        <v>96</v>
      </c>
      <c r="H1450" s="64">
        <v>0.00239</v>
      </c>
      <c r="I1450" s="44"/>
      <c r="J1450" s="44"/>
      <c r="K1450" s="44"/>
      <c r="L1450" s="44"/>
      <c r="M1450" s="44"/>
      <c r="N1450" s="44"/>
      <c r="O1450" s="44"/>
      <c r="P1450" s="44"/>
      <c r="Q1450" s="44"/>
      <c r="R1450" s="44"/>
      <c r="S1450" s="44"/>
      <c r="T1450" s="44"/>
      <c r="U1450" s="44"/>
    </row>
    <row r="1451">
      <c r="A1451" s="48" t="s">
        <v>4507</v>
      </c>
      <c r="B1451" s="44"/>
      <c r="C1451" s="48" t="s">
        <v>11014</v>
      </c>
      <c r="D1451" s="44"/>
      <c r="E1451" s="48" t="s">
        <v>5450</v>
      </c>
      <c r="F1451" s="48" t="s">
        <v>5747</v>
      </c>
      <c r="G1451" s="55" t="s">
        <v>96</v>
      </c>
      <c r="H1451" s="64">
        <v>0.00237</v>
      </c>
      <c r="I1451" s="44"/>
      <c r="J1451" s="44"/>
      <c r="K1451" s="44"/>
      <c r="L1451" s="44"/>
      <c r="M1451" s="44"/>
      <c r="N1451" s="44"/>
      <c r="O1451" s="44"/>
      <c r="P1451" s="44"/>
      <c r="Q1451" s="44"/>
      <c r="R1451" s="44"/>
      <c r="S1451" s="44"/>
      <c r="T1451" s="44"/>
      <c r="U1451" s="44"/>
    </row>
    <row r="1452">
      <c r="A1452" s="48" t="s">
        <v>6260</v>
      </c>
      <c r="B1452" s="44"/>
      <c r="C1452" s="48" t="s">
        <v>10112</v>
      </c>
      <c r="D1452" s="44"/>
      <c r="E1452" s="48" t="s">
        <v>5456</v>
      </c>
      <c r="F1452" s="48" t="s">
        <v>5747</v>
      </c>
      <c r="G1452" s="55" t="s">
        <v>96</v>
      </c>
      <c r="H1452" s="64">
        <v>0.00236</v>
      </c>
      <c r="I1452" s="44"/>
      <c r="J1452" s="44"/>
      <c r="K1452" s="44"/>
      <c r="L1452" s="44"/>
      <c r="M1452" s="44"/>
      <c r="N1452" s="44"/>
      <c r="O1452" s="44"/>
      <c r="P1452" s="44"/>
      <c r="Q1452" s="44"/>
      <c r="R1452" s="44"/>
      <c r="S1452" s="44"/>
      <c r="T1452" s="44"/>
      <c r="U1452" s="44"/>
    </row>
    <row r="1453">
      <c r="A1453" s="48" t="s">
        <v>11015</v>
      </c>
      <c r="B1453" s="44"/>
      <c r="C1453" s="48" t="s">
        <v>11016</v>
      </c>
      <c r="D1453" s="44"/>
      <c r="E1453" s="48" t="s">
        <v>5561</v>
      </c>
      <c r="F1453" s="48" t="s">
        <v>9513</v>
      </c>
      <c r="G1453" s="55" t="s">
        <v>96</v>
      </c>
      <c r="H1453" s="64">
        <v>0.00235</v>
      </c>
      <c r="I1453" s="44"/>
      <c r="J1453" s="44"/>
      <c r="K1453" s="44"/>
      <c r="L1453" s="44"/>
      <c r="M1453" s="44"/>
      <c r="N1453" s="44"/>
      <c r="O1453" s="44"/>
      <c r="P1453" s="44"/>
      <c r="Q1453" s="44"/>
      <c r="R1453" s="44"/>
      <c r="S1453" s="44"/>
      <c r="T1453" s="44"/>
      <c r="U1453" s="44"/>
    </row>
    <row r="1454">
      <c r="A1454" s="48" t="s">
        <v>11017</v>
      </c>
      <c r="B1454" s="44"/>
      <c r="C1454" s="48" t="s">
        <v>11018</v>
      </c>
      <c r="D1454" s="44"/>
      <c r="E1454" s="48" t="s">
        <v>9221</v>
      </c>
      <c r="F1454" s="48" t="s">
        <v>8784</v>
      </c>
      <c r="G1454" s="55" t="s">
        <v>96</v>
      </c>
      <c r="H1454" s="64">
        <v>0.00233</v>
      </c>
      <c r="I1454" s="44"/>
      <c r="J1454" s="44"/>
      <c r="K1454" s="44"/>
      <c r="L1454" s="44"/>
      <c r="M1454" s="44"/>
      <c r="N1454" s="44"/>
      <c r="O1454" s="44"/>
      <c r="P1454" s="44"/>
      <c r="Q1454" s="44"/>
      <c r="R1454" s="44"/>
      <c r="S1454" s="44"/>
      <c r="T1454" s="44"/>
      <c r="U1454" s="44"/>
    </row>
    <row r="1455">
      <c r="A1455" s="48" t="s">
        <v>11019</v>
      </c>
      <c r="B1455" s="44"/>
      <c r="C1455" s="48" t="s">
        <v>11020</v>
      </c>
      <c r="D1455" s="44"/>
      <c r="E1455" s="48" t="s">
        <v>5341</v>
      </c>
      <c r="F1455" s="48" t="s">
        <v>5747</v>
      </c>
      <c r="G1455" s="55" t="s">
        <v>96</v>
      </c>
      <c r="H1455" s="64">
        <v>0.00233</v>
      </c>
      <c r="I1455" s="44"/>
      <c r="J1455" s="44"/>
      <c r="K1455" s="44"/>
      <c r="L1455" s="44"/>
      <c r="M1455" s="44"/>
      <c r="N1455" s="44"/>
      <c r="O1455" s="44"/>
      <c r="P1455" s="44"/>
      <c r="Q1455" s="44"/>
      <c r="R1455" s="44"/>
      <c r="S1455" s="44"/>
      <c r="T1455" s="44"/>
      <c r="U1455" s="44"/>
    </row>
    <row r="1456">
      <c r="A1456" s="48" t="s">
        <v>11021</v>
      </c>
      <c r="B1456" s="44"/>
      <c r="C1456" s="48" t="s">
        <v>11022</v>
      </c>
      <c r="D1456" s="44"/>
      <c r="E1456" s="48" t="s">
        <v>7611</v>
      </c>
      <c r="F1456" s="48" t="s">
        <v>8784</v>
      </c>
      <c r="G1456" s="55" t="s">
        <v>96</v>
      </c>
      <c r="H1456" s="64">
        <v>0.00228</v>
      </c>
      <c r="I1456" s="44"/>
      <c r="J1456" s="44"/>
      <c r="K1456" s="44"/>
      <c r="L1456" s="44"/>
      <c r="M1456" s="44"/>
      <c r="N1456" s="44"/>
      <c r="O1456" s="44"/>
      <c r="P1456" s="44"/>
      <c r="Q1456" s="44"/>
      <c r="R1456" s="44"/>
      <c r="S1456" s="44"/>
      <c r="T1456" s="44"/>
      <c r="U1456" s="44"/>
    </row>
    <row r="1457">
      <c r="A1457" s="48" t="s">
        <v>11023</v>
      </c>
      <c r="B1457" s="44"/>
      <c r="C1457" s="48" t="s">
        <v>11024</v>
      </c>
      <c r="D1457" s="44"/>
      <c r="E1457" s="48" t="s">
        <v>5691</v>
      </c>
      <c r="F1457" s="48" t="s">
        <v>6210</v>
      </c>
      <c r="G1457" s="55" t="s">
        <v>96</v>
      </c>
      <c r="H1457" s="64">
        <v>0.00226</v>
      </c>
      <c r="I1457" s="44"/>
      <c r="J1457" s="44"/>
      <c r="K1457" s="44"/>
      <c r="L1457" s="44"/>
      <c r="M1457" s="44"/>
      <c r="N1457" s="44"/>
      <c r="O1457" s="44"/>
      <c r="P1457" s="44"/>
      <c r="Q1457" s="44"/>
      <c r="R1457" s="44"/>
      <c r="S1457" s="44"/>
      <c r="T1457" s="44"/>
      <c r="U1457" s="44"/>
    </row>
    <row r="1458">
      <c r="A1458" s="48" t="s">
        <v>11025</v>
      </c>
      <c r="B1458" s="44"/>
      <c r="C1458" s="48" t="s">
        <v>11026</v>
      </c>
      <c r="D1458" s="44"/>
      <c r="E1458" s="48" t="s">
        <v>5691</v>
      </c>
      <c r="F1458" s="48" t="s">
        <v>8784</v>
      </c>
      <c r="G1458" s="55" t="s">
        <v>96</v>
      </c>
      <c r="H1458" s="64">
        <v>0.00221</v>
      </c>
      <c r="I1458" s="44"/>
      <c r="J1458" s="44"/>
      <c r="K1458" s="44"/>
      <c r="L1458" s="44"/>
      <c r="M1458" s="44"/>
      <c r="N1458" s="44"/>
      <c r="O1458" s="44"/>
      <c r="P1458" s="44"/>
      <c r="Q1458" s="44"/>
      <c r="R1458" s="44"/>
      <c r="S1458" s="44"/>
      <c r="T1458" s="44"/>
      <c r="U1458" s="44"/>
    </row>
    <row r="1459">
      <c r="A1459" s="48" t="s">
        <v>11027</v>
      </c>
      <c r="B1459" s="44"/>
      <c r="C1459" s="48" t="s">
        <v>11028</v>
      </c>
      <c r="D1459" s="44"/>
      <c r="E1459" s="48" t="s">
        <v>5366</v>
      </c>
      <c r="F1459" s="48" t="s">
        <v>4340</v>
      </c>
      <c r="G1459" s="55" t="s">
        <v>96</v>
      </c>
      <c r="H1459" s="64">
        <v>0.00221</v>
      </c>
      <c r="I1459" s="44"/>
      <c r="J1459" s="44"/>
      <c r="K1459" s="44"/>
      <c r="L1459" s="44"/>
      <c r="M1459" s="44"/>
      <c r="N1459" s="44"/>
      <c r="O1459" s="44"/>
      <c r="P1459" s="44"/>
      <c r="Q1459" s="44"/>
      <c r="R1459" s="44"/>
      <c r="S1459" s="44"/>
      <c r="T1459" s="44"/>
      <c r="U1459" s="44"/>
    </row>
    <row r="1460">
      <c r="A1460" s="48" t="s">
        <v>11029</v>
      </c>
      <c r="B1460" s="44"/>
      <c r="C1460" s="48" t="s">
        <v>11030</v>
      </c>
      <c r="D1460" s="44"/>
      <c r="E1460" s="48" t="s">
        <v>5390</v>
      </c>
      <c r="F1460" s="48" t="s">
        <v>9513</v>
      </c>
      <c r="G1460" s="55" t="s">
        <v>96</v>
      </c>
      <c r="H1460" s="64">
        <v>0.00219</v>
      </c>
      <c r="I1460" s="44"/>
      <c r="J1460" s="44"/>
      <c r="K1460" s="44"/>
      <c r="L1460" s="44"/>
      <c r="M1460" s="44"/>
      <c r="N1460" s="44"/>
      <c r="O1460" s="44"/>
      <c r="P1460" s="44"/>
      <c r="Q1460" s="44"/>
      <c r="R1460" s="44"/>
      <c r="S1460" s="44"/>
      <c r="T1460" s="44"/>
      <c r="U1460" s="44"/>
    </row>
    <row r="1461">
      <c r="A1461" s="48" t="s">
        <v>6515</v>
      </c>
      <c r="B1461" s="44"/>
      <c r="C1461" s="48" t="s">
        <v>11031</v>
      </c>
      <c r="D1461" s="44"/>
      <c r="E1461" s="48" t="s">
        <v>7098</v>
      </c>
      <c r="F1461" s="48" t="s">
        <v>8784</v>
      </c>
      <c r="G1461" s="55" t="s">
        <v>96</v>
      </c>
      <c r="H1461" s="64">
        <v>0.00219</v>
      </c>
      <c r="I1461" s="44"/>
      <c r="J1461" s="44"/>
      <c r="K1461" s="44"/>
      <c r="L1461" s="44"/>
      <c r="M1461" s="44"/>
      <c r="N1461" s="44"/>
      <c r="O1461" s="44"/>
      <c r="P1461" s="44"/>
      <c r="Q1461" s="44"/>
      <c r="R1461" s="44"/>
      <c r="S1461" s="44"/>
      <c r="T1461" s="44"/>
      <c r="U1461" s="44"/>
    </row>
    <row r="1462">
      <c r="A1462" s="48" t="s">
        <v>11032</v>
      </c>
      <c r="B1462" s="44"/>
      <c r="C1462" s="48" t="s">
        <v>11033</v>
      </c>
      <c r="D1462" s="44"/>
      <c r="E1462" s="48" t="s">
        <v>5589</v>
      </c>
      <c r="F1462" s="48" t="s">
        <v>9299</v>
      </c>
      <c r="G1462" s="55" t="s">
        <v>96</v>
      </c>
      <c r="H1462" s="64">
        <v>0.00217</v>
      </c>
      <c r="I1462" s="44"/>
      <c r="J1462" s="44"/>
      <c r="K1462" s="44"/>
      <c r="L1462" s="44"/>
      <c r="M1462" s="44"/>
      <c r="N1462" s="44"/>
      <c r="O1462" s="44"/>
      <c r="P1462" s="44"/>
      <c r="Q1462" s="44"/>
      <c r="R1462" s="44"/>
      <c r="S1462" s="44"/>
      <c r="T1462" s="44"/>
      <c r="U1462" s="44"/>
    </row>
    <row r="1463">
      <c r="A1463" s="48" t="s">
        <v>11034</v>
      </c>
      <c r="B1463" s="44"/>
      <c r="C1463" s="48" t="s">
        <v>11035</v>
      </c>
      <c r="D1463" s="44"/>
      <c r="E1463" s="48" t="s">
        <v>5232</v>
      </c>
      <c r="F1463" s="48" t="s">
        <v>4340</v>
      </c>
      <c r="G1463" s="55" t="s">
        <v>96</v>
      </c>
      <c r="H1463" s="64">
        <v>0.00217</v>
      </c>
      <c r="I1463" s="44"/>
      <c r="J1463" s="44"/>
      <c r="K1463" s="44"/>
      <c r="L1463" s="44"/>
      <c r="M1463" s="44"/>
      <c r="N1463" s="44"/>
      <c r="O1463" s="44"/>
      <c r="P1463" s="44"/>
      <c r="Q1463" s="44"/>
      <c r="R1463" s="44"/>
      <c r="S1463" s="44"/>
      <c r="T1463" s="44"/>
      <c r="U1463" s="44"/>
    </row>
    <row r="1464">
      <c r="A1464" s="48" t="s">
        <v>11036</v>
      </c>
      <c r="B1464" s="44"/>
      <c r="C1464" s="48" t="s">
        <v>11037</v>
      </c>
      <c r="D1464" s="44"/>
      <c r="E1464" s="48" t="s">
        <v>5501</v>
      </c>
      <c r="F1464" s="48" t="s">
        <v>8784</v>
      </c>
      <c r="G1464" s="55" t="s">
        <v>96</v>
      </c>
      <c r="H1464" s="64">
        <v>0.00216</v>
      </c>
      <c r="I1464" s="44"/>
      <c r="J1464" s="44"/>
      <c r="K1464" s="44"/>
      <c r="L1464" s="44"/>
      <c r="M1464" s="44"/>
      <c r="N1464" s="44"/>
      <c r="O1464" s="44"/>
      <c r="P1464" s="44"/>
      <c r="Q1464" s="44"/>
      <c r="R1464" s="44"/>
      <c r="S1464" s="44"/>
      <c r="T1464" s="44"/>
      <c r="U1464" s="44"/>
    </row>
    <row r="1465">
      <c r="A1465" s="48" t="s">
        <v>11038</v>
      </c>
      <c r="B1465" s="44"/>
      <c r="C1465" s="48" t="s">
        <v>11039</v>
      </c>
      <c r="D1465" s="44"/>
      <c r="E1465" s="48" t="s">
        <v>5715</v>
      </c>
      <c r="F1465" s="48" t="s">
        <v>5747</v>
      </c>
      <c r="G1465" s="55" t="s">
        <v>96</v>
      </c>
      <c r="H1465" s="64">
        <v>0.00216</v>
      </c>
      <c r="I1465" s="44"/>
      <c r="J1465" s="44"/>
      <c r="K1465" s="44"/>
      <c r="L1465" s="44"/>
      <c r="M1465" s="44"/>
      <c r="N1465" s="44"/>
      <c r="O1465" s="44"/>
      <c r="P1465" s="44"/>
      <c r="Q1465" s="44"/>
      <c r="R1465" s="44"/>
      <c r="S1465" s="44"/>
      <c r="T1465" s="44"/>
      <c r="U1465" s="44"/>
    </row>
    <row r="1466">
      <c r="A1466" s="48" t="s">
        <v>6260</v>
      </c>
      <c r="B1466" s="44"/>
      <c r="C1466" s="48" t="s">
        <v>10112</v>
      </c>
      <c r="D1466" s="44"/>
      <c r="E1466" s="48" t="s">
        <v>5456</v>
      </c>
      <c r="F1466" s="48" t="s">
        <v>5747</v>
      </c>
      <c r="G1466" s="55" t="s">
        <v>96</v>
      </c>
      <c r="H1466" s="64">
        <v>0.00215</v>
      </c>
      <c r="I1466" s="44"/>
      <c r="J1466" s="44"/>
      <c r="K1466" s="44"/>
      <c r="L1466" s="44"/>
      <c r="M1466" s="44"/>
      <c r="N1466" s="44"/>
      <c r="O1466" s="44"/>
      <c r="P1466" s="44"/>
      <c r="Q1466" s="44"/>
      <c r="R1466" s="44"/>
      <c r="S1466" s="44"/>
      <c r="T1466" s="44"/>
      <c r="U1466" s="44"/>
    </row>
    <row r="1467">
      <c r="A1467" s="48" t="s">
        <v>11040</v>
      </c>
      <c r="B1467" s="44"/>
      <c r="C1467" s="48" t="s">
        <v>7449</v>
      </c>
      <c r="D1467" s="44"/>
      <c r="E1467" s="48" t="s">
        <v>5434</v>
      </c>
      <c r="F1467" s="48" t="s">
        <v>4340</v>
      </c>
      <c r="G1467" s="55" t="s">
        <v>96</v>
      </c>
      <c r="H1467" s="64">
        <v>0.00214</v>
      </c>
      <c r="I1467" s="44"/>
      <c r="J1467" s="44"/>
      <c r="K1467" s="44"/>
      <c r="L1467" s="44"/>
      <c r="M1467" s="44"/>
      <c r="N1467" s="44"/>
      <c r="O1467" s="44"/>
      <c r="P1467" s="44"/>
      <c r="Q1467" s="44"/>
      <c r="R1467" s="44"/>
      <c r="S1467" s="44"/>
      <c r="T1467" s="44"/>
      <c r="U1467" s="44"/>
    </row>
    <row r="1468">
      <c r="A1468" s="48" t="s">
        <v>11041</v>
      </c>
      <c r="B1468" s="44"/>
      <c r="C1468" s="48" t="s">
        <v>11042</v>
      </c>
      <c r="D1468" s="44"/>
      <c r="E1468" s="48" t="s">
        <v>5238</v>
      </c>
      <c r="F1468" s="48" t="s">
        <v>9513</v>
      </c>
      <c r="G1468" s="55" t="s">
        <v>96</v>
      </c>
      <c r="H1468" s="64">
        <v>0.00214</v>
      </c>
      <c r="I1468" s="44"/>
      <c r="J1468" s="44"/>
      <c r="K1468" s="44"/>
      <c r="L1468" s="44"/>
      <c r="M1468" s="44"/>
      <c r="N1468" s="44"/>
      <c r="O1468" s="44"/>
      <c r="P1468" s="44"/>
      <c r="Q1468" s="44"/>
      <c r="R1468" s="44"/>
      <c r="S1468" s="44"/>
      <c r="T1468" s="44"/>
      <c r="U1468" s="44"/>
    </row>
    <row r="1469">
      <c r="A1469" s="48" t="s">
        <v>6260</v>
      </c>
      <c r="B1469" s="44"/>
      <c r="C1469" s="48" t="s">
        <v>11043</v>
      </c>
      <c r="D1469" s="44"/>
      <c r="E1469" s="48" t="s">
        <v>5513</v>
      </c>
      <c r="F1469" s="48" t="s">
        <v>5747</v>
      </c>
      <c r="G1469" s="55" t="s">
        <v>96</v>
      </c>
      <c r="H1469" s="64">
        <v>0.00213</v>
      </c>
      <c r="I1469" s="44"/>
      <c r="J1469" s="44"/>
      <c r="K1469" s="44"/>
      <c r="L1469" s="44"/>
      <c r="M1469" s="44"/>
      <c r="N1469" s="44"/>
      <c r="O1469" s="44"/>
      <c r="P1469" s="44"/>
      <c r="Q1469" s="44"/>
      <c r="R1469" s="44"/>
      <c r="S1469" s="44"/>
      <c r="T1469" s="44"/>
      <c r="U1469" s="44"/>
    </row>
    <row r="1470">
      <c r="A1470" s="48" t="s">
        <v>11044</v>
      </c>
      <c r="B1470" s="44"/>
      <c r="C1470" s="48" t="s">
        <v>11045</v>
      </c>
      <c r="D1470" s="44"/>
      <c r="E1470" s="48" t="s">
        <v>5561</v>
      </c>
      <c r="F1470" s="48" t="s">
        <v>8784</v>
      </c>
      <c r="G1470" s="55" t="s">
        <v>96</v>
      </c>
      <c r="H1470" s="64">
        <v>0.0021</v>
      </c>
      <c r="I1470" s="44"/>
      <c r="J1470" s="44"/>
      <c r="K1470" s="44"/>
      <c r="L1470" s="44"/>
      <c r="M1470" s="44"/>
      <c r="N1470" s="44"/>
      <c r="O1470" s="44"/>
      <c r="P1470" s="44"/>
      <c r="Q1470" s="44"/>
      <c r="R1470" s="44"/>
      <c r="S1470" s="44"/>
      <c r="T1470" s="44"/>
      <c r="U1470" s="44"/>
    </row>
    <row r="1471">
      <c r="A1471" s="48" t="s">
        <v>11046</v>
      </c>
      <c r="B1471" s="44"/>
      <c r="C1471" s="48" t="s">
        <v>11047</v>
      </c>
      <c r="D1471" s="44"/>
      <c r="E1471" s="48" t="s">
        <v>5434</v>
      </c>
      <c r="F1471" s="48" t="s">
        <v>4340</v>
      </c>
      <c r="G1471" s="55" t="s">
        <v>96</v>
      </c>
      <c r="H1471" s="64">
        <v>0.00208</v>
      </c>
      <c r="I1471" s="44"/>
      <c r="J1471" s="44"/>
      <c r="K1471" s="44"/>
      <c r="L1471" s="44"/>
      <c r="M1471" s="44"/>
      <c r="N1471" s="44"/>
      <c r="O1471" s="44"/>
      <c r="P1471" s="44"/>
      <c r="Q1471" s="44"/>
      <c r="R1471" s="44"/>
      <c r="S1471" s="44"/>
      <c r="T1471" s="44"/>
      <c r="U1471" s="44"/>
    </row>
    <row r="1472">
      <c r="A1472" s="48" t="s">
        <v>7732</v>
      </c>
      <c r="B1472" s="44"/>
      <c r="C1472" s="48" t="s">
        <v>7733</v>
      </c>
      <c r="D1472" s="44"/>
      <c r="E1472" s="48" t="s">
        <v>5756</v>
      </c>
      <c r="F1472" s="48" t="s">
        <v>4340</v>
      </c>
      <c r="G1472" s="55" t="s">
        <v>96</v>
      </c>
      <c r="H1472" s="64">
        <v>0.00206</v>
      </c>
      <c r="I1472" s="44"/>
      <c r="J1472" s="44"/>
      <c r="K1472" s="44"/>
      <c r="L1472" s="44"/>
      <c r="M1472" s="44"/>
      <c r="N1472" s="44"/>
      <c r="O1472" s="44"/>
      <c r="P1472" s="44"/>
      <c r="Q1472" s="44"/>
      <c r="R1472" s="44"/>
      <c r="S1472" s="44"/>
      <c r="T1472" s="44"/>
      <c r="U1472" s="44"/>
    </row>
    <row r="1473">
      <c r="A1473" s="48" t="s">
        <v>11048</v>
      </c>
      <c r="B1473" s="44"/>
      <c r="C1473" s="48" t="s">
        <v>11049</v>
      </c>
      <c r="D1473" s="44"/>
      <c r="E1473" s="48" t="s">
        <v>5561</v>
      </c>
      <c r="F1473" s="48" t="s">
        <v>6988</v>
      </c>
      <c r="G1473" s="55" t="s">
        <v>96</v>
      </c>
      <c r="H1473" s="64">
        <v>0.00205</v>
      </c>
      <c r="I1473" s="44"/>
      <c r="J1473" s="44"/>
      <c r="K1473" s="44"/>
      <c r="L1473" s="44"/>
      <c r="M1473" s="44"/>
      <c r="N1473" s="44"/>
      <c r="O1473" s="44"/>
      <c r="P1473" s="44"/>
      <c r="Q1473" s="44"/>
      <c r="R1473" s="44"/>
      <c r="S1473" s="44"/>
      <c r="T1473" s="44"/>
      <c r="U1473" s="44"/>
    </row>
    <row r="1474">
      <c r="A1474" s="48" t="s">
        <v>7827</v>
      </c>
      <c r="B1474" s="44"/>
      <c r="C1474" s="48" t="s">
        <v>11050</v>
      </c>
      <c r="D1474" s="44"/>
      <c r="E1474" s="48" t="s">
        <v>5283</v>
      </c>
      <c r="F1474" s="48" t="s">
        <v>8784</v>
      </c>
      <c r="G1474" s="55" t="s">
        <v>96</v>
      </c>
      <c r="H1474" s="64">
        <v>0.00204</v>
      </c>
      <c r="I1474" s="44"/>
      <c r="J1474" s="44"/>
      <c r="K1474" s="44"/>
      <c r="L1474" s="44"/>
      <c r="M1474" s="44"/>
      <c r="N1474" s="44"/>
      <c r="O1474" s="44"/>
      <c r="P1474" s="44"/>
      <c r="Q1474" s="44"/>
      <c r="R1474" s="44"/>
      <c r="S1474" s="44"/>
      <c r="T1474" s="44"/>
      <c r="U1474" s="44"/>
    </row>
    <row r="1475">
      <c r="A1475" s="48" t="s">
        <v>11051</v>
      </c>
      <c r="B1475" s="44"/>
      <c r="C1475" s="48" t="s">
        <v>11052</v>
      </c>
      <c r="D1475" s="44"/>
      <c r="E1475" s="48" t="s">
        <v>6009</v>
      </c>
      <c r="F1475" s="48" t="s">
        <v>8784</v>
      </c>
      <c r="G1475" s="55" t="s">
        <v>96</v>
      </c>
      <c r="H1475" s="64">
        <v>0.002</v>
      </c>
      <c r="I1475" s="44"/>
      <c r="J1475" s="44"/>
      <c r="K1475" s="44"/>
      <c r="L1475" s="44"/>
      <c r="M1475" s="44"/>
      <c r="N1475" s="44"/>
      <c r="O1475" s="44"/>
      <c r="P1475" s="44"/>
      <c r="Q1475" s="44"/>
      <c r="R1475" s="44"/>
      <c r="S1475" s="44"/>
      <c r="T1475" s="44"/>
      <c r="U1475" s="44"/>
    </row>
    <row r="1476">
      <c r="A1476" s="48" t="s">
        <v>7496</v>
      </c>
      <c r="B1476" s="44"/>
      <c r="C1476" s="48" t="s">
        <v>11053</v>
      </c>
      <c r="D1476" s="44"/>
      <c r="E1476" s="48" t="s">
        <v>5434</v>
      </c>
      <c r="F1476" s="48" t="s">
        <v>8784</v>
      </c>
      <c r="G1476" s="55" t="s">
        <v>96</v>
      </c>
      <c r="H1476" s="64">
        <v>0.00198</v>
      </c>
      <c r="I1476" s="44"/>
      <c r="J1476" s="44"/>
      <c r="K1476" s="44"/>
      <c r="L1476" s="44"/>
      <c r="M1476" s="44"/>
      <c r="N1476" s="44"/>
      <c r="O1476" s="44"/>
      <c r="P1476" s="44"/>
      <c r="Q1476" s="44"/>
      <c r="R1476" s="44"/>
      <c r="S1476" s="44"/>
      <c r="T1476" s="44"/>
      <c r="U1476" s="44"/>
    </row>
    <row r="1477">
      <c r="A1477" s="48" t="s">
        <v>11054</v>
      </c>
      <c r="B1477" s="44"/>
      <c r="C1477" s="48" t="s">
        <v>11055</v>
      </c>
      <c r="D1477" s="44"/>
      <c r="E1477" s="48" t="s">
        <v>5341</v>
      </c>
      <c r="F1477" s="48" t="s">
        <v>8784</v>
      </c>
      <c r="G1477" s="55" t="s">
        <v>96</v>
      </c>
      <c r="H1477" s="64">
        <v>0.00196</v>
      </c>
      <c r="I1477" s="44"/>
      <c r="J1477" s="44"/>
      <c r="K1477" s="44"/>
      <c r="L1477" s="44"/>
      <c r="M1477" s="44"/>
      <c r="N1477" s="44"/>
      <c r="O1477" s="44"/>
      <c r="P1477" s="44"/>
      <c r="Q1477" s="44"/>
      <c r="R1477" s="44"/>
      <c r="S1477" s="44"/>
      <c r="T1477" s="44"/>
      <c r="U1477" s="44"/>
    </row>
    <row r="1478">
      <c r="A1478" s="48" t="s">
        <v>11056</v>
      </c>
      <c r="B1478" s="44"/>
      <c r="C1478" s="48" t="s">
        <v>11057</v>
      </c>
      <c r="D1478" s="44"/>
      <c r="E1478" s="48" t="s">
        <v>5675</v>
      </c>
      <c r="F1478" s="48" t="s">
        <v>5941</v>
      </c>
      <c r="G1478" s="55" t="s">
        <v>96</v>
      </c>
      <c r="H1478" s="64">
        <v>0.00193</v>
      </c>
      <c r="I1478" s="44"/>
      <c r="J1478" s="44"/>
      <c r="K1478" s="44"/>
      <c r="L1478" s="44"/>
      <c r="M1478" s="44"/>
      <c r="N1478" s="44"/>
      <c r="O1478" s="44"/>
      <c r="P1478" s="44"/>
      <c r="Q1478" s="44"/>
      <c r="R1478" s="44"/>
      <c r="S1478" s="44"/>
      <c r="T1478" s="44"/>
      <c r="U1478" s="44"/>
    </row>
    <row r="1479">
      <c r="A1479" s="48" t="s">
        <v>11058</v>
      </c>
      <c r="B1479" s="44"/>
      <c r="C1479" s="48" t="s">
        <v>11059</v>
      </c>
      <c r="D1479" s="44"/>
      <c r="E1479" s="48" t="s">
        <v>5459</v>
      </c>
      <c r="F1479" s="48" t="s">
        <v>6698</v>
      </c>
      <c r="G1479" s="55" t="s">
        <v>96</v>
      </c>
      <c r="H1479" s="64">
        <v>0.00193</v>
      </c>
      <c r="I1479" s="44"/>
      <c r="J1479" s="44"/>
      <c r="K1479" s="44"/>
      <c r="L1479" s="44"/>
      <c r="M1479" s="44"/>
      <c r="N1479" s="44"/>
      <c r="O1479" s="44"/>
      <c r="P1479" s="44"/>
      <c r="Q1479" s="44"/>
      <c r="R1479" s="44"/>
      <c r="S1479" s="44"/>
      <c r="T1479" s="44"/>
      <c r="U1479" s="44"/>
    </row>
    <row r="1480">
      <c r="A1480" s="48" t="s">
        <v>11060</v>
      </c>
      <c r="B1480" s="44"/>
      <c r="C1480" s="48" t="s">
        <v>11061</v>
      </c>
      <c r="D1480" s="44"/>
      <c r="E1480" s="48" t="s">
        <v>5431</v>
      </c>
      <c r="F1480" s="48" t="s">
        <v>6220</v>
      </c>
      <c r="G1480" s="55" t="s">
        <v>96</v>
      </c>
      <c r="H1480" s="64">
        <v>0.00193</v>
      </c>
      <c r="I1480" s="44"/>
      <c r="J1480" s="44"/>
      <c r="K1480" s="44"/>
      <c r="L1480" s="44"/>
      <c r="M1480" s="44"/>
      <c r="N1480" s="44"/>
      <c r="O1480" s="44"/>
      <c r="P1480" s="44"/>
      <c r="Q1480" s="44"/>
      <c r="R1480" s="44"/>
      <c r="S1480" s="44"/>
      <c r="T1480" s="44"/>
      <c r="U1480" s="44"/>
    </row>
    <row r="1481">
      <c r="A1481" s="48" t="s">
        <v>11062</v>
      </c>
      <c r="B1481" s="44"/>
      <c r="C1481" s="48" t="s">
        <v>11063</v>
      </c>
      <c r="D1481" s="44"/>
      <c r="E1481" s="48" t="s">
        <v>5241</v>
      </c>
      <c r="F1481" s="48" t="s">
        <v>5941</v>
      </c>
      <c r="G1481" s="55" t="s">
        <v>96</v>
      </c>
      <c r="H1481" s="64">
        <v>0.0019</v>
      </c>
      <c r="I1481" s="44"/>
      <c r="J1481" s="44"/>
      <c r="K1481" s="44"/>
      <c r="L1481" s="44"/>
      <c r="M1481" s="44"/>
      <c r="N1481" s="44"/>
      <c r="O1481" s="44"/>
      <c r="P1481" s="44"/>
      <c r="Q1481" s="44"/>
      <c r="R1481" s="44"/>
      <c r="S1481" s="44"/>
      <c r="T1481" s="44"/>
      <c r="U1481" s="44"/>
    </row>
    <row r="1482">
      <c r="A1482" s="48" t="s">
        <v>11064</v>
      </c>
      <c r="B1482" s="44"/>
      <c r="C1482" s="48" t="s">
        <v>11065</v>
      </c>
      <c r="D1482" s="44"/>
      <c r="E1482" s="48" t="s">
        <v>5335</v>
      </c>
      <c r="F1482" s="48" t="s">
        <v>8784</v>
      </c>
      <c r="G1482" s="55" t="s">
        <v>96</v>
      </c>
      <c r="H1482" s="64">
        <v>0.00188</v>
      </c>
      <c r="I1482" s="44"/>
      <c r="J1482" s="44"/>
      <c r="K1482" s="44"/>
      <c r="L1482" s="44"/>
      <c r="M1482" s="44"/>
      <c r="N1482" s="44"/>
      <c r="O1482" s="44"/>
      <c r="P1482" s="44"/>
      <c r="Q1482" s="44"/>
      <c r="R1482" s="44"/>
      <c r="S1482" s="44"/>
      <c r="T1482" s="44"/>
      <c r="U1482" s="44"/>
    </row>
    <row r="1483">
      <c r="A1483" s="48" t="s">
        <v>11066</v>
      </c>
      <c r="B1483" s="44"/>
      <c r="C1483" s="48" t="s">
        <v>11067</v>
      </c>
      <c r="D1483" s="44"/>
      <c r="E1483" s="48" t="s">
        <v>5682</v>
      </c>
      <c r="F1483" s="48" t="s">
        <v>4340</v>
      </c>
      <c r="G1483" s="55" t="s">
        <v>96</v>
      </c>
      <c r="H1483" s="64">
        <v>0.00187</v>
      </c>
      <c r="I1483" s="44"/>
      <c r="J1483" s="44"/>
      <c r="K1483" s="44"/>
      <c r="L1483" s="44"/>
      <c r="M1483" s="44"/>
      <c r="N1483" s="44"/>
      <c r="O1483" s="44"/>
      <c r="P1483" s="44"/>
      <c r="Q1483" s="44"/>
      <c r="R1483" s="44"/>
      <c r="S1483" s="44"/>
      <c r="T1483" s="44"/>
      <c r="U1483" s="44"/>
    </row>
    <row r="1484">
      <c r="A1484" s="48" t="s">
        <v>11068</v>
      </c>
      <c r="B1484" s="44"/>
      <c r="C1484" s="48" t="s">
        <v>11069</v>
      </c>
      <c r="D1484" s="44"/>
      <c r="E1484" s="48" t="s">
        <v>5550</v>
      </c>
      <c r="F1484" s="48" t="s">
        <v>8784</v>
      </c>
      <c r="G1484" s="55" t="s">
        <v>96</v>
      </c>
      <c r="H1484" s="64">
        <v>0.00187</v>
      </c>
      <c r="I1484" s="44"/>
      <c r="J1484" s="44"/>
      <c r="K1484" s="44"/>
      <c r="L1484" s="44"/>
      <c r="M1484" s="44"/>
      <c r="N1484" s="44"/>
      <c r="O1484" s="44"/>
      <c r="P1484" s="44"/>
      <c r="Q1484" s="44"/>
      <c r="R1484" s="44"/>
      <c r="S1484" s="44"/>
      <c r="T1484" s="44"/>
      <c r="U1484" s="44"/>
    </row>
    <row r="1485">
      <c r="A1485" s="48" t="s">
        <v>11070</v>
      </c>
      <c r="B1485" s="44"/>
      <c r="C1485" s="48" t="s">
        <v>11071</v>
      </c>
      <c r="D1485" s="44"/>
      <c r="E1485" s="48" t="s">
        <v>5467</v>
      </c>
      <c r="F1485" s="48" t="s">
        <v>8784</v>
      </c>
      <c r="G1485" s="55" t="s">
        <v>96</v>
      </c>
      <c r="H1485" s="64">
        <v>0.00186</v>
      </c>
      <c r="I1485" s="44"/>
      <c r="J1485" s="44"/>
      <c r="K1485" s="44"/>
      <c r="L1485" s="44"/>
      <c r="M1485" s="44"/>
      <c r="N1485" s="44"/>
      <c r="O1485" s="44"/>
      <c r="P1485" s="44"/>
      <c r="Q1485" s="44"/>
      <c r="R1485" s="44"/>
      <c r="S1485" s="44"/>
      <c r="T1485" s="44"/>
      <c r="U1485" s="44"/>
    </row>
    <row r="1486">
      <c r="A1486" s="48" t="s">
        <v>11072</v>
      </c>
      <c r="B1486" s="44"/>
      <c r="C1486" s="48" t="s">
        <v>11073</v>
      </c>
      <c r="D1486" s="44"/>
      <c r="E1486" s="48" t="s">
        <v>8951</v>
      </c>
      <c r="F1486" s="48" t="s">
        <v>8784</v>
      </c>
      <c r="G1486" s="55" t="s">
        <v>96</v>
      </c>
      <c r="H1486" s="64">
        <v>0.00186</v>
      </c>
      <c r="I1486" s="44"/>
      <c r="J1486" s="44"/>
      <c r="K1486" s="44"/>
      <c r="L1486" s="44"/>
      <c r="M1486" s="44"/>
      <c r="N1486" s="44"/>
      <c r="O1486" s="44"/>
      <c r="P1486" s="44"/>
      <c r="Q1486" s="44"/>
      <c r="R1486" s="44"/>
      <c r="S1486" s="44"/>
      <c r="T1486" s="44"/>
      <c r="U1486" s="44"/>
    </row>
    <row r="1487">
      <c r="A1487" s="48" t="s">
        <v>11074</v>
      </c>
      <c r="B1487" s="44"/>
      <c r="C1487" s="48" t="s">
        <v>11075</v>
      </c>
      <c r="D1487" s="44"/>
      <c r="E1487" s="48" t="s">
        <v>5561</v>
      </c>
      <c r="F1487" s="48" t="s">
        <v>6210</v>
      </c>
      <c r="G1487" s="55" t="s">
        <v>96</v>
      </c>
      <c r="H1487" s="64">
        <v>0.00183</v>
      </c>
      <c r="I1487" s="44"/>
      <c r="J1487" s="44"/>
      <c r="K1487" s="44"/>
      <c r="L1487" s="44"/>
      <c r="M1487" s="44"/>
      <c r="N1487" s="44"/>
      <c r="O1487" s="44"/>
      <c r="P1487" s="44"/>
      <c r="Q1487" s="44"/>
      <c r="R1487" s="44"/>
      <c r="S1487" s="44"/>
      <c r="T1487" s="44"/>
      <c r="U1487" s="44"/>
    </row>
    <row r="1488">
      <c r="A1488" s="48" t="s">
        <v>11076</v>
      </c>
      <c r="B1488" s="44"/>
      <c r="C1488" s="48" t="s">
        <v>11043</v>
      </c>
      <c r="D1488" s="44"/>
      <c r="E1488" s="48" t="s">
        <v>5513</v>
      </c>
      <c r="F1488" s="48" t="s">
        <v>5747</v>
      </c>
      <c r="G1488" s="55" t="s">
        <v>96</v>
      </c>
      <c r="H1488" s="64">
        <v>0.00182</v>
      </c>
      <c r="I1488" s="44"/>
      <c r="J1488" s="44"/>
      <c r="K1488" s="44"/>
      <c r="L1488" s="44"/>
      <c r="M1488" s="44"/>
      <c r="N1488" s="44"/>
      <c r="O1488" s="44"/>
      <c r="P1488" s="44"/>
      <c r="Q1488" s="44"/>
      <c r="R1488" s="44"/>
      <c r="S1488" s="44"/>
      <c r="T1488" s="44"/>
      <c r="U1488" s="44"/>
    </row>
    <row r="1489">
      <c r="A1489" s="48" t="s">
        <v>11077</v>
      </c>
      <c r="B1489" s="44"/>
      <c r="C1489" s="48" t="s">
        <v>11078</v>
      </c>
      <c r="D1489" s="44"/>
      <c r="E1489" s="48" t="s">
        <v>6801</v>
      </c>
      <c r="F1489" s="48" t="s">
        <v>8784</v>
      </c>
      <c r="G1489" s="55" t="s">
        <v>96</v>
      </c>
      <c r="H1489" s="64">
        <v>0.00182</v>
      </c>
      <c r="I1489" s="44"/>
      <c r="J1489" s="44"/>
      <c r="K1489" s="44"/>
      <c r="L1489" s="44"/>
      <c r="M1489" s="44"/>
      <c r="N1489" s="44"/>
      <c r="O1489" s="44"/>
      <c r="P1489" s="44"/>
      <c r="Q1489" s="44"/>
      <c r="R1489" s="44"/>
      <c r="S1489" s="44"/>
      <c r="T1489" s="44"/>
      <c r="U1489" s="44"/>
    </row>
    <row r="1490">
      <c r="A1490" s="48" t="s">
        <v>11079</v>
      </c>
      <c r="B1490" s="44"/>
      <c r="C1490" s="48" t="s">
        <v>11080</v>
      </c>
      <c r="D1490" s="44"/>
      <c r="E1490" s="48" t="s">
        <v>5561</v>
      </c>
      <c r="F1490" s="48" t="s">
        <v>9513</v>
      </c>
      <c r="G1490" s="55" t="s">
        <v>96</v>
      </c>
      <c r="H1490" s="64">
        <v>0.0018</v>
      </c>
      <c r="I1490" s="44"/>
      <c r="J1490" s="44"/>
      <c r="K1490" s="44"/>
      <c r="L1490" s="44"/>
      <c r="M1490" s="44"/>
      <c r="N1490" s="44"/>
      <c r="O1490" s="44"/>
      <c r="P1490" s="44"/>
      <c r="Q1490" s="44"/>
      <c r="R1490" s="44"/>
      <c r="S1490" s="44"/>
      <c r="T1490" s="44"/>
      <c r="U1490" s="44"/>
    </row>
    <row r="1491">
      <c r="A1491" s="48" t="s">
        <v>6260</v>
      </c>
      <c r="B1491" s="44"/>
      <c r="C1491" s="48" t="s">
        <v>11043</v>
      </c>
      <c r="D1491" s="44"/>
      <c r="E1491" s="48" t="s">
        <v>5513</v>
      </c>
      <c r="F1491" s="48" t="s">
        <v>5747</v>
      </c>
      <c r="G1491" s="55" t="s">
        <v>96</v>
      </c>
      <c r="H1491" s="64">
        <v>0.00179</v>
      </c>
      <c r="I1491" s="44"/>
      <c r="J1491" s="44"/>
      <c r="K1491" s="44"/>
      <c r="L1491" s="44"/>
      <c r="M1491" s="44"/>
      <c r="N1491" s="44"/>
      <c r="O1491" s="44"/>
      <c r="P1491" s="44"/>
      <c r="Q1491" s="44"/>
      <c r="R1491" s="44"/>
      <c r="S1491" s="44"/>
      <c r="T1491" s="44"/>
      <c r="U1491" s="44"/>
    </row>
    <row r="1492">
      <c r="A1492" s="48" t="s">
        <v>11081</v>
      </c>
      <c r="B1492" s="44"/>
      <c r="C1492" s="48" t="s">
        <v>11082</v>
      </c>
      <c r="D1492" s="44"/>
      <c r="E1492" s="48" t="s">
        <v>5434</v>
      </c>
      <c r="F1492" s="48" t="s">
        <v>4340</v>
      </c>
      <c r="G1492" s="55" t="s">
        <v>96</v>
      </c>
      <c r="H1492" s="64">
        <v>0.00177</v>
      </c>
      <c r="I1492" s="44"/>
      <c r="J1492" s="44"/>
      <c r="K1492" s="44"/>
      <c r="L1492" s="44"/>
      <c r="M1492" s="44"/>
      <c r="N1492" s="44"/>
      <c r="O1492" s="44"/>
      <c r="P1492" s="44"/>
      <c r="Q1492" s="44"/>
      <c r="R1492" s="44"/>
      <c r="S1492" s="44"/>
      <c r="T1492" s="44"/>
      <c r="U1492" s="44"/>
    </row>
    <row r="1493">
      <c r="A1493" s="48" t="s">
        <v>11083</v>
      </c>
      <c r="B1493" s="44"/>
      <c r="C1493" s="48" t="s">
        <v>11084</v>
      </c>
      <c r="D1493" s="44"/>
      <c r="E1493" s="48" t="s">
        <v>5715</v>
      </c>
      <c r="F1493" s="48" t="s">
        <v>4340</v>
      </c>
      <c r="G1493" s="55" t="s">
        <v>96</v>
      </c>
      <c r="H1493" s="64">
        <v>0.00177</v>
      </c>
      <c r="I1493" s="44"/>
      <c r="J1493" s="44"/>
      <c r="K1493" s="44"/>
      <c r="L1493" s="44"/>
      <c r="M1493" s="44"/>
      <c r="N1493" s="44"/>
      <c r="O1493" s="44"/>
      <c r="P1493" s="44"/>
      <c r="Q1493" s="44"/>
      <c r="R1493" s="44"/>
      <c r="S1493" s="44"/>
      <c r="T1493" s="44"/>
      <c r="U1493" s="44"/>
    </row>
    <row r="1494">
      <c r="A1494" s="48" t="s">
        <v>7530</v>
      </c>
      <c r="B1494" s="44"/>
      <c r="C1494" s="48" t="s">
        <v>7531</v>
      </c>
      <c r="D1494" s="44"/>
      <c r="E1494" s="48" t="s">
        <v>5232</v>
      </c>
      <c r="F1494" s="48" t="s">
        <v>6988</v>
      </c>
      <c r="G1494" s="55" t="s">
        <v>96</v>
      </c>
      <c r="H1494" s="64">
        <v>0.00176</v>
      </c>
      <c r="I1494" s="44"/>
      <c r="J1494" s="44"/>
      <c r="K1494" s="44"/>
      <c r="L1494" s="44"/>
      <c r="M1494" s="44"/>
      <c r="N1494" s="44"/>
      <c r="O1494" s="44"/>
      <c r="P1494" s="44"/>
      <c r="Q1494" s="44"/>
      <c r="R1494" s="44"/>
      <c r="S1494" s="44"/>
      <c r="T1494" s="44"/>
      <c r="U1494" s="44"/>
    </row>
    <row r="1495">
      <c r="A1495" s="48" t="s">
        <v>11085</v>
      </c>
      <c r="B1495" s="44"/>
      <c r="C1495" s="48" t="s">
        <v>11086</v>
      </c>
      <c r="D1495" s="44"/>
      <c r="E1495" s="48" t="s">
        <v>5855</v>
      </c>
      <c r="F1495" s="48" t="s">
        <v>8784</v>
      </c>
      <c r="G1495" s="55" t="s">
        <v>96</v>
      </c>
      <c r="H1495" s="64">
        <v>0.0017</v>
      </c>
      <c r="I1495" s="44"/>
      <c r="J1495" s="44"/>
      <c r="K1495" s="44"/>
      <c r="L1495" s="44"/>
      <c r="M1495" s="44"/>
      <c r="N1495" s="44"/>
      <c r="O1495" s="44"/>
      <c r="P1495" s="44"/>
      <c r="Q1495" s="44"/>
      <c r="R1495" s="44"/>
      <c r="S1495" s="44"/>
      <c r="T1495" s="44"/>
      <c r="U1495" s="44"/>
    </row>
    <row r="1496">
      <c r="A1496" s="48" t="s">
        <v>11087</v>
      </c>
      <c r="B1496" s="44"/>
      <c r="C1496" s="48" t="s">
        <v>11088</v>
      </c>
      <c r="D1496" s="44"/>
      <c r="E1496" s="48" t="s">
        <v>5341</v>
      </c>
      <c r="F1496" s="48" t="s">
        <v>6220</v>
      </c>
      <c r="G1496" s="55" t="s">
        <v>96</v>
      </c>
      <c r="H1496" s="64">
        <v>0.00169</v>
      </c>
      <c r="I1496" s="44"/>
      <c r="J1496" s="44"/>
      <c r="K1496" s="44"/>
      <c r="L1496" s="44"/>
      <c r="M1496" s="44"/>
      <c r="N1496" s="44"/>
      <c r="O1496" s="44"/>
      <c r="P1496" s="44"/>
      <c r="Q1496" s="44"/>
      <c r="R1496" s="44"/>
      <c r="S1496" s="44"/>
      <c r="T1496" s="44"/>
      <c r="U1496" s="44"/>
    </row>
    <row r="1497">
      <c r="A1497" s="48" t="s">
        <v>11089</v>
      </c>
      <c r="B1497" s="44"/>
      <c r="C1497" s="48" t="s">
        <v>11090</v>
      </c>
      <c r="D1497" s="44"/>
      <c r="E1497" s="48" t="s">
        <v>5215</v>
      </c>
      <c r="F1497" s="48" t="s">
        <v>6220</v>
      </c>
      <c r="G1497" s="55" t="s">
        <v>96</v>
      </c>
      <c r="H1497" s="64">
        <v>0.00168</v>
      </c>
      <c r="I1497" s="44"/>
      <c r="J1497" s="44"/>
      <c r="K1497" s="44"/>
      <c r="L1497" s="44"/>
      <c r="M1497" s="44"/>
      <c r="N1497" s="44"/>
      <c r="O1497" s="44"/>
      <c r="P1497" s="44"/>
      <c r="Q1497" s="44"/>
      <c r="R1497" s="44"/>
      <c r="S1497" s="44"/>
      <c r="T1497" s="44"/>
      <c r="U1497" s="44"/>
    </row>
    <row r="1498">
      <c r="A1498" s="48" t="s">
        <v>11091</v>
      </c>
      <c r="B1498" s="44"/>
      <c r="C1498" s="48" t="s">
        <v>11092</v>
      </c>
      <c r="D1498" s="44"/>
      <c r="E1498" s="48" t="s">
        <v>9478</v>
      </c>
      <c r="F1498" s="48" t="s">
        <v>8784</v>
      </c>
      <c r="G1498" s="55" t="s">
        <v>96</v>
      </c>
      <c r="H1498" s="64">
        <v>0.00167</v>
      </c>
      <c r="I1498" s="44"/>
      <c r="J1498" s="44"/>
      <c r="K1498" s="44"/>
      <c r="L1498" s="44"/>
      <c r="M1498" s="44"/>
      <c r="N1498" s="44"/>
      <c r="O1498" s="44"/>
      <c r="P1498" s="44"/>
      <c r="Q1498" s="44"/>
      <c r="R1498" s="44"/>
      <c r="S1498" s="44"/>
      <c r="T1498" s="44"/>
      <c r="U1498" s="44"/>
    </row>
    <row r="1499">
      <c r="A1499" s="48" t="s">
        <v>11093</v>
      </c>
      <c r="B1499" s="44"/>
      <c r="C1499" s="48" t="s">
        <v>11094</v>
      </c>
      <c r="D1499" s="44"/>
      <c r="E1499" s="48" t="s">
        <v>5218</v>
      </c>
      <c r="F1499" s="48" t="s">
        <v>8767</v>
      </c>
      <c r="G1499" s="55" t="s">
        <v>96</v>
      </c>
      <c r="H1499" s="64">
        <v>0.00166</v>
      </c>
      <c r="I1499" s="44"/>
      <c r="J1499" s="44"/>
      <c r="K1499" s="44"/>
      <c r="L1499" s="44"/>
      <c r="M1499" s="44"/>
      <c r="N1499" s="44"/>
      <c r="O1499" s="44"/>
      <c r="P1499" s="44"/>
      <c r="Q1499" s="44"/>
      <c r="R1499" s="44"/>
      <c r="S1499" s="44"/>
      <c r="T1499" s="44"/>
      <c r="U1499" s="44"/>
    </row>
    <row r="1500">
      <c r="A1500" s="48" t="s">
        <v>11095</v>
      </c>
      <c r="B1500" s="44"/>
      <c r="C1500" s="48" t="s">
        <v>11096</v>
      </c>
      <c r="D1500" s="44"/>
      <c r="E1500" s="48" t="s">
        <v>5404</v>
      </c>
      <c r="F1500" s="48" t="s">
        <v>8784</v>
      </c>
      <c r="G1500" s="55" t="s">
        <v>96</v>
      </c>
      <c r="H1500" s="64">
        <v>0.00166</v>
      </c>
      <c r="I1500" s="44"/>
      <c r="J1500" s="44"/>
      <c r="K1500" s="44"/>
      <c r="L1500" s="44"/>
      <c r="M1500" s="44"/>
      <c r="N1500" s="44"/>
      <c r="O1500" s="44"/>
      <c r="P1500" s="44"/>
      <c r="Q1500" s="44"/>
      <c r="R1500" s="44"/>
      <c r="S1500" s="44"/>
      <c r="T1500" s="44"/>
      <c r="U1500" s="44"/>
    </row>
    <row r="1501">
      <c r="A1501" s="48" t="s">
        <v>5355</v>
      </c>
      <c r="B1501" s="44"/>
      <c r="C1501" s="48" t="s">
        <v>11097</v>
      </c>
      <c r="D1501" s="44"/>
      <c r="E1501" s="48" t="s">
        <v>6157</v>
      </c>
      <c r="F1501" s="48" t="s">
        <v>5747</v>
      </c>
      <c r="G1501" s="55" t="s">
        <v>96</v>
      </c>
      <c r="H1501" s="64">
        <v>0.00163</v>
      </c>
      <c r="I1501" s="44"/>
      <c r="J1501" s="44"/>
      <c r="K1501" s="44"/>
      <c r="L1501" s="44"/>
      <c r="M1501" s="44"/>
      <c r="N1501" s="44"/>
      <c r="O1501" s="44"/>
      <c r="P1501" s="44"/>
      <c r="Q1501" s="44"/>
      <c r="R1501" s="44"/>
      <c r="S1501" s="44"/>
      <c r="T1501" s="44"/>
      <c r="U1501" s="44"/>
    </row>
    <row r="1502">
      <c r="A1502" s="48" t="s">
        <v>11098</v>
      </c>
      <c r="B1502" s="44"/>
      <c r="C1502" s="48" t="s">
        <v>11099</v>
      </c>
      <c r="D1502" s="44"/>
      <c r="E1502" s="48" t="s">
        <v>5961</v>
      </c>
      <c r="F1502" s="48" t="s">
        <v>8784</v>
      </c>
      <c r="G1502" s="55" t="s">
        <v>96</v>
      </c>
      <c r="H1502" s="64">
        <v>0.00163</v>
      </c>
      <c r="I1502" s="44"/>
      <c r="J1502" s="44"/>
      <c r="K1502" s="44"/>
      <c r="L1502" s="44"/>
      <c r="M1502" s="44"/>
      <c r="N1502" s="44"/>
      <c r="O1502" s="44"/>
      <c r="P1502" s="44"/>
      <c r="Q1502" s="44"/>
      <c r="R1502" s="44"/>
      <c r="S1502" s="44"/>
      <c r="T1502" s="44"/>
      <c r="U1502" s="44"/>
    </row>
    <row r="1503">
      <c r="A1503" s="48" t="s">
        <v>11100</v>
      </c>
      <c r="B1503" s="44"/>
      <c r="C1503" s="48" t="s">
        <v>11101</v>
      </c>
      <c r="D1503" s="44"/>
      <c r="E1503" s="48" t="s">
        <v>5390</v>
      </c>
      <c r="F1503" s="48" t="s">
        <v>9513</v>
      </c>
      <c r="G1503" s="55" t="s">
        <v>96</v>
      </c>
      <c r="H1503" s="64">
        <v>0.00162</v>
      </c>
      <c r="I1503" s="44"/>
      <c r="J1503" s="44"/>
      <c r="K1503" s="44"/>
      <c r="L1503" s="44"/>
      <c r="M1503" s="44"/>
      <c r="N1503" s="44"/>
      <c r="O1503" s="44"/>
      <c r="P1503" s="44"/>
      <c r="Q1503" s="44"/>
      <c r="R1503" s="44"/>
      <c r="S1503" s="44"/>
      <c r="T1503" s="44"/>
      <c r="U1503" s="44"/>
    </row>
    <row r="1504">
      <c r="A1504" s="48" t="s">
        <v>11102</v>
      </c>
      <c r="B1504" s="44"/>
      <c r="C1504" s="48" t="s">
        <v>11103</v>
      </c>
      <c r="D1504" s="44"/>
      <c r="E1504" s="48" t="s">
        <v>5462</v>
      </c>
      <c r="F1504" s="48" t="s">
        <v>6220</v>
      </c>
      <c r="G1504" s="55" t="s">
        <v>96</v>
      </c>
      <c r="H1504" s="64">
        <v>0.00162</v>
      </c>
      <c r="I1504" s="44"/>
      <c r="J1504" s="44"/>
      <c r="K1504" s="44"/>
      <c r="L1504" s="44"/>
      <c r="M1504" s="44"/>
      <c r="N1504" s="44"/>
      <c r="O1504" s="44"/>
      <c r="P1504" s="44"/>
      <c r="Q1504" s="44"/>
      <c r="R1504" s="44"/>
      <c r="S1504" s="44"/>
      <c r="T1504" s="44"/>
      <c r="U1504" s="44"/>
    </row>
    <row r="1505">
      <c r="A1505" s="48" t="s">
        <v>11104</v>
      </c>
      <c r="B1505" s="44"/>
      <c r="C1505" s="48" t="s">
        <v>11105</v>
      </c>
      <c r="D1505" s="44"/>
      <c r="E1505" s="48" t="s">
        <v>5561</v>
      </c>
      <c r="F1505" s="48" t="s">
        <v>4095</v>
      </c>
      <c r="G1505" s="55" t="s">
        <v>96</v>
      </c>
      <c r="H1505" s="64">
        <v>0.00162</v>
      </c>
      <c r="I1505" s="44"/>
      <c r="J1505" s="44"/>
      <c r="K1505" s="44"/>
      <c r="L1505" s="44"/>
      <c r="M1505" s="44"/>
      <c r="N1505" s="44"/>
      <c r="O1505" s="44"/>
      <c r="P1505" s="44"/>
      <c r="Q1505" s="44"/>
      <c r="R1505" s="44"/>
      <c r="S1505" s="44"/>
      <c r="T1505" s="44"/>
      <c r="U1505" s="44"/>
    </row>
    <row r="1506">
      <c r="A1506" s="48" t="s">
        <v>7861</v>
      </c>
      <c r="B1506" s="44"/>
      <c r="C1506" s="48" t="s">
        <v>7862</v>
      </c>
      <c r="D1506" s="44"/>
      <c r="E1506" s="48" t="s">
        <v>5964</v>
      </c>
      <c r="F1506" s="48" t="s">
        <v>4340</v>
      </c>
      <c r="G1506" s="55" t="s">
        <v>96</v>
      </c>
      <c r="H1506" s="64">
        <v>0.00161</v>
      </c>
      <c r="I1506" s="44"/>
      <c r="J1506" s="44"/>
      <c r="K1506" s="44"/>
      <c r="L1506" s="44"/>
      <c r="M1506" s="44"/>
      <c r="N1506" s="44"/>
      <c r="O1506" s="44"/>
      <c r="P1506" s="44"/>
      <c r="Q1506" s="44"/>
      <c r="R1506" s="44"/>
      <c r="S1506" s="44"/>
      <c r="T1506" s="44"/>
      <c r="U1506" s="44"/>
    </row>
    <row r="1507">
      <c r="A1507" s="48" t="s">
        <v>11106</v>
      </c>
      <c r="B1507" s="44"/>
      <c r="C1507" s="48" t="s">
        <v>11107</v>
      </c>
      <c r="D1507" s="44"/>
      <c r="E1507" s="48" t="s">
        <v>5478</v>
      </c>
      <c r="F1507" s="48" t="s">
        <v>8784</v>
      </c>
      <c r="G1507" s="55" t="s">
        <v>96</v>
      </c>
      <c r="H1507" s="64">
        <v>0.0016</v>
      </c>
      <c r="I1507" s="44"/>
      <c r="J1507" s="44"/>
      <c r="K1507" s="44"/>
      <c r="L1507" s="44"/>
      <c r="M1507" s="44"/>
      <c r="N1507" s="44"/>
      <c r="O1507" s="44"/>
      <c r="P1507" s="44"/>
      <c r="Q1507" s="44"/>
      <c r="R1507" s="44"/>
      <c r="S1507" s="44"/>
      <c r="T1507" s="44"/>
      <c r="U1507" s="44"/>
    </row>
    <row r="1508">
      <c r="A1508" s="48" t="s">
        <v>11108</v>
      </c>
      <c r="B1508" s="44"/>
      <c r="C1508" s="48" t="s">
        <v>11109</v>
      </c>
      <c r="D1508" s="44"/>
      <c r="E1508" s="48" t="s">
        <v>5964</v>
      </c>
      <c r="F1508" s="48" t="s">
        <v>8784</v>
      </c>
      <c r="G1508" s="55" t="s">
        <v>96</v>
      </c>
      <c r="H1508" s="64">
        <v>0.0016</v>
      </c>
      <c r="I1508" s="44"/>
      <c r="J1508" s="44"/>
      <c r="K1508" s="44"/>
      <c r="L1508" s="44"/>
      <c r="M1508" s="44"/>
      <c r="N1508" s="44"/>
      <c r="O1508" s="44"/>
      <c r="P1508" s="44"/>
      <c r="Q1508" s="44"/>
      <c r="R1508" s="44"/>
      <c r="S1508" s="44"/>
      <c r="T1508" s="44"/>
      <c r="U1508" s="44"/>
    </row>
    <row r="1509">
      <c r="A1509" s="48" t="s">
        <v>11110</v>
      </c>
      <c r="B1509" s="44"/>
      <c r="C1509" s="48" t="s">
        <v>11111</v>
      </c>
      <c r="D1509" s="44"/>
      <c r="E1509" s="48" t="s">
        <v>5704</v>
      </c>
      <c r="F1509" s="48" t="s">
        <v>8784</v>
      </c>
      <c r="G1509" s="55" t="s">
        <v>96</v>
      </c>
      <c r="H1509" s="64">
        <v>0.00158</v>
      </c>
      <c r="I1509" s="44"/>
      <c r="J1509" s="44"/>
      <c r="K1509" s="44"/>
      <c r="L1509" s="44"/>
      <c r="M1509" s="44"/>
      <c r="N1509" s="44"/>
      <c r="O1509" s="44"/>
      <c r="P1509" s="44"/>
      <c r="Q1509" s="44"/>
      <c r="R1509" s="44"/>
      <c r="S1509" s="44"/>
      <c r="T1509" s="44"/>
      <c r="U1509" s="44"/>
    </row>
    <row r="1510">
      <c r="A1510" s="48" t="s">
        <v>11112</v>
      </c>
      <c r="B1510" s="44"/>
      <c r="C1510" s="48" t="s">
        <v>11113</v>
      </c>
      <c r="D1510" s="44"/>
      <c r="E1510" s="48" t="s">
        <v>5390</v>
      </c>
      <c r="F1510" s="48" t="s">
        <v>9513</v>
      </c>
      <c r="G1510" s="55" t="s">
        <v>96</v>
      </c>
      <c r="H1510" s="64">
        <v>0.00157</v>
      </c>
      <c r="I1510" s="44"/>
      <c r="J1510" s="44"/>
      <c r="K1510" s="44"/>
      <c r="L1510" s="44"/>
      <c r="M1510" s="44"/>
      <c r="N1510" s="44"/>
      <c r="O1510" s="44"/>
      <c r="P1510" s="44"/>
      <c r="Q1510" s="44"/>
      <c r="R1510" s="44"/>
      <c r="S1510" s="44"/>
      <c r="T1510" s="44"/>
      <c r="U1510" s="44"/>
    </row>
    <row r="1511">
      <c r="A1511" s="48" t="s">
        <v>11114</v>
      </c>
      <c r="B1511" s="44"/>
      <c r="C1511" s="48" t="s">
        <v>11115</v>
      </c>
      <c r="D1511" s="44"/>
      <c r="E1511" s="48" t="s">
        <v>5561</v>
      </c>
      <c r="F1511" s="48" t="s">
        <v>9513</v>
      </c>
      <c r="G1511" s="55" t="s">
        <v>96</v>
      </c>
      <c r="H1511" s="64">
        <v>0.00157</v>
      </c>
      <c r="I1511" s="44"/>
      <c r="J1511" s="44"/>
      <c r="K1511" s="44"/>
      <c r="L1511" s="44"/>
      <c r="M1511" s="44"/>
      <c r="N1511" s="44"/>
      <c r="O1511" s="44"/>
      <c r="P1511" s="44"/>
      <c r="Q1511" s="44"/>
      <c r="R1511" s="44"/>
      <c r="S1511" s="44"/>
      <c r="T1511" s="44"/>
      <c r="U1511" s="44"/>
    </row>
    <row r="1512">
      <c r="A1512" s="48" t="s">
        <v>11116</v>
      </c>
      <c r="B1512" s="44"/>
      <c r="C1512" s="48" t="s">
        <v>11117</v>
      </c>
      <c r="D1512" s="44"/>
      <c r="E1512" s="48" t="s">
        <v>6040</v>
      </c>
      <c r="F1512" s="48" t="s">
        <v>6220</v>
      </c>
      <c r="G1512" s="55" t="s">
        <v>96</v>
      </c>
      <c r="H1512" s="64">
        <v>0.00157</v>
      </c>
      <c r="I1512" s="44"/>
      <c r="J1512" s="44"/>
      <c r="K1512" s="44"/>
      <c r="L1512" s="44"/>
      <c r="M1512" s="44"/>
      <c r="N1512" s="44"/>
      <c r="O1512" s="44"/>
      <c r="P1512" s="44"/>
      <c r="Q1512" s="44"/>
      <c r="R1512" s="44"/>
      <c r="S1512" s="44"/>
      <c r="T1512" s="44"/>
      <c r="U1512" s="44"/>
    </row>
    <row r="1513">
      <c r="A1513" s="48" t="s">
        <v>11118</v>
      </c>
      <c r="B1513" s="44"/>
      <c r="C1513" s="48" t="s">
        <v>11119</v>
      </c>
      <c r="D1513" s="44"/>
      <c r="E1513" s="48" t="s">
        <v>5407</v>
      </c>
      <c r="F1513" s="48" t="s">
        <v>8784</v>
      </c>
      <c r="G1513" s="55" t="s">
        <v>96</v>
      </c>
      <c r="H1513" s="64">
        <v>0.00156</v>
      </c>
      <c r="I1513" s="44"/>
      <c r="J1513" s="44"/>
      <c r="K1513" s="44"/>
      <c r="L1513" s="44"/>
      <c r="M1513" s="44"/>
      <c r="N1513" s="44"/>
      <c r="O1513" s="44"/>
      <c r="P1513" s="44"/>
      <c r="Q1513" s="44"/>
      <c r="R1513" s="44"/>
      <c r="S1513" s="44"/>
      <c r="T1513" s="44"/>
      <c r="U1513" s="44"/>
    </row>
    <row r="1514">
      <c r="A1514" s="48" t="s">
        <v>7448</v>
      </c>
      <c r="B1514" s="44"/>
      <c r="C1514" s="48" t="s">
        <v>7449</v>
      </c>
      <c r="D1514" s="44"/>
      <c r="E1514" s="48" t="s">
        <v>5434</v>
      </c>
      <c r="F1514" s="48" t="s">
        <v>4340</v>
      </c>
      <c r="G1514" s="55" t="s">
        <v>96</v>
      </c>
      <c r="H1514" s="64">
        <v>0.00156</v>
      </c>
      <c r="I1514" s="44"/>
      <c r="J1514" s="44"/>
      <c r="K1514" s="44"/>
      <c r="L1514" s="44"/>
      <c r="M1514" s="44"/>
      <c r="N1514" s="44"/>
      <c r="O1514" s="44"/>
      <c r="P1514" s="44"/>
      <c r="Q1514" s="44"/>
      <c r="R1514" s="44"/>
      <c r="S1514" s="44"/>
      <c r="T1514" s="44"/>
      <c r="U1514" s="44"/>
    </row>
    <row r="1515">
      <c r="A1515" s="48" t="s">
        <v>11120</v>
      </c>
      <c r="B1515" s="44"/>
      <c r="C1515" s="48" t="s">
        <v>11121</v>
      </c>
      <c r="D1515" s="44"/>
      <c r="E1515" s="48" t="s">
        <v>5434</v>
      </c>
      <c r="F1515" s="48" t="s">
        <v>5941</v>
      </c>
      <c r="G1515" s="55" t="s">
        <v>96</v>
      </c>
      <c r="H1515" s="64">
        <v>0.00151</v>
      </c>
      <c r="I1515" s="44"/>
      <c r="J1515" s="44"/>
      <c r="K1515" s="44"/>
      <c r="L1515" s="44"/>
      <c r="M1515" s="44"/>
      <c r="N1515" s="44"/>
      <c r="O1515" s="44"/>
      <c r="P1515" s="44"/>
      <c r="Q1515" s="44"/>
      <c r="R1515" s="44"/>
      <c r="S1515" s="44"/>
      <c r="T1515" s="44"/>
      <c r="U1515" s="44"/>
    </row>
    <row r="1516">
      <c r="A1516" s="48" t="s">
        <v>11122</v>
      </c>
      <c r="B1516" s="44"/>
      <c r="C1516" s="48" t="s">
        <v>11123</v>
      </c>
      <c r="D1516" s="44"/>
      <c r="E1516" s="48" t="s">
        <v>5561</v>
      </c>
      <c r="F1516" s="48" t="s">
        <v>6220</v>
      </c>
      <c r="G1516" s="55" t="s">
        <v>96</v>
      </c>
      <c r="H1516" s="64">
        <v>0.0015</v>
      </c>
      <c r="I1516" s="44"/>
      <c r="J1516" s="44"/>
      <c r="K1516" s="44"/>
      <c r="L1516" s="44"/>
      <c r="M1516" s="44"/>
      <c r="N1516" s="44"/>
      <c r="O1516" s="44"/>
      <c r="P1516" s="44"/>
      <c r="Q1516" s="44"/>
      <c r="R1516" s="44"/>
      <c r="S1516" s="44"/>
      <c r="T1516" s="44"/>
      <c r="U1516" s="44"/>
    </row>
    <row r="1517">
      <c r="A1517" s="48" t="s">
        <v>11124</v>
      </c>
      <c r="B1517" s="44"/>
      <c r="C1517" s="48" t="s">
        <v>11125</v>
      </c>
      <c r="D1517" s="44"/>
      <c r="E1517" s="48" t="s">
        <v>7169</v>
      </c>
      <c r="F1517" s="48" t="s">
        <v>8784</v>
      </c>
      <c r="G1517" s="55" t="s">
        <v>96</v>
      </c>
      <c r="H1517" s="64">
        <v>0.00148</v>
      </c>
      <c r="I1517" s="44"/>
      <c r="J1517" s="44"/>
      <c r="K1517" s="44"/>
      <c r="L1517" s="44"/>
      <c r="M1517" s="44"/>
      <c r="N1517" s="44"/>
      <c r="O1517" s="44"/>
      <c r="P1517" s="44"/>
      <c r="Q1517" s="44"/>
      <c r="R1517" s="44"/>
      <c r="S1517" s="44"/>
      <c r="T1517" s="44"/>
      <c r="U1517" s="44"/>
    </row>
    <row r="1518">
      <c r="A1518" s="48" t="s">
        <v>11126</v>
      </c>
      <c r="B1518" s="44"/>
      <c r="C1518" s="48" t="s">
        <v>11127</v>
      </c>
      <c r="D1518" s="44"/>
      <c r="E1518" s="48" t="s">
        <v>5283</v>
      </c>
      <c r="F1518" s="48" t="s">
        <v>8784</v>
      </c>
      <c r="G1518" s="55" t="s">
        <v>96</v>
      </c>
      <c r="H1518" s="64">
        <v>0.00147</v>
      </c>
      <c r="I1518" s="44"/>
      <c r="J1518" s="44"/>
      <c r="K1518" s="44"/>
      <c r="L1518" s="44"/>
      <c r="M1518" s="44"/>
      <c r="N1518" s="44"/>
      <c r="O1518" s="44"/>
      <c r="P1518" s="44"/>
      <c r="Q1518" s="44"/>
      <c r="R1518" s="44"/>
      <c r="S1518" s="44"/>
      <c r="T1518" s="44"/>
      <c r="U1518" s="44"/>
    </row>
    <row r="1519">
      <c r="A1519" s="48" t="s">
        <v>11128</v>
      </c>
      <c r="B1519" s="44"/>
      <c r="C1519" s="48" t="s">
        <v>11129</v>
      </c>
      <c r="D1519" s="44"/>
      <c r="E1519" s="48" t="s">
        <v>6327</v>
      </c>
      <c r="F1519" s="48" t="s">
        <v>8784</v>
      </c>
      <c r="G1519" s="55" t="s">
        <v>96</v>
      </c>
      <c r="H1519" s="64">
        <v>0.00146</v>
      </c>
      <c r="I1519" s="44"/>
      <c r="J1519" s="44"/>
      <c r="K1519" s="44"/>
      <c r="L1519" s="44"/>
      <c r="M1519" s="44"/>
      <c r="N1519" s="44"/>
      <c r="O1519" s="44"/>
      <c r="P1519" s="44"/>
      <c r="Q1519" s="44"/>
      <c r="R1519" s="44"/>
      <c r="S1519" s="44"/>
      <c r="T1519" s="44"/>
      <c r="U1519" s="44"/>
    </row>
    <row r="1520">
      <c r="A1520" s="48" t="s">
        <v>11130</v>
      </c>
      <c r="B1520" s="44"/>
      <c r="C1520" s="48" t="s">
        <v>11131</v>
      </c>
      <c r="D1520" s="44"/>
      <c r="E1520" s="48" t="s">
        <v>5377</v>
      </c>
      <c r="F1520" s="48" t="s">
        <v>9513</v>
      </c>
      <c r="G1520" s="55" t="s">
        <v>96</v>
      </c>
      <c r="H1520" s="64">
        <v>0.00146</v>
      </c>
      <c r="I1520" s="44"/>
      <c r="J1520" s="44"/>
      <c r="K1520" s="44"/>
      <c r="L1520" s="44"/>
      <c r="M1520" s="44"/>
      <c r="N1520" s="44"/>
      <c r="O1520" s="44"/>
      <c r="P1520" s="44"/>
      <c r="Q1520" s="44"/>
      <c r="R1520" s="44"/>
      <c r="S1520" s="44"/>
      <c r="T1520" s="44"/>
      <c r="U1520" s="44"/>
    </row>
    <row r="1521">
      <c r="A1521" s="48" t="s">
        <v>11132</v>
      </c>
      <c r="B1521" s="44"/>
      <c r="C1521" s="48" t="s">
        <v>11133</v>
      </c>
      <c r="D1521" s="44"/>
      <c r="E1521" s="48" t="s">
        <v>5501</v>
      </c>
      <c r="F1521" s="48" t="s">
        <v>8784</v>
      </c>
      <c r="G1521" s="55" t="s">
        <v>96</v>
      </c>
      <c r="H1521" s="64">
        <v>0.00145</v>
      </c>
      <c r="I1521" s="44"/>
      <c r="J1521" s="44"/>
      <c r="K1521" s="44"/>
      <c r="L1521" s="44"/>
      <c r="M1521" s="44"/>
      <c r="N1521" s="44"/>
      <c r="O1521" s="44"/>
      <c r="P1521" s="44"/>
      <c r="Q1521" s="44"/>
      <c r="R1521" s="44"/>
      <c r="S1521" s="44"/>
      <c r="T1521" s="44"/>
      <c r="U1521" s="44"/>
    </row>
    <row r="1522">
      <c r="A1522" s="48" t="s">
        <v>7871</v>
      </c>
      <c r="B1522" s="44"/>
      <c r="C1522" s="48" t="s">
        <v>7872</v>
      </c>
      <c r="D1522" s="44"/>
      <c r="E1522" s="48" t="s">
        <v>5964</v>
      </c>
      <c r="F1522" s="48" t="s">
        <v>4340</v>
      </c>
      <c r="G1522" s="55" t="s">
        <v>96</v>
      </c>
      <c r="H1522" s="64">
        <v>0.00143</v>
      </c>
      <c r="I1522" s="44"/>
      <c r="J1522" s="44"/>
      <c r="K1522" s="44"/>
      <c r="L1522" s="44"/>
      <c r="M1522" s="44"/>
      <c r="N1522" s="44"/>
      <c r="O1522" s="44"/>
      <c r="P1522" s="44"/>
      <c r="Q1522" s="44"/>
      <c r="R1522" s="44"/>
      <c r="S1522" s="44"/>
      <c r="T1522" s="44"/>
      <c r="U1522" s="44"/>
    </row>
    <row r="1523">
      <c r="A1523" s="48" t="s">
        <v>6260</v>
      </c>
      <c r="B1523" s="44"/>
      <c r="C1523" s="48" t="s">
        <v>11014</v>
      </c>
      <c r="D1523" s="44"/>
      <c r="E1523" s="48" t="s">
        <v>5450</v>
      </c>
      <c r="F1523" s="48" t="s">
        <v>5747</v>
      </c>
      <c r="G1523" s="55" t="s">
        <v>96</v>
      </c>
      <c r="H1523" s="64">
        <v>0.0014</v>
      </c>
      <c r="I1523" s="44"/>
      <c r="J1523" s="44"/>
      <c r="K1523" s="44"/>
      <c r="L1523" s="44"/>
      <c r="M1523" s="44"/>
      <c r="N1523" s="44"/>
      <c r="O1523" s="44"/>
      <c r="P1523" s="44"/>
      <c r="Q1523" s="44"/>
      <c r="R1523" s="44"/>
      <c r="S1523" s="44"/>
      <c r="T1523" s="44"/>
      <c r="U1523" s="44"/>
    </row>
    <row r="1524">
      <c r="A1524" s="48" t="s">
        <v>7856</v>
      </c>
      <c r="B1524" s="44"/>
      <c r="C1524" s="48" t="s">
        <v>7857</v>
      </c>
      <c r="D1524" s="44"/>
      <c r="E1524" s="48" t="s">
        <v>5238</v>
      </c>
      <c r="F1524" s="48" t="s">
        <v>4340</v>
      </c>
      <c r="G1524" s="55" t="s">
        <v>96</v>
      </c>
      <c r="H1524" s="64">
        <v>0.0014</v>
      </c>
      <c r="I1524" s="44"/>
      <c r="J1524" s="44"/>
      <c r="K1524" s="44"/>
      <c r="L1524" s="44"/>
      <c r="M1524" s="44"/>
      <c r="N1524" s="44"/>
      <c r="O1524" s="44"/>
      <c r="P1524" s="44"/>
      <c r="Q1524" s="44"/>
      <c r="R1524" s="44"/>
      <c r="S1524" s="44"/>
      <c r="T1524" s="44"/>
      <c r="U1524" s="44"/>
    </row>
    <row r="1525">
      <c r="A1525" s="48" t="s">
        <v>11134</v>
      </c>
      <c r="B1525" s="44"/>
      <c r="C1525" s="48" t="s">
        <v>11135</v>
      </c>
      <c r="D1525" s="44"/>
      <c r="E1525" s="48" t="s">
        <v>5578</v>
      </c>
      <c r="F1525" s="48" t="s">
        <v>8784</v>
      </c>
      <c r="G1525" s="55" t="s">
        <v>96</v>
      </c>
      <c r="H1525" s="64">
        <v>0.0014</v>
      </c>
      <c r="I1525" s="44"/>
      <c r="J1525" s="44"/>
      <c r="K1525" s="44"/>
      <c r="L1525" s="44"/>
      <c r="M1525" s="44"/>
      <c r="N1525" s="44"/>
      <c r="O1525" s="44"/>
      <c r="P1525" s="44"/>
      <c r="Q1525" s="44"/>
      <c r="R1525" s="44"/>
      <c r="S1525" s="44"/>
      <c r="T1525" s="44"/>
      <c r="U1525" s="44"/>
    </row>
    <row r="1526">
      <c r="A1526" s="48" t="s">
        <v>11136</v>
      </c>
      <c r="B1526" s="44"/>
      <c r="C1526" s="48" t="s">
        <v>11137</v>
      </c>
      <c r="D1526" s="44"/>
      <c r="E1526" s="48" t="s">
        <v>5218</v>
      </c>
      <c r="F1526" s="48" t="s">
        <v>8784</v>
      </c>
      <c r="G1526" s="55" t="s">
        <v>96</v>
      </c>
      <c r="H1526" s="64">
        <v>0.00138</v>
      </c>
      <c r="I1526" s="44"/>
      <c r="J1526" s="44"/>
      <c r="K1526" s="44"/>
      <c r="L1526" s="44"/>
      <c r="M1526" s="44"/>
      <c r="N1526" s="44"/>
      <c r="O1526" s="44"/>
      <c r="P1526" s="44"/>
      <c r="Q1526" s="44"/>
      <c r="R1526" s="44"/>
      <c r="S1526" s="44"/>
      <c r="T1526" s="44"/>
      <c r="U1526" s="44"/>
    </row>
    <row r="1527">
      <c r="A1527" s="48" t="s">
        <v>11138</v>
      </c>
      <c r="B1527" s="44"/>
      <c r="C1527" s="48" t="s">
        <v>11139</v>
      </c>
      <c r="D1527" s="44"/>
      <c r="E1527" s="48" t="s">
        <v>6172</v>
      </c>
      <c r="F1527" s="48" t="s">
        <v>5941</v>
      </c>
      <c r="G1527" s="55" t="s">
        <v>96</v>
      </c>
      <c r="H1527" s="64">
        <v>0.00137</v>
      </c>
      <c r="I1527" s="44"/>
      <c r="J1527" s="44"/>
      <c r="K1527" s="44"/>
      <c r="L1527" s="44"/>
      <c r="M1527" s="44"/>
      <c r="N1527" s="44"/>
      <c r="O1527" s="44"/>
      <c r="P1527" s="44"/>
      <c r="Q1527" s="44"/>
      <c r="R1527" s="44"/>
      <c r="S1527" s="44"/>
      <c r="T1527" s="44"/>
      <c r="U1527" s="44"/>
    </row>
    <row r="1528">
      <c r="A1528" s="48" t="s">
        <v>11140</v>
      </c>
      <c r="B1528" s="44"/>
      <c r="C1528" s="48" t="s">
        <v>11141</v>
      </c>
      <c r="D1528" s="44"/>
      <c r="E1528" s="48" t="s">
        <v>5218</v>
      </c>
      <c r="F1528" s="48" t="s">
        <v>4340</v>
      </c>
      <c r="G1528" s="55" t="s">
        <v>96</v>
      </c>
      <c r="H1528" s="64">
        <v>0.00132</v>
      </c>
      <c r="I1528" s="44"/>
      <c r="J1528" s="44"/>
      <c r="K1528" s="44"/>
      <c r="L1528" s="44"/>
      <c r="M1528" s="44"/>
      <c r="N1528" s="44"/>
      <c r="O1528" s="44"/>
      <c r="P1528" s="44"/>
      <c r="Q1528" s="44"/>
      <c r="R1528" s="44"/>
      <c r="S1528" s="44"/>
      <c r="T1528" s="44"/>
      <c r="U1528" s="44"/>
    </row>
    <row r="1529">
      <c r="A1529" s="48" t="s">
        <v>11142</v>
      </c>
      <c r="B1529" s="44"/>
      <c r="C1529" s="48" t="s">
        <v>11143</v>
      </c>
      <c r="D1529" s="44"/>
      <c r="E1529" s="48" t="s">
        <v>5280</v>
      </c>
      <c r="F1529" s="48" t="s">
        <v>8784</v>
      </c>
      <c r="G1529" s="55" t="s">
        <v>96</v>
      </c>
      <c r="H1529" s="64">
        <v>0.00132</v>
      </c>
      <c r="I1529" s="44"/>
      <c r="J1529" s="44"/>
      <c r="K1529" s="44"/>
      <c r="L1529" s="44"/>
      <c r="M1529" s="44"/>
      <c r="N1529" s="44"/>
      <c r="O1529" s="44"/>
      <c r="P1529" s="44"/>
      <c r="Q1529" s="44"/>
      <c r="R1529" s="44"/>
      <c r="S1529" s="44"/>
      <c r="T1529" s="44"/>
      <c r="U1529" s="44"/>
    </row>
    <row r="1530">
      <c r="A1530" s="48" t="s">
        <v>11144</v>
      </c>
      <c r="B1530" s="44"/>
      <c r="C1530" s="48" t="s">
        <v>11145</v>
      </c>
      <c r="D1530" s="44"/>
      <c r="E1530" s="48" t="s">
        <v>5218</v>
      </c>
      <c r="F1530" s="48" t="s">
        <v>4340</v>
      </c>
      <c r="G1530" s="55" t="s">
        <v>96</v>
      </c>
      <c r="H1530" s="64">
        <v>0.00131</v>
      </c>
      <c r="I1530" s="44"/>
      <c r="J1530" s="44"/>
      <c r="K1530" s="44"/>
      <c r="L1530" s="44"/>
      <c r="M1530" s="44"/>
      <c r="N1530" s="44"/>
      <c r="O1530" s="44"/>
      <c r="P1530" s="44"/>
      <c r="Q1530" s="44"/>
      <c r="R1530" s="44"/>
      <c r="S1530" s="44"/>
      <c r="T1530" s="44"/>
      <c r="U1530" s="44"/>
    </row>
    <row r="1531">
      <c r="A1531" s="48" t="s">
        <v>11146</v>
      </c>
      <c r="B1531" s="44"/>
      <c r="C1531" s="48" t="s">
        <v>11147</v>
      </c>
      <c r="D1531" s="44"/>
      <c r="E1531" s="48" t="s">
        <v>6012</v>
      </c>
      <c r="F1531" s="48" t="s">
        <v>8784</v>
      </c>
      <c r="G1531" s="55" t="s">
        <v>96</v>
      </c>
      <c r="H1531" s="64">
        <v>0.00126</v>
      </c>
      <c r="I1531" s="44"/>
      <c r="J1531" s="44"/>
      <c r="K1531" s="44"/>
      <c r="L1531" s="44"/>
      <c r="M1531" s="44"/>
      <c r="N1531" s="44"/>
      <c r="O1531" s="44"/>
      <c r="P1531" s="44"/>
      <c r="Q1531" s="44"/>
      <c r="R1531" s="44"/>
      <c r="S1531" s="44"/>
      <c r="T1531" s="44"/>
      <c r="U1531" s="44"/>
    </row>
    <row r="1532">
      <c r="A1532" s="48" t="s">
        <v>11148</v>
      </c>
      <c r="B1532" s="44"/>
      <c r="C1532" s="48" t="s">
        <v>11149</v>
      </c>
      <c r="D1532" s="44"/>
      <c r="E1532" s="48" t="s">
        <v>5232</v>
      </c>
      <c r="F1532" s="48" t="s">
        <v>4340</v>
      </c>
      <c r="G1532" s="55" t="s">
        <v>96</v>
      </c>
      <c r="H1532" s="64">
        <v>0.00125</v>
      </c>
      <c r="I1532" s="44"/>
      <c r="J1532" s="44"/>
      <c r="K1532" s="44"/>
      <c r="L1532" s="44"/>
      <c r="M1532" s="44"/>
      <c r="N1532" s="44"/>
      <c r="O1532" s="44"/>
      <c r="P1532" s="44"/>
      <c r="Q1532" s="44"/>
      <c r="R1532" s="44"/>
      <c r="S1532" s="44"/>
      <c r="T1532" s="44"/>
      <c r="U1532" s="44"/>
    </row>
    <row r="1533">
      <c r="A1533" s="48" t="s">
        <v>11150</v>
      </c>
      <c r="B1533" s="44"/>
      <c r="C1533" s="48" t="s">
        <v>11151</v>
      </c>
      <c r="D1533" s="44"/>
      <c r="E1533" s="48" t="s">
        <v>6009</v>
      </c>
      <c r="F1533" s="48" t="s">
        <v>8784</v>
      </c>
      <c r="G1533" s="55" t="s">
        <v>96</v>
      </c>
      <c r="H1533" s="64">
        <v>0.00124</v>
      </c>
      <c r="I1533" s="44"/>
      <c r="J1533" s="44"/>
      <c r="K1533" s="44"/>
      <c r="L1533" s="44"/>
      <c r="M1533" s="44"/>
      <c r="N1533" s="44"/>
      <c r="O1533" s="44"/>
      <c r="P1533" s="44"/>
      <c r="Q1533" s="44"/>
      <c r="R1533" s="44"/>
      <c r="S1533" s="44"/>
      <c r="T1533" s="44"/>
      <c r="U1533" s="44"/>
    </row>
    <row r="1534">
      <c r="A1534" s="48" t="s">
        <v>11152</v>
      </c>
      <c r="B1534" s="44"/>
      <c r="C1534" s="48" t="s">
        <v>11153</v>
      </c>
      <c r="D1534" s="44"/>
      <c r="E1534" s="48" t="s">
        <v>5238</v>
      </c>
      <c r="F1534" s="48" t="s">
        <v>6210</v>
      </c>
      <c r="G1534" s="55" t="s">
        <v>96</v>
      </c>
      <c r="H1534" s="64">
        <v>0.00123</v>
      </c>
      <c r="I1534" s="44"/>
      <c r="J1534" s="44"/>
      <c r="K1534" s="44"/>
      <c r="L1534" s="44"/>
      <c r="M1534" s="44"/>
      <c r="N1534" s="44"/>
      <c r="O1534" s="44"/>
      <c r="P1534" s="44"/>
      <c r="Q1534" s="44"/>
      <c r="R1534" s="44"/>
      <c r="S1534" s="44"/>
      <c r="T1534" s="44"/>
      <c r="U1534" s="44"/>
    </row>
    <row r="1535">
      <c r="A1535" s="48" t="s">
        <v>11154</v>
      </c>
      <c r="B1535" s="44"/>
      <c r="C1535" s="48" t="s">
        <v>11155</v>
      </c>
      <c r="D1535" s="44"/>
      <c r="E1535" s="48" t="s">
        <v>5434</v>
      </c>
      <c r="F1535" s="48" t="s">
        <v>6210</v>
      </c>
      <c r="G1535" s="55" t="s">
        <v>96</v>
      </c>
      <c r="H1535" s="64">
        <v>0.00123</v>
      </c>
      <c r="I1535" s="44"/>
      <c r="J1535" s="44"/>
      <c r="K1535" s="44"/>
      <c r="L1535" s="44"/>
      <c r="M1535" s="44"/>
      <c r="N1535" s="44"/>
      <c r="O1535" s="44"/>
      <c r="P1535" s="44"/>
      <c r="Q1535" s="44"/>
      <c r="R1535" s="44"/>
      <c r="S1535" s="44"/>
      <c r="T1535" s="44"/>
      <c r="U1535" s="44"/>
    </row>
    <row r="1536">
      <c r="A1536" s="48" t="s">
        <v>11156</v>
      </c>
      <c r="B1536" s="44"/>
      <c r="C1536" s="48" t="s">
        <v>11157</v>
      </c>
      <c r="D1536" s="44"/>
      <c r="E1536" s="48" t="s">
        <v>9189</v>
      </c>
      <c r="F1536" s="48" t="s">
        <v>8784</v>
      </c>
      <c r="G1536" s="55" t="s">
        <v>96</v>
      </c>
      <c r="H1536" s="64">
        <v>0.00122</v>
      </c>
      <c r="I1536" s="44"/>
      <c r="J1536" s="44"/>
      <c r="K1536" s="44"/>
      <c r="L1536" s="44"/>
      <c r="M1536" s="44"/>
      <c r="N1536" s="44"/>
      <c r="O1536" s="44"/>
      <c r="P1536" s="44"/>
      <c r="Q1536" s="44"/>
      <c r="R1536" s="44"/>
      <c r="S1536" s="44"/>
      <c r="T1536" s="44"/>
      <c r="U1536" s="44"/>
    </row>
    <row r="1537">
      <c r="A1537" s="48" t="s">
        <v>6124</v>
      </c>
      <c r="B1537" s="44"/>
      <c r="C1537" s="48" t="s">
        <v>11158</v>
      </c>
      <c r="D1537" s="44"/>
      <c r="E1537" s="48" t="s">
        <v>5395</v>
      </c>
      <c r="F1537" s="48" t="s">
        <v>8784</v>
      </c>
      <c r="G1537" s="55" t="s">
        <v>96</v>
      </c>
      <c r="H1537" s="64">
        <v>0.00122</v>
      </c>
      <c r="I1537" s="44"/>
      <c r="J1537" s="44"/>
      <c r="K1537" s="44"/>
      <c r="L1537" s="44"/>
      <c r="M1537" s="44"/>
      <c r="N1537" s="44"/>
      <c r="O1537" s="44"/>
      <c r="P1537" s="44"/>
      <c r="Q1537" s="44"/>
      <c r="R1537" s="44"/>
      <c r="S1537" s="44"/>
      <c r="T1537" s="44"/>
      <c r="U1537" s="44"/>
    </row>
    <row r="1538">
      <c r="A1538" s="48" t="s">
        <v>11159</v>
      </c>
      <c r="B1538" s="44"/>
      <c r="C1538" s="48" t="s">
        <v>11160</v>
      </c>
      <c r="D1538" s="44"/>
      <c r="E1538" s="48" t="s">
        <v>5434</v>
      </c>
      <c r="F1538" s="48" t="s">
        <v>8784</v>
      </c>
      <c r="G1538" s="55" t="s">
        <v>96</v>
      </c>
      <c r="H1538" s="64">
        <v>0.0012</v>
      </c>
      <c r="I1538" s="44"/>
      <c r="J1538" s="44"/>
      <c r="K1538" s="44"/>
      <c r="L1538" s="44"/>
      <c r="M1538" s="44"/>
      <c r="N1538" s="44"/>
      <c r="O1538" s="44"/>
      <c r="P1538" s="44"/>
      <c r="Q1538" s="44"/>
      <c r="R1538" s="44"/>
      <c r="S1538" s="44"/>
      <c r="T1538" s="44"/>
      <c r="U1538" s="44"/>
    </row>
    <row r="1539">
      <c r="A1539" s="48" t="s">
        <v>11161</v>
      </c>
      <c r="B1539" s="44"/>
      <c r="C1539" s="48" t="s">
        <v>11162</v>
      </c>
      <c r="D1539" s="44"/>
      <c r="E1539" s="48" t="s">
        <v>5434</v>
      </c>
      <c r="F1539" s="48" t="s">
        <v>9513</v>
      </c>
      <c r="G1539" s="55" t="s">
        <v>96</v>
      </c>
      <c r="H1539" s="64">
        <v>0.0012</v>
      </c>
      <c r="I1539" s="44"/>
      <c r="J1539" s="44"/>
      <c r="K1539" s="44"/>
      <c r="L1539" s="44"/>
      <c r="M1539" s="44"/>
      <c r="N1539" s="44"/>
      <c r="O1539" s="44"/>
      <c r="P1539" s="44"/>
      <c r="Q1539" s="44"/>
      <c r="R1539" s="44"/>
      <c r="S1539" s="44"/>
      <c r="T1539" s="44"/>
      <c r="U1539" s="44"/>
    </row>
    <row r="1540">
      <c r="A1540" s="48" t="s">
        <v>11163</v>
      </c>
      <c r="B1540" s="44"/>
      <c r="C1540" s="48" t="s">
        <v>11164</v>
      </c>
      <c r="D1540" s="44"/>
      <c r="E1540" s="48" t="s">
        <v>6801</v>
      </c>
      <c r="F1540" s="48" t="s">
        <v>8784</v>
      </c>
      <c r="G1540" s="55" t="s">
        <v>96</v>
      </c>
      <c r="H1540" s="64">
        <v>0.00116</v>
      </c>
      <c r="I1540" s="44"/>
      <c r="J1540" s="44"/>
      <c r="K1540" s="44"/>
      <c r="L1540" s="44"/>
      <c r="M1540" s="44"/>
      <c r="N1540" s="44"/>
      <c r="O1540" s="44"/>
      <c r="P1540" s="44"/>
      <c r="Q1540" s="44"/>
      <c r="R1540" s="44"/>
      <c r="S1540" s="44"/>
      <c r="T1540" s="44"/>
      <c r="U1540" s="44"/>
    </row>
    <row r="1541">
      <c r="A1541" s="48" t="s">
        <v>11165</v>
      </c>
      <c r="B1541" s="44"/>
      <c r="C1541" s="48" t="s">
        <v>11166</v>
      </c>
      <c r="D1541" s="44"/>
      <c r="E1541" s="48" t="s">
        <v>5291</v>
      </c>
      <c r="F1541" s="48" t="s">
        <v>5277</v>
      </c>
      <c r="G1541" s="55" t="s">
        <v>96</v>
      </c>
      <c r="H1541" s="64">
        <v>0.00116</v>
      </c>
      <c r="I1541" s="44"/>
      <c r="J1541" s="44"/>
      <c r="K1541" s="44"/>
      <c r="L1541" s="44"/>
      <c r="M1541" s="44"/>
      <c r="N1541" s="44"/>
      <c r="O1541" s="44"/>
      <c r="P1541" s="44"/>
      <c r="Q1541" s="44"/>
      <c r="R1541" s="44"/>
      <c r="S1541" s="44"/>
      <c r="T1541" s="44"/>
      <c r="U1541" s="44"/>
    </row>
    <row r="1542">
      <c r="A1542" s="48" t="s">
        <v>11167</v>
      </c>
      <c r="B1542" s="44"/>
      <c r="C1542" s="48" t="s">
        <v>11168</v>
      </c>
      <c r="D1542" s="44"/>
      <c r="E1542" s="48" t="s">
        <v>5401</v>
      </c>
      <c r="F1542" s="48" t="s">
        <v>8784</v>
      </c>
      <c r="G1542" s="55" t="s">
        <v>96</v>
      </c>
      <c r="H1542" s="64">
        <v>0.00116</v>
      </c>
      <c r="I1542" s="44"/>
      <c r="J1542" s="44"/>
      <c r="K1542" s="44"/>
      <c r="L1542" s="44"/>
      <c r="M1542" s="44"/>
      <c r="N1542" s="44"/>
      <c r="O1542" s="44"/>
      <c r="P1542" s="44"/>
      <c r="Q1542" s="44"/>
      <c r="R1542" s="44"/>
      <c r="S1542" s="44"/>
      <c r="T1542" s="44"/>
      <c r="U1542" s="44"/>
    </row>
    <row r="1543">
      <c r="A1543" s="48" t="s">
        <v>11169</v>
      </c>
      <c r="B1543" s="44"/>
      <c r="C1543" s="48" t="s">
        <v>11170</v>
      </c>
      <c r="D1543" s="44"/>
      <c r="E1543" s="48" t="s">
        <v>5238</v>
      </c>
      <c r="F1543" s="48" t="s">
        <v>4095</v>
      </c>
      <c r="G1543" s="55" t="s">
        <v>96</v>
      </c>
      <c r="H1543" s="64">
        <v>0.00116</v>
      </c>
      <c r="I1543" s="44"/>
      <c r="J1543" s="44"/>
      <c r="K1543" s="44"/>
      <c r="L1543" s="44"/>
      <c r="M1543" s="44"/>
      <c r="N1543" s="44"/>
      <c r="O1543" s="44"/>
      <c r="P1543" s="44"/>
      <c r="Q1543" s="44"/>
      <c r="R1543" s="44"/>
      <c r="S1543" s="44"/>
      <c r="T1543" s="44"/>
      <c r="U1543" s="44"/>
    </row>
    <row r="1544">
      <c r="A1544" s="48" t="s">
        <v>11171</v>
      </c>
      <c r="B1544" s="44"/>
      <c r="C1544" s="48" t="s">
        <v>11172</v>
      </c>
      <c r="D1544" s="44"/>
      <c r="E1544" s="48" t="s">
        <v>6801</v>
      </c>
      <c r="F1544" s="48" t="s">
        <v>4340</v>
      </c>
      <c r="G1544" s="55" t="s">
        <v>96</v>
      </c>
      <c r="H1544" s="64">
        <v>0.00113</v>
      </c>
      <c r="I1544" s="44"/>
      <c r="J1544" s="44"/>
      <c r="K1544" s="44"/>
      <c r="L1544" s="44"/>
      <c r="M1544" s="44"/>
      <c r="N1544" s="44"/>
      <c r="O1544" s="44"/>
      <c r="P1544" s="44"/>
      <c r="Q1544" s="44"/>
      <c r="R1544" s="44"/>
      <c r="S1544" s="44"/>
      <c r="T1544" s="44"/>
      <c r="U1544" s="44"/>
    </row>
    <row r="1545">
      <c r="A1545" s="48" t="s">
        <v>11173</v>
      </c>
      <c r="B1545" s="44"/>
      <c r="C1545" s="48" t="s">
        <v>11174</v>
      </c>
      <c r="D1545" s="44"/>
      <c r="E1545" s="48" t="s">
        <v>5235</v>
      </c>
      <c r="F1545" s="48" t="s">
        <v>9414</v>
      </c>
      <c r="G1545" s="55" t="s">
        <v>96</v>
      </c>
      <c r="H1545" s="64">
        <v>0.00113</v>
      </c>
      <c r="I1545" s="44"/>
      <c r="J1545" s="44"/>
      <c r="K1545" s="44"/>
      <c r="L1545" s="44"/>
      <c r="M1545" s="44"/>
      <c r="N1545" s="44"/>
      <c r="O1545" s="44"/>
      <c r="P1545" s="44"/>
      <c r="Q1545" s="44"/>
      <c r="R1545" s="44"/>
      <c r="S1545" s="44"/>
      <c r="T1545" s="44"/>
      <c r="U1545" s="44"/>
    </row>
    <row r="1546">
      <c r="A1546" s="48" t="s">
        <v>11175</v>
      </c>
      <c r="B1546" s="44"/>
      <c r="C1546" s="48" t="s">
        <v>11176</v>
      </c>
      <c r="D1546" s="44"/>
      <c r="E1546" s="48" t="s">
        <v>5561</v>
      </c>
      <c r="F1546" s="48" t="s">
        <v>9513</v>
      </c>
      <c r="G1546" s="55" t="s">
        <v>96</v>
      </c>
      <c r="H1546" s="64">
        <v>0.00112</v>
      </c>
      <c r="I1546" s="44"/>
      <c r="J1546" s="44"/>
      <c r="K1546" s="44"/>
      <c r="L1546" s="44"/>
      <c r="M1546" s="44"/>
      <c r="N1546" s="44"/>
      <c r="O1546" s="44"/>
      <c r="P1546" s="44"/>
      <c r="Q1546" s="44"/>
      <c r="R1546" s="44"/>
      <c r="S1546" s="44"/>
      <c r="T1546" s="44"/>
      <c r="U1546" s="44"/>
    </row>
    <row r="1547">
      <c r="A1547" s="48" t="s">
        <v>11177</v>
      </c>
      <c r="B1547" s="44"/>
      <c r="C1547" s="48" t="s">
        <v>11178</v>
      </c>
      <c r="D1547" s="44"/>
      <c r="E1547" s="48" t="s">
        <v>5501</v>
      </c>
      <c r="F1547" s="48" t="s">
        <v>5927</v>
      </c>
      <c r="G1547" s="55" t="s">
        <v>96</v>
      </c>
      <c r="H1547" s="64">
        <v>0.00109</v>
      </c>
      <c r="I1547" s="44"/>
      <c r="J1547" s="44"/>
      <c r="K1547" s="44"/>
      <c r="L1547" s="44"/>
      <c r="M1547" s="44"/>
      <c r="N1547" s="44"/>
      <c r="O1547" s="44"/>
      <c r="P1547" s="44"/>
      <c r="Q1547" s="44"/>
      <c r="R1547" s="44"/>
      <c r="S1547" s="44"/>
      <c r="T1547" s="44"/>
      <c r="U1547" s="44"/>
    </row>
    <row r="1548">
      <c r="A1548" s="48" t="s">
        <v>11179</v>
      </c>
      <c r="B1548" s="44"/>
      <c r="C1548" s="48" t="s">
        <v>11180</v>
      </c>
      <c r="D1548" s="44"/>
      <c r="E1548" s="48" t="s">
        <v>5218</v>
      </c>
      <c r="F1548" s="48" t="s">
        <v>8784</v>
      </c>
      <c r="G1548" s="55" t="s">
        <v>96</v>
      </c>
      <c r="H1548" s="64">
        <v>0.00104</v>
      </c>
      <c r="I1548" s="44"/>
      <c r="J1548" s="44"/>
      <c r="K1548" s="44"/>
      <c r="L1548" s="44"/>
      <c r="M1548" s="44"/>
      <c r="N1548" s="44"/>
      <c r="O1548" s="44"/>
      <c r="P1548" s="44"/>
      <c r="Q1548" s="44"/>
      <c r="R1548" s="44"/>
      <c r="S1548" s="44"/>
      <c r="T1548" s="44"/>
      <c r="U1548" s="44"/>
    </row>
    <row r="1549">
      <c r="A1549" s="48" t="s">
        <v>11181</v>
      </c>
      <c r="B1549" s="44"/>
      <c r="C1549" s="48" t="s">
        <v>11182</v>
      </c>
      <c r="D1549" s="44"/>
      <c r="E1549" s="48" t="s">
        <v>5404</v>
      </c>
      <c r="F1549" s="48" t="s">
        <v>8784</v>
      </c>
      <c r="G1549" s="55" t="s">
        <v>96</v>
      </c>
      <c r="H1549" s="64">
        <v>0.00103</v>
      </c>
      <c r="I1549" s="44"/>
      <c r="J1549" s="44"/>
      <c r="K1549" s="44"/>
      <c r="L1549" s="44"/>
      <c r="M1549" s="44"/>
      <c r="N1549" s="44"/>
      <c r="O1549" s="44"/>
      <c r="P1549" s="44"/>
      <c r="Q1549" s="44"/>
      <c r="R1549" s="44"/>
      <c r="S1549" s="44"/>
      <c r="T1549" s="44"/>
      <c r="U1549" s="44"/>
    </row>
    <row r="1550">
      <c r="A1550" s="48" t="s">
        <v>11183</v>
      </c>
      <c r="B1550" s="44"/>
      <c r="C1550" s="48" t="s">
        <v>11184</v>
      </c>
      <c r="D1550" s="44"/>
      <c r="E1550" s="48" t="s">
        <v>5218</v>
      </c>
      <c r="F1550" s="48" t="s">
        <v>8784</v>
      </c>
      <c r="G1550" s="55" t="s">
        <v>96</v>
      </c>
      <c r="H1550" s="64">
        <v>9.8E-4</v>
      </c>
      <c r="I1550" s="44"/>
      <c r="J1550" s="44"/>
      <c r="K1550" s="44"/>
      <c r="L1550" s="44"/>
      <c r="M1550" s="44"/>
      <c r="N1550" s="44"/>
      <c r="O1550" s="44"/>
      <c r="P1550" s="44"/>
      <c r="Q1550" s="44"/>
      <c r="R1550" s="44"/>
      <c r="S1550" s="44"/>
      <c r="T1550" s="44"/>
      <c r="U1550" s="44"/>
    </row>
    <row r="1551">
      <c r="A1551" s="48" t="s">
        <v>11185</v>
      </c>
      <c r="B1551" s="44"/>
      <c r="C1551" s="48" t="s">
        <v>11186</v>
      </c>
      <c r="D1551" s="44"/>
      <c r="E1551" s="48" t="s">
        <v>5434</v>
      </c>
      <c r="F1551" s="48" t="s">
        <v>8784</v>
      </c>
      <c r="G1551" s="55" t="s">
        <v>96</v>
      </c>
      <c r="H1551" s="64">
        <v>9.8E-4</v>
      </c>
      <c r="I1551" s="44"/>
      <c r="J1551" s="44"/>
      <c r="K1551" s="44"/>
      <c r="L1551" s="44"/>
      <c r="M1551" s="44"/>
      <c r="N1551" s="44"/>
      <c r="O1551" s="44"/>
      <c r="P1551" s="44"/>
      <c r="Q1551" s="44"/>
      <c r="R1551" s="44"/>
      <c r="S1551" s="44"/>
      <c r="T1551" s="44"/>
      <c r="U1551" s="44"/>
    </row>
    <row r="1552">
      <c r="A1552" s="48" t="s">
        <v>11187</v>
      </c>
      <c r="B1552" s="44"/>
      <c r="C1552" s="48" t="s">
        <v>11188</v>
      </c>
      <c r="D1552" s="44"/>
      <c r="E1552" s="48" t="s">
        <v>6238</v>
      </c>
      <c r="F1552" s="48" t="s">
        <v>8784</v>
      </c>
      <c r="G1552" s="55" t="s">
        <v>96</v>
      </c>
      <c r="H1552" s="64">
        <v>9.4E-4</v>
      </c>
      <c r="I1552" s="44"/>
      <c r="J1552" s="44"/>
      <c r="K1552" s="44"/>
      <c r="L1552" s="44"/>
      <c r="M1552" s="44"/>
      <c r="N1552" s="44"/>
      <c r="O1552" s="44"/>
      <c r="P1552" s="44"/>
      <c r="Q1552" s="44"/>
      <c r="R1552" s="44"/>
      <c r="S1552" s="44"/>
      <c r="T1552" s="44"/>
      <c r="U1552" s="44"/>
    </row>
    <row r="1553">
      <c r="A1553" s="48" t="s">
        <v>11189</v>
      </c>
      <c r="B1553" s="44"/>
      <c r="C1553" s="48" t="s">
        <v>11190</v>
      </c>
      <c r="D1553" s="44"/>
      <c r="E1553" s="48" t="s">
        <v>5218</v>
      </c>
      <c r="F1553" s="48" t="s">
        <v>8784</v>
      </c>
      <c r="G1553" s="55" t="s">
        <v>96</v>
      </c>
      <c r="H1553" s="64">
        <v>9.2E-4</v>
      </c>
      <c r="I1553" s="44"/>
      <c r="J1553" s="44"/>
      <c r="K1553" s="44"/>
      <c r="L1553" s="44"/>
      <c r="M1553" s="44"/>
      <c r="N1553" s="44"/>
      <c r="O1553" s="44"/>
      <c r="P1553" s="44"/>
      <c r="Q1553" s="44"/>
      <c r="R1553" s="44"/>
      <c r="S1553" s="44"/>
      <c r="T1553" s="44"/>
      <c r="U1553" s="44"/>
    </row>
    <row r="1554">
      <c r="A1554" s="48" t="s">
        <v>11191</v>
      </c>
      <c r="B1554" s="44"/>
      <c r="C1554" s="48" t="s">
        <v>11192</v>
      </c>
      <c r="D1554" s="44"/>
      <c r="E1554" s="48" t="s">
        <v>5215</v>
      </c>
      <c r="F1554" s="48" t="s">
        <v>8784</v>
      </c>
      <c r="G1554" s="55" t="s">
        <v>96</v>
      </c>
      <c r="H1554" s="64">
        <v>9.0E-4</v>
      </c>
      <c r="I1554" s="44"/>
      <c r="J1554" s="44"/>
      <c r="K1554" s="44"/>
      <c r="L1554" s="44"/>
      <c r="M1554" s="44"/>
      <c r="N1554" s="44"/>
      <c r="O1554" s="44"/>
      <c r="P1554" s="44"/>
      <c r="Q1554" s="44"/>
      <c r="R1554" s="44"/>
      <c r="S1554" s="44"/>
      <c r="T1554" s="44"/>
      <c r="U1554" s="44"/>
    </row>
    <row r="1555">
      <c r="A1555" s="48" t="s">
        <v>6260</v>
      </c>
      <c r="B1555" s="44"/>
      <c r="C1555" s="48" t="s">
        <v>11193</v>
      </c>
      <c r="D1555" s="44"/>
      <c r="E1555" s="48" t="s">
        <v>5450</v>
      </c>
      <c r="F1555" s="48" t="s">
        <v>5747</v>
      </c>
      <c r="G1555" s="55" t="s">
        <v>96</v>
      </c>
      <c r="H1555" s="64">
        <v>8.7E-4</v>
      </c>
      <c r="I1555" s="44"/>
      <c r="J1555" s="44"/>
      <c r="K1555" s="44"/>
      <c r="L1555" s="44"/>
      <c r="M1555" s="44"/>
      <c r="N1555" s="44"/>
      <c r="O1555" s="44"/>
      <c r="P1555" s="44"/>
      <c r="Q1555" s="44"/>
      <c r="R1555" s="44"/>
      <c r="S1555" s="44"/>
      <c r="T1555" s="44"/>
      <c r="U1555" s="44"/>
    </row>
    <row r="1556">
      <c r="A1556" s="48" t="s">
        <v>11194</v>
      </c>
      <c r="B1556" s="44"/>
      <c r="C1556" s="48" t="s">
        <v>11195</v>
      </c>
      <c r="D1556" s="44"/>
      <c r="E1556" s="48" t="s">
        <v>5704</v>
      </c>
      <c r="F1556" s="48" t="s">
        <v>8784</v>
      </c>
      <c r="G1556" s="55" t="s">
        <v>96</v>
      </c>
      <c r="H1556" s="64">
        <v>8.5E-4</v>
      </c>
      <c r="I1556" s="44"/>
      <c r="J1556" s="44"/>
      <c r="K1556" s="44"/>
      <c r="L1556" s="44"/>
      <c r="M1556" s="44"/>
      <c r="N1556" s="44"/>
      <c r="O1556" s="44"/>
      <c r="P1556" s="44"/>
      <c r="Q1556" s="44"/>
      <c r="R1556" s="44"/>
      <c r="S1556" s="44"/>
      <c r="T1556" s="44"/>
      <c r="U1556" s="44"/>
    </row>
    <row r="1557">
      <c r="A1557" s="48" t="s">
        <v>11196</v>
      </c>
      <c r="B1557" s="44"/>
      <c r="C1557" s="48" t="s">
        <v>11197</v>
      </c>
      <c r="D1557" s="44"/>
      <c r="E1557" s="48" t="s">
        <v>5276</v>
      </c>
      <c r="F1557" s="48" t="s">
        <v>8784</v>
      </c>
      <c r="G1557" s="55" t="s">
        <v>96</v>
      </c>
      <c r="H1557" s="64">
        <v>8.4E-4</v>
      </c>
      <c r="I1557" s="44"/>
      <c r="J1557" s="44"/>
      <c r="K1557" s="44"/>
      <c r="L1557" s="44"/>
      <c r="M1557" s="44"/>
      <c r="N1557" s="44"/>
      <c r="O1557" s="44"/>
      <c r="P1557" s="44"/>
      <c r="Q1557" s="44"/>
      <c r="R1557" s="44"/>
      <c r="S1557" s="44"/>
      <c r="T1557" s="44"/>
      <c r="U1557" s="44"/>
    </row>
    <row r="1558">
      <c r="A1558" s="48" t="s">
        <v>11198</v>
      </c>
      <c r="B1558" s="44"/>
      <c r="C1558" s="48" t="s">
        <v>11199</v>
      </c>
      <c r="D1558" s="44"/>
      <c r="E1558" s="48" t="s">
        <v>5855</v>
      </c>
      <c r="F1558" s="48" t="s">
        <v>6210</v>
      </c>
      <c r="G1558" s="55" t="s">
        <v>96</v>
      </c>
      <c r="H1558" s="64">
        <v>8.2E-4</v>
      </c>
      <c r="I1558" s="44"/>
      <c r="J1558" s="44"/>
      <c r="K1558" s="44"/>
      <c r="L1558" s="44"/>
      <c r="M1558" s="44"/>
      <c r="N1558" s="44"/>
      <c r="O1558" s="44"/>
      <c r="P1558" s="44"/>
      <c r="Q1558" s="44"/>
      <c r="R1558" s="44"/>
      <c r="S1558" s="44"/>
      <c r="T1558" s="44"/>
      <c r="U1558" s="44"/>
    </row>
    <row r="1559">
      <c r="A1559" s="48" t="s">
        <v>6260</v>
      </c>
      <c r="B1559" s="44"/>
      <c r="C1559" s="48" t="s">
        <v>11200</v>
      </c>
      <c r="D1559" s="44"/>
      <c r="E1559" s="48" t="s">
        <v>5513</v>
      </c>
      <c r="F1559" s="48" t="s">
        <v>5747</v>
      </c>
      <c r="G1559" s="55" t="s">
        <v>96</v>
      </c>
      <c r="H1559" s="64">
        <v>8.0E-4</v>
      </c>
      <c r="I1559" s="44"/>
      <c r="J1559" s="44"/>
      <c r="K1559" s="44"/>
      <c r="L1559" s="44"/>
      <c r="M1559" s="44"/>
      <c r="N1559" s="44"/>
      <c r="O1559" s="44"/>
      <c r="P1559" s="44"/>
      <c r="Q1559" s="44"/>
      <c r="R1559" s="44"/>
      <c r="S1559" s="44"/>
      <c r="T1559" s="44"/>
      <c r="U1559" s="44"/>
    </row>
    <row r="1560">
      <c r="A1560" s="48" t="s">
        <v>11201</v>
      </c>
      <c r="B1560" s="44"/>
      <c r="C1560" s="48" t="s">
        <v>11202</v>
      </c>
      <c r="D1560" s="44"/>
      <c r="E1560" s="48" t="s">
        <v>5478</v>
      </c>
      <c r="F1560" s="48" t="s">
        <v>8784</v>
      </c>
      <c r="G1560" s="55" t="s">
        <v>96</v>
      </c>
      <c r="H1560" s="64">
        <v>7.3E-4</v>
      </c>
      <c r="I1560" s="44"/>
      <c r="J1560" s="44"/>
      <c r="K1560" s="44"/>
      <c r="L1560" s="44"/>
      <c r="M1560" s="44"/>
      <c r="N1560" s="44"/>
      <c r="O1560" s="44"/>
      <c r="P1560" s="44"/>
      <c r="Q1560" s="44"/>
      <c r="R1560" s="44"/>
      <c r="S1560" s="44"/>
      <c r="T1560" s="44"/>
      <c r="U1560" s="44"/>
    </row>
    <row r="1561">
      <c r="A1561" s="48" t="s">
        <v>11203</v>
      </c>
      <c r="B1561" s="44"/>
      <c r="C1561" s="48" t="s">
        <v>11204</v>
      </c>
      <c r="D1561" s="44"/>
      <c r="E1561" s="48" t="s">
        <v>5561</v>
      </c>
      <c r="F1561" s="48" t="s">
        <v>9513</v>
      </c>
      <c r="G1561" s="55" t="s">
        <v>96</v>
      </c>
      <c r="H1561" s="64">
        <v>6.6E-4</v>
      </c>
      <c r="I1561" s="44"/>
      <c r="J1561" s="44"/>
      <c r="K1561" s="44"/>
      <c r="L1561" s="44"/>
      <c r="M1561" s="44"/>
      <c r="N1561" s="44"/>
      <c r="O1561" s="44"/>
      <c r="P1561" s="44"/>
      <c r="Q1561" s="44"/>
      <c r="R1561" s="44"/>
      <c r="S1561" s="44"/>
      <c r="T1561" s="44"/>
      <c r="U1561" s="44"/>
    </row>
    <row r="1562">
      <c r="A1562" s="48" t="s">
        <v>11205</v>
      </c>
      <c r="B1562" s="44"/>
      <c r="C1562" s="48" t="s">
        <v>11206</v>
      </c>
      <c r="D1562" s="44"/>
      <c r="E1562" s="48" t="s">
        <v>5390</v>
      </c>
      <c r="F1562" s="48" t="s">
        <v>8784</v>
      </c>
      <c r="G1562" s="55" t="s">
        <v>96</v>
      </c>
      <c r="H1562" s="64">
        <v>6.4E-4</v>
      </c>
      <c r="I1562" s="44"/>
      <c r="J1562" s="44"/>
      <c r="K1562" s="44"/>
      <c r="L1562" s="44"/>
      <c r="M1562" s="44"/>
      <c r="N1562" s="44"/>
      <c r="O1562" s="44"/>
      <c r="P1562" s="44"/>
      <c r="Q1562" s="44"/>
      <c r="R1562" s="44"/>
      <c r="S1562" s="44"/>
      <c r="T1562" s="44"/>
      <c r="U1562" s="44"/>
    </row>
    <row r="1563">
      <c r="A1563" s="48" t="s">
        <v>7765</v>
      </c>
      <c r="B1563" s="44"/>
      <c r="C1563" s="48" t="s">
        <v>7766</v>
      </c>
      <c r="D1563" s="44"/>
      <c r="E1563" s="48" t="s">
        <v>5232</v>
      </c>
      <c r="F1563" s="48" t="s">
        <v>4340</v>
      </c>
      <c r="G1563" s="55" t="s">
        <v>96</v>
      </c>
      <c r="H1563" s="64">
        <v>6.2E-4</v>
      </c>
      <c r="I1563" s="44"/>
      <c r="J1563" s="44"/>
      <c r="K1563" s="44"/>
      <c r="L1563" s="44"/>
      <c r="M1563" s="44"/>
      <c r="N1563" s="44"/>
      <c r="O1563" s="44"/>
      <c r="P1563" s="44"/>
      <c r="Q1563" s="44"/>
      <c r="R1563" s="44"/>
      <c r="S1563" s="44"/>
      <c r="T1563" s="44"/>
      <c r="U1563" s="44"/>
    </row>
    <row r="1564">
      <c r="A1564" s="48" t="s">
        <v>11207</v>
      </c>
      <c r="B1564" s="44"/>
      <c r="C1564" s="48" t="s">
        <v>11208</v>
      </c>
      <c r="D1564" s="44"/>
      <c r="E1564" s="48" t="s">
        <v>5366</v>
      </c>
      <c r="F1564" s="48" t="s">
        <v>4340</v>
      </c>
      <c r="G1564" s="55" t="s">
        <v>96</v>
      </c>
      <c r="H1564" s="64">
        <v>6.0E-4</v>
      </c>
      <c r="I1564" s="44"/>
      <c r="J1564" s="44"/>
      <c r="K1564" s="44"/>
      <c r="L1564" s="44"/>
      <c r="M1564" s="44"/>
      <c r="N1564" s="44"/>
      <c r="O1564" s="44"/>
      <c r="P1564" s="44"/>
      <c r="Q1564" s="44"/>
      <c r="R1564" s="44"/>
      <c r="S1564" s="44"/>
      <c r="T1564" s="44"/>
      <c r="U1564" s="44"/>
    </row>
    <row r="1565">
      <c r="A1565" s="48" t="s">
        <v>11209</v>
      </c>
      <c r="B1565" s="44"/>
      <c r="C1565" s="48" t="s">
        <v>11210</v>
      </c>
      <c r="D1565" s="44"/>
      <c r="E1565" s="48" t="s">
        <v>5624</v>
      </c>
      <c r="F1565" s="48" t="s">
        <v>8784</v>
      </c>
      <c r="G1565" s="55" t="s">
        <v>96</v>
      </c>
      <c r="H1565" s="64">
        <v>5.7E-4</v>
      </c>
      <c r="I1565" s="44"/>
      <c r="J1565" s="44"/>
      <c r="K1565" s="44"/>
      <c r="L1565" s="44"/>
      <c r="M1565" s="44"/>
      <c r="N1565" s="44"/>
      <c r="O1565" s="44"/>
      <c r="P1565" s="44"/>
      <c r="Q1565" s="44"/>
      <c r="R1565" s="44"/>
      <c r="S1565" s="44"/>
      <c r="T1565" s="44"/>
      <c r="U1565" s="44"/>
    </row>
    <row r="1566">
      <c r="A1566" s="48" t="s">
        <v>11211</v>
      </c>
      <c r="B1566" s="44"/>
      <c r="C1566" s="48" t="s">
        <v>11212</v>
      </c>
      <c r="D1566" s="44"/>
      <c r="E1566" s="48" t="s">
        <v>6427</v>
      </c>
      <c r="F1566" s="48" t="s">
        <v>5927</v>
      </c>
      <c r="G1566" s="55" t="s">
        <v>96</v>
      </c>
      <c r="H1566" s="64">
        <v>5.5E-4</v>
      </c>
      <c r="I1566" s="44"/>
      <c r="J1566" s="44"/>
      <c r="K1566" s="44"/>
      <c r="L1566" s="44"/>
      <c r="M1566" s="44"/>
      <c r="N1566" s="44"/>
      <c r="O1566" s="44"/>
      <c r="P1566" s="44"/>
      <c r="Q1566" s="44"/>
      <c r="R1566" s="44"/>
      <c r="S1566" s="44"/>
      <c r="T1566" s="44"/>
      <c r="U1566" s="44"/>
    </row>
    <row r="1567">
      <c r="A1567" s="48" t="s">
        <v>11213</v>
      </c>
      <c r="B1567" s="44"/>
      <c r="C1567" s="48" t="s">
        <v>11214</v>
      </c>
      <c r="D1567" s="44"/>
      <c r="E1567" s="48" t="s">
        <v>5501</v>
      </c>
      <c r="F1567" s="48" t="s">
        <v>8784</v>
      </c>
      <c r="G1567" s="55" t="s">
        <v>96</v>
      </c>
      <c r="H1567" s="64">
        <v>6.0E-5</v>
      </c>
      <c r="I1567" s="44"/>
      <c r="J1567" s="44"/>
      <c r="K1567" s="44"/>
      <c r="L1567" s="44"/>
      <c r="M1567" s="44"/>
      <c r="N1567" s="44"/>
      <c r="O1567" s="44"/>
      <c r="P1567" s="44"/>
      <c r="Q1567" s="44"/>
      <c r="R1567" s="44"/>
      <c r="S1567" s="44"/>
      <c r="T1567" s="44"/>
      <c r="U1567" s="44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5" t="s">
        <v>80</v>
      </c>
      <c r="B1" s="35" t="s">
        <v>81</v>
      </c>
      <c r="C1" s="35" t="s">
        <v>82</v>
      </c>
      <c r="D1" s="35" t="s">
        <v>83</v>
      </c>
      <c r="E1" s="35" t="s">
        <v>84</v>
      </c>
      <c r="F1" s="35" t="s">
        <v>85</v>
      </c>
      <c r="G1" s="35" t="s">
        <v>86</v>
      </c>
      <c r="H1" s="37" t="s">
        <v>87</v>
      </c>
      <c r="I1" s="37" t="s">
        <v>88</v>
      </c>
      <c r="J1" s="37" t="s">
        <v>89</v>
      </c>
      <c r="K1" s="35" t="s">
        <v>90</v>
      </c>
    </row>
    <row r="3">
      <c r="C3" s="54" t="s">
        <v>3952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8.0"/>
    <col customWidth="1" min="2" max="2" width="5.5"/>
    <col customWidth="1" min="3" max="3" width="38.88"/>
    <col customWidth="1" min="4" max="4" width="8.0"/>
    <col customWidth="1" min="5" max="5" width="27.13"/>
    <col customWidth="1" min="6" max="6" width="5.63"/>
    <col customWidth="1" min="7" max="7" width="6.38"/>
    <col customWidth="1" min="8" max="8" width="7.63"/>
  </cols>
  <sheetData>
    <row r="1">
      <c r="A1" s="81" t="s">
        <v>80</v>
      </c>
      <c r="B1" s="81" t="s">
        <v>81</v>
      </c>
      <c r="C1" s="81" t="s">
        <v>82</v>
      </c>
      <c r="D1" s="81" t="s">
        <v>83</v>
      </c>
      <c r="E1" s="81" t="s">
        <v>84</v>
      </c>
      <c r="F1" s="81" t="s">
        <v>85</v>
      </c>
      <c r="G1" s="81" t="s">
        <v>86</v>
      </c>
      <c r="H1" s="82" t="s">
        <v>87</v>
      </c>
      <c r="I1" s="83" t="s">
        <v>88</v>
      </c>
      <c r="J1" s="83" t="s">
        <v>89</v>
      </c>
      <c r="K1" s="81" t="s">
        <v>90</v>
      </c>
      <c r="L1" s="45"/>
      <c r="M1" s="45"/>
      <c r="N1" s="45"/>
      <c r="O1" s="45"/>
      <c r="P1" s="45"/>
      <c r="Q1" s="45"/>
      <c r="R1" s="45"/>
      <c r="S1" s="45"/>
      <c r="T1" s="45"/>
      <c r="U1" s="45"/>
    </row>
    <row r="2">
      <c r="A2" s="84" t="s">
        <v>3996</v>
      </c>
      <c r="B2" s="45"/>
      <c r="C2" s="84" t="s">
        <v>8742</v>
      </c>
      <c r="D2" s="45"/>
      <c r="E2" s="84" t="s">
        <v>5811</v>
      </c>
      <c r="F2" s="84" t="s">
        <v>5300</v>
      </c>
      <c r="G2" s="85" t="s">
        <v>96</v>
      </c>
      <c r="H2" s="86">
        <v>0.0541227</v>
      </c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</row>
    <row r="3">
      <c r="A3" s="84" t="s">
        <v>3998</v>
      </c>
      <c r="B3" s="45"/>
      <c r="C3" s="84" t="s">
        <v>8743</v>
      </c>
      <c r="D3" s="45"/>
      <c r="E3" s="84" t="s">
        <v>5276</v>
      </c>
      <c r="F3" s="84" t="s">
        <v>5300</v>
      </c>
      <c r="G3" s="85" t="s">
        <v>96</v>
      </c>
      <c r="H3" s="86">
        <v>0.0413808</v>
      </c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</row>
    <row r="4">
      <c r="A4" s="84" t="s">
        <v>3999</v>
      </c>
      <c r="B4" s="45"/>
      <c r="C4" s="84" t="s">
        <v>8744</v>
      </c>
      <c r="D4" s="45"/>
      <c r="E4" s="84" t="s">
        <v>5232</v>
      </c>
      <c r="F4" s="84" t="s">
        <v>5300</v>
      </c>
      <c r="G4" s="85" t="s">
        <v>96</v>
      </c>
      <c r="H4" s="86">
        <v>0.0214988</v>
      </c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</row>
    <row r="5">
      <c r="A5" s="84" t="s">
        <v>4001</v>
      </c>
      <c r="B5" s="45"/>
      <c r="C5" s="84" t="s">
        <v>8745</v>
      </c>
      <c r="D5" s="45"/>
      <c r="E5" s="84" t="s">
        <v>5650</v>
      </c>
      <c r="F5" s="84" t="s">
        <v>5300</v>
      </c>
      <c r="G5" s="85" t="s">
        <v>96</v>
      </c>
      <c r="H5" s="86">
        <v>0.0201134</v>
      </c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</row>
    <row r="6">
      <c r="A6" s="84" t="s">
        <v>4002</v>
      </c>
      <c r="B6" s="45"/>
      <c r="C6" s="84" t="s">
        <v>8746</v>
      </c>
      <c r="D6" s="45"/>
      <c r="E6" s="84" t="s">
        <v>5326</v>
      </c>
      <c r="F6" s="84" t="s">
        <v>5300</v>
      </c>
      <c r="G6" s="85" t="s">
        <v>96</v>
      </c>
      <c r="H6" s="86">
        <v>0.0137432</v>
      </c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</row>
    <row r="7">
      <c r="A7" s="84" t="s">
        <v>4005</v>
      </c>
      <c r="B7" s="45"/>
      <c r="C7" s="84" t="s">
        <v>8747</v>
      </c>
      <c r="D7" s="45"/>
      <c r="E7" s="84" t="s">
        <v>5978</v>
      </c>
      <c r="F7" s="84" t="s">
        <v>5300</v>
      </c>
      <c r="G7" s="85" t="s">
        <v>96</v>
      </c>
      <c r="H7" s="86">
        <v>0.0132934</v>
      </c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</row>
    <row r="8">
      <c r="A8" s="84" t="s">
        <v>4008</v>
      </c>
      <c r="B8" s="45"/>
      <c r="C8" s="84" t="s">
        <v>8746</v>
      </c>
      <c r="D8" s="45"/>
      <c r="E8" s="84" t="s">
        <v>5326</v>
      </c>
      <c r="F8" s="84" t="s">
        <v>5300</v>
      </c>
      <c r="G8" s="85" t="s">
        <v>96</v>
      </c>
      <c r="H8" s="86">
        <v>0.0124832</v>
      </c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</row>
    <row r="9">
      <c r="A9" s="84" t="s">
        <v>4006</v>
      </c>
      <c r="B9" s="45"/>
      <c r="C9" s="84" t="s">
        <v>8748</v>
      </c>
      <c r="D9" s="45"/>
      <c r="E9" s="84" t="s">
        <v>5326</v>
      </c>
      <c r="F9" s="84" t="s">
        <v>5300</v>
      </c>
      <c r="G9" s="85" t="s">
        <v>96</v>
      </c>
      <c r="H9" s="86">
        <v>0.0122958</v>
      </c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</row>
    <row r="10">
      <c r="A10" s="84" t="s">
        <v>4013</v>
      </c>
      <c r="B10" s="45"/>
      <c r="C10" s="84" t="s">
        <v>8749</v>
      </c>
      <c r="D10" s="45"/>
      <c r="E10" s="84" t="s">
        <v>6487</v>
      </c>
      <c r="F10" s="84" t="s">
        <v>5300</v>
      </c>
      <c r="G10" s="85" t="s">
        <v>96</v>
      </c>
      <c r="H10" s="86">
        <v>0.0082283</v>
      </c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</row>
    <row r="11">
      <c r="A11" s="84" t="s">
        <v>4017</v>
      </c>
      <c r="B11" s="45"/>
      <c r="C11" s="84" t="s">
        <v>8750</v>
      </c>
      <c r="D11" s="45"/>
      <c r="E11" s="84" t="s">
        <v>5215</v>
      </c>
      <c r="F11" s="84" t="s">
        <v>5300</v>
      </c>
      <c r="G11" s="85" t="s">
        <v>96</v>
      </c>
      <c r="H11" s="86">
        <v>0.0080624</v>
      </c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</row>
    <row r="12">
      <c r="A12" s="84" t="s">
        <v>11215</v>
      </c>
      <c r="B12" s="45"/>
      <c r="C12" s="84" t="s">
        <v>11216</v>
      </c>
      <c r="D12" s="45"/>
      <c r="E12" s="84" t="s">
        <v>5296</v>
      </c>
      <c r="F12" s="84" t="s">
        <v>5300</v>
      </c>
      <c r="G12" s="85" t="s">
        <v>96</v>
      </c>
      <c r="H12" s="86">
        <v>0.0079784</v>
      </c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</row>
    <row r="13">
      <c r="A13" s="84" t="s">
        <v>4012</v>
      </c>
      <c r="B13" s="45"/>
      <c r="C13" s="84" t="s">
        <v>11217</v>
      </c>
      <c r="D13" s="45"/>
      <c r="E13" s="84" t="s">
        <v>5989</v>
      </c>
      <c r="F13" s="84" t="s">
        <v>5300</v>
      </c>
      <c r="G13" s="85" t="s">
        <v>96</v>
      </c>
      <c r="H13" s="86">
        <v>0.0075864</v>
      </c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</row>
    <row r="14">
      <c r="A14" s="84" t="s">
        <v>4018</v>
      </c>
      <c r="B14" s="45"/>
      <c r="C14" s="84" t="s">
        <v>11218</v>
      </c>
      <c r="D14" s="45"/>
      <c r="E14" s="84" t="s">
        <v>5218</v>
      </c>
      <c r="F14" s="84" t="s">
        <v>5300</v>
      </c>
      <c r="G14" s="85" t="s">
        <v>96</v>
      </c>
      <c r="H14" s="86">
        <v>0.0075685</v>
      </c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</row>
    <row r="15">
      <c r="A15" s="84" t="s">
        <v>4019</v>
      </c>
      <c r="B15" s="45"/>
      <c r="C15" s="84" t="s">
        <v>8751</v>
      </c>
      <c r="D15" s="45"/>
      <c r="E15" s="84" t="s">
        <v>5445</v>
      </c>
      <c r="F15" s="84" t="s">
        <v>5300</v>
      </c>
      <c r="G15" s="85" t="s">
        <v>96</v>
      </c>
      <c r="H15" s="86">
        <v>0.0067328</v>
      </c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</row>
    <row r="16">
      <c r="A16" s="84" t="s">
        <v>4023</v>
      </c>
      <c r="B16" s="45"/>
      <c r="C16" s="84" t="s">
        <v>8753</v>
      </c>
      <c r="D16" s="45"/>
      <c r="E16" s="84" t="s">
        <v>5650</v>
      </c>
      <c r="F16" s="84" t="s">
        <v>5300</v>
      </c>
      <c r="G16" s="85" t="s">
        <v>96</v>
      </c>
      <c r="H16" s="86">
        <v>0.0065332</v>
      </c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</row>
    <row r="17">
      <c r="A17" s="84" t="s">
        <v>4015</v>
      </c>
      <c r="B17" s="45"/>
      <c r="C17" s="84" t="s">
        <v>8752</v>
      </c>
      <c r="D17" s="45"/>
      <c r="E17" s="84" t="s">
        <v>5218</v>
      </c>
      <c r="F17" s="84" t="s">
        <v>5300</v>
      </c>
      <c r="G17" s="85" t="s">
        <v>96</v>
      </c>
      <c r="H17" s="86">
        <v>0.006399</v>
      </c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</row>
    <row r="18">
      <c r="A18" s="84" t="s">
        <v>4021</v>
      </c>
      <c r="B18" s="45"/>
      <c r="C18" s="84" t="s">
        <v>8754</v>
      </c>
      <c r="D18" s="45"/>
      <c r="E18" s="84" t="s">
        <v>6009</v>
      </c>
      <c r="F18" s="84" t="s">
        <v>5300</v>
      </c>
      <c r="G18" s="85" t="s">
        <v>96</v>
      </c>
      <c r="H18" s="86">
        <v>0.006397</v>
      </c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</row>
    <row r="19">
      <c r="A19" s="84" t="s">
        <v>8757</v>
      </c>
      <c r="B19" s="45"/>
      <c r="C19" s="84" t="s">
        <v>8758</v>
      </c>
      <c r="D19" s="45"/>
      <c r="E19" s="84" t="s">
        <v>5434</v>
      </c>
      <c r="F19" s="84" t="s">
        <v>8759</v>
      </c>
      <c r="G19" s="85" t="s">
        <v>96</v>
      </c>
      <c r="H19" s="86">
        <v>0.0058886</v>
      </c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</row>
    <row r="20">
      <c r="A20" s="84" t="s">
        <v>4026</v>
      </c>
      <c r="B20" s="45"/>
      <c r="C20" s="84" t="s">
        <v>8755</v>
      </c>
      <c r="D20" s="45"/>
      <c r="E20" s="84" t="s">
        <v>5735</v>
      </c>
      <c r="F20" s="84" t="s">
        <v>5300</v>
      </c>
      <c r="G20" s="85" t="s">
        <v>96</v>
      </c>
      <c r="H20" s="86">
        <v>0.0058847</v>
      </c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</row>
    <row r="21">
      <c r="A21" s="84" t="s">
        <v>4024</v>
      </c>
      <c r="B21" s="45"/>
      <c r="C21" s="84" t="s">
        <v>8756</v>
      </c>
      <c r="D21" s="45"/>
      <c r="E21" s="84" t="s">
        <v>5445</v>
      </c>
      <c r="F21" s="84" t="s">
        <v>5300</v>
      </c>
      <c r="G21" s="85" t="s">
        <v>96</v>
      </c>
      <c r="H21" s="86">
        <v>0.0058528</v>
      </c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</row>
    <row r="22">
      <c r="A22" s="84" t="s">
        <v>4028</v>
      </c>
      <c r="B22" s="45"/>
      <c r="C22" s="84" t="s">
        <v>11219</v>
      </c>
      <c r="D22" s="45"/>
      <c r="E22" s="84" t="s">
        <v>5989</v>
      </c>
      <c r="F22" s="84" t="s">
        <v>5300</v>
      </c>
      <c r="G22" s="85" t="s">
        <v>96</v>
      </c>
      <c r="H22" s="86">
        <v>0.0051338</v>
      </c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</row>
    <row r="23">
      <c r="A23" s="84" t="s">
        <v>8760</v>
      </c>
      <c r="B23" s="45"/>
      <c r="C23" s="84" t="s">
        <v>8761</v>
      </c>
      <c r="D23" s="45"/>
      <c r="E23" s="84" t="s">
        <v>5742</v>
      </c>
      <c r="F23" s="84" t="s">
        <v>6988</v>
      </c>
      <c r="G23" s="85" t="s">
        <v>96</v>
      </c>
      <c r="H23" s="86">
        <v>0.0050513</v>
      </c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</row>
    <row r="24">
      <c r="A24" s="84" t="s">
        <v>4030</v>
      </c>
      <c r="B24" s="45"/>
      <c r="C24" s="84" t="s">
        <v>8762</v>
      </c>
      <c r="D24" s="45"/>
      <c r="E24" s="84" t="s">
        <v>5218</v>
      </c>
      <c r="F24" s="84" t="s">
        <v>5300</v>
      </c>
      <c r="G24" s="85" t="s">
        <v>96</v>
      </c>
      <c r="H24" s="86">
        <v>0.0047165</v>
      </c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</row>
    <row r="25">
      <c r="A25" s="84" t="s">
        <v>8765</v>
      </c>
      <c r="B25" s="45"/>
      <c r="C25" s="84" t="s">
        <v>8766</v>
      </c>
      <c r="D25" s="45"/>
      <c r="E25" s="84" t="s">
        <v>5218</v>
      </c>
      <c r="F25" s="84" t="s">
        <v>8767</v>
      </c>
      <c r="G25" s="85" t="s">
        <v>96</v>
      </c>
      <c r="H25" s="86">
        <v>0.0046685</v>
      </c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</row>
    <row r="26">
      <c r="A26" s="84" t="s">
        <v>4029</v>
      </c>
      <c r="B26" s="45"/>
      <c r="C26" s="84" t="s">
        <v>8763</v>
      </c>
      <c r="D26" s="45"/>
      <c r="E26" s="84" t="s">
        <v>5218</v>
      </c>
      <c r="F26" s="84" t="s">
        <v>5300</v>
      </c>
      <c r="G26" s="85" t="s">
        <v>96</v>
      </c>
      <c r="H26" s="86">
        <v>0.0045967</v>
      </c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</row>
    <row r="27">
      <c r="A27" s="84" t="s">
        <v>11220</v>
      </c>
      <c r="B27" s="45"/>
      <c r="C27" s="84" t="s">
        <v>11221</v>
      </c>
      <c r="D27" s="45"/>
      <c r="E27" s="84" t="s">
        <v>6115</v>
      </c>
      <c r="F27" s="84" t="s">
        <v>5747</v>
      </c>
      <c r="G27" s="85" t="s">
        <v>96</v>
      </c>
      <c r="H27" s="86">
        <v>0.0045051</v>
      </c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</row>
    <row r="28">
      <c r="A28" s="84" t="s">
        <v>4032</v>
      </c>
      <c r="B28" s="45"/>
      <c r="C28" s="84" t="s">
        <v>8764</v>
      </c>
      <c r="D28" s="45"/>
      <c r="E28" s="84" t="s">
        <v>6040</v>
      </c>
      <c r="F28" s="84" t="s">
        <v>5300</v>
      </c>
      <c r="G28" s="85" t="s">
        <v>96</v>
      </c>
      <c r="H28" s="86">
        <v>0.0044984</v>
      </c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</row>
    <row r="29">
      <c r="A29" s="84" t="s">
        <v>61</v>
      </c>
      <c r="B29" s="45"/>
      <c r="C29" s="84" t="s">
        <v>8770</v>
      </c>
      <c r="D29" s="45"/>
      <c r="E29" s="84" t="s">
        <v>6040</v>
      </c>
      <c r="F29" s="84" t="s">
        <v>5300</v>
      </c>
      <c r="G29" s="85" t="s">
        <v>96</v>
      </c>
      <c r="H29" s="86">
        <v>0.0044197</v>
      </c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</row>
    <row r="30">
      <c r="A30" s="84" t="s">
        <v>4034</v>
      </c>
      <c r="B30" s="45"/>
      <c r="C30" s="84" t="s">
        <v>8768</v>
      </c>
      <c r="D30" s="45"/>
      <c r="E30" s="84" t="s">
        <v>5276</v>
      </c>
      <c r="F30" s="84" t="s">
        <v>5300</v>
      </c>
      <c r="G30" s="85" t="s">
        <v>96</v>
      </c>
      <c r="H30" s="86">
        <v>0.0043708</v>
      </c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</row>
    <row r="31">
      <c r="A31" s="84" t="s">
        <v>4031</v>
      </c>
      <c r="B31" s="45"/>
      <c r="C31" s="84" t="s">
        <v>8769</v>
      </c>
      <c r="D31" s="45"/>
      <c r="E31" s="84" t="s">
        <v>5232</v>
      </c>
      <c r="F31" s="84" t="s">
        <v>5300</v>
      </c>
      <c r="G31" s="85" t="s">
        <v>96</v>
      </c>
      <c r="H31" s="86">
        <v>0.0043292</v>
      </c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</row>
    <row r="32">
      <c r="A32" s="84" t="s">
        <v>4033</v>
      </c>
      <c r="B32" s="45"/>
      <c r="C32" s="84" t="s">
        <v>11222</v>
      </c>
      <c r="D32" s="45"/>
      <c r="E32" s="84" t="s">
        <v>5232</v>
      </c>
      <c r="F32" s="84" t="s">
        <v>5300</v>
      </c>
      <c r="G32" s="85" t="s">
        <v>96</v>
      </c>
      <c r="H32" s="86">
        <v>0.0041086</v>
      </c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</row>
    <row r="33">
      <c r="A33" s="84" t="s">
        <v>4041</v>
      </c>
      <c r="B33" s="45"/>
      <c r="C33" s="84" t="s">
        <v>8771</v>
      </c>
      <c r="D33" s="45"/>
      <c r="E33" s="84" t="s">
        <v>5215</v>
      </c>
      <c r="F33" s="84" t="s">
        <v>5300</v>
      </c>
      <c r="G33" s="85" t="s">
        <v>96</v>
      </c>
      <c r="H33" s="86">
        <v>0.0040127</v>
      </c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</row>
    <row r="34">
      <c r="A34" s="84" t="s">
        <v>4037</v>
      </c>
      <c r="B34" s="45"/>
      <c r="C34" s="84" t="s">
        <v>8774</v>
      </c>
      <c r="D34" s="45"/>
      <c r="E34" s="84" t="s">
        <v>5276</v>
      </c>
      <c r="F34" s="84" t="s">
        <v>5300</v>
      </c>
      <c r="G34" s="85" t="s">
        <v>96</v>
      </c>
      <c r="H34" s="86">
        <v>0.0039306</v>
      </c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</row>
    <row r="35">
      <c r="A35" s="84" t="s">
        <v>8777</v>
      </c>
      <c r="B35" s="45"/>
      <c r="C35" s="84" t="s">
        <v>8778</v>
      </c>
      <c r="D35" s="45"/>
      <c r="E35" s="84" t="s">
        <v>5218</v>
      </c>
      <c r="F35" s="84" t="s">
        <v>5425</v>
      </c>
      <c r="G35" s="85" t="s">
        <v>96</v>
      </c>
      <c r="H35" s="86">
        <v>0.0039064</v>
      </c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</row>
    <row r="36">
      <c r="A36" s="84" t="s">
        <v>8779</v>
      </c>
      <c r="B36" s="45"/>
      <c r="C36" s="84" t="s">
        <v>8780</v>
      </c>
      <c r="D36" s="45"/>
      <c r="E36" s="84" t="s">
        <v>5218</v>
      </c>
      <c r="F36" s="84" t="s">
        <v>8759</v>
      </c>
      <c r="G36" s="85" t="s">
        <v>96</v>
      </c>
      <c r="H36" s="86">
        <v>0.0038854</v>
      </c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</row>
    <row r="37">
      <c r="A37" s="84" t="s">
        <v>8775</v>
      </c>
      <c r="B37" s="45"/>
      <c r="C37" s="84" t="s">
        <v>8776</v>
      </c>
      <c r="D37" s="45"/>
      <c r="E37" s="84" t="s">
        <v>5218</v>
      </c>
      <c r="F37" s="84" t="s">
        <v>8759</v>
      </c>
      <c r="G37" s="85" t="s">
        <v>96</v>
      </c>
      <c r="H37" s="86">
        <v>0.0037495</v>
      </c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</row>
    <row r="38">
      <c r="A38" s="84" t="s">
        <v>4039</v>
      </c>
      <c r="B38" s="45"/>
      <c r="C38" s="84" t="s">
        <v>8772</v>
      </c>
      <c r="D38" s="45"/>
      <c r="E38" s="84" t="s">
        <v>5456</v>
      </c>
      <c r="F38" s="84" t="s">
        <v>5300</v>
      </c>
      <c r="G38" s="85" t="s">
        <v>96</v>
      </c>
      <c r="H38" s="86">
        <v>0.0037153</v>
      </c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</row>
    <row r="39">
      <c r="A39" s="84" t="s">
        <v>4035</v>
      </c>
      <c r="B39" s="45"/>
      <c r="C39" s="84" t="s">
        <v>8773</v>
      </c>
      <c r="D39" s="45"/>
      <c r="E39" s="84" t="s">
        <v>5691</v>
      </c>
      <c r="F39" s="84" t="s">
        <v>5300</v>
      </c>
      <c r="G39" s="85" t="s">
        <v>96</v>
      </c>
      <c r="H39" s="86">
        <v>0.0037113</v>
      </c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</row>
    <row r="40">
      <c r="A40" s="84" t="s">
        <v>4038</v>
      </c>
      <c r="B40" s="45"/>
      <c r="C40" s="84" t="s">
        <v>8781</v>
      </c>
      <c r="D40" s="45"/>
      <c r="E40" s="84" t="s">
        <v>5283</v>
      </c>
      <c r="F40" s="84" t="s">
        <v>5300</v>
      </c>
      <c r="G40" s="85" t="s">
        <v>96</v>
      </c>
      <c r="H40" s="86">
        <v>0.0036828</v>
      </c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</row>
    <row r="41">
      <c r="A41" s="84" t="s">
        <v>11223</v>
      </c>
      <c r="B41" s="45"/>
      <c r="C41" s="84" t="s">
        <v>11224</v>
      </c>
      <c r="D41" s="45"/>
      <c r="E41" s="84" t="s">
        <v>5989</v>
      </c>
      <c r="F41" s="84" t="s">
        <v>5425</v>
      </c>
      <c r="G41" s="85" t="s">
        <v>96</v>
      </c>
      <c r="H41" s="86">
        <v>0.0036311</v>
      </c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</row>
    <row r="42">
      <c r="A42" s="84" t="s">
        <v>4047</v>
      </c>
      <c r="B42" s="45"/>
      <c r="C42" s="84" t="s">
        <v>8782</v>
      </c>
      <c r="D42" s="45"/>
      <c r="E42" s="84" t="s">
        <v>5218</v>
      </c>
      <c r="F42" s="84" t="s">
        <v>5300</v>
      </c>
      <c r="G42" s="85" t="s">
        <v>96</v>
      </c>
      <c r="H42" s="86">
        <v>0.0035462</v>
      </c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</row>
    <row r="43">
      <c r="A43" s="84" t="s">
        <v>4042</v>
      </c>
      <c r="B43" s="45"/>
      <c r="C43" s="84" t="s">
        <v>8785</v>
      </c>
      <c r="D43" s="45"/>
      <c r="E43" s="84" t="s">
        <v>5395</v>
      </c>
      <c r="F43" s="84" t="s">
        <v>5268</v>
      </c>
      <c r="G43" s="85" t="s">
        <v>96</v>
      </c>
      <c r="H43" s="86">
        <v>0.0034831</v>
      </c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</row>
    <row r="44">
      <c r="A44" s="84" t="s">
        <v>4050</v>
      </c>
      <c r="B44" s="45"/>
      <c r="C44" s="84" t="s">
        <v>8787</v>
      </c>
      <c r="D44" s="45"/>
      <c r="E44" s="84" t="s">
        <v>5624</v>
      </c>
      <c r="F44" s="84" t="s">
        <v>5300</v>
      </c>
      <c r="G44" s="85" t="s">
        <v>96</v>
      </c>
      <c r="H44" s="86">
        <v>0.0034218</v>
      </c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</row>
    <row r="45">
      <c r="A45" s="84" t="s">
        <v>4048</v>
      </c>
      <c r="B45" s="45"/>
      <c r="C45" s="84" t="s">
        <v>8786</v>
      </c>
      <c r="D45" s="45"/>
      <c r="E45" s="84" t="s">
        <v>5283</v>
      </c>
      <c r="F45" s="84" t="s">
        <v>5300</v>
      </c>
      <c r="G45" s="85" t="s">
        <v>96</v>
      </c>
      <c r="H45" s="86">
        <v>0.00336</v>
      </c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</row>
    <row r="46">
      <c r="A46" s="84" t="s">
        <v>4046</v>
      </c>
      <c r="B46" s="45"/>
      <c r="C46" s="84" t="s">
        <v>8788</v>
      </c>
      <c r="D46" s="45"/>
      <c r="E46" s="84" t="s">
        <v>5366</v>
      </c>
      <c r="F46" s="84" t="s">
        <v>5268</v>
      </c>
      <c r="G46" s="85" t="s">
        <v>96</v>
      </c>
      <c r="H46" s="86">
        <v>0.0033368</v>
      </c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</row>
    <row r="47">
      <c r="A47" s="84" t="s">
        <v>4049</v>
      </c>
      <c r="B47" s="45"/>
      <c r="C47" s="84" t="s">
        <v>8791</v>
      </c>
      <c r="D47" s="45"/>
      <c r="E47" s="84" t="s">
        <v>5276</v>
      </c>
      <c r="F47" s="84" t="s">
        <v>5300</v>
      </c>
      <c r="G47" s="85" t="s">
        <v>96</v>
      </c>
      <c r="H47" s="86">
        <v>0.0033128</v>
      </c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</row>
    <row r="48">
      <c r="A48" s="84" t="s">
        <v>4044</v>
      </c>
      <c r="B48" s="45"/>
      <c r="C48" s="84" t="s">
        <v>8789</v>
      </c>
      <c r="D48" s="45"/>
      <c r="E48" s="84" t="s">
        <v>7476</v>
      </c>
      <c r="F48" s="84" t="s">
        <v>5300</v>
      </c>
      <c r="G48" s="85" t="s">
        <v>96</v>
      </c>
      <c r="H48" s="86">
        <v>0.0033111</v>
      </c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</row>
    <row r="49">
      <c r="A49" s="84" t="s">
        <v>4051</v>
      </c>
      <c r="B49" s="45"/>
      <c r="C49" s="84" t="s">
        <v>8790</v>
      </c>
      <c r="D49" s="45"/>
      <c r="E49" s="84" t="s">
        <v>5650</v>
      </c>
      <c r="F49" s="84" t="s">
        <v>5300</v>
      </c>
      <c r="G49" s="85" t="s">
        <v>96</v>
      </c>
      <c r="H49" s="86">
        <v>0.0032152</v>
      </c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</row>
    <row r="50">
      <c r="A50" s="84" t="s">
        <v>6643</v>
      </c>
      <c r="B50" s="45"/>
      <c r="C50" s="84" t="s">
        <v>8783</v>
      </c>
      <c r="D50" s="45"/>
      <c r="E50" s="84" t="s">
        <v>5978</v>
      </c>
      <c r="F50" s="84" t="s">
        <v>8784</v>
      </c>
      <c r="G50" s="85" t="s">
        <v>96</v>
      </c>
      <c r="H50" s="86">
        <v>0.0031067</v>
      </c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</row>
    <row r="51">
      <c r="A51" s="84" t="s">
        <v>4052</v>
      </c>
      <c r="B51" s="45"/>
      <c r="C51" s="84" t="s">
        <v>8792</v>
      </c>
      <c r="D51" s="45"/>
      <c r="E51" s="84" t="s">
        <v>5283</v>
      </c>
      <c r="F51" s="84" t="s">
        <v>5300</v>
      </c>
      <c r="G51" s="85" t="s">
        <v>96</v>
      </c>
      <c r="H51" s="86">
        <v>0.0030738</v>
      </c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</row>
    <row r="52">
      <c r="A52" s="84" t="s">
        <v>4053</v>
      </c>
      <c r="B52" s="45"/>
      <c r="C52" s="84" t="s">
        <v>11225</v>
      </c>
      <c r="D52" s="45"/>
      <c r="E52" s="84" t="s">
        <v>5215</v>
      </c>
      <c r="F52" s="84" t="s">
        <v>5300</v>
      </c>
      <c r="G52" s="85" t="s">
        <v>96</v>
      </c>
      <c r="H52" s="86">
        <v>0.0030301</v>
      </c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</row>
    <row r="53">
      <c r="A53" s="84" t="s">
        <v>11226</v>
      </c>
      <c r="B53" s="45"/>
      <c r="C53" s="84" t="s">
        <v>11227</v>
      </c>
      <c r="D53" s="45"/>
      <c r="E53" s="84" t="s">
        <v>5215</v>
      </c>
      <c r="F53" s="84" t="s">
        <v>5425</v>
      </c>
      <c r="G53" s="85" t="s">
        <v>96</v>
      </c>
      <c r="H53" s="86">
        <v>0.0029129</v>
      </c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</row>
    <row r="54">
      <c r="A54" s="84" t="s">
        <v>4061</v>
      </c>
      <c r="B54" s="45"/>
      <c r="C54" s="84" t="s">
        <v>8794</v>
      </c>
      <c r="D54" s="45"/>
      <c r="E54" s="84" t="s">
        <v>5650</v>
      </c>
      <c r="F54" s="84" t="s">
        <v>5300</v>
      </c>
      <c r="G54" s="85" t="s">
        <v>96</v>
      </c>
      <c r="H54" s="86">
        <v>0.0028398</v>
      </c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</row>
    <row r="55">
      <c r="A55" s="84" t="s">
        <v>4058</v>
      </c>
      <c r="B55" s="45"/>
      <c r="C55" s="84" t="s">
        <v>8793</v>
      </c>
      <c r="D55" s="45"/>
      <c r="E55" s="84" t="s">
        <v>5624</v>
      </c>
      <c r="F55" s="84" t="s">
        <v>5300</v>
      </c>
      <c r="G55" s="85" t="s">
        <v>96</v>
      </c>
      <c r="H55" s="86">
        <v>0.002829</v>
      </c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</row>
    <row r="56">
      <c r="A56" s="84" t="s">
        <v>4063</v>
      </c>
      <c r="B56" s="45"/>
      <c r="C56" s="84" t="s">
        <v>11228</v>
      </c>
      <c r="D56" s="45"/>
      <c r="E56" s="84" t="s">
        <v>6083</v>
      </c>
      <c r="F56" s="84" t="s">
        <v>5300</v>
      </c>
      <c r="G56" s="85" t="s">
        <v>96</v>
      </c>
      <c r="H56" s="86">
        <v>0.002761</v>
      </c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</row>
    <row r="57">
      <c r="A57" s="84" t="s">
        <v>4055</v>
      </c>
      <c r="B57" s="45"/>
      <c r="C57" s="84" t="s">
        <v>8796</v>
      </c>
      <c r="D57" s="45"/>
      <c r="E57" s="84" t="s">
        <v>5650</v>
      </c>
      <c r="F57" s="84" t="s">
        <v>5300</v>
      </c>
      <c r="G57" s="85" t="s">
        <v>96</v>
      </c>
      <c r="H57" s="86">
        <v>0.0025986</v>
      </c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</row>
    <row r="58">
      <c r="A58" s="84" t="s">
        <v>4082</v>
      </c>
      <c r="B58" s="45"/>
      <c r="C58" s="84" t="s">
        <v>11229</v>
      </c>
      <c r="D58" s="45"/>
      <c r="E58" s="84" t="s">
        <v>6191</v>
      </c>
      <c r="F58" s="84" t="s">
        <v>5300</v>
      </c>
      <c r="G58" s="85" t="s">
        <v>96</v>
      </c>
      <c r="H58" s="86">
        <v>0.0025712</v>
      </c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</row>
    <row r="59">
      <c r="A59" s="84" t="s">
        <v>4072</v>
      </c>
      <c r="B59" s="45"/>
      <c r="C59" s="84" t="s">
        <v>8797</v>
      </c>
      <c r="D59" s="45"/>
      <c r="E59" s="84" t="s">
        <v>5650</v>
      </c>
      <c r="F59" s="84" t="s">
        <v>5300</v>
      </c>
      <c r="G59" s="85" t="s">
        <v>96</v>
      </c>
      <c r="H59" s="86">
        <v>0.002566</v>
      </c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</row>
    <row r="60">
      <c r="A60" s="84" t="s">
        <v>11230</v>
      </c>
      <c r="B60" s="45"/>
      <c r="C60" s="84" t="s">
        <v>11231</v>
      </c>
      <c r="D60" s="45"/>
      <c r="E60" s="84" t="s">
        <v>5989</v>
      </c>
      <c r="F60" s="84" t="s">
        <v>5747</v>
      </c>
      <c r="G60" s="85" t="s">
        <v>96</v>
      </c>
      <c r="H60" s="86">
        <v>0.0025169</v>
      </c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</row>
    <row r="61">
      <c r="A61" s="84" t="s">
        <v>8795</v>
      </c>
      <c r="B61" s="45"/>
      <c r="C61" s="84" t="s">
        <v>973</v>
      </c>
      <c r="D61" s="45"/>
      <c r="E61" s="84" t="s">
        <v>5276</v>
      </c>
      <c r="F61" s="84" t="s">
        <v>4095</v>
      </c>
      <c r="G61" s="85" t="s">
        <v>96</v>
      </c>
      <c r="H61" s="86">
        <v>0.0025021</v>
      </c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</row>
    <row r="62">
      <c r="A62" s="84" t="s">
        <v>4057</v>
      </c>
      <c r="B62" s="45"/>
      <c r="C62" s="84" t="s">
        <v>11232</v>
      </c>
      <c r="D62" s="45"/>
      <c r="E62" s="84" t="s">
        <v>5226</v>
      </c>
      <c r="F62" s="84" t="s">
        <v>5300</v>
      </c>
      <c r="G62" s="85" t="s">
        <v>96</v>
      </c>
      <c r="H62" s="86">
        <v>0.0024912</v>
      </c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</row>
    <row r="63">
      <c r="A63" s="84" t="s">
        <v>4067</v>
      </c>
      <c r="B63" s="45"/>
      <c r="C63" s="84" t="s">
        <v>8798</v>
      </c>
      <c r="D63" s="45"/>
      <c r="E63" s="84" t="s">
        <v>5235</v>
      </c>
      <c r="F63" s="84" t="s">
        <v>5300</v>
      </c>
      <c r="G63" s="85" t="s">
        <v>96</v>
      </c>
      <c r="H63" s="86">
        <v>0.0024871</v>
      </c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</row>
    <row r="64">
      <c r="A64" s="84" t="s">
        <v>4070</v>
      </c>
      <c r="B64" s="45"/>
      <c r="C64" s="84" t="s">
        <v>8799</v>
      </c>
      <c r="D64" s="45"/>
      <c r="E64" s="84" t="s">
        <v>5369</v>
      </c>
      <c r="F64" s="84" t="s">
        <v>5300</v>
      </c>
      <c r="G64" s="85" t="s">
        <v>96</v>
      </c>
      <c r="H64" s="86">
        <v>0.0024683</v>
      </c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</row>
    <row r="65">
      <c r="A65" s="84" t="s">
        <v>4065</v>
      </c>
      <c r="B65" s="45"/>
      <c r="C65" s="84" t="s">
        <v>8801</v>
      </c>
      <c r="D65" s="45"/>
      <c r="E65" s="84" t="s">
        <v>5276</v>
      </c>
      <c r="F65" s="84" t="s">
        <v>5300</v>
      </c>
      <c r="G65" s="85" t="s">
        <v>96</v>
      </c>
      <c r="H65" s="86">
        <v>0.002463</v>
      </c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</row>
    <row r="66">
      <c r="A66" s="84" t="s">
        <v>4075</v>
      </c>
      <c r="B66" s="45"/>
      <c r="C66" s="84" t="s">
        <v>8800</v>
      </c>
      <c r="D66" s="45"/>
      <c r="E66" s="84" t="s">
        <v>5735</v>
      </c>
      <c r="F66" s="84" t="s">
        <v>5300</v>
      </c>
      <c r="G66" s="85" t="s">
        <v>96</v>
      </c>
      <c r="H66" s="86">
        <v>0.0024346</v>
      </c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</row>
    <row r="67">
      <c r="A67" s="84" t="s">
        <v>4066</v>
      </c>
      <c r="B67" s="45"/>
      <c r="C67" s="84" t="s">
        <v>8805</v>
      </c>
      <c r="D67" s="45"/>
      <c r="E67" s="84" t="s">
        <v>5422</v>
      </c>
      <c r="F67" s="84" t="s">
        <v>5300</v>
      </c>
      <c r="G67" s="85" t="s">
        <v>96</v>
      </c>
      <c r="H67" s="86">
        <v>0.0023873</v>
      </c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</row>
    <row r="68">
      <c r="A68" s="84" t="s">
        <v>4089</v>
      </c>
      <c r="B68" s="45"/>
      <c r="C68" s="84" t="s">
        <v>11233</v>
      </c>
      <c r="D68" s="45"/>
      <c r="E68" s="84" t="s">
        <v>6759</v>
      </c>
      <c r="F68" s="84" t="s">
        <v>5300</v>
      </c>
      <c r="G68" s="85" t="s">
        <v>96</v>
      </c>
      <c r="H68" s="86">
        <v>0.0023825</v>
      </c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</row>
    <row r="69">
      <c r="A69" s="84" t="s">
        <v>8802</v>
      </c>
      <c r="B69" s="45"/>
      <c r="C69" s="84" t="s">
        <v>8803</v>
      </c>
      <c r="D69" s="45"/>
      <c r="E69" s="84" t="s">
        <v>5215</v>
      </c>
      <c r="F69" s="84" t="s">
        <v>5836</v>
      </c>
      <c r="G69" s="85" t="s">
        <v>96</v>
      </c>
      <c r="H69" s="86">
        <v>0.0023776</v>
      </c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</row>
    <row r="70">
      <c r="A70" s="84" t="s">
        <v>4087</v>
      </c>
      <c r="B70" s="45"/>
      <c r="C70" s="84" t="s">
        <v>8806</v>
      </c>
      <c r="D70" s="45"/>
      <c r="E70" s="84" t="s">
        <v>6947</v>
      </c>
      <c r="F70" s="84" t="s">
        <v>5300</v>
      </c>
      <c r="G70" s="85" t="s">
        <v>96</v>
      </c>
      <c r="H70" s="86">
        <v>0.0023762</v>
      </c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</row>
    <row r="71">
      <c r="A71" s="84" t="s">
        <v>8888</v>
      </c>
      <c r="B71" s="45"/>
      <c r="C71" s="84" t="s">
        <v>8889</v>
      </c>
      <c r="D71" s="45"/>
      <c r="E71" s="84" t="s">
        <v>6009</v>
      </c>
      <c r="F71" s="84" t="s">
        <v>5425</v>
      </c>
      <c r="G71" s="85" t="s">
        <v>96</v>
      </c>
      <c r="H71" s="86">
        <v>0.0023643</v>
      </c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</row>
    <row r="72">
      <c r="A72" s="84" t="s">
        <v>4084</v>
      </c>
      <c r="B72" s="45"/>
      <c r="C72" s="84" t="s">
        <v>8804</v>
      </c>
      <c r="D72" s="45"/>
      <c r="E72" s="84" t="s">
        <v>6172</v>
      </c>
      <c r="F72" s="84" t="s">
        <v>5300</v>
      </c>
      <c r="G72" s="85" t="s">
        <v>96</v>
      </c>
      <c r="H72" s="86">
        <v>0.0023585</v>
      </c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</row>
    <row r="73">
      <c r="A73" s="84" t="s">
        <v>4077</v>
      </c>
      <c r="B73" s="45"/>
      <c r="C73" s="84" t="s">
        <v>8807</v>
      </c>
      <c r="D73" s="45"/>
      <c r="E73" s="84" t="s">
        <v>5218</v>
      </c>
      <c r="F73" s="84" t="s">
        <v>5300</v>
      </c>
      <c r="G73" s="85" t="s">
        <v>96</v>
      </c>
      <c r="H73" s="86">
        <v>0.00228</v>
      </c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</row>
    <row r="74">
      <c r="A74" s="84" t="s">
        <v>4068</v>
      </c>
      <c r="B74" s="45"/>
      <c r="C74" s="84" t="s">
        <v>11234</v>
      </c>
      <c r="D74" s="45"/>
      <c r="E74" s="84" t="s">
        <v>5374</v>
      </c>
      <c r="F74" s="84" t="s">
        <v>5300</v>
      </c>
      <c r="G74" s="85" t="s">
        <v>96</v>
      </c>
      <c r="H74" s="86">
        <v>0.0022731</v>
      </c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</row>
    <row r="75">
      <c r="A75" s="84" t="s">
        <v>11235</v>
      </c>
      <c r="B75" s="45"/>
      <c r="C75" s="84" t="s">
        <v>11236</v>
      </c>
      <c r="D75" s="45"/>
      <c r="E75" s="84" t="s">
        <v>6389</v>
      </c>
      <c r="F75" s="84" t="s">
        <v>4095</v>
      </c>
      <c r="G75" s="85" t="s">
        <v>96</v>
      </c>
      <c r="H75" s="86">
        <v>0.0022728</v>
      </c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</row>
    <row r="76">
      <c r="A76" s="84" t="s">
        <v>4079</v>
      </c>
      <c r="B76" s="45"/>
      <c r="C76" s="84" t="s">
        <v>8810</v>
      </c>
      <c r="D76" s="45"/>
      <c r="E76" s="84" t="s">
        <v>7260</v>
      </c>
      <c r="F76" s="84" t="s">
        <v>5300</v>
      </c>
      <c r="G76" s="85" t="s">
        <v>96</v>
      </c>
      <c r="H76" s="86">
        <v>0.002256</v>
      </c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</row>
    <row r="77">
      <c r="A77" s="84" t="s">
        <v>4098</v>
      </c>
      <c r="B77" s="45"/>
      <c r="C77" s="84" t="s">
        <v>11237</v>
      </c>
      <c r="D77" s="45"/>
      <c r="E77" s="84" t="s">
        <v>6759</v>
      </c>
      <c r="F77" s="84" t="s">
        <v>5300</v>
      </c>
      <c r="G77" s="85" t="s">
        <v>96</v>
      </c>
      <c r="H77" s="87">
        <v>0.0022497</v>
      </c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</row>
    <row r="78">
      <c r="A78" s="84" t="s">
        <v>4071</v>
      </c>
      <c r="B78" s="45"/>
      <c r="C78" s="84" t="s">
        <v>11238</v>
      </c>
      <c r="D78" s="45"/>
      <c r="E78" s="84" t="s">
        <v>6389</v>
      </c>
      <c r="F78" s="84" t="s">
        <v>5300</v>
      </c>
      <c r="G78" s="85" t="s">
        <v>96</v>
      </c>
      <c r="H78" s="87">
        <v>0.0022455</v>
      </c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</row>
    <row r="79">
      <c r="A79" s="84" t="s">
        <v>4080</v>
      </c>
      <c r="B79" s="45"/>
      <c r="C79" s="84" t="s">
        <v>8808</v>
      </c>
      <c r="D79" s="45"/>
      <c r="E79" s="84" t="s">
        <v>5742</v>
      </c>
      <c r="F79" s="84" t="s">
        <v>5300</v>
      </c>
      <c r="G79" s="85" t="s">
        <v>96</v>
      </c>
      <c r="H79" s="87">
        <v>0.0022371</v>
      </c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</row>
    <row r="80">
      <c r="A80" s="84" t="s">
        <v>4073</v>
      </c>
      <c r="B80" s="45"/>
      <c r="C80" s="84" t="s">
        <v>11239</v>
      </c>
      <c r="D80" s="45"/>
      <c r="E80" s="84" t="s">
        <v>6389</v>
      </c>
      <c r="F80" s="84" t="s">
        <v>5300</v>
      </c>
      <c r="G80" s="85" t="s">
        <v>96</v>
      </c>
      <c r="H80" s="87">
        <v>0.0021848</v>
      </c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</row>
    <row r="81">
      <c r="A81" s="84" t="s">
        <v>4060</v>
      </c>
      <c r="B81" s="45"/>
      <c r="C81" s="84" t="s">
        <v>8809</v>
      </c>
      <c r="D81" s="45"/>
      <c r="E81" s="84" t="s">
        <v>5218</v>
      </c>
      <c r="F81" s="84" t="s">
        <v>5300</v>
      </c>
      <c r="G81" s="85" t="s">
        <v>96</v>
      </c>
      <c r="H81" s="87">
        <v>0.002178</v>
      </c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</row>
    <row r="82">
      <c r="A82" s="84" t="s">
        <v>8817</v>
      </c>
      <c r="B82" s="45"/>
      <c r="C82" s="84" t="s">
        <v>8818</v>
      </c>
      <c r="D82" s="45"/>
      <c r="E82" s="84" t="s">
        <v>5218</v>
      </c>
      <c r="F82" s="84" t="s">
        <v>5747</v>
      </c>
      <c r="G82" s="85" t="s">
        <v>96</v>
      </c>
      <c r="H82" s="87">
        <v>0.0021148</v>
      </c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</row>
    <row r="83">
      <c r="A83" s="84" t="s">
        <v>4095</v>
      </c>
      <c r="B83" s="45"/>
      <c r="C83" s="84" t="s">
        <v>8813</v>
      </c>
      <c r="D83" s="45"/>
      <c r="E83" s="84" t="s">
        <v>8480</v>
      </c>
      <c r="F83" s="84" t="s">
        <v>5300</v>
      </c>
      <c r="G83" s="85" t="s">
        <v>96</v>
      </c>
      <c r="H83" s="87">
        <v>0.0021063</v>
      </c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</row>
    <row r="84">
      <c r="A84" s="84" t="s">
        <v>8811</v>
      </c>
      <c r="B84" s="45"/>
      <c r="C84" s="84" t="s">
        <v>8812</v>
      </c>
      <c r="D84" s="45"/>
      <c r="E84" s="84" t="s">
        <v>5215</v>
      </c>
      <c r="F84" s="84" t="s">
        <v>5836</v>
      </c>
      <c r="G84" s="85" t="s">
        <v>96</v>
      </c>
      <c r="H84" s="87">
        <v>0.0020918</v>
      </c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</row>
    <row r="85">
      <c r="A85" s="84" t="s">
        <v>4092</v>
      </c>
      <c r="B85" s="45"/>
      <c r="C85" s="84" t="s">
        <v>8822</v>
      </c>
      <c r="D85" s="45"/>
      <c r="E85" s="84" t="s">
        <v>5229</v>
      </c>
      <c r="F85" s="84" t="s">
        <v>5300</v>
      </c>
      <c r="G85" s="85" t="s">
        <v>96</v>
      </c>
      <c r="H85" s="87">
        <v>0.0020793</v>
      </c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</row>
    <row r="86">
      <c r="A86" s="84" t="s">
        <v>4083</v>
      </c>
      <c r="B86" s="45"/>
      <c r="C86" s="84" t="s">
        <v>8814</v>
      </c>
      <c r="D86" s="45"/>
      <c r="E86" s="84" t="s">
        <v>5276</v>
      </c>
      <c r="F86" s="84" t="s">
        <v>5300</v>
      </c>
      <c r="G86" s="85" t="s">
        <v>96</v>
      </c>
      <c r="H86" s="87">
        <v>0.0020791</v>
      </c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</row>
    <row r="87">
      <c r="A87" s="84" t="s">
        <v>8823</v>
      </c>
      <c r="B87" s="45"/>
      <c r="C87" s="84" t="s">
        <v>8824</v>
      </c>
      <c r="D87" s="45"/>
      <c r="E87" s="84" t="s">
        <v>6275</v>
      </c>
      <c r="F87" s="84" t="s">
        <v>8784</v>
      </c>
      <c r="G87" s="85" t="s">
        <v>96</v>
      </c>
      <c r="H87" s="87">
        <v>0.002063</v>
      </c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</row>
    <row r="88">
      <c r="A88" s="84" t="s">
        <v>4101</v>
      </c>
      <c r="B88" s="45"/>
      <c r="C88" s="84" t="s">
        <v>8820</v>
      </c>
      <c r="D88" s="45"/>
      <c r="E88" s="84" t="s">
        <v>5456</v>
      </c>
      <c r="F88" s="84" t="s">
        <v>5300</v>
      </c>
      <c r="G88" s="85" t="s">
        <v>96</v>
      </c>
      <c r="H88" s="87">
        <v>0.0020422</v>
      </c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</row>
    <row r="89">
      <c r="A89" s="84" t="s">
        <v>4100</v>
      </c>
      <c r="B89" s="45"/>
      <c r="C89" s="84" t="s">
        <v>8819</v>
      </c>
      <c r="D89" s="45"/>
      <c r="E89" s="84" t="s">
        <v>5283</v>
      </c>
      <c r="F89" s="84" t="s">
        <v>5268</v>
      </c>
      <c r="G89" s="85" t="s">
        <v>96</v>
      </c>
      <c r="H89" s="87">
        <v>0.0020285</v>
      </c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</row>
    <row r="90">
      <c r="A90" s="84" t="s">
        <v>4103</v>
      </c>
      <c r="B90" s="45"/>
      <c r="C90" s="84" t="s">
        <v>8821</v>
      </c>
      <c r="D90" s="45"/>
      <c r="E90" s="84" t="s">
        <v>5564</v>
      </c>
      <c r="F90" s="84" t="s">
        <v>5300</v>
      </c>
      <c r="G90" s="85" t="s">
        <v>96</v>
      </c>
      <c r="H90" s="87">
        <v>0.0020169</v>
      </c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</row>
    <row r="91">
      <c r="A91" s="84" t="s">
        <v>8815</v>
      </c>
      <c r="B91" s="45"/>
      <c r="C91" s="84" t="s">
        <v>8816</v>
      </c>
      <c r="D91" s="45"/>
      <c r="E91" s="84" t="s">
        <v>5271</v>
      </c>
      <c r="F91" s="84" t="s">
        <v>6220</v>
      </c>
      <c r="G91" s="85" t="s">
        <v>96</v>
      </c>
      <c r="H91" s="87">
        <v>0.0020147</v>
      </c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</row>
    <row r="92">
      <c r="A92" s="84" t="s">
        <v>4097</v>
      </c>
      <c r="B92" s="45"/>
      <c r="C92" s="84" t="s">
        <v>8828</v>
      </c>
      <c r="D92" s="45"/>
      <c r="E92" s="84" t="s">
        <v>5229</v>
      </c>
      <c r="F92" s="84" t="s">
        <v>5300</v>
      </c>
      <c r="G92" s="85" t="s">
        <v>96</v>
      </c>
      <c r="H92" s="87">
        <v>0.0020058</v>
      </c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</row>
    <row r="93">
      <c r="A93" s="84" t="s">
        <v>4102</v>
      </c>
      <c r="B93" s="45"/>
      <c r="C93" s="84" t="s">
        <v>8825</v>
      </c>
      <c r="D93" s="45"/>
      <c r="E93" s="84" t="s">
        <v>5283</v>
      </c>
      <c r="F93" s="84" t="s">
        <v>5300</v>
      </c>
      <c r="G93" s="85" t="s">
        <v>96</v>
      </c>
      <c r="H93" s="87">
        <v>0.0019839</v>
      </c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</row>
    <row r="94">
      <c r="A94" s="84" t="s">
        <v>4086</v>
      </c>
      <c r="B94" s="45"/>
      <c r="C94" s="84" t="s">
        <v>8829</v>
      </c>
      <c r="D94" s="45"/>
      <c r="E94" s="84" t="s">
        <v>5431</v>
      </c>
      <c r="F94" s="84" t="s">
        <v>5300</v>
      </c>
      <c r="G94" s="85" t="s">
        <v>96</v>
      </c>
      <c r="H94" s="87">
        <v>0.0019693</v>
      </c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</row>
    <row r="95">
      <c r="A95" s="84" t="s">
        <v>4094</v>
      </c>
      <c r="B95" s="45"/>
      <c r="C95" s="84" t="s">
        <v>8826</v>
      </c>
      <c r="D95" s="45"/>
      <c r="E95" s="84" t="s">
        <v>6487</v>
      </c>
      <c r="F95" s="84" t="s">
        <v>5300</v>
      </c>
      <c r="G95" s="85" t="s">
        <v>96</v>
      </c>
      <c r="H95" s="87">
        <v>0.0019554</v>
      </c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</row>
    <row r="96">
      <c r="A96" s="84" t="s">
        <v>4116</v>
      </c>
      <c r="B96" s="45"/>
      <c r="C96" s="84" t="s">
        <v>8827</v>
      </c>
      <c r="D96" s="45"/>
      <c r="E96" s="84" t="s">
        <v>5450</v>
      </c>
      <c r="F96" s="84" t="s">
        <v>5300</v>
      </c>
      <c r="G96" s="85" t="s">
        <v>96</v>
      </c>
      <c r="H96" s="87">
        <v>0.0019418</v>
      </c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</row>
    <row r="97">
      <c r="A97" s="84" t="s">
        <v>11240</v>
      </c>
      <c r="B97" s="45"/>
      <c r="C97" s="84" t="s">
        <v>11241</v>
      </c>
      <c r="D97" s="45"/>
      <c r="E97" s="84" t="s">
        <v>5989</v>
      </c>
      <c r="F97" s="84" t="s">
        <v>5425</v>
      </c>
      <c r="G97" s="85" t="s">
        <v>96</v>
      </c>
      <c r="H97" s="87">
        <v>0.0019263</v>
      </c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</row>
    <row r="98">
      <c r="A98" s="84" t="s">
        <v>4120</v>
      </c>
      <c r="B98" s="45"/>
      <c r="C98" s="84" t="s">
        <v>8834</v>
      </c>
      <c r="D98" s="45"/>
      <c r="E98" s="84" t="s">
        <v>5445</v>
      </c>
      <c r="F98" s="84" t="s">
        <v>5300</v>
      </c>
      <c r="G98" s="85" t="s">
        <v>96</v>
      </c>
      <c r="H98" s="87">
        <v>0.0018631</v>
      </c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</row>
    <row r="99">
      <c r="A99" s="84" t="s">
        <v>4091</v>
      </c>
      <c r="B99" s="45"/>
      <c r="C99" s="84" t="s">
        <v>5051</v>
      </c>
      <c r="D99" s="45"/>
      <c r="E99" s="84" t="s">
        <v>5235</v>
      </c>
      <c r="F99" s="84" t="s">
        <v>5300</v>
      </c>
      <c r="G99" s="85" t="s">
        <v>96</v>
      </c>
      <c r="H99" s="87">
        <v>0.0018038</v>
      </c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</row>
    <row r="100">
      <c r="A100" s="84" t="s">
        <v>4114</v>
      </c>
      <c r="B100" s="45"/>
      <c r="C100" s="84" t="s">
        <v>11242</v>
      </c>
      <c r="D100" s="45"/>
      <c r="E100" s="84" t="s">
        <v>6472</v>
      </c>
      <c r="F100" s="84" t="s">
        <v>5300</v>
      </c>
      <c r="G100" s="85" t="s">
        <v>96</v>
      </c>
      <c r="H100" s="87">
        <v>0.0017841</v>
      </c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</row>
    <row r="101">
      <c r="A101" s="84" t="s">
        <v>4107</v>
      </c>
      <c r="B101" s="45"/>
      <c r="C101" s="84" t="s">
        <v>8830</v>
      </c>
      <c r="D101" s="45"/>
      <c r="E101" s="84" t="s">
        <v>5395</v>
      </c>
      <c r="F101" s="84" t="s">
        <v>5300</v>
      </c>
      <c r="G101" s="85" t="s">
        <v>96</v>
      </c>
      <c r="H101" s="87">
        <v>0.0017813</v>
      </c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</row>
    <row r="102">
      <c r="A102" s="84" t="s">
        <v>4110</v>
      </c>
      <c r="B102" s="45"/>
      <c r="C102" s="84" t="s">
        <v>8832</v>
      </c>
      <c r="D102" s="45"/>
      <c r="E102" s="84" t="s">
        <v>5434</v>
      </c>
      <c r="F102" s="84" t="s">
        <v>5300</v>
      </c>
      <c r="G102" s="85" t="s">
        <v>96</v>
      </c>
      <c r="H102" s="87">
        <v>0.0017631</v>
      </c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</row>
    <row r="103">
      <c r="A103" s="84" t="s">
        <v>4119</v>
      </c>
      <c r="B103" s="45"/>
      <c r="C103" s="84" t="s">
        <v>11243</v>
      </c>
      <c r="D103" s="45"/>
      <c r="E103" s="84" t="s">
        <v>5650</v>
      </c>
      <c r="F103" s="84" t="s">
        <v>5300</v>
      </c>
      <c r="G103" s="85" t="s">
        <v>96</v>
      </c>
      <c r="H103" s="87">
        <v>0.0017585</v>
      </c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</row>
    <row r="104">
      <c r="A104" s="84" t="s">
        <v>4105</v>
      </c>
      <c r="B104" s="45"/>
      <c r="C104" s="84" t="s">
        <v>8833</v>
      </c>
      <c r="D104" s="45"/>
      <c r="E104" s="84" t="s">
        <v>5516</v>
      </c>
      <c r="F104" s="84" t="s">
        <v>5300</v>
      </c>
      <c r="G104" s="85" t="s">
        <v>96</v>
      </c>
      <c r="H104" s="87">
        <v>0.0017383</v>
      </c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</row>
    <row r="105">
      <c r="A105" s="84" t="s">
        <v>11244</v>
      </c>
      <c r="B105" s="45"/>
      <c r="C105" s="84" t="s">
        <v>11245</v>
      </c>
      <c r="D105" s="45"/>
      <c r="E105" s="84" t="s">
        <v>5351</v>
      </c>
      <c r="F105" s="84" t="s">
        <v>5425</v>
      </c>
      <c r="G105" s="85" t="s">
        <v>96</v>
      </c>
      <c r="H105" s="87">
        <v>0.001733</v>
      </c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</row>
    <row r="106">
      <c r="A106" s="84" t="s">
        <v>11246</v>
      </c>
      <c r="B106" s="45"/>
      <c r="C106" s="84" t="s">
        <v>11247</v>
      </c>
      <c r="D106" s="45"/>
      <c r="E106" s="84" t="s">
        <v>5855</v>
      </c>
      <c r="F106" s="84" t="s">
        <v>5747</v>
      </c>
      <c r="G106" s="85" t="s">
        <v>96</v>
      </c>
      <c r="H106" s="87">
        <v>0.0017017</v>
      </c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</row>
    <row r="107">
      <c r="A107" s="84" t="s">
        <v>4128</v>
      </c>
      <c r="B107" s="45"/>
      <c r="C107" s="84" t="s">
        <v>8841</v>
      </c>
      <c r="D107" s="45"/>
      <c r="E107" s="84" t="s">
        <v>5742</v>
      </c>
      <c r="F107" s="84" t="s">
        <v>5300</v>
      </c>
      <c r="G107" s="85" t="s">
        <v>96</v>
      </c>
      <c r="H107" s="87">
        <v>0.0016983</v>
      </c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</row>
    <row r="108">
      <c r="A108" s="84" t="s">
        <v>4131</v>
      </c>
      <c r="B108" s="45"/>
      <c r="C108" s="84" t="s">
        <v>8835</v>
      </c>
      <c r="D108" s="45"/>
      <c r="E108" s="84" t="s">
        <v>5229</v>
      </c>
      <c r="F108" s="84" t="s">
        <v>5300</v>
      </c>
      <c r="G108" s="85" t="s">
        <v>96</v>
      </c>
      <c r="H108" s="87">
        <v>0.0016972</v>
      </c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</row>
    <row r="109">
      <c r="A109" s="84" t="s">
        <v>4113</v>
      </c>
      <c r="B109" s="45"/>
      <c r="C109" s="84" t="s">
        <v>8831</v>
      </c>
      <c r="D109" s="45"/>
      <c r="E109" s="84" t="s">
        <v>5283</v>
      </c>
      <c r="F109" s="84" t="s">
        <v>5300</v>
      </c>
      <c r="G109" s="85" t="s">
        <v>96</v>
      </c>
      <c r="H109" s="87">
        <v>0.0016816</v>
      </c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</row>
    <row r="110">
      <c r="A110" s="84" t="s">
        <v>8837</v>
      </c>
      <c r="B110" s="45"/>
      <c r="C110" s="84" t="s">
        <v>8838</v>
      </c>
      <c r="D110" s="45"/>
      <c r="E110" s="84" t="s">
        <v>6338</v>
      </c>
      <c r="F110" s="84" t="s">
        <v>4095</v>
      </c>
      <c r="G110" s="85" t="s">
        <v>96</v>
      </c>
      <c r="H110" s="87">
        <v>0.0016794</v>
      </c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</row>
    <row r="111">
      <c r="A111" s="84" t="s">
        <v>4117</v>
      </c>
      <c r="B111" s="45"/>
      <c r="C111" s="84" t="s">
        <v>8836</v>
      </c>
      <c r="D111" s="45"/>
      <c r="E111" s="84" t="s">
        <v>5704</v>
      </c>
      <c r="F111" s="84" t="s">
        <v>5300</v>
      </c>
      <c r="G111" s="85" t="s">
        <v>96</v>
      </c>
      <c r="H111" s="87">
        <v>0.00167</v>
      </c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</row>
    <row r="112">
      <c r="A112" s="84" t="s">
        <v>4112</v>
      </c>
      <c r="B112" s="45"/>
      <c r="C112" s="84" t="s">
        <v>8842</v>
      </c>
      <c r="D112" s="45"/>
      <c r="E112" s="84" t="s">
        <v>5218</v>
      </c>
      <c r="F112" s="84" t="s">
        <v>5300</v>
      </c>
      <c r="G112" s="85" t="s">
        <v>96</v>
      </c>
      <c r="H112" s="87">
        <v>0.0016635</v>
      </c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</row>
    <row r="113">
      <c r="A113" s="84" t="s">
        <v>4108</v>
      </c>
      <c r="B113" s="45"/>
      <c r="C113" s="84" t="s">
        <v>8843</v>
      </c>
      <c r="D113" s="45"/>
      <c r="E113" s="84" t="s">
        <v>5387</v>
      </c>
      <c r="F113" s="84" t="s">
        <v>5300</v>
      </c>
      <c r="G113" s="85" t="s">
        <v>96</v>
      </c>
      <c r="H113" s="87">
        <v>0.0016184</v>
      </c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</row>
    <row r="114">
      <c r="A114" s="84" t="s">
        <v>4135</v>
      </c>
      <c r="B114" s="45"/>
      <c r="C114" s="84" t="s">
        <v>8847</v>
      </c>
      <c r="D114" s="45"/>
      <c r="E114" s="84" t="s">
        <v>5215</v>
      </c>
      <c r="F114" s="84" t="s">
        <v>5300</v>
      </c>
      <c r="G114" s="85" t="s">
        <v>96</v>
      </c>
      <c r="H114" s="87">
        <v>0.001614</v>
      </c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</row>
    <row r="115">
      <c r="A115" s="84" t="s">
        <v>8844</v>
      </c>
      <c r="B115" s="45"/>
      <c r="C115" s="84" t="s">
        <v>8845</v>
      </c>
      <c r="D115" s="45"/>
      <c r="E115" s="84" t="s">
        <v>5215</v>
      </c>
      <c r="F115" s="84" t="s">
        <v>8784</v>
      </c>
      <c r="G115" s="85" t="s">
        <v>96</v>
      </c>
      <c r="H115" s="87">
        <v>0.00161</v>
      </c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</row>
    <row r="116">
      <c r="A116" s="84" t="s">
        <v>4115</v>
      </c>
      <c r="B116" s="45"/>
      <c r="C116" s="84" t="s">
        <v>8846</v>
      </c>
      <c r="D116" s="45"/>
      <c r="E116" s="84" t="s">
        <v>5218</v>
      </c>
      <c r="F116" s="84" t="s">
        <v>5300</v>
      </c>
      <c r="G116" s="85" t="s">
        <v>96</v>
      </c>
      <c r="H116" s="87">
        <v>0.0015849</v>
      </c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</row>
    <row r="117">
      <c r="A117" s="84" t="s">
        <v>4140</v>
      </c>
      <c r="B117" s="45"/>
      <c r="C117" s="84" t="s">
        <v>8850</v>
      </c>
      <c r="D117" s="45"/>
      <c r="E117" s="84" t="s">
        <v>8851</v>
      </c>
      <c r="F117" s="84" t="s">
        <v>5300</v>
      </c>
      <c r="G117" s="85" t="s">
        <v>96</v>
      </c>
      <c r="H117" s="87">
        <v>0.0015434</v>
      </c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</row>
    <row r="118">
      <c r="A118" s="84" t="s">
        <v>11248</v>
      </c>
      <c r="B118" s="45"/>
      <c r="C118" s="84" t="s">
        <v>11249</v>
      </c>
      <c r="D118" s="45"/>
      <c r="E118" s="84" t="s">
        <v>6759</v>
      </c>
      <c r="F118" s="84" t="s">
        <v>6988</v>
      </c>
      <c r="G118" s="85" t="s">
        <v>96</v>
      </c>
      <c r="H118" s="87">
        <v>0.001536</v>
      </c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</row>
    <row r="119">
      <c r="A119" s="84" t="s">
        <v>8848</v>
      </c>
      <c r="B119" s="45"/>
      <c r="C119" s="84" t="s">
        <v>8849</v>
      </c>
      <c r="D119" s="45"/>
      <c r="E119" s="84" t="s">
        <v>7611</v>
      </c>
      <c r="F119" s="84" t="s">
        <v>8784</v>
      </c>
      <c r="G119" s="85" t="s">
        <v>96</v>
      </c>
      <c r="H119" s="87">
        <v>0.0015315</v>
      </c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</row>
    <row r="120">
      <c r="A120" s="84" t="s">
        <v>4126</v>
      </c>
      <c r="B120" s="45"/>
      <c r="C120" s="84" t="s">
        <v>8852</v>
      </c>
      <c r="D120" s="45"/>
      <c r="E120" s="84" t="s">
        <v>6487</v>
      </c>
      <c r="F120" s="84" t="s">
        <v>5300</v>
      </c>
      <c r="G120" s="85" t="s">
        <v>96</v>
      </c>
      <c r="H120" s="87">
        <v>0.0015262</v>
      </c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</row>
    <row r="121">
      <c r="A121" s="84" t="s">
        <v>8839</v>
      </c>
      <c r="B121" s="45"/>
      <c r="C121" s="84" t="s">
        <v>8840</v>
      </c>
      <c r="D121" s="45"/>
      <c r="E121" s="84" t="s">
        <v>5759</v>
      </c>
      <c r="F121" s="84" t="s">
        <v>5300</v>
      </c>
      <c r="G121" s="85" t="s">
        <v>96</v>
      </c>
      <c r="H121" s="87">
        <v>0.0015232</v>
      </c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</row>
    <row r="122">
      <c r="A122" s="84" t="s">
        <v>4133</v>
      </c>
      <c r="B122" s="45"/>
      <c r="C122" s="84" t="s">
        <v>8853</v>
      </c>
      <c r="D122" s="45"/>
      <c r="E122" s="84" t="s">
        <v>5218</v>
      </c>
      <c r="F122" s="84" t="s">
        <v>5300</v>
      </c>
      <c r="G122" s="85" t="s">
        <v>96</v>
      </c>
      <c r="H122" s="87">
        <v>0.0015187</v>
      </c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</row>
    <row r="123">
      <c r="A123" s="84" t="s">
        <v>11250</v>
      </c>
      <c r="B123" s="45"/>
      <c r="C123" s="84" t="s">
        <v>11251</v>
      </c>
      <c r="D123" s="45"/>
      <c r="E123" s="84" t="s">
        <v>6150</v>
      </c>
      <c r="F123" s="84" t="s">
        <v>8759</v>
      </c>
      <c r="G123" s="85" t="s">
        <v>96</v>
      </c>
      <c r="H123" s="87">
        <v>0.0014872</v>
      </c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</row>
    <row r="124">
      <c r="A124" s="84" t="s">
        <v>4122</v>
      </c>
      <c r="B124" s="45"/>
      <c r="C124" s="84" t="s">
        <v>8855</v>
      </c>
      <c r="D124" s="45"/>
      <c r="E124" s="84" t="s">
        <v>5261</v>
      </c>
      <c r="F124" s="84" t="s">
        <v>8759</v>
      </c>
      <c r="G124" s="85" t="s">
        <v>96</v>
      </c>
      <c r="H124" s="87">
        <v>0.0014783</v>
      </c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</row>
    <row r="125">
      <c r="A125" s="84" t="s">
        <v>4143</v>
      </c>
      <c r="B125" s="45"/>
      <c r="C125" s="84" t="s">
        <v>11252</v>
      </c>
      <c r="D125" s="45"/>
      <c r="E125" s="84" t="s">
        <v>6083</v>
      </c>
      <c r="F125" s="84" t="s">
        <v>5300</v>
      </c>
      <c r="G125" s="85" t="s">
        <v>96</v>
      </c>
      <c r="H125" s="87">
        <v>0.0014561</v>
      </c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</row>
    <row r="126">
      <c r="A126" s="84" t="s">
        <v>4146</v>
      </c>
      <c r="B126" s="45"/>
      <c r="C126" s="84" t="s">
        <v>8867</v>
      </c>
      <c r="D126" s="45"/>
      <c r="E126" s="84" t="s">
        <v>5235</v>
      </c>
      <c r="F126" s="84" t="s">
        <v>5300</v>
      </c>
      <c r="G126" s="85" t="s">
        <v>96</v>
      </c>
      <c r="H126" s="87">
        <v>0.0014503</v>
      </c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</row>
    <row r="127">
      <c r="A127" s="84" t="s">
        <v>4123</v>
      </c>
      <c r="B127" s="45"/>
      <c r="C127" s="84" t="s">
        <v>11253</v>
      </c>
      <c r="D127" s="45"/>
      <c r="E127" s="84" t="s">
        <v>7248</v>
      </c>
      <c r="F127" s="84" t="s">
        <v>11254</v>
      </c>
      <c r="G127" s="85" t="s">
        <v>96</v>
      </c>
      <c r="H127" s="87">
        <v>0.0014486</v>
      </c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</row>
    <row r="128">
      <c r="A128" s="84" t="s">
        <v>4124</v>
      </c>
      <c r="B128" s="45"/>
      <c r="C128" s="84" t="s">
        <v>11255</v>
      </c>
      <c r="D128" s="45"/>
      <c r="E128" s="84" t="s">
        <v>6389</v>
      </c>
      <c r="F128" s="84" t="s">
        <v>5268</v>
      </c>
      <c r="G128" s="85" t="s">
        <v>96</v>
      </c>
      <c r="H128" s="87">
        <v>0.0014359</v>
      </c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</row>
    <row r="129">
      <c r="A129" s="84" t="s">
        <v>4160</v>
      </c>
      <c r="B129" s="45"/>
      <c r="C129" s="84" t="s">
        <v>8854</v>
      </c>
      <c r="D129" s="45"/>
      <c r="E129" s="84" t="s">
        <v>5445</v>
      </c>
      <c r="F129" s="84" t="s">
        <v>5300</v>
      </c>
      <c r="G129" s="85" t="s">
        <v>96</v>
      </c>
      <c r="H129" s="87">
        <v>0.0014194</v>
      </c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</row>
    <row r="130">
      <c r="A130" s="84" t="s">
        <v>8986</v>
      </c>
      <c r="B130" s="45"/>
      <c r="C130" s="84" t="s">
        <v>8987</v>
      </c>
      <c r="D130" s="45"/>
      <c r="E130" s="84" t="s">
        <v>5326</v>
      </c>
      <c r="F130" s="84" t="s">
        <v>5836</v>
      </c>
      <c r="G130" s="85" t="s">
        <v>96</v>
      </c>
      <c r="H130" s="87">
        <v>0.0014147</v>
      </c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</row>
    <row r="131">
      <c r="A131" s="84" t="s">
        <v>4161</v>
      </c>
      <c r="B131" s="45"/>
      <c r="C131" s="84" t="s">
        <v>8857</v>
      </c>
      <c r="D131" s="45"/>
      <c r="E131" s="84" t="s">
        <v>6389</v>
      </c>
      <c r="F131" s="84" t="s">
        <v>5300</v>
      </c>
      <c r="G131" s="85" t="s">
        <v>96</v>
      </c>
      <c r="H131" s="87">
        <v>0.0013949</v>
      </c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</row>
    <row r="132">
      <c r="A132" s="84" t="s">
        <v>4118</v>
      </c>
      <c r="B132" s="45"/>
      <c r="C132" s="84" t="s">
        <v>8860</v>
      </c>
      <c r="D132" s="45"/>
      <c r="E132" s="84" t="s">
        <v>5478</v>
      </c>
      <c r="F132" s="84" t="s">
        <v>5300</v>
      </c>
      <c r="G132" s="85" t="s">
        <v>96</v>
      </c>
      <c r="H132" s="87">
        <v>0.0013943</v>
      </c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</row>
    <row r="133">
      <c r="A133" s="84" t="s">
        <v>4150</v>
      </c>
      <c r="B133" s="45"/>
      <c r="C133" s="84" t="s">
        <v>11256</v>
      </c>
      <c r="D133" s="45"/>
      <c r="E133" s="84" t="s">
        <v>6191</v>
      </c>
      <c r="F133" s="84" t="s">
        <v>5300</v>
      </c>
      <c r="G133" s="85" t="s">
        <v>96</v>
      </c>
      <c r="H133" s="87">
        <v>0.0013818</v>
      </c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</row>
    <row r="134">
      <c r="A134" s="84" t="s">
        <v>6260</v>
      </c>
      <c r="B134" s="45"/>
      <c r="C134" s="84" t="s">
        <v>9059</v>
      </c>
      <c r="D134" s="45"/>
      <c r="E134" s="84" t="s">
        <v>6801</v>
      </c>
      <c r="F134" s="84" t="s">
        <v>5747</v>
      </c>
      <c r="G134" s="85" t="s">
        <v>96</v>
      </c>
      <c r="H134" s="87">
        <v>0.0013811</v>
      </c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</row>
    <row r="135">
      <c r="A135" s="84" t="s">
        <v>4149</v>
      </c>
      <c r="B135" s="45"/>
      <c r="C135" s="84" t="s">
        <v>8858</v>
      </c>
      <c r="D135" s="45"/>
      <c r="E135" s="84" t="s">
        <v>5650</v>
      </c>
      <c r="F135" s="84" t="s">
        <v>5300</v>
      </c>
      <c r="G135" s="85" t="s">
        <v>96</v>
      </c>
      <c r="H135" s="87">
        <v>0.0013702</v>
      </c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</row>
    <row r="136">
      <c r="A136" s="84" t="s">
        <v>4138</v>
      </c>
      <c r="B136" s="45"/>
      <c r="C136" s="84" t="s">
        <v>8856</v>
      </c>
      <c r="D136" s="45"/>
      <c r="E136" s="84" t="s">
        <v>5467</v>
      </c>
      <c r="F136" s="84" t="s">
        <v>5300</v>
      </c>
      <c r="G136" s="85" t="s">
        <v>96</v>
      </c>
      <c r="H136" s="87">
        <v>0.0013672</v>
      </c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</row>
    <row r="137">
      <c r="A137" s="84" t="s">
        <v>4142</v>
      </c>
      <c r="B137" s="45"/>
      <c r="C137" s="84" t="s">
        <v>11257</v>
      </c>
      <c r="D137" s="45"/>
      <c r="E137" s="84" t="s">
        <v>5226</v>
      </c>
      <c r="F137" s="84" t="s">
        <v>5300</v>
      </c>
      <c r="G137" s="85" t="s">
        <v>96</v>
      </c>
      <c r="H137" s="87">
        <v>0.0013659</v>
      </c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</row>
    <row r="138">
      <c r="A138" s="84" t="s">
        <v>8861</v>
      </c>
      <c r="B138" s="45"/>
      <c r="C138" s="84" t="s">
        <v>8862</v>
      </c>
      <c r="D138" s="45"/>
      <c r="E138" s="84" t="s">
        <v>5369</v>
      </c>
      <c r="F138" s="84" t="s">
        <v>5836</v>
      </c>
      <c r="G138" s="85" t="s">
        <v>96</v>
      </c>
      <c r="H138" s="87">
        <v>0.0013477</v>
      </c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</row>
    <row r="139">
      <c r="A139" s="84" t="s">
        <v>4153</v>
      </c>
      <c r="B139" s="45"/>
      <c r="C139" s="84" t="s">
        <v>8859</v>
      </c>
      <c r="D139" s="45"/>
      <c r="E139" s="84" t="s">
        <v>5445</v>
      </c>
      <c r="F139" s="84" t="s">
        <v>5300</v>
      </c>
      <c r="G139" s="85" t="s">
        <v>96</v>
      </c>
      <c r="H139" s="87">
        <v>0.0013448</v>
      </c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</row>
    <row r="140">
      <c r="A140" s="84" t="s">
        <v>11258</v>
      </c>
      <c r="B140" s="45"/>
      <c r="C140" s="84" t="s">
        <v>11259</v>
      </c>
      <c r="D140" s="45"/>
      <c r="E140" s="84" t="s">
        <v>6238</v>
      </c>
      <c r="F140" s="84" t="s">
        <v>4436</v>
      </c>
      <c r="G140" s="85" t="s">
        <v>96</v>
      </c>
      <c r="H140" s="87">
        <v>0.0013346</v>
      </c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</row>
    <row r="141">
      <c r="A141" s="84" t="s">
        <v>4148</v>
      </c>
      <c r="B141" s="45"/>
      <c r="C141" s="84" t="s">
        <v>8868</v>
      </c>
      <c r="D141" s="45"/>
      <c r="E141" s="84" t="s">
        <v>5276</v>
      </c>
      <c r="F141" s="84" t="s">
        <v>5300</v>
      </c>
      <c r="G141" s="85" t="s">
        <v>96</v>
      </c>
      <c r="H141" s="87">
        <v>0.0013252</v>
      </c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</row>
    <row r="142">
      <c r="A142" s="84" t="s">
        <v>4155</v>
      </c>
      <c r="B142" s="45"/>
      <c r="C142" s="84" t="s">
        <v>8865</v>
      </c>
      <c r="D142" s="45"/>
      <c r="E142" s="84" t="s">
        <v>5675</v>
      </c>
      <c r="F142" s="84" t="s">
        <v>5300</v>
      </c>
      <c r="G142" s="85" t="s">
        <v>96</v>
      </c>
      <c r="H142" s="87">
        <v>0.0013223</v>
      </c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</row>
    <row r="143">
      <c r="A143" s="84" t="s">
        <v>5242</v>
      </c>
      <c r="B143" s="45"/>
      <c r="C143" s="84" t="s">
        <v>11260</v>
      </c>
      <c r="D143" s="45"/>
      <c r="E143" s="84" t="s">
        <v>5211</v>
      </c>
      <c r="F143" s="84" t="s">
        <v>5425</v>
      </c>
      <c r="G143" s="85" t="s">
        <v>96</v>
      </c>
      <c r="H143" s="87">
        <v>0.0013187</v>
      </c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</row>
    <row r="144">
      <c r="A144" s="84" t="s">
        <v>4136</v>
      </c>
      <c r="B144" s="45"/>
      <c r="C144" s="84" t="s">
        <v>8866</v>
      </c>
      <c r="D144" s="45"/>
      <c r="E144" s="84" t="s">
        <v>5283</v>
      </c>
      <c r="F144" s="84" t="s">
        <v>5300</v>
      </c>
      <c r="G144" s="85" t="s">
        <v>96</v>
      </c>
      <c r="H144" s="87">
        <v>0.0013021</v>
      </c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</row>
    <row r="145">
      <c r="A145" s="84" t="s">
        <v>11261</v>
      </c>
      <c r="B145" s="45"/>
      <c r="C145" s="84" t="s">
        <v>11262</v>
      </c>
      <c r="D145" s="45"/>
      <c r="E145" s="84" t="s">
        <v>5311</v>
      </c>
      <c r="F145" s="84" t="s">
        <v>5836</v>
      </c>
      <c r="G145" s="85" t="s">
        <v>96</v>
      </c>
      <c r="H145" s="87">
        <v>0.0012955</v>
      </c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</row>
    <row r="146">
      <c r="A146" s="84" t="s">
        <v>4137</v>
      </c>
      <c r="B146" s="45"/>
      <c r="C146" s="84" t="s">
        <v>8874</v>
      </c>
      <c r="D146" s="45"/>
      <c r="E146" s="84" t="s">
        <v>5450</v>
      </c>
      <c r="F146" s="84" t="s">
        <v>5300</v>
      </c>
      <c r="G146" s="85" t="s">
        <v>96</v>
      </c>
      <c r="H146" s="87">
        <v>0.0012934</v>
      </c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</row>
    <row r="147">
      <c r="A147" s="84" t="s">
        <v>4129</v>
      </c>
      <c r="B147" s="45"/>
      <c r="C147" s="84" t="s">
        <v>8871</v>
      </c>
      <c r="D147" s="45"/>
      <c r="E147" s="84" t="s">
        <v>5261</v>
      </c>
      <c r="F147" s="84" t="s">
        <v>5300</v>
      </c>
      <c r="G147" s="85" t="s">
        <v>96</v>
      </c>
      <c r="H147" s="87">
        <v>0.0012886</v>
      </c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</row>
    <row r="148">
      <c r="A148" s="84" t="s">
        <v>8878</v>
      </c>
      <c r="B148" s="45"/>
      <c r="C148" s="84" t="s">
        <v>8879</v>
      </c>
      <c r="D148" s="45"/>
      <c r="E148" s="84" t="s">
        <v>5215</v>
      </c>
      <c r="F148" s="84" t="s">
        <v>5747</v>
      </c>
      <c r="G148" s="85" t="s">
        <v>96</v>
      </c>
      <c r="H148" s="87">
        <v>0.0012847</v>
      </c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</row>
    <row r="149">
      <c r="A149" s="84" t="s">
        <v>6260</v>
      </c>
      <c r="B149" s="45"/>
      <c r="C149" s="84" t="s">
        <v>11263</v>
      </c>
      <c r="D149" s="45"/>
      <c r="E149" s="84" t="s">
        <v>6012</v>
      </c>
      <c r="F149" s="84" t="s">
        <v>5747</v>
      </c>
      <c r="G149" s="85" t="s">
        <v>96</v>
      </c>
      <c r="H149" s="87">
        <v>0.0012831</v>
      </c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</row>
    <row r="150">
      <c r="A150" s="84" t="s">
        <v>11264</v>
      </c>
      <c r="B150" s="45"/>
      <c r="C150" s="84" t="s">
        <v>11265</v>
      </c>
      <c r="D150" s="45"/>
      <c r="E150" s="84" t="s">
        <v>6083</v>
      </c>
      <c r="F150" s="84" t="s">
        <v>5425</v>
      </c>
      <c r="G150" s="85" t="s">
        <v>96</v>
      </c>
      <c r="H150" s="87">
        <v>0.0012795</v>
      </c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</row>
    <row r="151">
      <c r="A151" s="84" t="s">
        <v>8876</v>
      </c>
      <c r="B151" s="45"/>
      <c r="C151" s="84" t="s">
        <v>8877</v>
      </c>
      <c r="D151" s="45"/>
      <c r="E151" s="84" t="s">
        <v>5218</v>
      </c>
      <c r="F151" s="84" t="s">
        <v>5425</v>
      </c>
      <c r="G151" s="85" t="s">
        <v>96</v>
      </c>
      <c r="H151" s="87">
        <v>0.0012721</v>
      </c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</row>
    <row r="152">
      <c r="A152" s="84" t="s">
        <v>8872</v>
      </c>
      <c r="B152" s="45"/>
      <c r="C152" s="84" t="s">
        <v>8873</v>
      </c>
      <c r="D152" s="45"/>
      <c r="E152" s="84" t="s">
        <v>6338</v>
      </c>
      <c r="F152" s="84" t="s">
        <v>8759</v>
      </c>
      <c r="G152" s="85" t="s">
        <v>96</v>
      </c>
      <c r="H152" s="87">
        <v>0.0012701</v>
      </c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</row>
    <row r="153">
      <c r="A153" s="84" t="s">
        <v>4154</v>
      </c>
      <c r="B153" s="45"/>
      <c r="C153" s="84" t="s">
        <v>11266</v>
      </c>
      <c r="D153" s="45"/>
      <c r="E153" s="84" t="s">
        <v>5288</v>
      </c>
      <c r="F153" s="84" t="s">
        <v>5300</v>
      </c>
      <c r="G153" s="85" t="s">
        <v>96</v>
      </c>
      <c r="H153" s="87">
        <v>0.0012598</v>
      </c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</row>
    <row r="154">
      <c r="A154" s="84" t="s">
        <v>8886</v>
      </c>
      <c r="B154" s="45"/>
      <c r="C154" s="84" t="s">
        <v>8887</v>
      </c>
      <c r="D154" s="45"/>
      <c r="E154" s="84" t="s">
        <v>5450</v>
      </c>
      <c r="F154" s="84" t="s">
        <v>8759</v>
      </c>
      <c r="G154" s="85" t="s">
        <v>96</v>
      </c>
      <c r="H154" s="87">
        <v>0.0012518</v>
      </c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</row>
    <row r="155">
      <c r="A155" s="84" t="s">
        <v>4144</v>
      </c>
      <c r="B155" s="45"/>
      <c r="C155" s="84" t="s">
        <v>8880</v>
      </c>
      <c r="D155" s="45"/>
      <c r="E155" s="84" t="s">
        <v>5229</v>
      </c>
      <c r="F155" s="84" t="s">
        <v>5300</v>
      </c>
      <c r="G155" s="85" t="s">
        <v>96</v>
      </c>
      <c r="H155" s="87">
        <v>0.0012489</v>
      </c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</row>
    <row r="156">
      <c r="A156" s="84" t="s">
        <v>4166</v>
      </c>
      <c r="B156" s="45"/>
      <c r="C156" s="84" t="s">
        <v>8881</v>
      </c>
      <c r="D156" s="45"/>
      <c r="E156" s="84" t="s">
        <v>5742</v>
      </c>
      <c r="F156" s="84" t="s">
        <v>5300</v>
      </c>
      <c r="G156" s="85" t="s">
        <v>96</v>
      </c>
      <c r="H156" s="87">
        <v>0.0012459</v>
      </c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</row>
    <row r="157">
      <c r="A157" s="84" t="s">
        <v>5631</v>
      </c>
      <c r="B157" s="45"/>
      <c r="C157" s="84" t="s">
        <v>8863</v>
      </c>
      <c r="D157" s="45"/>
      <c r="E157" s="84" t="s">
        <v>6115</v>
      </c>
      <c r="F157" s="84" t="s">
        <v>5747</v>
      </c>
      <c r="G157" s="85" t="s">
        <v>96</v>
      </c>
      <c r="H157" s="87">
        <v>0.0012456</v>
      </c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</row>
    <row r="158">
      <c r="A158" s="84" t="s">
        <v>4429</v>
      </c>
      <c r="B158" s="45"/>
      <c r="C158" s="84" t="s">
        <v>8864</v>
      </c>
      <c r="D158" s="45"/>
      <c r="E158" s="84" t="s">
        <v>5235</v>
      </c>
      <c r="F158" s="84" t="s">
        <v>4095</v>
      </c>
      <c r="G158" s="85" t="s">
        <v>96</v>
      </c>
      <c r="H158" s="87">
        <v>0.0012198</v>
      </c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</row>
    <row r="159">
      <c r="A159" s="84" t="s">
        <v>8869</v>
      </c>
      <c r="B159" s="45"/>
      <c r="C159" s="84" t="s">
        <v>8870</v>
      </c>
      <c r="D159" s="45"/>
      <c r="E159" s="84" t="s">
        <v>5369</v>
      </c>
      <c r="F159" s="84" t="s">
        <v>5836</v>
      </c>
      <c r="G159" s="85" t="s">
        <v>96</v>
      </c>
      <c r="H159" s="87">
        <v>0.0012169</v>
      </c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</row>
    <row r="160">
      <c r="A160" s="84" t="s">
        <v>4152</v>
      </c>
      <c r="B160" s="45"/>
      <c r="C160" s="84" t="s">
        <v>8884</v>
      </c>
      <c r="D160" s="45"/>
      <c r="E160" s="84" t="s">
        <v>5276</v>
      </c>
      <c r="F160" s="84" t="s">
        <v>5300</v>
      </c>
      <c r="G160" s="85" t="s">
        <v>96</v>
      </c>
      <c r="H160" s="87">
        <v>0.0012141</v>
      </c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</row>
    <row r="161">
      <c r="A161" s="84" t="s">
        <v>4157</v>
      </c>
      <c r="B161" s="45"/>
      <c r="C161" s="84" t="s">
        <v>8875</v>
      </c>
      <c r="D161" s="45"/>
      <c r="E161" s="84" t="s">
        <v>5964</v>
      </c>
      <c r="F161" s="84" t="s">
        <v>5300</v>
      </c>
      <c r="G161" s="85" t="s">
        <v>96</v>
      </c>
      <c r="H161" s="87">
        <v>0.0012092</v>
      </c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</row>
    <row r="162">
      <c r="A162" s="84" t="s">
        <v>4171</v>
      </c>
      <c r="B162" s="45"/>
      <c r="C162" s="84" t="s">
        <v>8890</v>
      </c>
      <c r="D162" s="45"/>
      <c r="E162" s="84" t="s">
        <v>5369</v>
      </c>
      <c r="F162" s="84" t="s">
        <v>5300</v>
      </c>
      <c r="G162" s="85" t="s">
        <v>96</v>
      </c>
      <c r="H162" s="87">
        <v>0.0012005</v>
      </c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</row>
    <row r="163">
      <c r="A163" s="84" t="s">
        <v>11267</v>
      </c>
      <c r="B163" s="45"/>
      <c r="C163" s="84" t="s">
        <v>11268</v>
      </c>
      <c r="D163" s="45"/>
      <c r="E163" s="84" t="s">
        <v>5226</v>
      </c>
      <c r="F163" s="84" t="s">
        <v>5836</v>
      </c>
      <c r="G163" s="85" t="s">
        <v>96</v>
      </c>
      <c r="H163" s="87">
        <v>0.0011953</v>
      </c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</row>
    <row r="164">
      <c r="A164" s="84" t="s">
        <v>4163</v>
      </c>
      <c r="B164" s="45"/>
      <c r="C164" s="84" t="s">
        <v>8892</v>
      </c>
      <c r="D164" s="45"/>
      <c r="E164" s="84" t="s">
        <v>6012</v>
      </c>
      <c r="F164" s="84" t="s">
        <v>5300</v>
      </c>
      <c r="G164" s="85" t="s">
        <v>96</v>
      </c>
      <c r="H164" s="87">
        <v>0.0011831</v>
      </c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</row>
    <row r="165">
      <c r="A165" s="84" t="s">
        <v>4172</v>
      </c>
      <c r="B165" s="45"/>
      <c r="C165" s="84" t="s">
        <v>8894</v>
      </c>
      <c r="D165" s="45"/>
      <c r="E165" s="84" t="s">
        <v>6090</v>
      </c>
      <c r="F165" s="84" t="s">
        <v>5300</v>
      </c>
      <c r="G165" s="85" t="s">
        <v>96</v>
      </c>
      <c r="H165" s="87">
        <v>0.0011815</v>
      </c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</row>
    <row r="166">
      <c r="A166" s="84" t="s">
        <v>8897</v>
      </c>
      <c r="B166" s="45"/>
      <c r="C166" s="84" t="s">
        <v>8898</v>
      </c>
      <c r="D166" s="45"/>
      <c r="E166" s="84" t="s">
        <v>5742</v>
      </c>
      <c r="F166" s="84" t="s">
        <v>8784</v>
      </c>
      <c r="G166" s="85" t="s">
        <v>96</v>
      </c>
      <c r="H166" s="87">
        <v>0.0011749</v>
      </c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</row>
    <row r="167">
      <c r="A167" s="84" t="s">
        <v>8817</v>
      </c>
      <c r="B167" s="45"/>
      <c r="C167" s="84" t="s">
        <v>8893</v>
      </c>
      <c r="D167" s="45"/>
      <c r="E167" s="84" t="s">
        <v>5215</v>
      </c>
      <c r="F167" s="84" t="s">
        <v>4436</v>
      </c>
      <c r="G167" s="85" t="s">
        <v>96</v>
      </c>
      <c r="H167" s="87">
        <v>0.0011665</v>
      </c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</row>
    <row r="168">
      <c r="A168" s="84" t="s">
        <v>4179</v>
      </c>
      <c r="B168" s="45"/>
      <c r="C168" s="84" t="s">
        <v>8885</v>
      </c>
      <c r="D168" s="45"/>
      <c r="E168" s="84" t="s">
        <v>5382</v>
      </c>
      <c r="F168" s="84" t="s">
        <v>5300</v>
      </c>
      <c r="G168" s="85" t="s">
        <v>96</v>
      </c>
      <c r="H168" s="87">
        <v>0.0011508</v>
      </c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</row>
    <row r="169">
      <c r="A169" s="84" t="s">
        <v>4158</v>
      </c>
      <c r="B169" s="45"/>
      <c r="C169" s="84" t="s">
        <v>8901</v>
      </c>
      <c r="D169" s="45"/>
      <c r="E169" s="84" t="s">
        <v>5387</v>
      </c>
      <c r="F169" s="84" t="s">
        <v>5268</v>
      </c>
      <c r="G169" s="85" t="s">
        <v>96</v>
      </c>
      <c r="H169" s="87">
        <v>0.0011363</v>
      </c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</row>
    <row r="170">
      <c r="A170" s="84" t="s">
        <v>8882</v>
      </c>
      <c r="B170" s="45"/>
      <c r="C170" s="84" t="s">
        <v>8883</v>
      </c>
      <c r="D170" s="45"/>
      <c r="E170" s="84" t="s">
        <v>5978</v>
      </c>
      <c r="F170" s="84" t="s">
        <v>4095</v>
      </c>
      <c r="G170" s="85" t="s">
        <v>96</v>
      </c>
      <c r="H170" s="87">
        <v>0.0011338</v>
      </c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</row>
    <row r="171">
      <c r="A171" s="84" t="s">
        <v>4188</v>
      </c>
      <c r="B171" s="45"/>
      <c r="C171" s="84" t="s">
        <v>11269</v>
      </c>
      <c r="D171" s="45"/>
      <c r="E171" s="84" t="s">
        <v>5462</v>
      </c>
      <c r="F171" s="84" t="s">
        <v>5300</v>
      </c>
      <c r="G171" s="85" t="s">
        <v>96</v>
      </c>
      <c r="H171" s="87">
        <v>0.0011288</v>
      </c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</row>
    <row r="172">
      <c r="A172" s="84" t="s">
        <v>4167</v>
      </c>
      <c r="B172" s="45"/>
      <c r="C172" s="84" t="s">
        <v>11270</v>
      </c>
      <c r="D172" s="45"/>
      <c r="E172" s="84" t="s">
        <v>6472</v>
      </c>
      <c r="F172" s="84" t="s">
        <v>5300</v>
      </c>
      <c r="G172" s="85" t="s">
        <v>96</v>
      </c>
      <c r="H172" s="87">
        <v>0.001128</v>
      </c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</row>
    <row r="173">
      <c r="A173" s="84" t="s">
        <v>4165</v>
      </c>
      <c r="B173" s="45"/>
      <c r="C173" s="84" t="s">
        <v>8907</v>
      </c>
      <c r="D173" s="45"/>
      <c r="E173" s="84" t="s">
        <v>5229</v>
      </c>
      <c r="F173" s="84" t="s">
        <v>5300</v>
      </c>
      <c r="G173" s="85" t="s">
        <v>96</v>
      </c>
      <c r="H173" s="87">
        <v>0.001127</v>
      </c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</row>
    <row r="174">
      <c r="A174" s="84" t="s">
        <v>4164</v>
      </c>
      <c r="B174" s="45"/>
      <c r="C174" s="84" t="s">
        <v>8902</v>
      </c>
      <c r="D174" s="45"/>
      <c r="E174" s="84" t="s">
        <v>5276</v>
      </c>
      <c r="F174" s="84" t="s">
        <v>5300</v>
      </c>
      <c r="G174" s="85" t="s">
        <v>96</v>
      </c>
      <c r="H174" s="87">
        <v>0.0011268</v>
      </c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</row>
    <row r="175">
      <c r="A175" s="84" t="s">
        <v>4169</v>
      </c>
      <c r="B175" s="45"/>
      <c r="C175" s="84" t="s">
        <v>8908</v>
      </c>
      <c r="D175" s="45"/>
      <c r="E175" s="84" t="s">
        <v>6172</v>
      </c>
      <c r="F175" s="84" t="s">
        <v>5300</v>
      </c>
      <c r="G175" s="85" t="s">
        <v>96</v>
      </c>
      <c r="H175" s="87">
        <v>0.0011251</v>
      </c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</row>
    <row r="176">
      <c r="A176" s="84" t="s">
        <v>11271</v>
      </c>
      <c r="B176" s="45"/>
      <c r="C176" s="84" t="s">
        <v>11272</v>
      </c>
      <c r="D176" s="45"/>
      <c r="E176" s="84" t="s">
        <v>6389</v>
      </c>
      <c r="F176" s="84" t="s">
        <v>8784</v>
      </c>
      <c r="G176" s="85" t="s">
        <v>96</v>
      </c>
      <c r="H176" s="87">
        <v>0.0011183</v>
      </c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</row>
    <row r="177">
      <c r="A177" s="84" t="s">
        <v>8895</v>
      </c>
      <c r="B177" s="45"/>
      <c r="C177" s="84" t="s">
        <v>8896</v>
      </c>
      <c r="D177" s="45"/>
      <c r="E177" s="84" t="s">
        <v>5670</v>
      </c>
      <c r="F177" s="84" t="s">
        <v>5425</v>
      </c>
      <c r="G177" s="85" t="s">
        <v>96</v>
      </c>
      <c r="H177" s="87">
        <v>0.0011158</v>
      </c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</row>
    <row r="178">
      <c r="A178" s="84" t="s">
        <v>8899</v>
      </c>
      <c r="B178" s="45"/>
      <c r="C178" s="84" t="s">
        <v>8900</v>
      </c>
      <c r="D178" s="45"/>
      <c r="E178" s="84" t="s">
        <v>5215</v>
      </c>
      <c r="F178" s="84" t="s">
        <v>5836</v>
      </c>
      <c r="G178" s="85" t="s">
        <v>96</v>
      </c>
      <c r="H178" s="87">
        <v>0.0011085</v>
      </c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</row>
    <row r="179">
      <c r="A179" s="84" t="s">
        <v>8931</v>
      </c>
      <c r="B179" s="45"/>
      <c r="C179" s="84" t="s">
        <v>8932</v>
      </c>
      <c r="D179" s="45"/>
      <c r="E179" s="84" t="s">
        <v>5326</v>
      </c>
      <c r="F179" s="84" t="s">
        <v>6988</v>
      </c>
      <c r="G179" s="85" t="s">
        <v>96</v>
      </c>
      <c r="H179" s="87">
        <v>0.0011082</v>
      </c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</row>
    <row r="180">
      <c r="A180" s="84" t="s">
        <v>4200</v>
      </c>
      <c r="B180" s="45"/>
      <c r="C180" s="84" t="s">
        <v>8903</v>
      </c>
      <c r="D180" s="45"/>
      <c r="E180" s="84" t="s">
        <v>5232</v>
      </c>
      <c r="F180" s="84" t="s">
        <v>5300</v>
      </c>
      <c r="G180" s="85" t="s">
        <v>96</v>
      </c>
      <c r="H180" s="87">
        <v>0.0011078</v>
      </c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</row>
    <row r="181">
      <c r="A181" s="84" t="s">
        <v>11273</v>
      </c>
      <c r="B181" s="45"/>
      <c r="C181" s="84" t="s">
        <v>11274</v>
      </c>
      <c r="D181" s="45"/>
      <c r="E181" s="84" t="s">
        <v>5855</v>
      </c>
      <c r="F181" s="84" t="s">
        <v>8759</v>
      </c>
      <c r="G181" s="85" t="s">
        <v>96</v>
      </c>
      <c r="H181" s="87">
        <v>0.0011061</v>
      </c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</row>
    <row r="182">
      <c r="A182" s="84" t="s">
        <v>4389</v>
      </c>
      <c r="B182" s="45"/>
      <c r="C182" s="84" t="s">
        <v>11275</v>
      </c>
      <c r="D182" s="45"/>
      <c r="E182" s="84" t="s">
        <v>5390</v>
      </c>
      <c r="F182" s="84" t="s">
        <v>5747</v>
      </c>
      <c r="G182" s="85" t="s">
        <v>96</v>
      </c>
      <c r="H182" s="87">
        <v>0.0010904</v>
      </c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</row>
    <row r="183">
      <c r="A183" s="84" t="s">
        <v>4177</v>
      </c>
      <c r="B183" s="45"/>
      <c r="C183" s="84" t="s">
        <v>8904</v>
      </c>
      <c r="D183" s="45"/>
      <c r="E183" s="84" t="s">
        <v>5431</v>
      </c>
      <c r="F183" s="84" t="s">
        <v>5300</v>
      </c>
      <c r="G183" s="85" t="s">
        <v>96</v>
      </c>
      <c r="H183" s="87">
        <v>0.001083</v>
      </c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</row>
    <row r="184">
      <c r="A184" s="84" t="s">
        <v>11276</v>
      </c>
      <c r="B184" s="45"/>
      <c r="C184" s="84" t="s">
        <v>11277</v>
      </c>
      <c r="D184" s="45"/>
      <c r="E184" s="84" t="s">
        <v>5211</v>
      </c>
      <c r="F184" s="84" t="s">
        <v>5329</v>
      </c>
      <c r="G184" s="85" t="s">
        <v>96</v>
      </c>
      <c r="H184" s="87">
        <v>0.0010806</v>
      </c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</row>
    <row r="185">
      <c r="A185" s="84" t="s">
        <v>8914</v>
      </c>
      <c r="B185" s="45"/>
      <c r="C185" s="84" t="s">
        <v>8915</v>
      </c>
      <c r="D185" s="45"/>
      <c r="E185" s="84" t="s">
        <v>5215</v>
      </c>
      <c r="F185" s="84" t="s">
        <v>8784</v>
      </c>
      <c r="G185" s="85" t="s">
        <v>96</v>
      </c>
      <c r="H185" s="87">
        <v>0.0010798</v>
      </c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</row>
    <row r="186">
      <c r="A186" s="84" t="s">
        <v>4193</v>
      </c>
      <c r="B186" s="45"/>
      <c r="C186" s="84" t="s">
        <v>11278</v>
      </c>
      <c r="D186" s="45"/>
      <c r="E186" s="84" t="s">
        <v>6389</v>
      </c>
      <c r="F186" s="84" t="s">
        <v>5300</v>
      </c>
      <c r="G186" s="85" t="s">
        <v>96</v>
      </c>
      <c r="H186" s="87">
        <v>0.0010748</v>
      </c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</row>
    <row r="187">
      <c r="A187" s="84" t="s">
        <v>11279</v>
      </c>
      <c r="B187" s="45"/>
      <c r="C187" s="84" t="s">
        <v>11280</v>
      </c>
      <c r="D187" s="45"/>
      <c r="E187" s="84" t="s">
        <v>6389</v>
      </c>
      <c r="F187" s="84" t="s">
        <v>8784</v>
      </c>
      <c r="G187" s="85" t="s">
        <v>96</v>
      </c>
      <c r="H187" s="87">
        <v>0.0010745</v>
      </c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</row>
    <row r="188">
      <c r="A188" s="84" t="s">
        <v>8905</v>
      </c>
      <c r="B188" s="45"/>
      <c r="C188" s="84" t="s">
        <v>8906</v>
      </c>
      <c r="D188" s="45"/>
      <c r="E188" s="84" t="s">
        <v>5366</v>
      </c>
      <c r="F188" s="84" t="s">
        <v>8784</v>
      </c>
      <c r="G188" s="85" t="s">
        <v>96</v>
      </c>
      <c r="H188" s="87">
        <v>0.0010501</v>
      </c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</row>
    <row r="189">
      <c r="A189" s="84" t="s">
        <v>4175</v>
      </c>
      <c r="B189" s="45"/>
      <c r="C189" s="84" t="s">
        <v>8910</v>
      </c>
      <c r="D189" s="45"/>
      <c r="E189" s="84" t="s">
        <v>6009</v>
      </c>
      <c r="F189" s="84" t="s">
        <v>5300</v>
      </c>
      <c r="G189" s="85" t="s">
        <v>96</v>
      </c>
      <c r="H189" s="87">
        <v>0.0010424</v>
      </c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</row>
    <row r="190">
      <c r="A190" s="84" t="s">
        <v>8912</v>
      </c>
      <c r="B190" s="45"/>
      <c r="C190" s="84" t="s">
        <v>8913</v>
      </c>
      <c r="D190" s="45"/>
      <c r="E190" s="84" t="s">
        <v>5215</v>
      </c>
      <c r="F190" s="84" t="s">
        <v>5836</v>
      </c>
      <c r="G190" s="85" t="s">
        <v>96</v>
      </c>
      <c r="H190" s="87">
        <v>0.0010405</v>
      </c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</row>
    <row r="191">
      <c r="A191" s="84" t="s">
        <v>4168</v>
      </c>
      <c r="B191" s="45"/>
      <c r="C191" s="84" t="s">
        <v>11281</v>
      </c>
      <c r="D191" s="45"/>
      <c r="E191" s="84" t="s">
        <v>5357</v>
      </c>
      <c r="F191" s="84" t="s">
        <v>5300</v>
      </c>
      <c r="G191" s="85" t="s">
        <v>96</v>
      </c>
      <c r="H191" s="87">
        <v>0.001032</v>
      </c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</row>
    <row r="192">
      <c r="A192" s="84" t="s">
        <v>4316</v>
      </c>
      <c r="B192" s="45"/>
      <c r="C192" s="84" t="s">
        <v>8909</v>
      </c>
      <c r="D192" s="45"/>
      <c r="E192" s="84" t="s">
        <v>5467</v>
      </c>
      <c r="F192" s="84" t="s">
        <v>5747</v>
      </c>
      <c r="G192" s="85" t="s">
        <v>96</v>
      </c>
      <c r="H192" s="87">
        <v>0.0010232</v>
      </c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</row>
    <row r="193">
      <c r="A193" s="84" t="s">
        <v>4205</v>
      </c>
      <c r="B193" s="45"/>
      <c r="C193" s="84" t="s">
        <v>8929</v>
      </c>
      <c r="D193" s="45"/>
      <c r="E193" s="84" t="s">
        <v>7260</v>
      </c>
      <c r="F193" s="84" t="s">
        <v>5300</v>
      </c>
      <c r="G193" s="85" t="s">
        <v>96</v>
      </c>
      <c r="H193" s="87">
        <v>0.0010175</v>
      </c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</row>
    <row r="194">
      <c r="A194" s="84" t="s">
        <v>11282</v>
      </c>
      <c r="B194" s="45"/>
      <c r="C194" s="84" t="s">
        <v>11283</v>
      </c>
      <c r="D194" s="45"/>
      <c r="E194" s="84" t="s">
        <v>6759</v>
      </c>
      <c r="F194" s="84" t="s">
        <v>5747</v>
      </c>
      <c r="G194" s="85" t="s">
        <v>96</v>
      </c>
      <c r="H194" s="87">
        <v>0.0010114</v>
      </c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</row>
    <row r="195">
      <c r="A195" s="84" t="s">
        <v>4192</v>
      </c>
      <c r="B195" s="45"/>
      <c r="C195" s="84" t="s">
        <v>8928</v>
      </c>
      <c r="D195" s="45"/>
      <c r="E195" s="84" t="s">
        <v>5650</v>
      </c>
      <c r="F195" s="84" t="s">
        <v>6988</v>
      </c>
      <c r="G195" s="85" t="s">
        <v>96</v>
      </c>
      <c r="H195" s="87">
        <v>0.0010097</v>
      </c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</row>
    <row r="196">
      <c r="A196" s="84" t="s">
        <v>8916</v>
      </c>
      <c r="B196" s="45"/>
      <c r="C196" s="84" t="s">
        <v>8917</v>
      </c>
      <c r="D196" s="45"/>
      <c r="E196" s="84" t="s">
        <v>5650</v>
      </c>
      <c r="F196" s="84" t="s">
        <v>4095</v>
      </c>
      <c r="G196" s="85" t="s">
        <v>96</v>
      </c>
      <c r="H196" s="87">
        <v>0.0010072</v>
      </c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</row>
    <row r="197">
      <c r="A197" s="84" t="s">
        <v>4182</v>
      </c>
      <c r="B197" s="45"/>
      <c r="C197" s="84" t="s">
        <v>8927</v>
      </c>
      <c r="D197" s="45"/>
      <c r="E197" s="84" t="s">
        <v>5407</v>
      </c>
      <c r="F197" s="84" t="s">
        <v>5300</v>
      </c>
      <c r="G197" s="85" t="s">
        <v>96</v>
      </c>
      <c r="H197" s="87">
        <v>0.0010069</v>
      </c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</row>
    <row r="198">
      <c r="A198" s="84" t="s">
        <v>8918</v>
      </c>
      <c r="B198" s="45"/>
      <c r="C198" s="84" t="s">
        <v>8919</v>
      </c>
      <c r="D198" s="45"/>
      <c r="E198" s="84" t="s">
        <v>5218</v>
      </c>
      <c r="F198" s="84" t="s">
        <v>4095</v>
      </c>
      <c r="G198" s="85" t="s">
        <v>96</v>
      </c>
      <c r="H198" s="87">
        <v>0.0010049</v>
      </c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</row>
    <row r="199">
      <c r="A199" s="84" t="s">
        <v>4170</v>
      </c>
      <c r="B199" s="45"/>
      <c r="C199" s="84" t="s">
        <v>8920</v>
      </c>
      <c r="D199" s="45"/>
      <c r="E199" s="84" t="s">
        <v>6487</v>
      </c>
      <c r="F199" s="84" t="s">
        <v>5300</v>
      </c>
      <c r="G199" s="85" t="s">
        <v>96</v>
      </c>
      <c r="H199" s="87">
        <v>0.0010048</v>
      </c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</row>
    <row r="200">
      <c r="A200" s="84" t="s">
        <v>4202</v>
      </c>
      <c r="B200" s="45"/>
      <c r="C200" s="84" t="s">
        <v>8933</v>
      </c>
      <c r="D200" s="45"/>
      <c r="E200" s="84" t="s">
        <v>5316</v>
      </c>
      <c r="F200" s="84" t="s">
        <v>5300</v>
      </c>
      <c r="G200" s="85" t="s">
        <v>96</v>
      </c>
      <c r="H200" s="87">
        <v>9.917E-4</v>
      </c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</row>
    <row r="201">
      <c r="A201" s="84" t="s">
        <v>4201</v>
      </c>
      <c r="B201" s="45"/>
      <c r="C201" s="84" t="s">
        <v>8911</v>
      </c>
      <c r="D201" s="45"/>
      <c r="E201" s="84" t="s">
        <v>5215</v>
      </c>
      <c r="F201" s="84" t="s">
        <v>5300</v>
      </c>
      <c r="G201" s="85" t="s">
        <v>96</v>
      </c>
      <c r="H201" s="87">
        <v>9.894E-4</v>
      </c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</row>
    <row r="202">
      <c r="A202" s="84" t="s">
        <v>8923</v>
      </c>
      <c r="B202" s="45"/>
      <c r="C202" s="84" t="s">
        <v>8924</v>
      </c>
      <c r="D202" s="45"/>
      <c r="E202" s="84" t="s">
        <v>5759</v>
      </c>
      <c r="F202" s="84" t="s">
        <v>5300</v>
      </c>
      <c r="G202" s="85" t="s">
        <v>96</v>
      </c>
      <c r="H202" s="87">
        <v>9.844E-4</v>
      </c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</row>
    <row r="203">
      <c r="A203" s="84" t="s">
        <v>11284</v>
      </c>
      <c r="B203" s="45"/>
      <c r="C203" s="84" t="s">
        <v>11285</v>
      </c>
      <c r="D203" s="45"/>
      <c r="E203" s="84" t="s">
        <v>6191</v>
      </c>
      <c r="F203" s="84" t="s">
        <v>4357</v>
      </c>
      <c r="G203" s="85" t="s">
        <v>96</v>
      </c>
      <c r="H203" s="87">
        <v>9.834E-4</v>
      </c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</row>
    <row r="204">
      <c r="A204" s="84" t="s">
        <v>8944</v>
      </c>
      <c r="B204" s="45"/>
      <c r="C204" s="84" t="s">
        <v>1295</v>
      </c>
      <c r="D204" s="45"/>
      <c r="E204" s="84" t="s">
        <v>6338</v>
      </c>
      <c r="F204" s="84" t="s">
        <v>5747</v>
      </c>
      <c r="G204" s="85" t="s">
        <v>96</v>
      </c>
      <c r="H204" s="87">
        <v>9.792E-4</v>
      </c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</row>
    <row r="205">
      <c r="A205" s="84" t="s">
        <v>8925</v>
      </c>
      <c r="B205" s="45"/>
      <c r="C205" s="84" t="s">
        <v>8926</v>
      </c>
      <c r="D205" s="45"/>
      <c r="E205" s="84" t="s">
        <v>5650</v>
      </c>
      <c r="F205" s="84" t="s">
        <v>5300</v>
      </c>
      <c r="G205" s="85" t="s">
        <v>96</v>
      </c>
      <c r="H205" s="87">
        <v>9.739E-4</v>
      </c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</row>
    <row r="206">
      <c r="A206" s="84" t="s">
        <v>4174</v>
      </c>
      <c r="B206" s="45"/>
      <c r="C206" s="84" t="s">
        <v>8930</v>
      </c>
      <c r="D206" s="45"/>
      <c r="E206" s="84" t="s">
        <v>5704</v>
      </c>
      <c r="F206" s="84" t="s">
        <v>5300</v>
      </c>
      <c r="G206" s="85" t="s">
        <v>96</v>
      </c>
      <c r="H206" s="87">
        <v>9.667E-4</v>
      </c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</row>
    <row r="207">
      <c r="A207" s="84" t="s">
        <v>4214</v>
      </c>
      <c r="B207" s="45"/>
      <c r="C207" s="84" t="s">
        <v>8939</v>
      </c>
      <c r="D207" s="45"/>
      <c r="E207" s="84" t="s">
        <v>5215</v>
      </c>
      <c r="F207" s="84" t="s">
        <v>5300</v>
      </c>
      <c r="G207" s="85" t="s">
        <v>96</v>
      </c>
      <c r="H207" s="87">
        <v>9.57E-4</v>
      </c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</row>
    <row r="208">
      <c r="A208" s="84" t="s">
        <v>4199</v>
      </c>
      <c r="B208" s="45"/>
      <c r="C208" s="84" t="s">
        <v>8938</v>
      </c>
      <c r="D208" s="45"/>
      <c r="E208" s="84" t="s">
        <v>5456</v>
      </c>
      <c r="F208" s="84" t="s">
        <v>5300</v>
      </c>
      <c r="G208" s="85" t="s">
        <v>96</v>
      </c>
      <c r="H208" s="87">
        <v>9.519E-4</v>
      </c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</row>
    <row r="209">
      <c r="A209" s="84" t="s">
        <v>8921</v>
      </c>
      <c r="B209" s="45"/>
      <c r="C209" s="84" t="s">
        <v>8922</v>
      </c>
      <c r="D209" s="45"/>
      <c r="E209" s="84" t="s">
        <v>5218</v>
      </c>
      <c r="F209" s="84" t="s">
        <v>8784</v>
      </c>
      <c r="G209" s="85" t="s">
        <v>96</v>
      </c>
      <c r="H209" s="87">
        <v>9.496E-4</v>
      </c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</row>
    <row r="210">
      <c r="A210" s="84" t="s">
        <v>8942</v>
      </c>
      <c r="B210" s="45"/>
      <c r="C210" s="84" t="s">
        <v>8943</v>
      </c>
      <c r="D210" s="45"/>
      <c r="E210" s="84" t="s">
        <v>7846</v>
      </c>
      <c r="F210" s="84" t="s">
        <v>5425</v>
      </c>
      <c r="G210" s="85" t="s">
        <v>96</v>
      </c>
      <c r="H210" s="87">
        <v>9.453E-4</v>
      </c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</row>
    <row r="211">
      <c r="A211" s="84" t="s">
        <v>4222</v>
      </c>
      <c r="B211" s="45"/>
      <c r="C211" s="84" t="s">
        <v>11286</v>
      </c>
      <c r="D211" s="45"/>
      <c r="E211" s="84" t="s">
        <v>5978</v>
      </c>
      <c r="F211" s="84" t="s">
        <v>5300</v>
      </c>
      <c r="G211" s="85" t="s">
        <v>96</v>
      </c>
      <c r="H211" s="87">
        <v>9.414E-4</v>
      </c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</row>
    <row r="212">
      <c r="A212" s="84" t="s">
        <v>11287</v>
      </c>
      <c r="B212" s="45"/>
      <c r="C212" s="84" t="s">
        <v>11288</v>
      </c>
      <c r="D212" s="45"/>
      <c r="E212" s="84" t="s">
        <v>9144</v>
      </c>
      <c r="F212" s="84" t="s">
        <v>4095</v>
      </c>
      <c r="G212" s="85" t="s">
        <v>96</v>
      </c>
      <c r="H212" s="87">
        <v>9.365E-4</v>
      </c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</row>
    <row r="213">
      <c r="A213" s="84" t="s">
        <v>4226</v>
      </c>
      <c r="B213" s="45"/>
      <c r="C213" s="84" t="s">
        <v>11289</v>
      </c>
      <c r="D213" s="45"/>
      <c r="E213" s="84" t="s">
        <v>5369</v>
      </c>
      <c r="F213" s="84" t="s">
        <v>5300</v>
      </c>
      <c r="G213" s="85" t="s">
        <v>96</v>
      </c>
      <c r="H213" s="87">
        <v>9.331E-4</v>
      </c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</row>
    <row r="214">
      <c r="A214" s="84" t="s">
        <v>4209</v>
      </c>
      <c r="B214" s="45"/>
      <c r="C214" s="84" t="s">
        <v>8959</v>
      </c>
      <c r="D214" s="45"/>
      <c r="E214" s="84" t="s">
        <v>6266</v>
      </c>
      <c r="F214" s="84" t="s">
        <v>5300</v>
      </c>
      <c r="G214" s="85" t="s">
        <v>96</v>
      </c>
      <c r="H214" s="87">
        <v>9.33E-4</v>
      </c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</row>
    <row r="215">
      <c r="A215" s="84" t="s">
        <v>8953</v>
      </c>
      <c r="B215" s="45"/>
      <c r="C215" s="84" t="s">
        <v>8954</v>
      </c>
      <c r="D215" s="45"/>
      <c r="E215" s="84" t="s">
        <v>5215</v>
      </c>
      <c r="F215" s="84" t="s">
        <v>6988</v>
      </c>
      <c r="G215" s="85" t="s">
        <v>96</v>
      </c>
      <c r="H215" s="87">
        <v>9.286E-4</v>
      </c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</row>
    <row r="216">
      <c r="A216" s="84" t="s">
        <v>4204</v>
      </c>
      <c r="B216" s="45"/>
      <c r="C216" s="84" t="s">
        <v>11290</v>
      </c>
      <c r="D216" s="45"/>
      <c r="E216" s="84" t="s">
        <v>6389</v>
      </c>
      <c r="F216" s="84" t="s">
        <v>5300</v>
      </c>
      <c r="G216" s="85" t="s">
        <v>96</v>
      </c>
      <c r="H216" s="87">
        <v>9.244E-4</v>
      </c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</row>
    <row r="217">
      <c r="A217" s="84" t="s">
        <v>8957</v>
      </c>
      <c r="B217" s="45"/>
      <c r="C217" s="84" t="s">
        <v>8958</v>
      </c>
      <c r="D217" s="45"/>
      <c r="E217" s="84" t="s">
        <v>5235</v>
      </c>
      <c r="F217" s="84" t="s">
        <v>8784</v>
      </c>
      <c r="G217" s="85" t="s">
        <v>96</v>
      </c>
      <c r="H217" s="87">
        <v>9.215E-4</v>
      </c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</row>
    <row r="218">
      <c r="A218" s="84" t="s">
        <v>4203</v>
      </c>
      <c r="B218" s="45"/>
      <c r="C218" s="84" t="s">
        <v>11291</v>
      </c>
      <c r="D218" s="45"/>
      <c r="E218" s="84" t="s">
        <v>6472</v>
      </c>
      <c r="F218" s="84" t="s">
        <v>5300</v>
      </c>
      <c r="G218" s="85" t="s">
        <v>96</v>
      </c>
      <c r="H218" s="87">
        <v>9.2E-4</v>
      </c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</row>
    <row r="219">
      <c r="A219" s="84" t="s">
        <v>4213</v>
      </c>
      <c r="B219" s="45"/>
      <c r="C219" s="84" t="s">
        <v>8949</v>
      </c>
      <c r="D219" s="45"/>
      <c r="E219" s="84" t="s">
        <v>5978</v>
      </c>
      <c r="F219" s="84" t="s">
        <v>5300</v>
      </c>
      <c r="G219" s="85" t="s">
        <v>96</v>
      </c>
      <c r="H219" s="87">
        <v>9.2E-4</v>
      </c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</row>
    <row r="220">
      <c r="A220" s="84" t="s">
        <v>4207</v>
      </c>
      <c r="B220" s="45"/>
      <c r="C220" s="84" t="s">
        <v>11292</v>
      </c>
      <c r="D220" s="45"/>
      <c r="E220" s="84" t="s">
        <v>5961</v>
      </c>
      <c r="F220" s="84" t="s">
        <v>5300</v>
      </c>
      <c r="G220" s="85" t="s">
        <v>96</v>
      </c>
      <c r="H220" s="87">
        <v>9.163E-4</v>
      </c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</row>
    <row r="221">
      <c r="A221" s="84" t="s">
        <v>4190</v>
      </c>
      <c r="B221" s="45"/>
      <c r="C221" s="84" t="s">
        <v>11293</v>
      </c>
      <c r="D221" s="45"/>
      <c r="E221" s="84" t="s">
        <v>5276</v>
      </c>
      <c r="F221" s="84" t="s">
        <v>5300</v>
      </c>
      <c r="G221" s="85" t="s">
        <v>96</v>
      </c>
      <c r="H221" s="87">
        <v>9.152E-4</v>
      </c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</row>
    <row r="222">
      <c r="A222" s="84" t="s">
        <v>4263</v>
      </c>
      <c r="B222" s="45"/>
      <c r="C222" s="84" t="s">
        <v>8948</v>
      </c>
      <c r="D222" s="45"/>
      <c r="E222" s="84" t="s">
        <v>5276</v>
      </c>
      <c r="F222" s="84" t="s">
        <v>5300</v>
      </c>
      <c r="G222" s="85" t="s">
        <v>96</v>
      </c>
      <c r="H222" s="87">
        <v>9.12E-4</v>
      </c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</row>
    <row r="223">
      <c r="A223" s="84" t="s">
        <v>4180</v>
      </c>
      <c r="B223" s="45"/>
      <c r="C223" s="84" t="s">
        <v>11294</v>
      </c>
      <c r="D223" s="45"/>
      <c r="E223" s="84" t="s">
        <v>7360</v>
      </c>
      <c r="F223" s="84" t="s">
        <v>5300</v>
      </c>
      <c r="G223" s="85" t="s">
        <v>96</v>
      </c>
      <c r="H223" s="87">
        <v>9.084E-4</v>
      </c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</row>
    <row r="224">
      <c r="A224" s="84" t="s">
        <v>11295</v>
      </c>
      <c r="B224" s="45"/>
      <c r="C224" s="84" t="s">
        <v>11296</v>
      </c>
      <c r="D224" s="45"/>
      <c r="E224" s="84" t="s">
        <v>5404</v>
      </c>
      <c r="F224" s="84" t="s">
        <v>8784</v>
      </c>
      <c r="G224" s="85" t="s">
        <v>96</v>
      </c>
      <c r="H224" s="87">
        <v>9.052E-4</v>
      </c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</row>
    <row r="225">
      <c r="A225" s="84" t="s">
        <v>4184</v>
      </c>
      <c r="B225" s="45"/>
      <c r="C225" s="84" t="s">
        <v>11297</v>
      </c>
      <c r="D225" s="45"/>
      <c r="E225" s="84" t="s">
        <v>5357</v>
      </c>
      <c r="F225" s="84" t="s">
        <v>5300</v>
      </c>
      <c r="G225" s="85" t="s">
        <v>96</v>
      </c>
      <c r="H225" s="87">
        <v>9.021E-4</v>
      </c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</row>
    <row r="226">
      <c r="A226" s="84" t="s">
        <v>4186</v>
      </c>
      <c r="B226" s="45"/>
      <c r="C226" s="84" t="s">
        <v>11298</v>
      </c>
      <c r="D226" s="45"/>
      <c r="E226" s="84" t="s">
        <v>5226</v>
      </c>
      <c r="F226" s="84" t="s">
        <v>5300</v>
      </c>
      <c r="G226" s="85" t="s">
        <v>96</v>
      </c>
      <c r="H226" s="87">
        <v>9.02E-4</v>
      </c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</row>
    <row r="227">
      <c r="A227" s="84" t="s">
        <v>4234</v>
      </c>
      <c r="B227" s="45"/>
      <c r="C227" s="84" t="s">
        <v>8947</v>
      </c>
      <c r="D227" s="45"/>
      <c r="E227" s="84" t="s">
        <v>5650</v>
      </c>
      <c r="F227" s="84" t="s">
        <v>5300</v>
      </c>
      <c r="G227" s="85" t="s">
        <v>96</v>
      </c>
      <c r="H227" s="87">
        <v>9.019E-4</v>
      </c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</row>
    <row r="228">
      <c r="A228" s="84" t="s">
        <v>8955</v>
      </c>
      <c r="B228" s="45"/>
      <c r="C228" s="84" t="s">
        <v>8956</v>
      </c>
      <c r="D228" s="45"/>
      <c r="E228" s="84" t="s">
        <v>6172</v>
      </c>
      <c r="F228" s="84" t="s">
        <v>4095</v>
      </c>
      <c r="G228" s="85" t="s">
        <v>96</v>
      </c>
      <c r="H228" s="87">
        <v>8.989E-4</v>
      </c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</row>
    <row r="229">
      <c r="A229" s="84" t="s">
        <v>11299</v>
      </c>
      <c r="B229" s="45"/>
      <c r="C229" s="84" t="s">
        <v>11300</v>
      </c>
      <c r="D229" s="45"/>
      <c r="E229" s="84" t="s">
        <v>8951</v>
      </c>
      <c r="F229" s="84" t="s">
        <v>8784</v>
      </c>
      <c r="G229" s="85" t="s">
        <v>96</v>
      </c>
      <c r="H229" s="87">
        <v>8.868E-4</v>
      </c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</row>
    <row r="230">
      <c r="A230" s="84" t="s">
        <v>8940</v>
      </c>
      <c r="B230" s="45"/>
      <c r="C230" s="84" t="s">
        <v>8941</v>
      </c>
      <c r="D230" s="45"/>
      <c r="E230" s="84" t="s">
        <v>5229</v>
      </c>
      <c r="F230" s="84" t="s">
        <v>6220</v>
      </c>
      <c r="G230" s="85" t="s">
        <v>96</v>
      </c>
      <c r="H230" s="87">
        <v>8.791E-4</v>
      </c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</row>
    <row r="231">
      <c r="A231" s="84" t="s">
        <v>7078</v>
      </c>
      <c r="B231" s="45"/>
      <c r="C231" s="84" t="s">
        <v>8967</v>
      </c>
      <c r="D231" s="45"/>
      <c r="E231" s="84" t="s">
        <v>5335</v>
      </c>
      <c r="F231" s="84" t="s">
        <v>8784</v>
      </c>
      <c r="G231" s="85" t="s">
        <v>96</v>
      </c>
      <c r="H231" s="87">
        <v>8.745E-4</v>
      </c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</row>
    <row r="232">
      <c r="A232" s="84" t="s">
        <v>8945</v>
      </c>
      <c r="B232" s="45"/>
      <c r="C232" s="84" t="s">
        <v>8946</v>
      </c>
      <c r="D232" s="45"/>
      <c r="E232" s="84" t="s">
        <v>5978</v>
      </c>
      <c r="F232" s="84" t="s">
        <v>8784</v>
      </c>
      <c r="G232" s="85" t="s">
        <v>96</v>
      </c>
      <c r="H232" s="87">
        <v>8.721E-4</v>
      </c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</row>
    <row r="233">
      <c r="A233" s="84" t="s">
        <v>11301</v>
      </c>
      <c r="B233" s="45"/>
      <c r="C233" s="84" t="s">
        <v>11302</v>
      </c>
      <c r="D233" s="45"/>
      <c r="E233" s="84" t="s">
        <v>6110</v>
      </c>
      <c r="F233" s="84" t="s">
        <v>9414</v>
      </c>
      <c r="G233" s="85" t="s">
        <v>96</v>
      </c>
      <c r="H233" s="87">
        <v>8.706E-4</v>
      </c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</row>
    <row r="234">
      <c r="A234" s="84" t="s">
        <v>4216</v>
      </c>
      <c r="B234" s="45"/>
      <c r="C234" s="84" t="s">
        <v>8950</v>
      </c>
      <c r="D234" s="45"/>
      <c r="E234" s="84" t="s">
        <v>8951</v>
      </c>
      <c r="F234" s="84" t="s">
        <v>5300</v>
      </c>
      <c r="G234" s="85" t="s">
        <v>96</v>
      </c>
      <c r="H234" s="87">
        <v>8.696E-4</v>
      </c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</row>
    <row r="235">
      <c r="A235" s="84" t="s">
        <v>4237</v>
      </c>
      <c r="B235" s="45"/>
      <c r="C235" s="84" t="s">
        <v>8952</v>
      </c>
      <c r="D235" s="45"/>
      <c r="E235" s="84" t="s">
        <v>5467</v>
      </c>
      <c r="F235" s="84" t="s">
        <v>5300</v>
      </c>
      <c r="G235" s="85" t="s">
        <v>96</v>
      </c>
      <c r="H235" s="87">
        <v>8.629E-4</v>
      </c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</row>
    <row r="236">
      <c r="A236" s="84" t="s">
        <v>9056</v>
      </c>
      <c r="B236" s="45"/>
      <c r="C236" s="84" t="s">
        <v>11303</v>
      </c>
      <c r="D236" s="45"/>
      <c r="E236" s="84" t="s">
        <v>5450</v>
      </c>
      <c r="F236" s="84" t="s">
        <v>5836</v>
      </c>
      <c r="G236" s="85" t="s">
        <v>96</v>
      </c>
      <c r="H236" s="87">
        <v>8.607E-4</v>
      </c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</row>
    <row r="237">
      <c r="A237" s="84" t="s">
        <v>11304</v>
      </c>
      <c r="B237" s="45"/>
      <c r="C237" s="84" t="s">
        <v>11305</v>
      </c>
      <c r="D237" s="45"/>
      <c r="E237" s="84" t="s">
        <v>6389</v>
      </c>
      <c r="F237" s="84" t="s">
        <v>8784</v>
      </c>
      <c r="G237" s="85" t="s">
        <v>96</v>
      </c>
      <c r="H237" s="87">
        <v>8.558E-4</v>
      </c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</row>
    <row r="238">
      <c r="A238" s="84" t="s">
        <v>11306</v>
      </c>
      <c r="B238" s="45"/>
      <c r="C238" s="84" t="s">
        <v>11307</v>
      </c>
      <c r="D238" s="45"/>
      <c r="E238" s="84" t="s">
        <v>5288</v>
      </c>
      <c r="F238" s="84" t="s">
        <v>5425</v>
      </c>
      <c r="G238" s="85" t="s">
        <v>96</v>
      </c>
      <c r="H238" s="87">
        <v>8.528E-4</v>
      </c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</row>
    <row r="239">
      <c r="A239" s="84" t="s">
        <v>4275</v>
      </c>
      <c r="B239" s="45"/>
      <c r="C239" s="84" t="s">
        <v>8966</v>
      </c>
      <c r="D239" s="45"/>
      <c r="E239" s="84" t="s">
        <v>5283</v>
      </c>
      <c r="F239" s="84" t="s">
        <v>5300</v>
      </c>
      <c r="G239" s="85" t="s">
        <v>96</v>
      </c>
      <c r="H239" s="87">
        <v>8.497E-4</v>
      </c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</row>
    <row r="240">
      <c r="A240" s="84" t="s">
        <v>4221</v>
      </c>
      <c r="B240" s="45"/>
      <c r="C240" s="84" t="s">
        <v>8978</v>
      </c>
      <c r="D240" s="45"/>
      <c r="E240" s="84" t="s">
        <v>5691</v>
      </c>
      <c r="F240" s="84" t="s">
        <v>5300</v>
      </c>
      <c r="G240" s="85" t="s">
        <v>96</v>
      </c>
      <c r="H240" s="87">
        <v>8.467E-4</v>
      </c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</row>
    <row r="241">
      <c r="A241" s="84" t="s">
        <v>11308</v>
      </c>
      <c r="B241" s="45"/>
      <c r="C241" s="84" t="s">
        <v>1507</v>
      </c>
      <c r="D241" s="45"/>
      <c r="E241" s="84" t="s">
        <v>5366</v>
      </c>
      <c r="F241" s="84" t="s">
        <v>4095</v>
      </c>
      <c r="G241" s="85" t="s">
        <v>96</v>
      </c>
      <c r="H241" s="87">
        <v>8.466E-4</v>
      </c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</row>
    <row r="242">
      <c r="A242" s="84" t="s">
        <v>8973</v>
      </c>
      <c r="B242" s="45"/>
      <c r="C242" s="84" t="s">
        <v>8974</v>
      </c>
      <c r="D242" s="45"/>
      <c r="E242" s="84" t="s">
        <v>5215</v>
      </c>
      <c r="F242" s="84" t="s">
        <v>4436</v>
      </c>
      <c r="G242" s="85" t="s">
        <v>96</v>
      </c>
      <c r="H242" s="87">
        <v>8.416E-4</v>
      </c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</row>
    <row r="243">
      <c r="A243" s="84" t="s">
        <v>8979</v>
      </c>
      <c r="B243" s="45"/>
      <c r="C243" s="84" t="s">
        <v>8980</v>
      </c>
      <c r="D243" s="45"/>
      <c r="E243" s="84" t="s">
        <v>5276</v>
      </c>
      <c r="F243" s="84" t="s">
        <v>5300</v>
      </c>
      <c r="G243" s="85" t="s">
        <v>96</v>
      </c>
      <c r="H243" s="87">
        <v>8.405E-4</v>
      </c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</row>
    <row r="244">
      <c r="A244" s="84" t="s">
        <v>4283</v>
      </c>
      <c r="B244" s="45"/>
      <c r="C244" s="84" t="s">
        <v>8972</v>
      </c>
      <c r="D244" s="45"/>
      <c r="E244" s="84" t="s">
        <v>8230</v>
      </c>
      <c r="F244" s="84" t="s">
        <v>5268</v>
      </c>
      <c r="G244" s="85" t="s">
        <v>96</v>
      </c>
      <c r="H244" s="87">
        <v>8.377E-4</v>
      </c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</row>
    <row r="245">
      <c r="A245" s="84" t="s">
        <v>4191</v>
      </c>
      <c r="B245" s="45"/>
      <c r="C245" s="84" t="s">
        <v>11309</v>
      </c>
      <c r="D245" s="45"/>
      <c r="E245" s="84" t="s">
        <v>5357</v>
      </c>
      <c r="F245" s="84" t="s">
        <v>5300</v>
      </c>
      <c r="G245" s="85" t="s">
        <v>96</v>
      </c>
      <c r="H245" s="87">
        <v>8.342E-4</v>
      </c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</row>
    <row r="246">
      <c r="A246" s="84" t="s">
        <v>8968</v>
      </c>
      <c r="B246" s="45"/>
      <c r="C246" s="84" t="s">
        <v>8969</v>
      </c>
      <c r="D246" s="45"/>
      <c r="E246" s="84" t="s">
        <v>5215</v>
      </c>
      <c r="F246" s="84" t="s">
        <v>5941</v>
      </c>
      <c r="G246" s="85" t="s">
        <v>96</v>
      </c>
      <c r="H246" s="87">
        <v>8.276E-4</v>
      </c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</row>
    <row r="247">
      <c r="A247" s="84" t="s">
        <v>4235</v>
      </c>
      <c r="B247" s="45"/>
      <c r="C247" s="84" t="s">
        <v>11310</v>
      </c>
      <c r="D247" s="45"/>
      <c r="E247" s="84" t="s">
        <v>5288</v>
      </c>
      <c r="F247" s="84" t="s">
        <v>5300</v>
      </c>
      <c r="G247" s="85" t="s">
        <v>96</v>
      </c>
      <c r="H247" s="87">
        <v>8.272E-4</v>
      </c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</row>
    <row r="248">
      <c r="A248" s="84" t="s">
        <v>4254</v>
      </c>
      <c r="B248" s="45"/>
      <c r="C248" s="84" t="s">
        <v>8977</v>
      </c>
      <c r="D248" s="45"/>
      <c r="E248" s="84" t="s">
        <v>8851</v>
      </c>
      <c r="F248" s="84" t="s">
        <v>5300</v>
      </c>
      <c r="G248" s="85" t="s">
        <v>96</v>
      </c>
      <c r="H248" s="87">
        <v>8.255E-4</v>
      </c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</row>
    <row r="249">
      <c r="A249" s="84" t="s">
        <v>8962</v>
      </c>
      <c r="B249" s="45"/>
      <c r="C249" s="84" t="s">
        <v>8963</v>
      </c>
      <c r="D249" s="45"/>
      <c r="E249" s="84" t="s">
        <v>5964</v>
      </c>
      <c r="F249" s="84" t="s">
        <v>8784</v>
      </c>
      <c r="G249" s="85" t="s">
        <v>96</v>
      </c>
      <c r="H249" s="87">
        <v>8.254E-4</v>
      </c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</row>
    <row r="250">
      <c r="A250" s="84" t="s">
        <v>8960</v>
      </c>
      <c r="B250" s="45"/>
      <c r="C250" s="84" t="s">
        <v>8961</v>
      </c>
      <c r="D250" s="45"/>
      <c r="E250" s="84" t="s">
        <v>5215</v>
      </c>
      <c r="F250" s="84" t="s">
        <v>4357</v>
      </c>
      <c r="G250" s="85" t="s">
        <v>96</v>
      </c>
      <c r="H250" s="87">
        <v>8.247E-4</v>
      </c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</row>
    <row r="251">
      <c r="A251" s="84" t="s">
        <v>4217</v>
      </c>
      <c r="B251" s="45"/>
      <c r="C251" s="84" t="s">
        <v>11311</v>
      </c>
      <c r="D251" s="45"/>
      <c r="E251" s="84" t="s">
        <v>6759</v>
      </c>
      <c r="F251" s="84" t="s">
        <v>5300</v>
      </c>
      <c r="G251" s="85" t="s">
        <v>96</v>
      </c>
      <c r="H251" s="87">
        <v>8.236E-4</v>
      </c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</row>
    <row r="252">
      <c r="A252" s="84" t="s">
        <v>9004</v>
      </c>
      <c r="B252" s="45"/>
      <c r="C252" s="84" t="s">
        <v>9005</v>
      </c>
      <c r="D252" s="45"/>
      <c r="E252" s="84" t="s">
        <v>5215</v>
      </c>
      <c r="F252" s="84" t="s">
        <v>4357</v>
      </c>
      <c r="G252" s="85" t="s">
        <v>96</v>
      </c>
      <c r="H252" s="87">
        <v>8.221E-4</v>
      </c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</row>
    <row r="253">
      <c r="A253" s="84" t="s">
        <v>4250</v>
      </c>
      <c r="B253" s="45"/>
      <c r="C253" s="84" t="s">
        <v>8984</v>
      </c>
      <c r="D253" s="45"/>
      <c r="E253" s="84" t="s">
        <v>5650</v>
      </c>
      <c r="F253" s="84" t="s">
        <v>5300</v>
      </c>
      <c r="G253" s="85" t="s">
        <v>96</v>
      </c>
      <c r="H253" s="87">
        <v>8.208E-4</v>
      </c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</row>
    <row r="254">
      <c r="A254" s="84" t="s">
        <v>4248</v>
      </c>
      <c r="B254" s="45"/>
      <c r="C254" s="84" t="s">
        <v>8981</v>
      </c>
      <c r="D254" s="45"/>
      <c r="E254" s="84" t="s">
        <v>5550</v>
      </c>
      <c r="F254" s="84" t="s">
        <v>5300</v>
      </c>
      <c r="G254" s="85" t="s">
        <v>96</v>
      </c>
      <c r="H254" s="87">
        <v>8.158E-4</v>
      </c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</row>
    <row r="255">
      <c r="A255" s="84" t="s">
        <v>4233</v>
      </c>
      <c r="B255" s="45"/>
      <c r="C255" s="84" t="s">
        <v>11312</v>
      </c>
      <c r="D255" s="45"/>
      <c r="E255" s="84" t="s">
        <v>5366</v>
      </c>
      <c r="F255" s="84" t="s">
        <v>5300</v>
      </c>
      <c r="G255" s="85" t="s">
        <v>96</v>
      </c>
      <c r="H255" s="87">
        <v>8.15E-4</v>
      </c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</row>
    <row r="256">
      <c r="A256" s="84" t="s">
        <v>8964</v>
      </c>
      <c r="B256" s="45"/>
      <c r="C256" s="84" t="s">
        <v>8965</v>
      </c>
      <c r="D256" s="45"/>
      <c r="E256" s="84" t="s">
        <v>5218</v>
      </c>
      <c r="F256" s="84" t="s">
        <v>8784</v>
      </c>
      <c r="G256" s="85" t="s">
        <v>96</v>
      </c>
      <c r="H256" s="87">
        <v>8.117E-4</v>
      </c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</row>
    <row r="257">
      <c r="A257" s="84" t="s">
        <v>4219</v>
      </c>
      <c r="B257" s="45"/>
      <c r="C257" s="84" t="s">
        <v>8993</v>
      </c>
      <c r="D257" s="45"/>
      <c r="E257" s="84" t="s">
        <v>5407</v>
      </c>
      <c r="F257" s="84" t="s">
        <v>5300</v>
      </c>
      <c r="G257" s="85" t="s">
        <v>96</v>
      </c>
      <c r="H257" s="87">
        <v>8.077E-4</v>
      </c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</row>
    <row r="258">
      <c r="A258" s="84" t="s">
        <v>11313</v>
      </c>
      <c r="B258" s="45"/>
      <c r="C258" s="84" t="s">
        <v>11314</v>
      </c>
      <c r="D258" s="45"/>
      <c r="E258" s="84" t="s">
        <v>5351</v>
      </c>
      <c r="F258" s="84" t="s">
        <v>5747</v>
      </c>
      <c r="G258" s="85" t="s">
        <v>96</v>
      </c>
      <c r="H258" s="87">
        <v>8.067E-4</v>
      </c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</row>
    <row r="259">
      <c r="A259" s="84" t="s">
        <v>4281</v>
      </c>
      <c r="B259" s="45"/>
      <c r="C259" s="84" t="s">
        <v>9000</v>
      </c>
      <c r="D259" s="45"/>
      <c r="E259" s="84" t="s">
        <v>5283</v>
      </c>
      <c r="F259" s="84" t="s">
        <v>5300</v>
      </c>
      <c r="G259" s="85" t="s">
        <v>96</v>
      </c>
      <c r="H259" s="87">
        <v>8.056E-4</v>
      </c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</row>
    <row r="260">
      <c r="A260" s="84" t="s">
        <v>4241</v>
      </c>
      <c r="B260" s="45"/>
      <c r="C260" s="84" t="s">
        <v>8992</v>
      </c>
      <c r="D260" s="45"/>
      <c r="E260" s="84" t="s">
        <v>5404</v>
      </c>
      <c r="F260" s="84" t="s">
        <v>5300</v>
      </c>
      <c r="G260" s="85" t="s">
        <v>96</v>
      </c>
      <c r="H260" s="87">
        <v>8.041E-4</v>
      </c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</row>
    <row r="261">
      <c r="A261" s="84" t="s">
        <v>8975</v>
      </c>
      <c r="B261" s="45"/>
      <c r="C261" s="84" t="s">
        <v>8976</v>
      </c>
      <c r="D261" s="45"/>
      <c r="E261" s="84" t="s">
        <v>7222</v>
      </c>
      <c r="F261" s="84" t="s">
        <v>5425</v>
      </c>
      <c r="G261" s="85" t="s">
        <v>96</v>
      </c>
      <c r="H261" s="87">
        <v>8.038E-4</v>
      </c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</row>
    <row r="262">
      <c r="A262" s="84" t="s">
        <v>4211</v>
      </c>
      <c r="B262" s="45"/>
      <c r="C262" s="84" t="s">
        <v>8985</v>
      </c>
      <c r="D262" s="45"/>
      <c r="E262" s="84" t="s">
        <v>5387</v>
      </c>
      <c r="F262" s="84" t="s">
        <v>5300</v>
      </c>
      <c r="G262" s="85" t="s">
        <v>96</v>
      </c>
      <c r="H262" s="87">
        <v>8.027E-4</v>
      </c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</row>
    <row r="263">
      <c r="A263" s="84" t="s">
        <v>4229</v>
      </c>
      <c r="B263" s="45"/>
      <c r="C263" s="84" t="s">
        <v>11315</v>
      </c>
      <c r="D263" s="45"/>
      <c r="E263" s="84" t="s">
        <v>5226</v>
      </c>
      <c r="F263" s="84" t="s">
        <v>5300</v>
      </c>
      <c r="G263" s="85" t="s">
        <v>96</v>
      </c>
      <c r="H263" s="87">
        <v>8.012E-4</v>
      </c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</row>
    <row r="264">
      <c r="A264" s="84" t="s">
        <v>4228</v>
      </c>
      <c r="B264" s="45"/>
      <c r="C264" s="84" t="s">
        <v>8996</v>
      </c>
      <c r="D264" s="45"/>
      <c r="E264" s="84" t="s">
        <v>5276</v>
      </c>
      <c r="F264" s="84" t="s">
        <v>5300</v>
      </c>
      <c r="G264" s="85" t="s">
        <v>96</v>
      </c>
      <c r="H264" s="87">
        <v>8.007E-4</v>
      </c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</row>
    <row r="265">
      <c r="A265" s="84" t="s">
        <v>4218</v>
      </c>
      <c r="B265" s="45"/>
      <c r="C265" s="84" t="s">
        <v>9002</v>
      </c>
      <c r="D265" s="45"/>
      <c r="E265" s="84" t="s">
        <v>8951</v>
      </c>
      <c r="F265" s="84" t="s">
        <v>5268</v>
      </c>
      <c r="G265" s="85" t="s">
        <v>96</v>
      </c>
      <c r="H265" s="87">
        <v>7.996E-4</v>
      </c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</row>
    <row r="266">
      <c r="A266" s="84" t="s">
        <v>11316</v>
      </c>
      <c r="B266" s="45"/>
      <c r="C266" s="84" t="s">
        <v>11317</v>
      </c>
      <c r="D266" s="45"/>
      <c r="E266" s="84" t="s">
        <v>5267</v>
      </c>
      <c r="F266" s="84" t="s">
        <v>8759</v>
      </c>
      <c r="G266" s="85" t="s">
        <v>96</v>
      </c>
      <c r="H266" s="87">
        <v>7.995E-4</v>
      </c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</row>
    <row r="267">
      <c r="A267" s="84" t="s">
        <v>4256</v>
      </c>
      <c r="B267" s="45"/>
      <c r="C267" s="84" t="s">
        <v>9006</v>
      </c>
      <c r="D267" s="45"/>
      <c r="E267" s="84" t="s">
        <v>6040</v>
      </c>
      <c r="F267" s="84" t="s">
        <v>5300</v>
      </c>
      <c r="G267" s="85" t="s">
        <v>96</v>
      </c>
      <c r="H267" s="87">
        <v>7.926E-4</v>
      </c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</row>
    <row r="268">
      <c r="A268" s="84" t="s">
        <v>8936</v>
      </c>
      <c r="B268" s="45"/>
      <c r="C268" s="84" t="s">
        <v>8937</v>
      </c>
      <c r="D268" s="45"/>
      <c r="E268" s="84" t="s">
        <v>5374</v>
      </c>
      <c r="F268" s="84" t="s">
        <v>5300</v>
      </c>
      <c r="G268" s="85" t="s">
        <v>96</v>
      </c>
      <c r="H268" s="87">
        <v>7.916E-4</v>
      </c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</row>
    <row r="269">
      <c r="A269" s="84" t="s">
        <v>4258</v>
      </c>
      <c r="B269" s="45"/>
      <c r="C269" s="84" t="s">
        <v>11318</v>
      </c>
      <c r="D269" s="45"/>
      <c r="E269" s="84" t="s">
        <v>5961</v>
      </c>
      <c r="F269" s="84" t="s">
        <v>8759</v>
      </c>
      <c r="G269" s="85" t="s">
        <v>96</v>
      </c>
      <c r="H269" s="87">
        <v>7.879E-4</v>
      </c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</row>
    <row r="270">
      <c r="A270" s="84" t="s">
        <v>4227</v>
      </c>
      <c r="B270" s="45"/>
      <c r="C270" s="84" t="s">
        <v>8989</v>
      </c>
      <c r="D270" s="45"/>
      <c r="E270" s="84" t="s">
        <v>7169</v>
      </c>
      <c r="F270" s="84" t="s">
        <v>5300</v>
      </c>
      <c r="G270" s="85" t="s">
        <v>96</v>
      </c>
      <c r="H270" s="87">
        <v>7.866E-4</v>
      </c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</row>
    <row r="271">
      <c r="A271" s="84" t="s">
        <v>4276</v>
      </c>
      <c r="B271" s="45"/>
      <c r="C271" s="84" t="s">
        <v>9013</v>
      </c>
      <c r="D271" s="45"/>
      <c r="E271" s="84" t="s">
        <v>5445</v>
      </c>
      <c r="F271" s="84" t="s">
        <v>5300</v>
      </c>
      <c r="G271" s="85" t="s">
        <v>96</v>
      </c>
      <c r="H271" s="87">
        <v>7.864E-4</v>
      </c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</row>
    <row r="272">
      <c r="A272" s="84" t="s">
        <v>4279</v>
      </c>
      <c r="B272" s="45"/>
      <c r="C272" s="84" t="s">
        <v>11319</v>
      </c>
      <c r="D272" s="45"/>
      <c r="E272" s="84" t="s">
        <v>6191</v>
      </c>
      <c r="F272" s="84" t="s">
        <v>5300</v>
      </c>
      <c r="G272" s="85" t="s">
        <v>96</v>
      </c>
      <c r="H272" s="87">
        <v>7.86E-4</v>
      </c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</row>
    <row r="273">
      <c r="A273" s="84" t="s">
        <v>11320</v>
      </c>
      <c r="B273" s="45"/>
      <c r="C273" s="84" t="s">
        <v>8991</v>
      </c>
      <c r="D273" s="45"/>
      <c r="E273" s="84" t="s">
        <v>5682</v>
      </c>
      <c r="F273" s="84" t="s">
        <v>5268</v>
      </c>
      <c r="G273" s="85" t="s">
        <v>96</v>
      </c>
      <c r="H273" s="87">
        <v>7.856E-4</v>
      </c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</row>
    <row r="274">
      <c r="A274" s="84" t="s">
        <v>4242</v>
      </c>
      <c r="B274" s="45"/>
      <c r="C274" s="84" t="s">
        <v>9001</v>
      </c>
      <c r="D274" s="45"/>
      <c r="E274" s="84" t="s">
        <v>5473</v>
      </c>
      <c r="F274" s="84" t="s">
        <v>5300</v>
      </c>
      <c r="G274" s="85" t="s">
        <v>96</v>
      </c>
      <c r="H274" s="87">
        <v>7.845E-4</v>
      </c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</row>
    <row r="275">
      <c r="A275" s="84" t="s">
        <v>4251</v>
      </c>
      <c r="B275" s="45"/>
      <c r="C275" s="84" t="s">
        <v>11321</v>
      </c>
      <c r="D275" s="45"/>
      <c r="E275" s="84" t="s">
        <v>6110</v>
      </c>
      <c r="F275" s="84" t="s">
        <v>5300</v>
      </c>
      <c r="G275" s="85" t="s">
        <v>96</v>
      </c>
      <c r="H275" s="87">
        <v>7.801E-4</v>
      </c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</row>
    <row r="276">
      <c r="A276" s="84" t="s">
        <v>4268</v>
      </c>
      <c r="B276" s="45"/>
      <c r="C276" s="84" t="s">
        <v>9010</v>
      </c>
      <c r="D276" s="45"/>
      <c r="E276" s="84" t="s">
        <v>5215</v>
      </c>
      <c r="F276" s="84" t="s">
        <v>5300</v>
      </c>
      <c r="G276" s="85" t="s">
        <v>96</v>
      </c>
      <c r="H276" s="87">
        <v>7.768E-4</v>
      </c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</row>
    <row r="277">
      <c r="A277" s="84" t="s">
        <v>4230</v>
      </c>
      <c r="B277" s="45"/>
      <c r="C277" s="84" t="s">
        <v>9003</v>
      </c>
      <c r="D277" s="45"/>
      <c r="E277" s="84" t="s">
        <v>6338</v>
      </c>
      <c r="F277" s="84" t="s">
        <v>5300</v>
      </c>
      <c r="G277" s="85" t="s">
        <v>96</v>
      </c>
      <c r="H277" s="87">
        <v>7.757E-4</v>
      </c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</row>
    <row r="278">
      <c r="A278" s="84" t="s">
        <v>9017</v>
      </c>
      <c r="B278" s="45"/>
      <c r="C278" s="84" t="s">
        <v>9018</v>
      </c>
      <c r="D278" s="45"/>
      <c r="E278" s="84" t="s">
        <v>6115</v>
      </c>
      <c r="F278" s="84" t="s">
        <v>5300</v>
      </c>
      <c r="G278" s="85" t="s">
        <v>96</v>
      </c>
      <c r="H278" s="87">
        <v>7.748E-4</v>
      </c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</row>
    <row r="279">
      <c r="A279" s="84" t="s">
        <v>4272</v>
      </c>
      <c r="B279" s="45"/>
      <c r="C279" s="84" t="s">
        <v>9009</v>
      </c>
      <c r="D279" s="45"/>
      <c r="E279" s="84" t="s">
        <v>5434</v>
      </c>
      <c r="F279" s="84" t="s">
        <v>5300</v>
      </c>
      <c r="G279" s="85" t="s">
        <v>96</v>
      </c>
      <c r="H279" s="87">
        <v>7.72E-4</v>
      </c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</row>
    <row r="280">
      <c r="A280" s="84" t="s">
        <v>8982</v>
      </c>
      <c r="B280" s="45"/>
      <c r="C280" s="84" t="s">
        <v>8983</v>
      </c>
      <c r="D280" s="45"/>
      <c r="E280" s="84" t="s">
        <v>5235</v>
      </c>
      <c r="F280" s="84" t="s">
        <v>8784</v>
      </c>
      <c r="G280" s="85" t="s">
        <v>96</v>
      </c>
      <c r="H280" s="87">
        <v>7.7E-4</v>
      </c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</row>
    <row r="281">
      <c r="A281" s="84" t="s">
        <v>9067</v>
      </c>
      <c r="B281" s="45"/>
      <c r="C281" s="84" t="s">
        <v>9068</v>
      </c>
      <c r="D281" s="45"/>
      <c r="E281" s="84" t="s">
        <v>5516</v>
      </c>
      <c r="F281" s="84" t="s">
        <v>8784</v>
      </c>
      <c r="G281" s="85" t="s">
        <v>96</v>
      </c>
      <c r="H281" s="87">
        <v>7.7E-4</v>
      </c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</row>
    <row r="282">
      <c r="A282" s="84" t="s">
        <v>4245</v>
      </c>
      <c r="B282" s="45"/>
      <c r="C282" s="84" t="s">
        <v>9024</v>
      </c>
      <c r="D282" s="45"/>
      <c r="E282" s="84" t="s">
        <v>7260</v>
      </c>
      <c r="F282" s="84" t="s">
        <v>5300</v>
      </c>
      <c r="G282" s="85" t="s">
        <v>96</v>
      </c>
      <c r="H282" s="87">
        <v>7.697E-4</v>
      </c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</row>
    <row r="283">
      <c r="A283" s="84" t="s">
        <v>4259</v>
      </c>
      <c r="B283" s="45"/>
      <c r="C283" s="84" t="s">
        <v>11322</v>
      </c>
      <c r="D283" s="45"/>
      <c r="E283" s="84" t="s">
        <v>6191</v>
      </c>
      <c r="F283" s="84" t="s">
        <v>5300</v>
      </c>
      <c r="G283" s="85" t="s">
        <v>96</v>
      </c>
      <c r="H283" s="87">
        <v>7.682E-4</v>
      </c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</row>
    <row r="284">
      <c r="A284" s="84" t="s">
        <v>8994</v>
      </c>
      <c r="B284" s="45"/>
      <c r="C284" s="84" t="s">
        <v>8995</v>
      </c>
      <c r="D284" s="45"/>
      <c r="E284" s="84" t="s">
        <v>5478</v>
      </c>
      <c r="F284" s="84" t="s">
        <v>8759</v>
      </c>
      <c r="G284" s="85" t="s">
        <v>96</v>
      </c>
      <c r="H284" s="87">
        <v>7.647E-4</v>
      </c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</row>
    <row r="285">
      <c r="A285" s="84" t="s">
        <v>4257</v>
      </c>
      <c r="B285" s="45"/>
      <c r="C285" s="84" t="s">
        <v>9014</v>
      </c>
      <c r="D285" s="45"/>
      <c r="E285" s="84" t="s">
        <v>5246</v>
      </c>
      <c r="F285" s="84" t="s">
        <v>5300</v>
      </c>
      <c r="G285" s="85" t="s">
        <v>96</v>
      </c>
      <c r="H285" s="87">
        <v>7.646E-4</v>
      </c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</row>
    <row r="286">
      <c r="A286" s="84" t="s">
        <v>8988</v>
      </c>
      <c r="B286" s="45"/>
      <c r="C286" s="84" t="s">
        <v>5444</v>
      </c>
      <c r="D286" s="45"/>
      <c r="E286" s="84" t="s">
        <v>5445</v>
      </c>
      <c r="F286" s="84" t="s">
        <v>5300</v>
      </c>
      <c r="G286" s="85" t="s">
        <v>96</v>
      </c>
      <c r="H286" s="87">
        <v>7.642E-4</v>
      </c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</row>
    <row r="287">
      <c r="A287" s="84" t="s">
        <v>8970</v>
      </c>
      <c r="B287" s="45"/>
      <c r="C287" s="84" t="s">
        <v>8971</v>
      </c>
      <c r="D287" s="45"/>
      <c r="E287" s="84" t="s">
        <v>7260</v>
      </c>
      <c r="F287" s="84" t="s">
        <v>5425</v>
      </c>
      <c r="G287" s="85" t="s">
        <v>96</v>
      </c>
      <c r="H287" s="87">
        <v>7.634E-4</v>
      </c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</row>
    <row r="288">
      <c r="A288" s="84" t="s">
        <v>9049</v>
      </c>
      <c r="B288" s="45"/>
      <c r="C288" s="84" t="s">
        <v>9050</v>
      </c>
      <c r="D288" s="45"/>
      <c r="E288" s="84" t="s">
        <v>5276</v>
      </c>
      <c r="F288" s="84" t="s">
        <v>5836</v>
      </c>
      <c r="G288" s="85" t="s">
        <v>96</v>
      </c>
      <c r="H288" s="87">
        <v>7.561E-4</v>
      </c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</row>
    <row r="289">
      <c r="A289" s="84" t="s">
        <v>9028</v>
      </c>
      <c r="B289" s="45"/>
      <c r="C289" s="84" t="s">
        <v>9029</v>
      </c>
      <c r="D289" s="45"/>
      <c r="E289" s="84" t="s">
        <v>6115</v>
      </c>
      <c r="F289" s="84" t="s">
        <v>5747</v>
      </c>
      <c r="G289" s="85" t="s">
        <v>96</v>
      </c>
      <c r="H289" s="87">
        <v>7.534E-4</v>
      </c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</row>
    <row r="290">
      <c r="A290" s="84" t="s">
        <v>4246</v>
      </c>
      <c r="B290" s="45"/>
      <c r="C290" s="84" t="s">
        <v>8999</v>
      </c>
      <c r="D290" s="45"/>
      <c r="E290" s="84" t="s">
        <v>6009</v>
      </c>
      <c r="F290" s="84" t="s">
        <v>5300</v>
      </c>
      <c r="G290" s="85" t="s">
        <v>96</v>
      </c>
      <c r="H290" s="87">
        <v>7.466E-4</v>
      </c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</row>
    <row r="291">
      <c r="A291" s="84" t="s">
        <v>11246</v>
      </c>
      <c r="B291" s="45"/>
      <c r="C291" s="84" t="s">
        <v>11323</v>
      </c>
      <c r="D291" s="45"/>
      <c r="E291" s="84" t="s">
        <v>5989</v>
      </c>
      <c r="F291" s="84" t="s">
        <v>5836</v>
      </c>
      <c r="G291" s="85" t="s">
        <v>96</v>
      </c>
      <c r="H291" s="87">
        <v>7.444E-4</v>
      </c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</row>
    <row r="292">
      <c r="A292" s="84" t="s">
        <v>9007</v>
      </c>
      <c r="B292" s="45"/>
      <c r="C292" s="84" t="s">
        <v>9008</v>
      </c>
      <c r="D292" s="45"/>
      <c r="E292" s="84" t="s">
        <v>5467</v>
      </c>
      <c r="F292" s="84" t="s">
        <v>8759</v>
      </c>
      <c r="G292" s="85" t="s">
        <v>96</v>
      </c>
      <c r="H292" s="87">
        <v>7.443E-4</v>
      </c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</row>
    <row r="293">
      <c r="A293" s="84" t="s">
        <v>4232</v>
      </c>
      <c r="B293" s="45"/>
      <c r="C293" s="84" t="s">
        <v>11324</v>
      </c>
      <c r="D293" s="45"/>
      <c r="E293" s="84" t="s">
        <v>11325</v>
      </c>
      <c r="F293" s="84" t="s">
        <v>5300</v>
      </c>
      <c r="G293" s="85" t="s">
        <v>96</v>
      </c>
      <c r="H293" s="87">
        <v>7.436E-4</v>
      </c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</row>
    <row r="294">
      <c r="A294" s="84" t="s">
        <v>4238</v>
      </c>
      <c r="B294" s="45"/>
      <c r="C294" s="84" t="s">
        <v>9015</v>
      </c>
      <c r="D294" s="45"/>
      <c r="E294" s="84" t="s">
        <v>5271</v>
      </c>
      <c r="F294" s="84" t="s">
        <v>5300</v>
      </c>
      <c r="G294" s="85" t="s">
        <v>96</v>
      </c>
      <c r="H294" s="87">
        <v>7.356E-4</v>
      </c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</row>
    <row r="295">
      <c r="A295" s="84" t="s">
        <v>4253</v>
      </c>
      <c r="B295" s="45"/>
      <c r="C295" s="84" t="s">
        <v>9051</v>
      </c>
      <c r="D295" s="45"/>
      <c r="E295" s="84" t="s">
        <v>6266</v>
      </c>
      <c r="F295" s="84" t="s">
        <v>5300</v>
      </c>
      <c r="G295" s="85" t="s">
        <v>96</v>
      </c>
      <c r="H295" s="87">
        <v>7.334E-4</v>
      </c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</row>
    <row r="296">
      <c r="A296" s="84" t="s">
        <v>4239</v>
      </c>
      <c r="B296" s="45"/>
      <c r="C296" s="84" t="s">
        <v>11326</v>
      </c>
      <c r="D296" s="45"/>
      <c r="E296" s="84" t="s">
        <v>5311</v>
      </c>
      <c r="F296" s="84" t="s">
        <v>5300</v>
      </c>
      <c r="G296" s="85" t="s">
        <v>96</v>
      </c>
      <c r="H296" s="87">
        <v>7.327E-4</v>
      </c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</row>
    <row r="297">
      <c r="A297" s="84" t="s">
        <v>4267</v>
      </c>
      <c r="B297" s="45"/>
      <c r="C297" s="84" t="s">
        <v>11327</v>
      </c>
      <c r="D297" s="45"/>
      <c r="E297" s="84" t="s">
        <v>6191</v>
      </c>
      <c r="F297" s="84" t="s">
        <v>5300</v>
      </c>
      <c r="G297" s="85" t="s">
        <v>96</v>
      </c>
      <c r="H297" s="87">
        <v>7.311E-4</v>
      </c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</row>
    <row r="298">
      <c r="A298" s="84" t="s">
        <v>4316</v>
      </c>
      <c r="B298" s="45"/>
      <c r="C298" s="84" t="s">
        <v>9037</v>
      </c>
      <c r="D298" s="45"/>
      <c r="E298" s="84" t="s">
        <v>6801</v>
      </c>
      <c r="F298" s="84" t="s">
        <v>5300</v>
      </c>
      <c r="G298" s="85" t="s">
        <v>96</v>
      </c>
      <c r="H298" s="87">
        <v>7.309E-4</v>
      </c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</row>
    <row r="299">
      <c r="A299" s="84" t="s">
        <v>9032</v>
      </c>
      <c r="B299" s="45"/>
      <c r="C299" s="84" t="s">
        <v>9033</v>
      </c>
      <c r="D299" s="45"/>
      <c r="E299" s="84" t="s">
        <v>5516</v>
      </c>
      <c r="F299" s="84" t="s">
        <v>4436</v>
      </c>
      <c r="G299" s="85" t="s">
        <v>96</v>
      </c>
      <c r="H299" s="87">
        <v>7.307E-4</v>
      </c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</row>
    <row r="300">
      <c r="A300" s="84" t="s">
        <v>9035</v>
      </c>
      <c r="B300" s="45"/>
      <c r="C300" s="84" t="s">
        <v>9036</v>
      </c>
      <c r="D300" s="45"/>
      <c r="E300" s="84" t="s">
        <v>5467</v>
      </c>
      <c r="F300" s="84" t="s">
        <v>8784</v>
      </c>
      <c r="G300" s="85" t="s">
        <v>96</v>
      </c>
      <c r="H300" s="87">
        <v>7.298E-4</v>
      </c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</row>
    <row r="301">
      <c r="A301" s="84" t="s">
        <v>4255</v>
      </c>
      <c r="B301" s="45"/>
      <c r="C301" s="84" t="s">
        <v>9058</v>
      </c>
      <c r="D301" s="45"/>
      <c r="E301" s="84" t="s">
        <v>5271</v>
      </c>
      <c r="F301" s="84" t="s">
        <v>5300</v>
      </c>
      <c r="G301" s="85" t="s">
        <v>96</v>
      </c>
      <c r="H301" s="87">
        <v>7.289E-4</v>
      </c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</row>
    <row r="302">
      <c r="A302" s="84" t="s">
        <v>9022</v>
      </c>
      <c r="B302" s="45"/>
      <c r="C302" s="84" t="s">
        <v>9023</v>
      </c>
      <c r="D302" s="45"/>
      <c r="E302" s="84" t="s">
        <v>5261</v>
      </c>
      <c r="F302" s="84" t="s">
        <v>8784</v>
      </c>
      <c r="G302" s="85" t="s">
        <v>96</v>
      </c>
      <c r="H302" s="87">
        <v>7.259E-4</v>
      </c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</row>
    <row r="303">
      <c r="A303" s="84" t="s">
        <v>4282</v>
      </c>
      <c r="B303" s="45"/>
      <c r="C303" s="84" t="s">
        <v>9045</v>
      </c>
      <c r="D303" s="45"/>
      <c r="E303" s="84" t="s">
        <v>5775</v>
      </c>
      <c r="F303" s="84" t="s">
        <v>5300</v>
      </c>
      <c r="G303" s="85" t="s">
        <v>96</v>
      </c>
      <c r="H303" s="87">
        <v>7.24E-4</v>
      </c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</row>
    <row r="304">
      <c r="A304" s="84" t="s">
        <v>4269</v>
      </c>
      <c r="B304" s="45"/>
      <c r="C304" s="84" t="s">
        <v>9027</v>
      </c>
      <c r="D304" s="45"/>
      <c r="E304" s="84" t="s">
        <v>5395</v>
      </c>
      <c r="F304" s="84" t="s">
        <v>5300</v>
      </c>
      <c r="G304" s="85" t="s">
        <v>96</v>
      </c>
      <c r="H304" s="87">
        <v>7.196E-4</v>
      </c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</row>
    <row r="305">
      <c r="A305" s="84" t="s">
        <v>8997</v>
      </c>
      <c r="B305" s="45"/>
      <c r="C305" s="84" t="s">
        <v>8998</v>
      </c>
      <c r="D305" s="45"/>
      <c r="E305" s="84" t="s">
        <v>5215</v>
      </c>
      <c r="F305" s="84" t="s">
        <v>8784</v>
      </c>
      <c r="G305" s="85" t="s">
        <v>96</v>
      </c>
      <c r="H305" s="87">
        <v>7.192E-4</v>
      </c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</row>
    <row r="306">
      <c r="A306" s="84" t="s">
        <v>9073</v>
      </c>
      <c r="B306" s="45"/>
      <c r="C306" s="84" t="s">
        <v>9074</v>
      </c>
      <c r="D306" s="45"/>
      <c r="E306" s="84" t="s">
        <v>5978</v>
      </c>
      <c r="F306" s="84" t="s">
        <v>6988</v>
      </c>
      <c r="G306" s="85" t="s">
        <v>96</v>
      </c>
      <c r="H306" s="87">
        <v>7.166E-4</v>
      </c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</row>
    <row r="307">
      <c r="A307" s="84" t="s">
        <v>4289</v>
      </c>
      <c r="B307" s="45"/>
      <c r="C307" s="84" t="s">
        <v>9011</v>
      </c>
      <c r="D307" s="45"/>
      <c r="E307" s="84" t="s">
        <v>5291</v>
      </c>
      <c r="F307" s="84" t="s">
        <v>5300</v>
      </c>
      <c r="G307" s="85" t="s">
        <v>96</v>
      </c>
      <c r="H307" s="87">
        <v>7.16E-4</v>
      </c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</row>
    <row r="308">
      <c r="A308" s="84" t="s">
        <v>9030</v>
      </c>
      <c r="B308" s="45"/>
      <c r="C308" s="84" t="s">
        <v>9031</v>
      </c>
      <c r="D308" s="45"/>
      <c r="E308" s="84" t="s">
        <v>5715</v>
      </c>
      <c r="F308" s="84" t="s">
        <v>5300</v>
      </c>
      <c r="G308" s="85" t="s">
        <v>96</v>
      </c>
      <c r="H308" s="87">
        <v>7.089E-4</v>
      </c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</row>
    <row r="309">
      <c r="A309" s="84" t="s">
        <v>4285</v>
      </c>
      <c r="B309" s="45"/>
      <c r="C309" s="84" t="s">
        <v>9016</v>
      </c>
      <c r="D309" s="45"/>
      <c r="E309" s="84" t="s">
        <v>5589</v>
      </c>
      <c r="F309" s="84" t="s">
        <v>5300</v>
      </c>
      <c r="G309" s="85" t="s">
        <v>96</v>
      </c>
      <c r="H309" s="87">
        <v>7.086E-4</v>
      </c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</row>
    <row r="310">
      <c r="A310" s="84" t="s">
        <v>8934</v>
      </c>
      <c r="B310" s="45"/>
      <c r="C310" s="84" t="s">
        <v>8935</v>
      </c>
      <c r="D310" s="45"/>
      <c r="E310" s="84" t="s">
        <v>5445</v>
      </c>
      <c r="F310" s="84" t="s">
        <v>6988</v>
      </c>
      <c r="G310" s="85" t="s">
        <v>96</v>
      </c>
      <c r="H310" s="87">
        <v>7.079E-4</v>
      </c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</row>
    <row r="311">
      <c r="A311" s="84" t="s">
        <v>4261</v>
      </c>
      <c r="B311" s="45"/>
      <c r="C311" s="84" t="s">
        <v>9048</v>
      </c>
      <c r="D311" s="45"/>
      <c r="E311" s="84" t="s">
        <v>5261</v>
      </c>
      <c r="F311" s="84" t="s">
        <v>5300</v>
      </c>
      <c r="G311" s="85" t="s">
        <v>96</v>
      </c>
      <c r="H311" s="87">
        <v>7.016E-4</v>
      </c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</row>
    <row r="312">
      <c r="A312" s="84" t="s">
        <v>4288</v>
      </c>
      <c r="B312" s="45"/>
      <c r="C312" s="84" t="s">
        <v>11328</v>
      </c>
      <c r="D312" s="45"/>
      <c r="E312" s="84" t="s">
        <v>5366</v>
      </c>
      <c r="F312" s="84" t="s">
        <v>5300</v>
      </c>
      <c r="G312" s="85" t="s">
        <v>96</v>
      </c>
      <c r="H312" s="87">
        <v>7.014E-4</v>
      </c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</row>
    <row r="313">
      <c r="A313" s="84" t="s">
        <v>4264</v>
      </c>
      <c r="B313" s="45"/>
      <c r="C313" s="84" t="s">
        <v>9072</v>
      </c>
      <c r="D313" s="45"/>
      <c r="E313" s="84" t="s">
        <v>5516</v>
      </c>
      <c r="F313" s="84" t="s">
        <v>5300</v>
      </c>
      <c r="G313" s="85" t="s">
        <v>96</v>
      </c>
      <c r="H313" s="87">
        <v>6.996E-4</v>
      </c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</row>
    <row r="314">
      <c r="A314" s="84" t="s">
        <v>9046</v>
      </c>
      <c r="B314" s="45"/>
      <c r="C314" s="84" t="s">
        <v>9047</v>
      </c>
      <c r="D314" s="45"/>
      <c r="E314" s="84" t="s">
        <v>5215</v>
      </c>
      <c r="F314" s="84" t="s">
        <v>5836</v>
      </c>
      <c r="G314" s="85" t="s">
        <v>96</v>
      </c>
      <c r="H314" s="87">
        <v>6.989E-4</v>
      </c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</row>
    <row r="315">
      <c r="A315" s="84" t="s">
        <v>4280</v>
      </c>
      <c r="B315" s="45"/>
      <c r="C315" s="84" t="s">
        <v>9038</v>
      </c>
      <c r="D315" s="45"/>
      <c r="E315" s="84" t="s">
        <v>9039</v>
      </c>
      <c r="F315" s="84" t="s">
        <v>5300</v>
      </c>
      <c r="G315" s="85" t="s">
        <v>96</v>
      </c>
      <c r="H315" s="87">
        <v>6.987E-4</v>
      </c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</row>
    <row r="316">
      <c r="A316" s="84" t="s">
        <v>11329</v>
      </c>
      <c r="B316" s="45"/>
      <c r="C316" s="84" t="s">
        <v>11330</v>
      </c>
      <c r="D316" s="45"/>
      <c r="E316" s="84" t="s">
        <v>5407</v>
      </c>
      <c r="F316" s="84" t="s">
        <v>5836</v>
      </c>
      <c r="G316" s="85" t="s">
        <v>96</v>
      </c>
      <c r="H316" s="87">
        <v>6.962E-4</v>
      </c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</row>
    <row r="317">
      <c r="A317" s="84" t="s">
        <v>4654</v>
      </c>
      <c r="B317" s="45"/>
      <c r="C317" s="84" t="s">
        <v>11331</v>
      </c>
      <c r="D317" s="45"/>
      <c r="E317" s="84" t="s">
        <v>5211</v>
      </c>
      <c r="F317" s="84" t="s">
        <v>5425</v>
      </c>
      <c r="G317" s="85" t="s">
        <v>96</v>
      </c>
      <c r="H317" s="87">
        <v>6.952E-4</v>
      </c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</row>
    <row r="318">
      <c r="A318" s="84" t="s">
        <v>4224</v>
      </c>
      <c r="B318" s="45"/>
      <c r="C318" s="84" t="s">
        <v>9012</v>
      </c>
      <c r="D318" s="45"/>
      <c r="E318" s="84" t="s">
        <v>7476</v>
      </c>
      <c r="F318" s="84" t="s">
        <v>5300</v>
      </c>
      <c r="G318" s="85" t="s">
        <v>96</v>
      </c>
      <c r="H318" s="87">
        <v>6.94E-4</v>
      </c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</row>
    <row r="319">
      <c r="A319" s="84" t="s">
        <v>4310</v>
      </c>
      <c r="B319" s="45"/>
      <c r="C319" s="84" t="s">
        <v>11332</v>
      </c>
      <c r="D319" s="45"/>
      <c r="E319" s="84" t="s">
        <v>9189</v>
      </c>
      <c r="F319" s="84" t="s">
        <v>5300</v>
      </c>
      <c r="G319" s="85" t="s">
        <v>96</v>
      </c>
      <c r="H319" s="87">
        <v>6.932E-4</v>
      </c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</row>
    <row r="320">
      <c r="A320" s="84" t="s">
        <v>4274</v>
      </c>
      <c r="B320" s="45"/>
      <c r="C320" s="84" t="s">
        <v>9044</v>
      </c>
      <c r="D320" s="45"/>
      <c r="E320" s="84" t="s">
        <v>5478</v>
      </c>
      <c r="F320" s="84" t="s">
        <v>5300</v>
      </c>
      <c r="G320" s="85" t="s">
        <v>96</v>
      </c>
      <c r="H320" s="87">
        <v>6.898E-4</v>
      </c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</row>
    <row r="321">
      <c r="A321" s="84" t="s">
        <v>4318</v>
      </c>
      <c r="B321" s="45"/>
      <c r="C321" s="84" t="s">
        <v>9070</v>
      </c>
      <c r="D321" s="45"/>
      <c r="E321" s="84" t="s">
        <v>8230</v>
      </c>
      <c r="F321" s="84" t="s">
        <v>5300</v>
      </c>
      <c r="G321" s="85" t="s">
        <v>96</v>
      </c>
      <c r="H321" s="87">
        <v>6.876E-4</v>
      </c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</row>
    <row r="322">
      <c r="A322" s="84" t="s">
        <v>9056</v>
      </c>
      <c r="B322" s="45"/>
      <c r="C322" s="84" t="s">
        <v>9057</v>
      </c>
      <c r="D322" s="45"/>
      <c r="E322" s="84" t="s">
        <v>5434</v>
      </c>
      <c r="F322" s="84" t="s">
        <v>5747</v>
      </c>
      <c r="G322" s="85" t="s">
        <v>96</v>
      </c>
      <c r="H322" s="87">
        <v>6.822E-4</v>
      </c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</row>
    <row r="323">
      <c r="A323" s="84" t="s">
        <v>4244</v>
      </c>
      <c r="B323" s="45"/>
      <c r="C323" s="84" t="s">
        <v>9034</v>
      </c>
      <c r="D323" s="45"/>
      <c r="E323" s="84" t="s">
        <v>5609</v>
      </c>
      <c r="F323" s="84" t="s">
        <v>5300</v>
      </c>
      <c r="G323" s="85" t="s">
        <v>96</v>
      </c>
      <c r="H323" s="87">
        <v>6.82E-4</v>
      </c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</row>
    <row r="324">
      <c r="A324" s="84" t="s">
        <v>4295</v>
      </c>
      <c r="B324" s="45"/>
      <c r="C324" s="84" t="s">
        <v>9071</v>
      </c>
      <c r="D324" s="45"/>
      <c r="E324" s="84" t="s">
        <v>5456</v>
      </c>
      <c r="F324" s="84" t="s">
        <v>5300</v>
      </c>
      <c r="G324" s="85" t="s">
        <v>96</v>
      </c>
      <c r="H324" s="87">
        <v>6.808E-4</v>
      </c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</row>
    <row r="325">
      <c r="A325" s="84" t="s">
        <v>11333</v>
      </c>
      <c r="B325" s="45"/>
      <c r="C325" s="84" t="s">
        <v>11334</v>
      </c>
      <c r="D325" s="45"/>
      <c r="E325" s="84" t="s">
        <v>5682</v>
      </c>
      <c r="F325" s="84" t="s">
        <v>8759</v>
      </c>
      <c r="G325" s="85" t="s">
        <v>96</v>
      </c>
      <c r="H325" s="87">
        <v>6.788E-4</v>
      </c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</row>
    <row r="326">
      <c r="A326" s="84" t="s">
        <v>9065</v>
      </c>
      <c r="B326" s="45"/>
      <c r="C326" s="84" t="s">
        <v>9066</v>
      </c>
      <c r="D326" s="45"/>
      <c r="E326" s="84" t="s">
        <v>5215</v>
      </c>
      <c r="F326" s="84" t="s">
        <v>5425</v>
      </c>
      <c r="G326" s="85" t="s">
        <v>96</v>
      </c>
      <c r="H326" s="87">
        <v>6.783E-4</v>
      </c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</row>
    <row r="327">
      <c r="A327" s="84" t="s">
        <v>4298</v>
      </c>
      <c r="B327" s="45"/>
      <c r="C327" s="84" t="s">
        <v>9075</v>
      </c>
      <c r="D327" s="45"/>
      <c r="E327" s="84" t="s">
        <v>5271</v>
      </c>
      <c r="F327" s="84" t="s">
        <v>5425</v>
      </c>
      <c r="G327" s="85" t="s">
        <v>96</v>
      </c>
      <c r="H327" s="87">
        <v>6.77E-4</v>
      </c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</row>
    <row r="328">
      <c r="A328" s="84" t="s">
        <v>4309</v>
      </c>
      <c r="B328" s="45"/>
      <c r="C328" s="84" t="s">
        <v>9040</v>
      </c>
      <c r="D328" s="45"/>
      <c r="E328" s="84" t="s">
        <v>5478</v>
      </c>
      <c r="F328" s="84" t="s">
        <v>5300</v>
      </c>
      <c r="G328" s="85" t="s">
        <v>96</v>
      </c>
      <c r="H328" s="87">
        <v>6.744E-4</v>
      </c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</row>
    <row r="329">
      <c r="A329" s="84" t="s">
        <v>4291</v>
      </c>
      <c r="B329" s="45"/>
      <c r="C329" s="84" t="s">
        <v>9043</v>
      </c>
      <c r="D329" s="45"/>
      <c r="E329" s="84" t="s">
        <v>5291</v>
      </c>
      <c r="F329" s="84" t="s">
        <v>5300</v>
      </c>
      <c r="G329" s="85" t="s">
        <v>96</v>
      </c>
      <c r="H329" s="87">
        <v>6.743E-4</v>
      </c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</row>
    <row r="330">
      <c r="A330" s="84" t="s">
        <v>4306</v>
      </c>
      <c r="B330" s="45"/>
      <c r="C330" s="84" t="s">
        <v>9052</v>
      </c>
      <c r="D330" s="45"/>
      <c r="E330" s="84" t="s">
        <v>5238</v>
      </c>
      <c r="F330" s="84" t="s">
        <v>5300</v>
      </c>
      <c r="G330" s="85" t="s">
        <v>96</v>
      </c>
      <c r="H330" s="87">
        <v>6.734E-4</v>
      </c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</row>
    <row r="331">
      <c r="A331" s="84" t="s">
        <v>4220</v>
      </c>
      <c r="B331" s="45"/>
      <c r="C331" s="84" t="s">
        <v>9053</v>
      </c>
      <c r="D331" s="45"/>
      <c r="E331" s="84" t="s">
        <v>5691</v>
      </c>
      <c r="F331" s="84" t="s">
        <v>5300</v>
      </c>
      <c r="G331" s="85" t="s">
        <v>96</v>
      </c>
      <c r="H331" s="87">
        <v>6.714E-4</v>
      </c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</row>
    <row r="332">
      <c r="A332" s="84" t="s">
        <v>4266</v>
      </c>
      <c r="B332" s="45"/>
      <c r="C332" s="84" t="s">
        <v>9076</v>
      </c>
      <c r="D332" s="45"/>
      <c r="E332" s="84" t="s">
        <v>5759</v>
      </c>
      <c r="F332" s="84" t="s">
        <v>5300</v>
      </c>
      <c r="G332" s="85" t="s">
        <v>96</v>
      </c>
      <c r="H332" s="87">
        <v>6.696E-4</v>
      </c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</row>
    <row r="333">
      <c r="A333" s="84" t="s">
        <v>9081</v>
      </c>
      <c r="B333" s="45"/>
      <c r="C333" s="84" t="s">
        <v>9082</v>
      </c>
      <c r="D333" s="45"/>
      <c r="E333" s="84" t="s">
        <v>8110</v>
      </c>
      <c r="F333" s="84" t="s">
        <v>8784</v>
      </c>
      <c r="G333" s="85" t="s">
        <v>96</v>
      </c>
      <c r="H333" s="87">
        <v>6.677E-4</v>
      </c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</row>
    <row r="334">
      <c r="A334" s="84" t="s">
        <v>9090</v>
      </c>
      <c r="B334" s="45"/>
      <c r="C334" s="84" t="s">
        <v>9091</v>
      </c>
      <c r="D334" s="45"/>
      <c r="E334" s="84" t="s">
        <v>5422</v>
      </c>
      <c r="F334" s="84" t="s">
        <v>9021</v>
      </c>
      <c r="G334" s="85" t="s">
        <v>96</v>
      </c>
      <c r="H334" s="87">
        <v>6.628E-4</v>
      </c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</row>
    <row r="335">
      <c r="A335" s="84" t="s">
        <v>4273</v>
      </c>
      <c r="B335" s="45"/>
      <c r="C335" s="84" t="s">
        <v>9060</v>
      </c>
      <c r="D335" s="45"/>
      <c r="E335" s="84" t="s">
        <v>6487</v>
      </c>
      <c r="F335" s="84" t="s">
        <v>5300</v>
      </c>
      <c r="G335" s="85" t="s">
        <v>96</v>
      </c>
      <c r="H335" s="87">
        <v>6.56E-4</v>
      </c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</row>
    <row r="336">
      <c r="A336" s="84" t="s">
        <v>11335</v>
      </c>
      <c r="B336" s="45"/>
      <c r="C336" s="84" t="s">
        <v>11336</v>
      </c>
      <c r="D336" s="45"/>
      <c r="E336" s="84" t="s">
        <v>6472</v>
      </c>
      <c r="F336" s="84" t="s">
        <v>5425</v>
      </c>
      <c r="G336" s="85" t="s">
        <v>96</v>
      </c>
      <c r="H336" s="87">
        <v>6.554E-4</v>
      </c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</row>
    <row r="337">
      <c r="A337" s="84" t="s">
        <v>4348</v>
      </c>
      <c r="B337" s="45"/>
      <c r="C337" s="84" t="s">
        <v>9061</v>
      </c>
      <c r="D337" s="45"/>
      <c r="E337" s="84" t="s">
        <v>5964</v>
      </c>
      <c r="F337" s="84" t="s">
        <v>5300</v>
      </c>
      <c r="G337" s="85" t="s">
        <v>96</v>
      </c>
      <c r="H337" s="87">
        <v>6.548E-4</v>
      </c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</row>
    <row r="338">
      <c r="A338" s="84" t="s">
        <v>4312</v>
      </c>
      <c r="B338" s="45"/>
      <c r="C338" s="84" t="s">
        <v>9069</v>
      </c>
      <c r="D338" s="45"/>
      <c r="E338" s="84" t="s">
        <v>6130</v>
      </c>
      <c r="F338" s="84" t="s">
        <v>5300</v>
      </c>
      <c r="G338" s="85" t="s">
        <v>96</v>
      </c>
      <c r="H338" s="87">
        <v>6.543E-4</v>
      </c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</row>
    <row r="339">
      <c r="A339" s="84" t="s">
        <v>4389</v>
      </c>
      <c r="B339" s="45"/>
      <c r="C339" s="84" t="s">
        <v>9078</v>
      </c>
      <c r="D339" s="45"/>
      <c r="E339" s="84" t="s">
        <v>5232</v>
      </c>
      <c r="F339" s="84" t="s">
        <v>5300</v>
      </c>
      <c r="G339" s="85" t="s">
        <v>96</v>
      </c>
      <c r="H339" s="87">
        <v>6.542E-4</v>
      </c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</row>
    <row r="340">
      <c r="A340" s="84" t="s">
        <v>9062</v>
      </c>
      <c r="B340" s="45"/>
      <c r="C340" s="84" t="s">
        <v>9063</v>
      </c>
      <c r="D340" s="45"/>
      <c r="E340" s="84" t="s">
        <v>5271</v>
      </c>
      <c r="F340" s="84" t="s">
        <v>5836</v>
      </c>
      <c r="G340" s="85" t="s">
        <v>96</v>
      </c>
      <c r="H340" s="87">
        <v>6.54E-4</v>
      </c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</row>
    <row r="341">
      <c r="A341" s="84" t="s">
        <v>9101</v>
      </c>
      <c r="B341" s="45"/>
      <c r="C341" s="84" t="s">
        <v>1707</v>
      </c>
      <c r="D341" s="45"/>
      <c r="E341" s="84" t="s">
        <v>5241</v>
      </c>
      <c r="F341" s="84" t="s">
        <v>8767</v>
      </c>
      <c r="G341" s="85" t="s">
        <v>96</v>
      </c>
      <c r="H341" s="87">
        <v>6.534E-4</v>
      </c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</row>
    <row r="342">
      <c r="A342" s="84" t="s">
        <v>4319</v>
      </c>
      <c r="B342" s="45"/>
      <c r="C342" s="84" t="s">
        <v>11337</v>
      </c>
      <c r="D342" s="45"/>
      <c r="E342" s="84" t="s">
        <v>7181</v>
      </c>
      <c r="F342" s="84" t="s">
        <v>5300</v>
      </c>
      <c r="G342" s="85" t="s">
        <v>96</v>
      </c>
      <c r="H342" s="87">
        <v>6.527E-4</v>
      </c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</row>
    <row r="343">
      <c r="A343" s="84" t="s">
        <v>4299</v>
      </c>
      <c r="B343" s="45"/>
      <c r="C343" s="84" t="s">
        <v>11338</v>
      </c>
      <c r="D343" s="45"/>
      <c r="E343" s="84" t="s">
        <v>7611</v>
      </c>
      <c r="F343" s="84" t="s">
        <v>5300</v>
      </c>
      <c r="G343" s="85" t="s">
        <v>96</v>
      </c>
      <c r="H343" s="87">
        <v>6.52E-4</v>
      </c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</row>
    <row r="344">
      <c r="A344" s="84" t="s">
        <v>4304</v>
      </c>
      <c r="B344" s="45"/>
      <c r="C344" s="84" t="s">
        <v>9064</v>
      </c>
      <c r="D344" s="45"/>
      <c r="E344" s="84" t="s">
        <v>5296</v>
      </c>
      <c r="F344" s="84" t="s">
        <v>5300</v>
      </c>
      <c r="G344" s="85" t="s">
        <v>96</v>
      </c>
      <c r="H344" s="87">
        <v>6.505E-4</v>
      </c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</row>
    <row r="345">
      <c r="A345" s="84" t="s">
        <v>9124</v>
      </c>
      <c r="B345" s="45"/>
      <c r="C345" s="84" t="s">
        <v>9125</v>
      </c>
      <c r="D345" s="45"/>
      <c r="E345" s="84" t="s">
        <v>5978</v>
      </c>
      <c r="F345" s="84" t="s">
        <v>4095</v>
      </c>
      <c r="G345" s="85" t="s">
        <v>96</v>
      </c>
      <c r="H345" s="87">
        <v>6.476E-4</v>
      </c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</row>
    <row r="346">
      <c r="A346" s="84" t="s">
        <v>11339</v>
      </c>
      <c r="B346" s="45"/>
      <c r="C346" s="84" t="s">
        <v>9042</v>
      </c>
      <c r="D346" s="45"/>
      <c r="E346" s="84" t="s">
        <v>5215</v>
      </c>
      <c r="F346" s="84" t="s">
        <v>4153</v>
      </c>
      <c r="G346" s="85" t="s">
        <v>96</v>
      </c>
      <c r="H346" s="87">
        <v>6.449E-4</v>
      </c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</row>
    <row r="347">
      <c r="A347" s="84" t="s">
        <v>9092</v>
      </c>
      <c r="B347" s="45"/>
      <c r="C347" s="84" t="s">
        <v>9093</v>
      </c>
      <c r="D347" s="45"/>
      <c r="E347" s="84" t="s">
        <v>5382</v>
      </c>
      <c r="F347" s="84" t="s">
        <v>5836</v>
      </c>
      <c r="G347" s="85" t="s">
        <v>96</v>
      </c>
      <c r="H347" s="87">
        <v>6.447E-4</v>
      </c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</row>
    <row r="348">
      <c r="A348" s="84" t="s">
        <v>9088</v>
      </c>
      <c r="B348" s="45"/>
      <c r="C348" s="84" t="s">
        <v>9089</v>
      </c>
      <c r="D348" s="45"/>
      <c r="E348" s="84" t="s">
        <v>5229</v>
      </c>
      <c r="F348" s="84" t="s">
        <v>4095</v>
      </c>
      <c r="G348" s="85" t="s">
        <v>96</v>
      </c>
      <c r="H348" s="87">
        <v>6.41E-4</v>
      </c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</row>
    <row r="349">
      <c r="A349" s="84" t="s">
        <v>11340</v>
      </c>
      <c r="B349" s="45"/>
      <c r="C349" s="84" t="s">
        <v>11341</v>
      </c>
      <c r="D349" s="45"/>
      <c r="E349" s="84" t="s">
        <v>5311</v>
      </c>
      <c r="F349" s="84" t="s">
        <v>5836</v>
      </c>
      <c r="G349" s="85" t="s">
        <v>96</v>
      </c>
      <c r="H349" s="87">
        <v>6.404E-4</v>
      </c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</row>
    <row r="350">
      <c r="A350" s="84" t="s">
        <v>9094</v>
      </c>
      <c r="B350" s="45"/>
      <c r="C350" s="84" t="s">
        <v>9095</v>
      </c>
      <c r="D350" s="45"/>
      <c r="E350" s="84" t="s">
        <v>5650</v>
      </c>
      <c r="F350" s="84" t="s">
        <v>6988</v>
      </c>
      <c r="G350" s="85" t="s">
        <v>96</v>
      </c>
      <c r="H350" s="87">
        <v>6.403E-4</v>
      </c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</row>
    <row r="351">
      <c r="A351" s="84" t="s">
        <v>11342</v>
      </c>
      <c r="B351" s="45"/>
      <c r="C351" s="84" t="s">
        <v>11343</v>
      </c>
      <c r="D351" s="45"/>
      <c r="E351" s="84" t="s">
        <v>5311</v>
      </c>
      <c r="F351" s="84" t="s">
        <v>5300</v>
      </c>
      <c r="G351" s="85" t="s">
        <v>96</v>
      </c>
      <c r="H351" s="87">
        <v>6.395E-4</v>
      </c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</row>
    <row r="352">
      <c r="A352" s="84" t="s">
        <v>4302</v>
      </c>
      <c r="B352" s="45"/>
      <c r="C352" s="84" t="s">
        <v>9080</v>
      </c>
      <c r="D352" s="45"/>
      <c r="E352" s="84" t="s">
        <v>6389</v>
      </c>
      <c r="F352" s="84" t="s">
        <v>5300</v>
      </c>
      <c r="G352" s="85" t="s">
        <v>96</v>
      </c>
      <c r="H352" s="87">
        <v>6.357E-4</v>
      </c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</row>
    <row r="353">
      <c r="A353" s="84" t="s">
        <v>4313</v>
      </c>
      <c r="B353" s="45"/>
      <c r="C353" s="84" t="s">
        <v>9079</v>
      </c>
      <c r="D353" s="45"/>
      <c r="E353" s="84" t="s">
        <v>5283</v>
      </c>
      <c r="F353" s="84" t="s">
        <v>5300</v>
      </c>
      <c r="G353" s="85" t="s">
        <v>96</v>
      </c>
      <c r="H353" s="87">
        <v>6.345E-4</v>
      </c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</row>
    <row r="354">
      <c r="A354" s="84" t="s">
        <v>4286</v>
      </c>
      <c r="B354" s="45"/>
      <c r="C354" s="84" t="s">
        <v>9085</v>
      </c>
      <c r="D354" s="45"/>
      <c r="E354" s="84" t="s">
        <v>5675</v>
      </c>
      <c r="F354" s="84" t="s">
        <v>5300</v>
      </c>
      <c r="G354" s="85" t="s">
        <v>96</v>
      </c>
      <c r="H354" s="87">
        <v>6.336E-4</v>
      </c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</row>
    <row r="355">
      <c r="A355" s="84" t="s">
        <v>4320</v>
      </c>
      <c r="B355" s="45"/>
      <c r="C355" s="84" t="s">
        <v>11344</v>
      </c>
      <c r="D355" s="45"/>
      <c r="E355" s="84" t="s">
        <v>6472</v>
      </c>
      <c r="F355" s="84" t="s">
        <v>5300</v>
      </c>
      <c r="G355" s="85" t="s">
        <v>96</v>
      </c>
      <c r="H355" s="87">
        <v>6.326E-4</v>
      </c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</row>
    <row r="356">
      <c r="A356" s="84" t="s">
        <v>4314</v>
      </c>
      <c r="B356" s="45"/>
      <c r="C356" s="84" t="s">
        <v>9077</v>
      </c>
      <c r="D356" s="45"/>
      <c r="E356" s="84" t="s">
        <v>5445</v>
      </c>
      <c r="F356" s="84" t="s">
        <v>5300</v>
      </c>
      <c r="G356" s="85" t="s">
        <v>96</v>
      </c>
      <c r="H356" s="87">
        <v>6.278E-4</v>
      </c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</row>
    <row r="357">
      <c r="A357" s="84" t="s">
        <v>4321</v>
      </c>
      <c r="B357" s="45"/>
      <c r="C357" s="84" t="s">
        <v>11345</v>
      </c>
      <c r="D357" s="45"/>
      <c r="E357" s="84" t="s">
        <v>5311</v>
      </c>
      <c r="F357" s="84" t="s">
        <v>5300</v>
      </c>
      <c r="G357" s="85" t="s">
        <v>96</v>
      </c>
      <c r="H357" s="87">
        <v>6.259E-4</v>
      </c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</row>
    <row r="358">
      <c r="A358" s="84" t="s">
        <v>4298</v>
      </c>
      <c r="B358" s="45"/>
      <c r="C358" s="84" t="s">
        <v>9110</v>
      </c>
      <c r="D358" s="45"/>
      <c r="E358" s="84" t="s">
        <v>5271</v>
      </c>
      <c r="F358" s="84" t="s">
        <v>5300</v>
      </c>
      <c r="G358" s="85" t="s">
        <v>96</v>
      </c>
      <c r="H358" s="87">
        <v>6.258E-4</v>
      </c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</row>
    <row r="359">
      <c r="A359" s="84" t="s">
        <v>4277</v>
      </c>
      <c r="B359" s="45"/>
      <c r="C359" s="84" t="s">
        <v>11346</v>
      </c>
      <c r="D359" s="45"/>
      <c r="E359" s="84" t="s">
        <v>7248</v>
      </c>
      <c r="F359" s="84" t="s">
        <v>5300</v>
      </c>
      <c r="G359" s="85" t="s">
        <v>96</v>
      </c>
      <c r="H359" s="87">
        <v>6.257E-4</v>
      </c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</row>
    <row r="360">
      <c r="A360" s="84" t="s">
        <v>9104</v>
      </c>
      <c r="B360" s="45"/>
      <c r="C360" s="84" t="s">
        <v>9105</v>
      </c>
      <c r="D360" s="45"/>
      <c r="E360" s="84" t="s">
        <v>5395</v>
      </c>
      <c r="F360" s="84" t="s">
        <v>5329</v>
      </c>
      <c r="G360" s="85" t="s">
        <v>96</v>
      </c>
      <c r="H360" s="87">
        <v>6.21E-4</v>
      </c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</row>
    <row r="361">
      <c r="A361" s="84" t="s">
        <v>4270</v>
      </c>
      <c r="B361" s="45"/>
      <c r="C361" s="84" t="s">
        <v>11347</v>
      </c>
      <c r="D361" s="45"/>
      <c r="E361" s="84" t="s">
        <v>7248</v>
      </c>
      <c r="F361" s="84" t="s">
        <v>5300</v>
      </c>
      <c r="G361" s="85" t="s">
        <v>96</v>
      </c>
      <c r="H361" s="87">
        <v>6.202E-4</v>
      </c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</row>
    <row r="362">
      <c r="A362" s="84" t="s">
        <v>4307</v>
      </c>
      <c r="B362" s="45"/>
      <c r="C362" s="84" t="s">
        <v>9097</v>
      </c>
      <c r="D362" s="45"/>
      <c r="E362" s="84" t="s">
        <v>5229</v>
      </c>
      <c r="F362" s="84" t="s">
        <v>5300</v>
      </c>
      <c r="G362" s="85" t="s">
        <v>96</v>
      </c>
      <c r="H362" s="87">
        <v>6.167E-4</v>
      </c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</row>
    <row r="363">
      <c r="A363" s="84" t="s">
        <v>4325</v>
      </c>
      <c r="B363" s="45"/>
      <c r="C363" s="84" t="s">
        <v>11348</v>
      </c>
      <c r="D363" s="45"/>
      <c r="E363" s="84" t="s">
        <v>6191</v>
      </c>
      <c r="F363" s="84" t="s">
        <v>5300</v>
      </c>
      <c r="G363" s="85" t="s">
        <v>96</v>
      </c>
      <c r="H363" s="87">
        <v>6.086E-4</v>
      </c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</row>
    <row r="364">
      <c r="A364" s="84" t="s">
        <v>9113</v>
      </c>
      <c r="B364" s="45"/>
      <c r="C364" s="84" t="s">
        <v>9114</v>
      </c>
      <c r="D364" s="45"/>
      <c r="E364" s="84" t="s">
        <v>5525</v>
      </c>
      <c r="F364" s="84" t="s">
        <v>5836</v>
      </c>
      <c r="G364" s="85" t="s">
        <v>96</v>
      </c>
      <c r="H364" s="87">
        <v>6.044E-4</v>
      </c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</row>
    <row r="365">
      <c r="A365" s="84" t="s">
        <v>11349</v>
      </c>
      <c r="B365" s="45"/>
      <c r="C365" s="84" t="s">
        <v>11350</v>
      </c>
      <c r="D365" s="45"/>
      <c r="E365" s="84" t="s">
        <v>5989</v>
      </c>
      <c r="F365" s="84" t="s">
        <v>4357</v>
      </c>
      <c r="G365" s="85" t="s">
        <v>96</v>
      </c>
      <c r="H365" s="87">
        <v>6.019E-4</v>
      </c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</row>
    <row r="366">
      <c r="A366" s="84" t="s">
        <v>4334</v>
      </c>
      <c r="B366" s="45"/>
      <c r="C366" s="84" t="s">
        <v>9116</v>
      </c>
      <c r="D366" s="45"/>
      <c r="E366" s="84" t="s">
        <v>5434</v>
      </c>
      <c r="F366" s="84" t="s">
        <v>5300</v>
      </c>
      <c r="G366" s="85" t="s">
        <v>96</v>
      </c>
      <c r="H366" s="87">
        <v>5.989E-4</v>
      </c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</row>
    <row r="367">
      <c r="A367" s="84" t="s">
        <v>9086</v>
      </c>
      <c r="B367" s="45"/>
      <c r="C367" s="84" t="s">
        <v>9087</v>
      </c>
      <c r="D367" s="45"/>
      <c r="E367" s="84" t="s">
        <v>5215</v>
      </c>
      <c r="F367" s="84" t="s">
        <v>5941</v>
      </c>
      <c r="G367" s="85" t="s">
        <v>96</v>
      </c>
      <c r="H367" s="87">
        <v>5.989E-4</v>
      </c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</row>
    <row r="368">
      <c r="A368" s="84" t="s">
        <v>4344</v>
      </c>
      <c r="B368" s="45"/>
      <c r="C368" s="84" t="s">
        <v>9115</v>
      </c>
      <c r="D368" s="45"/>
      <c r="E368" s="84" t="s">
        <v>5258</v>
      </c>
      <c r="F368" s="84" t="s">
        <v>5300</v>
      </c>
      <c r="G368" s="85" t="s">
        <v>96</v>
      </c>
      <c r="H368" s="87">
        <v>5.984E-4</v>
      </c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</row>
    <row r="369">
      <c r="A369" s="84" t="s">
        <v>4329</v>
      </c>
      <c r="B369" s="45"/>
      <c r="C369" s="84" t="s">
        <v>11351</v>
      </c>
      <c r="D369" s="45"/>
      <c r="E369" s="84" t="s">
        <v>6090</v>
      </c>
      <c r="F369" s="84" t="s">
        <v>5300</v>
      </c>
      <c r="G369" s="85" t="s">
        <v>96</v>
      </c>
      <c r="H369" s="87">
        <v>5.983E-4</v>
      </c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</row>
    <row r="370">
      <c r="A370" s="84" t="s">
        <v>4397</v>
      </c>
      <c r="B370" s="45"/>
      <c r="C370" s="84" t="s">
        <v>9130</v>
      </c>
      <c r="D370" s="45"/>
      <c r="E370" s="84" t="s">
        <v>5232</v>
      </c>
      <c r="F370" s="84" t="s">
        <v>5300</v>
      </c>
      <c r="G370" s="85" t="s">
        <v>96</v>
      </c>
      <c r="H370" s="87">
        <v>5.974E-4</v>
      </c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</row>
    <row r="371">
      <c r="A371" s="84" t="s">
        <v>9108</v>
      </c>
      <c r="B371" s="45"/>
      <c r="C371" s="84" t="s">
        <v>9109</v>
      </c>
      <c r="D371" s="45"/>
      <c r="E371" s="84" t="s">
        <v>5404</v>
      </c>
      <c r="F371" s="84" t="s">
        <v>5329</v>
      </c>
      <c r="G371" s="85" t="s">
        <v>96</v>
      </c>
      <c r="H371" s="87">
        <v>5.963E-4</v>
      </c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</row>
    <row r="372">
      <c r="A372" s="84" t="s">
        <v>4326</v>
      </c>
      <c r="B372" s="45"/>
      <c r="C372" s="84" t="s">
        <v>9096</v>
      </c>
      <c r="D372" s="45"/>
      <c r="E372" s="84" t="s">
        <v>5348</v>
      </c>
      <c r="F372" s="84" t="s">
        <v>5300</v>
      </c>
      <c r="G372" s="85" t="s">
        <v>96</v>
      </c>
      <c r="H372" s="87">
        <v>5.961E-4</v>
      </c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</row>
    <row r="373">
      <c r="A373" s="84" t="s">
        <v>4327</v>
      </c>
      <c r="B373" s="45"/>
      <c r="C373" s="84" t="s">
        <v>11352</v>
      </c>
      <c r="D373" s="45"/>
      <c r="E373" s="84" t="s">
        <v>5226</v>
      </c>
      <c r="F373" s="84" t="s">
        <v>5300</v>
      </c>
      <c r="G373" s="85" t="s">
        <v>96</v>
      </c>
      <c r="H373" s="87">
        <v>5.949E-4</v>
      </c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</row>
    <row r="374">
      <c r="A374" s="84" t="s">
        <v>4300</v>
      </c>
      <c r="B374" s="45"/>
      <c r="C374" s="84" t="s">
        <v>9100</v>
      </c>
      <c r="D374" s="45"/>
      <c r="E374" s="84" t="s">
        <v>5374</v>
      </c>
      <c r="F374" s="84" t="s">
        <v>5300</v>
      </c>
      <c r="G374" s="85" t="s">
        <v>96</v>
      </c>
      <c r="H374" s="87">
        <v>5.948E-4</v>
      </c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</row>
    <row r="375">
      <c r="A375" s="84" t="s">
        <v>4322</v>
      </c>
      <c r="B375" s="45"/>
      <c r="C375" s="84" t="s">
        <v>9117</v>
      </c>
      <c r="D375" s="45"/>
      <c r="E375" s="84" t="s">
        <v>6729</v>
      </c>
      <c r="F375" s="84" t="s">
        <v>5300</v>
      </c>
      <c r="G375" s="85" t="s">
        <v>96</v>
      </c>
      <c r="H375" s="87">
        <v>5.943E-4</v>
      </c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</row>
    <row r="376">
      <c r="A376" s="84" t="s">
        <v>9019</v>
      </c>
      <c r="B376" s="45"/>
      <c r="C376" s="84" t="s">
        <v>9020</v>
      </c>
      <c r="D376" s="45"/>
      <c r="E376" s="84" t="s">
        <v>5296</v>
      </c>
      <c r="F376" s="84" t="s">
        <v>9021</v>
      </c>
      <c r="G376" s="85" t="s">
        <v>96</v>
      </c>
      <c r="H376" s="87">
        <v>5.942E-4</v>
      </c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</row>
    <row r="377">
      <c r="A377" s="84" t="s">
        <v>9102</v>
      </c>
      <c r="B377" s="45"/>
      <c r="C377" s="84" t="s">
        <v>9103</v>
      </c>
      <c r="D377" s="45"/>
      <c r="E377" s="84" t="s">
        <v>5961</v>
      </c>
      <c r="F377" s="84" t="s">
        <v>8784</v>
      </c>
      <c r="G377" s="85" t="s">
        <v>96</v>
      </c>
      <c r="H377" s="87">
        <v>5.93E-4</v>
      </c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</row>
    <row r="378">
      <c r="A378" s="84" t="s">
        <v>9126</v>
      </c>
      <c r="B378" s="45"/>
      <c r="C378" s="84" t="s">
        <v>9127</v>
      </c>
      <c r="D378" s="45"/>
      <c r="E378" s="84" t="s">
        <v>5235</v>
      </c>
      <c r="F378" s="84" t="s">
        <v>8784</v>
      </c>
      <c r="G378" s="85" t="s">
        <v>96</v>
      </c>
      <c r="H378" s="87">
        <v>5.915E-4</v>
      </c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</row>
    <row r="379">
      <c r="A379" s="84" t="s">
        <v>4328</v>
      </c>
      <c r="B379" s="45"/>
      <c r="C379" s="84" t="s">
        <v>11353</v>
      </c>
      <c r="D379" s="45"/>
      <c r="E379" s="84" t="s">
        <v>5404</v>
      </c>
      <c r="F379" s="84" t="s">
        <v>5300</v>
      </c>
      <c r="G379" s="85" t="s">
        <v>96</v>
      </c>
      <c r="H379" s="87">
        <v>5.913E-4</v>
      </c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</row>
    <row r="380">
      <c r="A380" s="84" t="s">
        <v>4343</v>
      </c>
      <c r="B380" s="45"/>
      <c r="C380" s="84" t="s">
        <v>11354</v>
      </c>
      <c r="D380" s="45"/>
      <c r="E380" s="84" t="s">
        <v>6191</v>
      </c>
      <c r="F380" s="84" t="s">
        <v>5300</v>
      </c>
      <c r="G380" s="85" t="s">
        <v>96</v>
      </c>
      <c r="H380" s="87">
        <v>5.906E-4</v>
      </c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</row>
    <row r="381">
      <c r="A381" s="84" t="s">
        <v>11355</v>
      </c>
      <c r="B381" s="45"/>
      <c r="C381" s="84" t="s">
        <v>11356</v>
      </c>
      <c r="D381" s="45"/>
      <c r="E381" s="84" t="s">
        <v>5253</v>
      </c>
      <c r="F381" s="84" t="s">
        <v>5268</v>
      </c>
      <c r="G381" s="85" t="s">
        <v>96</v>
      </c>
      <c r="H381" s="87">
        <v>5.901E-4</v>
      </c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</row>
    <row r="382">
      <c r="A382" s="84" t="s">
        <v>9054</v>
      </c>
      <c r="B382" s="45"/>
      <c r="C382" s="84" t="s">
        <v>9055</v>
      </c>
      <c r="D382" s="45"/>
      <c r="E382" s="84" t="s">
        <v>5450</v>
      </c>
      <c r="F382" s="84" t="s">
        <v>5300</v>
      </c>
      <c r="G382" s="85" t="s">
        <v>96</v>
      </c>
      <c r="H382" s="87">
        <v>5.882E-4</v>
      </c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</row>
    <row r="383">
      <c r="A383" s="84" t="s">
        <v>9106</v>
      </c>
      <c r="B383" s="45"/>
      <c r="C383" s="84" t="s">
        <v>9107</v>
      </c>
      <c r="D383" s="45"/>
      <c r="E383" s="84" t="s">
        <v>5276</v>
      </c>
      <c r="F383" s="84" t="s">
        <v>5300</v>
      </c>
      <c r="G383" s="85" t="s">
        <v>96</v>
      </c>
      <c r="H383" s="87">
        <v>5.867E-4</v>
      </c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</row>
    <row r="384">
      <c r="A384" s="84" t="s">
        <v>9083</v>
      </c>
      <c r="B384" s="45"/>
      <c r="C384" s="84" t="s">
        <v>9084</v>
      </c>
      <c r="D384" s="45"/>
      <c r="E384" s="84" t="s">
        <v>5276</v>
      </c>
      <c r="F384" s="84" t="s">
        <v>5300</v>
      </c>
      <c r="G384" s="85" t="s">
        <v>96</v>
      </c>
      <c r="H384" s="87">
        <v>5.858E-4</v>
      </c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</row>
    <row r="385">
      <c r="A385" s="84" t="s">
        <v>9098</v>
      </c>
      <c r="B385" s="45"/>
      <c r="C385" s="84" t="s">
        <v>9099</v>
      </c>
      <c r="D385" s="45"/>
      <c r="E385" s="84" t="s">
        <v>5276</v>
      </c>
      <c r="F385" s="84" t="s">
        <v>5300</v>
      </c>
      <c r="G385" s="85" t="s">
        <v>96</v>
      </c>
      <c r="H385" s="87">
        <v>5.855E-4</v>
      </c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</row>
    <row r="386">
      <c r="A386" s="84" t="s">
        <v>4294</v>
      </c>
      <c r="B386" s="45"/>
      <c r="C386" s="84" t="s">
        <v>9118</v>
      </c>
      <c r="D386" s="45"/>
      <c r="E386" s="84" t="s">
        <v>5395</v>
      </c>
      <c r="F386" s="84" t="s">
        <v>5300</v>
      </c>
      <c r="G386" s="85" t="s">
        <v>96</v>
      </c>
      <c r="H386" s="87">
        <v>5.837E-4</v>
      </c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</row>
    <row r="387">
      <c r="A387" s="84" t="s">
        <v>4340</v>
      </c>
      <c r="B387" s="45"/>
      <c r="C387" s="84" t="s">
        <v>9145</v>
      </c>
      <c r="D387" s="45"/>
      <c r="E387" s="84" t="s">
        <v>5238</v>
      </c>
      <c r="F387" s="84" t="s">
        <v>5300</v>
      </c>
      <c r="G387" s="85" t="s">
        <v>96</v>
      </c>
      <c r="H387" s="87">
        <v>5.837E-4</v>
      </c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</row>
    <row r="388">
      <c r="A388" s="84" t="s">
        <v>9111</v>
      </c>
      <c r="B388" s="45"/>
      <c r="C388" s="84" t="s">
        <v>9112</v>
      </c>
      <c r="D388" s="45"/>
      <c r="E388" s="84" t="s">
        <v>5238</v>
      </c>
      <c r="F388" s="84" t="s">
        <v>6988</v>
      </c>
      <c r="G388" s="85" t="s">
        <v>96</v>
      </c>
      <c r="H388" s="87">
        <v>5.829E-4</v>
      </c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</row>
    <row r="389">
      <c r="A389" s="84" t="s">
        <v>11357</v>
      </c>
      <c r="B389" s="45"/>
      <c r="C389" s="84" t="s">
        <v>11358</v>
      </c>
      <c r="D389" s="45"/>
      <c r="E389" s="84" t="s">
        <v>5267</v>
      </c>
      <c r="F389" s="84" t="s">
        <v>5747</v>
      </c>
      <c r="G389" s="85" t="s">
        <v>96</v>
      </c>
      <c r="H389" s="87">
        <v>5.81E-4</v>
      </c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</row>
    <row r="390">
      <c r="A390" s="84" t="s">
        <v>9136</v>
      </c>
      <c r="B390" s="45"/>
      <c r="C390" s="84" t="s">
        <v>9137</v>
      </c>
      <c r="D390" s="45"/>
      <c r="E390" s="84" t="s">
        <v>7471</v>
      </c>
      <c r="F390" s="84" t="s">
        <v>5425</v>
      </c>
      <c r="G390" s="85" t="s">
        <v>96</v>
      </c>
      <c r="H390" s="87">
        <v>5.793E-4</v>
      </c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</row>
    <row r="391">
      <c r="A391" s="84" t="s">
        <v>9025</v>
      </c>
      <c r="B391" s="45"/>
      <c r="C391" s="84" t="s">
        <v>9026</v>
      </c>
      <c r="D391" s="45"/>
      <c r="E391" s="84" t="s">
        <v>5450</v>
      </c>
      <c r="F391" s="84" t="s">
        <v>5300</v>
      </c>
      <c r="G391" s="85" t="s">
        <v>96</v>
      </c>
      <c r="H391" s="87">
        <v>5.785E-4</v>
      </c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</row>
    <row r="392">
      <c r="A392" s="84" t="s">
        <v>4339</v>
      </c>
      <c r="B392" s="45"/>
      <c r="C392" s="84" t="s">
        <v>9147</v>
      </c>
      <c r="D392" s="45"/>
      <c r="E392" s="84" t="s">
        <v>5382</v>
      </c>
      <c r="F392" s="84" t="s">
        <v>5300</v>
      </c>
      <c r="G392" s="85" t="s">
        <v>96</v>
      </c>
      <c r="H392" s="87">
        <v>5.775E-4</v>
      </c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</row>
    <row r="393">
      <c r="A393" s="84" t="s">
        <v>11359</v>
      </c>
      <c r="B393" s="45"/>
      <c r="C393" s="84" t="s">
        <v>11360</v>
      </c>
      <c r="D393" s="45"/>
      <c r="E393" s="84" t="s">
        <v>7169</v>
      </c>
      <c r="F393" s="84" t="s">
        <v>9021</v>
      </c>
      <c r="G393" s="85" t="s">
        <v>96</v>
      </c>
      <c r="H393" s="87">
        <v>5.767E-4</v>
      </c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</row>
    <row r="394">
      <c r="A394" s="84" t="s">
        <v>4349</v>
      </c>
      <c r="B394" s="45"/>
      <c r="C394" s="84" t="s">
        <v>9188</v>
      </c>
      <c r="D394" s="45"/>
      <c r="E394" s="84" t="s">
        <v>9189</v>
      </c>
      <c r="F394" s="84" t="s">
        <v>5300</v>
      </c>
      <c r="G394" s="85" t="s">
        <v>96</v>
      </c>
      <c r="H394" s="87">
        <v>5.754E-4</v>
      </c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</row>
    <row r="395">
      <c r="A395" s="84" t="s">
        <v>4330</v>
      </c>
      <c r="B395" s="45"/>
      <c r="C395" s="84" t="s">
        <v>11361</v>
      </c>
      <c r="D395" s="45"/>
      <c r="E395" s="84" t="s">
        <v>7471</v>
      </c>
      <c r="F395" s="84" t="s">
        <v>5300</v>
      </c>
      <c r="G395" s="85" t="s">
        <v>96</v>
      </c>
      <c r="H395" s="87">
        <v>5.736E-4</v>
      </c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</row>
    <row r="396">
      <c r="A396" s="84" t="s">
        <v>9122</v>
      </c>
      <c r="B396" s="45"/>
      <c r="C396" s="84" t="s">
        <v>9123</v>
      </c>
      <c r="D396" s="45"/>
      <c r="E396" s="84" t="s">
        <v>6947</v>
      </c>
      <c r="F396" s="84" t="s">
        <v>4095</v>
      </c>
      <c r="G396" s="85" t="s">
        <v>96</v>
      </c>
      <c r="H396" s="87">
        <v>5.734E-4</v>
      </c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</row>
    <row r="397">
      <c r="A397" s="84" t="s">
        <v>4411</v>
      </c>
      <c r="B397" s="45"/>
      <c r="C397" s="84" t="s">
        <v>5299</v>
      </c>
      <c r="D397" s="45"/>
      <c r="E397" s="84" t="s">
        <v>5283</v>
      </c>
      <c r="F397" s="84" t="s">
        <v>5300</v>
      </c>
      <c r="G397" s="85" t="s">
        <v>96</v>
      </c>
      <c r="H397" s="87">
        <v>5.701E-4</v>
      </c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</row>
    <row r="398">
      <c r="A398" s="84" t="s">
        <v>6864</v>
      </c>
      <c r="B398" s="45"/>
      <c r="C398" s="84" t="s">
        <v>9119</v>
      </c>
      <c r="D398" s="45"/>
      <c r="E398" s="84" t="s">
        <v>5374</v>
      </c>
      <c r="F398" s="84" t="s">
        <v>4436</v>
      </c>
      <c r="G398" s="85" t="s">
        <v>96</v>
      </c>
      <c r="H398" s="87">
        <v>5.698E-4</v>
      </c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</row>
    <row r="399">
      <c r="A399" s="84" t="s">
        <v>9159</v>
      </c>
      <c r="B399" s="45"/>
      <c r="C399" s="84" t="s">
        <v>9160</v>
      </c>
      <c r="D399" s="45"/>
      <c r="E399" s="84" t="s">
        <v>5670</v>
      </c>
      <c r="F399" s="84" t="s">
        <v>6988</v>
      </c>
      <c r="G399" s="85" t="s">
        <v>96</v>
      </c>
      <c r="H399" s="87">
        <v>5.619E-4</v>
      </c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</row>
    <row r="400">
      <c r="A400" s="84" t="s">
        <v>9142</v>
      </c>
      <c r="B400" s="45"/>
      <c r="C400" s="84" t="s">
        <v>9143</v>
      </c>
      <c r="D400" s="45"/>
      <c r="E400" s="84" t="s">
        <v>9144</v>
      </c>
      <c r="F400" s="84" t="s">
        <v>8759</v>
      </c>
      <c r="G400" s="85" t="s">
        <v>96</v>
      </c>
      <c r="H400" s="87">
        <v>5.596E-4</v>
      </c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</row>
    <row r="401">
      <c r="A401" s="84" t="s">
        <v>4293</v>
      </c>
      <c r="B401" s="45"/>
      <c r="C401" s="84" t="s">
        <v>11362</v>
      </c>
      <c r="D401" s="45"/>
      <c r="E401" s="84" t="s">
        <v>6191</v>
      </c>
      <c r="F401" s="84" t="s">
        <v>5300</v>
      </c>
      <c r="G401" s="85" t="s">
        <v>96</v>
      </c>
      <c r="H401" s="87">
        <v>5.596E-4</v>
      </c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</row>
    <row r="402">
      <c r="A402" s="84" t="s">
        <v>4351</v>
      </c>
      <c r="B402" s="45"/>
      <c r="C402" s="84" t="s">
        <v>11363</v>
      </c>
      <c r="D402" s="45"/>
      <c r="E402" s="84" t="s">
        <v>6191</v>
      </c>
      <c r="F402" s="84" t="s">
        <v>5300</v>
      </c>
      <c r="G402" s="85" t="s">
        <v>96</v>
      </c>
      <c r="H402" s="87">
        <v>5.555E-4</v>
      </c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</row>
    <row r="403">
      <c r="A403" s="84" t="s">
        <v>9134</v>
      </c>
      <c r="B403" s="45"/>
      <c r="C403" s="84" t="s">
        <v>9135</v>
      </c>
      <c r="D403" s="45"/>
      <c r="E403" s="84" t="s">
        <v>5238</v>
      </c>
      <c r="F403" s="84" t="s">
        <v>8784</v>
      </c>
      <c r="G403" s="85" t="s">
        <v>96</v>
      </c>
      <c r="H403" s="87">
        <v>5.503E-4</v>
      </c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</row>
    <row r="404">
      <c r="A404" s="84" t="s">
        <v>9157</v>
      </c>
      <c r="B404" s="45"/>
      <c r="C404" s="84" t="s">
        <v>9158</v>
      </c>
      <c r="D404" s="45"/>
      <c r="E404" s="84" t="s">
        <v>5215</v>
      </c>
      <c r="F404" s="84" t="s">
        <v>5425</v>
      </c>
      <c r="G404" s="85" t="s">
        <v>96</v>
      </c>
      <c r="H404" s="87">
        <v>5.445E-4</v>
      </c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</row>
    <row r="405">
      <c r="A405" s="84" t="s">
        <v>9207</v>
      </c>
      <c r="B405" s="45"/>
      <c r="C405" s="84" t="s">
        <v>9208</v>
      </c>
      <c r="D405" s="45"/>
      <c r="E405" s="84" t="s">
        <v>6012</v>
      </c>
      <c r="F405" s="84" t="s">
        <v>8759</v>
      </c>
      <c r="G405" s="85" t="s">
        <v>96</v>
      </c>
      <c r="H405" s="87">
        <v>5.441E-4</v>
      </c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</row>
    <row r="406">
      <c r="A406" s="84" t="s">
        <v>9131</v>
      </c>
      <c r="B406" s="45"/>
      <c r="C406" s="84" t="s">
        <v>9132</v>
      </c>
      <c r="D406" s="45"/>
      <c r="E406" s="84" t="s">
        <v>5235</v>
      </c>
      <c r="F406" s="84" t="s">
        <v>8784</v>
      </c>
      <c r="G406" s="85" t="s">
        <v>96</v>
      </c>
      <c r="H406" s="87">
        <v>5.437E-4</v>
      </c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</row>
    <row r="407">
      <c r="A407" s="84" t="s">
        <v>11364</v>
      </c>
      <c r="B407" s="45"/>
      <c r="C407" s="84" t="s">
        <v>11365</v>
      </c>
      <c r="D407" s="45"/>
      <c r="E407" s="84" t="s">
        <v>5258</v>
      </c>
      <c r="F407" s="84" t="s">
        <v>5836</v>
      </c>
      <c r="G407" s="85" t="s">
        <v>96</v>
      </c>
      <c r="H407" s="87">
        <v>5.43E-4</v>
      </c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</row>
    <row r="408">
      <c r="A408" s="84" t="s">
        <v>9138</v>
      </c>
      <c r="B408" s="45"/>
      <c r="C408" s="84" t="s">
        <v>9139</v>
      </c>
      <c r="D408" s="45"/>
      <c r="E408" s="84" t="s">
        <v>5271</v>
      </c>
      <c r="F408" s="84" t="s">
        <v>5836</v>
      </c>
      <c r="G408" s="85" t="s">
        <v>96</v>
      </c>
      <c r="H408" s="87">
        <v>5.408E-4</v>
      </c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</row>
    <row r="409">
      <c r="A409" s="84" t="s">
        <v>4337</v>
      </c>
      <c r="B409" s="45"/>
      <c r="C409" s="84" t="s">
        <v>11366</v>
      </c>
      <c r="D409" s="45"/>
      <c r="E409" s="84" t="s">
        <v>9553</v>
      </c>
      <c r="F409" s="84" t="s">
        <v>5300</v>
      </c>
      <c r="G409" s="85" t="s">
        <v>96</v>
      </c>
      <c r="H409" s="87">
        <v>5.37E-4</v>
      </c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</row>
    <row r="410">
      <c r="A410" s="84" t="s">
        <v>4427</v>
      </c>
      <c r="B410" s="45"/>
      <c r="C410" s="84" t="s">
        <v>9133</v>
      </c>
      <c r="D410" s="45"/>
      <c r="E410" s="84" t="s">
        <v>5478</v>
      </c>
      <c r="F410" s="84" t="s">
        <v>5300</v>
      </c>
      <c r="G410" s="85" t="s">
        <v>96</v>
      </c>
      <c r="H410" s="87">
        <v>5.357E-4</v>
      </c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</row>
    <row r="411">
      <c r="A411" s="84" t="s">
        <v>4367</v>
      </c>
      <c r="B411" s="45"/>
      <c r="C411" s="84" t="s">
        <v>11367</v>
      </c>
      <c r="D411" s="45"/>
      <c r="E411" s="84" t="s">
        <v>5276</v>
      </c>
      <c r="F411" s="84" t="s">
        <v>5300</v>
      </c>
      <c r="G411" s="85" t="s">
        <v>96</v>
      </c>
      <c r="H411" s="87">
        <v>5.288E-4</v>
      </c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</row>
    <row r="412">
      <c r="A412" s="84" t="s">
        <v>4265</v>
      </c>
      <c r="B412" s="45"/>
      <c r="C412" s="84" t="s">
        <v>11368</v>
      </c>
      <c r="D412" s="45"/>
      <c r="E412" s="84" t="s">
        <v>5311</v>
      </c>
      <c r="F412" s="84" t="s">
        <v>5300</v>
      </c>
      <c r="G412" s="85" t="s">
        <v>96</v>
      </c>
      <c r="H412" s="87">
        <v>5.287E-4</v>
      </c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</row>
    <row r="413">
      <c r="A413" s="84" t="s">
        <v>4382</v>
      </c>
      <c r="B413" s="45"/>
      <c r="C413" s="84" t="s">
        <v>9179</v>
      </c>
      <c r="D413" s="45"/>
      <c r="E413" s="84" t="s">
        <v>5624</v>
      </c>
      <c r="F413" s="84" t="s">
        <v>5300</v>
      </c>
      <c r="G413" s="85" t="s">
        <v>96</v>
      </c>
      <c r="H413" s="87">
        <v>5.282E-4</v>
      </c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</row>
    <row r="414">
      <c r="A414" s="84" t="s">
        <v>9154</v>
      </c>
      <c r="B414" s="45"/>
      <c r="C414" s="84" t="s">
        <v>9155</v>
      </c>
      <c r="D414" s="45"/>
      <c r="E414" s="84" t="s">
        <v>6130</v>
      </c>
      <c r="F414" s="84" t="s">
        <v>8784</v>
      </c>
      <c r="G414" s="85" t="s">
        <v>96</v>
      </c>
      <c r="H414" s="87">
        <v>5.268E-4</v>
      </c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</row>
    <row r="415">
      <c r="A415" s="84" t="s">
        <v>11369</v>
      </c>
      <c r="B415" s="45"/>
      <c r="C415" s="84" t="s">
        <v>11370</v>
      </c>
      <c r="D415" s="45"/>
      <c r="E415" s="84" t="s">
        <v>5374</v>
      </c>
      <c r="F415" s="84" t="s">
        <v>5747</v>
      </c>
      <c r="G415" s="85" t="s">
        <v>96</v>
      </c>
      <c r="H415" s="87">
        <v>5.255E-4</v>
      </c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</row>
    <row r="416">
      <c r="A416" s="84" t="s">
        <v>4346</v>
      </c>
      <c r="B416" s="45"/>
      <c r="C416" s="84" t="s">
        <v>9165</v>
      </c>
      <c r="D416" s="45"/>
      <c r="E416" s="84" t="s">
        <v>5261</v>
      </c>
      <c r="F416" s="84" t="s">
        <v>5300</v>
      </c>
      <c r="G416" s="85" t="s">
        <v>96</v>
      </c>
      <c r="H416" s="87">
        <v>5.255E-4</v>
      </c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</row>
    <row r="417">
      <c r="A417" s="84" t="s">
        <v>9152</v>
      </c>
      <c r="B417" s="45"/>
      <c r="C417" s="84" t="s">
        <v>9153</v>
      </c>
      <c r="D417" s="45"/>
      <c r="E417" s="84" t="s">
        <v>5501</v>
      </c>
      <c r="F417" s="84" t="s">
        <v>8784</v>
      </c>
      <c r="G417" s="85" t="s">
        <v>96</v>
      </c>
      <c r="H417" s="87">
        <v>5.247E-4</v>
      </c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</row>
    <row r="418">
      <c r="A418" s="84" t="s">
        <v>4336</v>
      </c>
      <c r="B418" s="45"/>
      <c r="C418" s="84" t="s">
        <v>9172</v>
      </c>
      <c r="D418" s="45"/>
      <c r="E418" s="84" t="s">
        <v>5445</v>
      </c>
      <c r="F418" s="84" t="s">
        <v>5300</v>
      </c>
      <c r="G418" s="85" t="s">
        <v>96</v>
      </c>
      <c r="H418" s="87">
        <v>5.219E-4</v>
      </c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</row>
    <row r="419">
      <c r="A419" s="84" t="s">
        <v>9149</v>
      </c>
      <c r="B419" s="45"/>
      <c r="C419" s="84" t="s">
        <v>9150</v>
      </c>
      <c r="D419" s="45"/>
      <c r="E419" s="84" t="s">
        <v>6130</v>
      </c>
      <c r="F419" s="84" t="s">
        <v>8784</v>
      </c>
      <c r="G419" s="85" t="s">
        <v>96</v>
      </c>
      <c r="H419" s="87">
        <v>5.203E-4</v>
      </c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</row>
    <row r="420">
      <c r="A420" s="84" t="s">
        <v>4353</v>
      </c>
      <c r="B420" s="45"/>
      <c r="C420" s="84" t="s">
        <v>9181</v>
      </c>
      <c r="D420" s="45"/>
      <c r="E420" s="84" t="s">
        <v>5501</v>
      </c>
      <c r="F420" s="84" t="s">
        <v>5329</v>
      </c>
      <c r="G420" s="85" t="s">
        <v>96</v>
      </c>
      <c r="H420" s="87">
        <v>5.187E-4</v>
      </c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</row>
    <row r="421">
      <c r="A421" s="84" t="s">
        <v>4359</v>
      </c>
      <c r="B421" s="45"/>
      <c r="C421" s="84" t="s">
        <v>9163</v>
      </c>
      <c r="D421" s="45"/>
      <c r="E421" s="84" t="s">
        <v>5267</v>
      </c>
      <c r="F421" s="84" t="s">
        <v>5300</v>
      </c>
      <c r="G421" s="85" t="s">
        <v>96</v>
      </c>
      <c r="H421" s="87">
        <v>5.18E-4</v>
      </c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</row>
    <row r="422">
      <c r="A422" s="84" t="s">
        <v>4403</v>
      </c>
      <c r="B422" s="45"/>
      <c r="C422" s="84" t="s">
        <v>9175</v>
      </c>
      <c r="D422" s="45"/>
      <c r="E422" s="84" t="s">
        <v>5811</v>
      </c>
      <c r="F422" s="84" t="s">
        <v>5300</v>
      </c>
      <c r="G422" s="85" t="s">
        <v>96</v>
      </c>
      <c r="H422" s="87">
        <v>5.168E-4</v>
      </c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</row>
    <row r="423">
      <c r="A423" s="84" t="s">
        <v>4356</v>
      </c>
      <c r="B423" s="45"/>
      <c r="C423" s="84" t="s">
        <v>11371</v>
      </c>
      <c r="D423" s="45"/>
      <c r="E423" s="84" t="s">
        <v>5377</v>
      </c>
      <c r="F423" s="84" t="s">
        <v>5300</v>
      </c>
      <c r="G423" s="85" t="s">
        <v>96</v>
      </c>
      <c r="H423" s="87">
        <v>5.147E-4</v>
      </c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</row>
    <row r="424">
      <c r="A424" s="84" t="s">
        <v>4369</v>
      </c>
      <c r="B424" s="45"/>
      <c r="C424" s="84" t="s">
        <v>9164</v>
      </c>
      <c r="D424" s="45"/>
      <c r="E424" s="84" t="s">
        <v>5675</v>
      </c>
      <c r="F424" s="84" t="s">
        <v>5300</v>
      </c>
      <c r="G424" s="85" t="s">
        <v>96</v>
      </c>
      <c r="H424" s="87">
        <v>5.134E-4</v>
      </c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</row>
    <row r="425">
      <c r="A425" s="84" t="s">
        <v>4333</v>
      </c>
      <c r="B425" s="45"/>
      <c r="C425" s="84" t="s">
        <v>9174</v>
      </c>
      <c r="D425" s="45"/>
      <c r="E425" s="84" t="s">
        <v>6338</v>
      </c>
      <c r="F425" s="84" t="s">
        <v>6210</v>
      </c>
      <c r="G425" s="85" t="s">
        <v>96</v>
      </c>
      <c r="H425" s="87">
        <v>5.113E-4</v>
      </c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</row>
    <row r="426">
      <c r="A426" s="84" t="s">
        <v>5680</v>
      </c>
      <c r="B426" s="45"/>
      <c r="C426" s="84" t="s">
        <v>9156</v>
      </c>
      <c r="D426" s="45"/>
      <c r="E426" s="84" t="s">
        <v>5704</v>
      </c>
      <c r="F426" s="84" t="s">
        <v>5300</v>
      </c>
      <c r="G426" s="85" t="s">
        <v>96</v>
      </c>
      <c r="H426" s="87">
        <v>5.112E-4</v>
      </c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</row>
    <row r="427">
      <c r="A427" s="84" t="s">
        <v>9176</v>
      </c>
      <c r="B427" s="45"/>
      <c r="C427" s="84" t="s">
        <v>9177</v>
      </c>
      <c r="D427" s="45"/>
      <c r="E427" s="84" t="s">
        <v>5276</v>
      </c>
      <c r="F427" s="84" t="s">
        <v>5300</v>
      </c>
      <c r="G427" s="85" t="s">
        <v>96</v>
      </c>
      <c r="H427" s="87">
        <v>5.108E-4</v>
      </c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</row>
    <row r="428">
      <c r="A428" s="84" t="s">
        <v>9251</v>
      </c>
      <c r="B428" s="45"/>
      <c r="C428" s="84" t="s">
        <v>9252</v>
      </c>
      <c r="D428" s="45"/>
      <c r="E428" s="84" t="s">
        <v>5978</v>
      </c>
      <c r="F428" s="84" t="s">
        <v>6988</v>
      </c>
      <c r="G428" s="85" t="s">
        <v>96</v>
      </c>
      <c r="H428" s="87">
        <v>5.086E-4</v>
      </c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</row>
    <row r="429">
      <c r="A429" s="84" t="s">
        <v>9128</v>
      </c>
      <c r="B429" s="45"/>
      <c r="C429" s="84" t="s">
        <v>9129</v>
      </c>
      <c r="D429" s="45"/>
      <c r="E429" s="84" t="s">
        <v>5276</v>
      </c>
      <c r="F429" s="84" t="s">
        <v>5300</v>
      </c>
      <c r="G429" s="85" t="s">
        <v>96</v>
      </c>
      <c r="H429" s="87">
        <v>5.082E-4</v>
      </c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</row>
    <row r="430">
      <c r="A430" s="84" t="s">
        <v>4385</v>
      </c>
      <c r="B430" s="45"/>
      <c r="C430" s="84" t="s">
        <v>9180</v>
      </c>
      <c r="D430" s="45"/>
      <c r="E430" s="84" t="s">
        <v>5283</v>
      </c>
      <c r="F430" s="84" t="s">
        <v>5300</v>
      </c>
      <c r="G430" s="85" t="s">
        <v>96</v>
      </c>
      <c r="H430" s="87">
        <v>5.079E-4</v>
      </c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</row>
    <row r="431">
      <c r="A431" s="84" t="s">
        <v>9161</v>
      </c>
      <c r="B431" s="45"/>
      <c r="C431" s="84" t="s">
        <v>9162</v>
      </c>
      <c r="D431" s="45"/>
      <c r="E431" s="84" t="s">
        <v>5775</v>
      </c>
      <c r="F431" s="84" t="s">
        <v>5300</v>
      </c>
      <c r="G431" s="85" t="s">
        <v>96</v>
      </c>
      <c r="H431" s="87">
        <v>5.065E-4</v>
      </c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</row>
    <row r="432">
      <c r="A432" s="84" t="s">
        <v>9169</v>
      </c>
      <c r="B432" s="45"/>
      <c r="C432" s="84" t="s">
        <v>9170</v>
      </c>
      <c r="D432" s="45"/>
      <c r="E432" s="84" t="s">
        <v>5258</v>
      </c>
      <c r="F432" s="84" t="s">
        <v>5836</v>
      </c>
      <c r="G432" s="85" t="s">
        <v>96</v>
      </c>
      <c r="H432" s="87">
        <v>5.063E-4</v>
      </c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</row>
    <row r="433">
      <c r="A433" s="84" t="s">
        <v>11372</v>
      </c>
      <c r="B433" s="45"/>
      <c r="C433" s="84" t="s">
        <v>1890</v>
      </c>
      <c r="D433" s="45"/>
      <c r="E433" s="84" t="s">
        <v>5288</v>
      </c>
      <c r="F433" s="84" t="s">
        <v>4095</v>
      </c>
      <c r="G433" s="85" t="s">
        <v>96</v>
      </c>
      <c r="H433" s="87">
        <v>5.05E-4</v>
      </c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</row>
    <row r="434">
      <c r="A434" s="84" t="s">
        <v>4384</v>
      </c>
      <c r="B434" s="45"/>
      <c r="C434" s="84" t="s">
        <v>9166</v>
      </c>
      <c r="D434" s="45"/>
      <c r="E434" s="84" t="s">
        <v>7611</v>
      </c>
      <c r="F434" s="84" t="s">
        <v>5300</v>
      </c>
      <c r="G434" s="85" t="s">
        <v>96</v>
      </c>
      <c r="H434" s="87">
        <v>5.05E-4</v>
      </c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</row>
    <row r="435">
      <c r="A435" s="84" t="s">
        <v>11373</v>
      </c>
      <c r="B435" s="45"/>
      <c r="C435" s="84" t="s">
        <v>11374</v>
      </c>
      <c r="D435" s="45"/>
      <c r="E435" s="84" t="s">
        <v>5989</v>
      </c>
      <c r="F435" s="84" t="s">
        <v>9299</v>
      </c>
      <c r="G435" s="85" t="s">
        <v>96</v>
      </c>
      <c r="H435" s="87">
        <v>5.033E-4</v>
      </c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</row>
    <row r="436">
      <c r="A436" s="84" t="s">
        <v>4358</v>
      </c>
      <c r="B436" s="45"/>
      <c r="C436" s="84" t="s">
        <v>9151</v>
      </c>
      <c r="D436" s="45"/>
      <c r="E436" s="84" t="s">
        <v>5283</v>
      </c>
      <c r="F436" s="84" t="s">
        <v>5300</v>
      </c>
      <c r="G436" s="85" t="s">
        <v>96</v>
      </c>
      <c r="H436" s="87">
        <v>5.018E-4</v>
      </c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</row>
    <row r="437">
      <c r="A437" s="84" t="s">
        <v>4371</v>
      </c>
      <c r="B437" s="45"/>
      <c r="C437" s="84" t="s">
        <v>11375</v>
      </c>
      <c r="D437" s="45"/>
      <c r="E437" s="84" t="s">
        <v>5288</v>
      </c>
      <c r="F437" s="84" t="s">
        <v>5300</v>
      </c>
      <c r="G437" s="85" t="s">
        <v>96</v>
      </c>
      <c r="H437" s="87">
        <v>5.014E-4</v>
      </c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</row>
    <row r="438">
      <c r="A438" s="84" t="s">
        <v>4357</v>
      </c>
      <c r="B438" s="45"/>
      <c r="C438" s="84" t="s">
        <v>9187</v>
      </c>
      <c r="D438" s="45"/>
      <c r="E438" s="84" t="s">
        <v>5374</v>
      </c>
      <c r="F438" s="84" t="s">
        <v>5300</v>
      </c>
      <c r="G438" s="85" t="s">
        <v>96</v>
      </c>
      <c r="H438" s="87">
        <v>4.981E-4</v>
      </c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</row>
    <row r="439">
      <c r="A439" s="84" t="s">
        <v>6604</v>
      </c>
      <c r="B439" s="45"/>
      <c r="C439" s="84" t="s">
        <v>11376</v>
      </c>
      <c r="D439" s="45"/>
      <c r="E439" s="84" t="s">
        <v>5276</v>
      </c>
      <c r="F439" s="84" t="s">
        <v>5747</v>
      </c>
      <c r="G439" s="85" t="s">
        <v>96</v>
      </c>
      <c r="H439" s="87">
        <v>4.976E-4</v>
      </c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</row>
    <row r="440">
      <c r="A440" s="84" t="s">
        <v>4372</v>
      </c>
      <c r="B440" s="45"/>
      <c r="C440" s="84" t="s">
        <v>9178</v>
      </c>
      <c r="D440" s="45"/>
      <c r="E440" s="84" t="s">
        <v>7611</v>
      </c>
      <c r="F440" s="84" t="s">
        <v>5300</v>
      </c>
      <c r="G440" s="85" t="s">
        <v>96</v>
      </c>
      <c r="H440" s="87">
        <v>4.962E-4</v>
      </c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</row>
    <row r="441">
      <c r="A441" s="84" t="s">
        <v>9167</v>
      </c>
      <c r="B441" s="45"/>
      <c r="C441" s="84" t="s">
        <v>9168</v>
      </c>
      <c r="D441" s="45"/>
      <c r="E441" s="84" t="s">
        <v>5478</v>
      </c>
      <c r="F441" s="84" t="s">
        <v>6988</v>
      </c>
      <c r="G441" s="85" t="s">
        <v>96</v>
      </c>
      <c r="H441" s="87">
        <v>4.949E-4</v>
      </c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</row>
    <row r="442">
      <c r="A442" s="84" t="s">
        <v>11377</v>
      </c>
      <c r="B442" s="45"/>
      <c r="C442" s="84" t="s">
        <v>11378</v>
      </c>
      <c r="D442" s="45"/>
      <c r="E442" s="84" t="s">
        <v>6389</v>
      </c>
      <c r="F442" s="84" t="s">
        <v>8784</v>
      </c>
      <c r="G442" s="85" t="s">
        <v>96</v>
      </c>
      <c r="H442" s="87">
        <v>4.904E-4</v>
      </c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</row>
    <row r="443">
      <c r="A443" s="84" t="s">
        <v>4379</v>
      </c>
      <c r="B443" s="45"/>
      <c r="C443" s="84" t="s">
        <v>9171</v>
      </c>
      <c r="D443" s="45"/>
      <c r="E443" s="84" t="s">
        <v>6630</v>
      </c>
      <c r="F443" s="84" t="s">
        <v>5300</v>
      </c>
      <c r="G443" s="85" t="s">
        <v>96</v>
      </c>
      <c r="H443" s="87">
        <v>4.898E-4</v>
      </c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</row>
    <row r="444">
      <c r="A444" s="84" t="s">
        <v>4368</v>
      </c>
      <c r="B444" s="45"/>
      <c r="C444" s="84" t="s">
        <v>9185</v>
      </c>
      <c r="D444" s="45"/>
      <c r="E444" s="84" t="s">
        <v>5267</v>
      </c>
      <c r="F444" s="84" t="s">
        <v>5300</v>
      </c>
      <c r="G444" s="85" t="s">
        <v>96</v>
      </c>
      <c r="H444" s="87">
        <v>4.88E-4</v>
      </c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</row>
    <row r="445">
      <c r="A445" s="84" t="s">
        <v>4420</v>
      </c>
      <c r="B445" s="45"/>
      <c r="C445" s="84" t="s">
        <v>9243</v>
      </c>
      <c r="D445" s="45"/>
      <c r="E445" s="84" t="s">
        <v>5215</v>
      </c>
      <c r="F445" s="84" t="s">
        <v>5300</v>
      </c>
      <c r="G445" s="85" t="s">
        <v>96</v>
      </c>
      <c r="H445" s="87">
        <v>4.856E-4</v>
      </c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</row>
    <row r="446">
      <c r="A446" s="84" t="s">
        <v>4386</v>
      </c>
      <c r="B446" s="45"/>
      <c r="C446" s="84" t="s">
        <v>9173</v>
      </c>
      <c r="D446" s="45"/>
      <c r="E446" s="84" t="s">
        <v>5450</v>
      </c>
      <c r="F446" s="84" t="s">
        <v>5300</v>
      </c>
      <c r="G446" s="85" t="s">
        <v>96</v>
      </c>
      <c r="H446" s="87">
        <v>4.846E-4</v>
      </c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</row>
    <row r="447">
      <c r="A447" s="84" t="s">
        <v>4374</v>
      </c>
      <c r="B447" s="45"/>
      <c r="C447" s="84" t="s">
        <v>11379</v>
      </c>
      <c r="D447" s="45"/>
      <c r="E447" s="84" t="s">
        <v>6191</v>
      </c>
      <c r="F447" s="84" t="s">
        <v>5300</v>
      </c>
      <c r="G447" s="85" t="s">
        <v>96</v>
      </c>
      <c r="H447" s="87">
        <v>4.844E-4</v>
      </c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</row>
    <row r="448">
      <c r="A448" s="84" t="s">
        <v>11380</v>
      </c>
      <c r="B448" s="45"/>
      <c r="C448" s="84" t="s">
        <v>11381</v>
      </c>
      <c r="D448" s="45"/>
      <c r="E448" s="84" t="s">
        <v>6083</v>
      </c>
      <c r="F448" s="84" t="s">
        <v>8784</v>
      </c>
      <c r="G448" s="85" t="s">
        <v>96</v>
      </c>
      <c r="H448" s="87">
        <v>4.844E-4</v>
      </c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</row>
    <row r="449">
      <c r="A449" s="84" t="s">
        <v>11382</v>
      </c>
      <c r="B449" s="45"/>
      <c r="C449" s="84" t="s">
        <v>11383</v>
      </c>
      <c r="D449" s="45"/>
      <c r="E449" s="84" t="s">
        <v>5404</v>
      </c>
      <c r="F449" s="84" t="s">
        <v>8784</v>
      </c>
      <c r="G449" s="85" t="s">
        <v>96</v>
      </c>
      <c r="H449" s="87">
        <v>4.835E-4</v>
      </c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</row>
    <row r="450">
      <c r="A450" s="84" t="s">
        <v>4416</v>
      </c>
      <c r="B450" s="45"/>
      <c r="C450" s="84" t="s">
        <v>9184</v>
      </c>
      <c r="D450" s="45"/>
      <c r="E450" s="84" t="s">
        <v>5467</v>
      </c>
      <c r="F450" s="84" t="s">
        <v>5300</v>
      </c>
      <c r="G450" s="85" t="s">
        <v>96</v>
      </c>
      <c r="H450" s="87">
        <v>4.82E-4</v>
      </c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</row>
    <row r="451">
      <c r="A451" s="84" t="s">
        <v>9205</v>
      </c>
      <c r="B451" s="45"/>
      <c r="C451" s="84" t="s">
        <v>9206</v>
      </c>
      <c r="D451" s="45"/>
      <c r="E451" s="84" t="s">
        <v>6275</v>
      </c>
      <c r="F451" s="84" t="s">
        <v>8784</v>
      </c>
      <c r="G451" s="85" t="s">
        <v>96</v>
      </c>
      <c r="H451" s="87">
        <v>4.81E-4</v>
      </c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</row>
    <row r="452">
      <c r="A452" s="84" t="s">
        <v>9182</v>
      </c>
      <c r="B452" s="45"/>
      <c r="C452" s="84" t="s">
        <v>9183</v>
      </c>
      <c r="D452" s="45"/>
      <c r="E452" s="84" t="s">
        <v>5478</v>
      </c>
      <c r="F452" s="84" t="s">
        <v>8767</v>
      </c>
      <c r="G452" s="85" t="s">
        <v>96</v>
      </c>
      <c r="H452" s="87">
        <v>4.81E-4</v>
      </c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</row>
    <row r="453">
      <c r="A453" s="84" t="s">
        <v>9197</v>
      </c>
      <c r="B453" s="45"/>
      <c r="C453" s="84" t="s">
        <v>9198</v>
      </c>
      <c r="D453" s="45"/>
      <c r="E453" s="84" t="s">
        <v>5215</v>
      </c>
      <c r="F453" s="84" t="s">
        <v>5941</v>
      </c>
      <c r="G453" s="85" t="s">
        <v>96</v>
      </c>
      <c r="H453" s="87">
        <v>4.801E-4</v>
      </c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</row>
    <row r="454">
      <c r="A454" s="84" t="s">
        <v>11384</v>
      </c>
      <c r="B454" s="45"/>
      <c r="C454" s="84" t="s">
        <v>1839</v>
      </c>
      <c r="D454" s="45"/>
      <c r="E454" s="84" t="s">
        <v>5288</v>
      </c>
      <c r="F454" s="84" t="s">
        <v>4095</v>
      </c>
      <c r="G454" s="85" t="s">
        <v>96</v>
      </c>
      <c r="H454" s="87">
        <v>4.787E-4</v>
      </c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</row>
    <row r="455">
      <c r="A455" s="84" t="s">
        <v>9192</v>
      </c>
      <c r="B455" s="45"/>
      <c r="C455" s="84" t="s">
        <v>9193</v>
      </c>
      <c r="D455" s="45"/>
      <c r="E455" s="84" t="s">
        <v>6514</v>
      </c>
      <c r="F455" s="84" t="s">
        <v>8767</v>
      </c>
      <c r="G455" s="85" t="s">
        <v>96</v>
      </c>
      <c r="H455" s="87">
        <v>4.769E-4</v>
      </c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</row>
    <row r="456">
      <c r="A456" s="84" t="s">
        <v>9203</v>
      </c>
      <c r="B456" s="45"/>
      <c r="C456" s="84" t="s">
        <v>9204</v>
      </c>
      <c r="D456" s="45"/>
      <c r="E456" s="84" t="s">
        <v>5276</v>
      </c>
      <c r="F456" s="84" t="s">
        <v>5300</v>
      </c>
      <c r="G456" s="85" t="s">
        <v>96</v>
      </c>
      <c r="H456" s="87">
        <v>4.766E-4</v>
      </c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</row>
    <row r="457">
      <c r="A457" s="84" t="s">
        <v>4387</v>
      </c>
      <c r="B457" s="45"/>
      <c r="C457" s="84" t="s">
        <v>9217</v>
      </c>
      <c r="D457" s="45"/>
      <c r="E457" s="84" t="s">
        <v>5961</v>
      </c>
      <c r="F457" s="84" t="s">
        <v>5300</v>
      </c>
      <c r="G457" s="85" t="s">
        <v>96</v>
      </c>
      <c r="H457" s="87">
        <v>4.76E-4</v>
      </c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</row>
    <row r="458">
      <c r="A458" s="84" t="s">
        <v>4412</v>
      </c>
      <c r="B458" s="45"/>
      <c r="C458" s="84" t="s">
        <v>11385</v>
      </c>
      <c r="D458" s="45"/>
      <c r="E458" s="84" t="s">
        <v>10231</v>
      </c>
      <c r="F458" s="84" t="s">
        <v>5300</v>
      </c>
      <c r="G458" s="85" t="s">
        <v>96</v>
      </c>
      <c r="H458" s="87">
        <v>4.76E-4</v>
      </c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</row>
    <row r="459">
      <c r="A459" s="84" t="s">
        <v>4365</v>
      </c>
      <c r="B459" s="45"/>
      <c r="C459" s="84" t="s">
        <v>11386</v>
      </c>
      <c r="D459" s="45"/>
      <c r="E459" s="84" t="s">
        <v>6389</v>
      </c>
      <c r="F459" s="84" t="s">
        <v>5300</v>
      </c>
      <c r="G459" s="85" t="s">
        <v>96</v>
      </c>
      <c r="H459" s="87">
        <v>4.759E-4</v>
      </c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</row>
    <row r="460">
      <c r="A460" s="84" t="s">
        <v>4354</v>
      </c>
      <c r="B460" s="45"/>
      <c r="C460" s="84" t="s">
        <v>9216</v>
      </c>
      <c r="D460" s="45"/>
      <c r="E460" s="84" t="s">
        <v>5467</v>
      </c>
      <c r="F460" s="84" t="s">
        <v>5300</v>
      </c>
      <c r="G460" s="85" t="s">
        <v>96</v>
      </c>
      <c r="H460" s="87">
        <v>4.751E-4</v>
      </c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</row>
    <row r="461">
      <c r="A461" s="84" t="s">
        <v>4366</v>
      </c>
      <c r="B461" s="45"/>
      <c r="C461" s="84" t="s">
        <v>9196</v>
      </c>
      <c r="D461" s="45"/>
      <c r="E461" s="84" t="s">
        <v>6130</v>
      </c>
      <c r="F461" s="84" t="s">
        <v>5300</v>
      </c>
      <c r="G461" s="85" t="s">
        <v>96</v>
      </c>
      <c r="H461" s="87">
        <v>4.751E-4</v>
      </c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</row>
    <row r="462">
      <c r="A462" s="84" t="s">
        <v>11387</v>
      </c>
      <c r="B462" s="45"/>
      <c r="C462" s="84" t="s">
        <v>11388</v>
      </c>
      <c r="D462" s="45"/>
      <c r="E462" s="84" t="s">
        <v>5989</v>
      </c>
      <c r="F462" s="84" t="s">
        <v>5836</v>
      </c>
      <c r="G462" s="85" t="s">
        <v>96</v>
      </c>
      <c r="H462" s="87">
        <v>4.748E-4</v>
      </c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</row>
    <row r="463">
      <c r="A463" s="84" t="s">
        <v>9212</v>
      </c>
      <c r="B463" s="45"/>
      <c r="C463" s="84" t="s">
        <v>9213</v>
      </c>
      <c r="D463" s="45"/>
      <c r="E463" s="84" t="s">
        <v>5855</v>
      </c>
      <c r="F463" s="84" t="s">
        <v>5747</v>
      </c>
      <c r="G463" s="85" t="s">
        <v>96</v>
      </c>
      <c r="H463" s="87">
        <v>4.742E-4</v>
      </c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</row>
    <row r="464">
      <c r="A464" s="84" t="s">
        <v>9199</v>
      </c>
      <c r="B464" s="45"/>
      <c r="C464" s="84" t="s">
        <v>9200</v>
      </c>
      <c r="D464" s="45"/>
      <c r="E464" s="84" t="s">
        <v>5218</v>
      </c>
      <c r="F464" s="84" t="s">
        <v>8784</v>
      </c>
      <c r="G464" s="85" t="s">
        <v>96</v>
      </c>
      <c r="H464" s="87">
        <v>4.732E-4</v>
      </c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</row>
    <row r="465">
      <c r="A465" s="84" t="s">
        <v>9190</v>
      </c>
      <c r="B465" s="45"/>
      <c r="C465" s="84" t="s">
        <v>9191</v>
      </c>
      <c r="D465" s="45"/>
      <c r="E465" s="84" t="s">
        <v>5276</v>
      </c>
      <c r="F465" s="84" t="s">
        <v>5300</v>
      </c>
      <c r="G465" s="85" t="s">
        <v>96</v>
      </c>
      <c r="H465" s="87">
        <v>4.724E-4</v>
      </c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</row>
    <row r="466">
      <c r="A466" s="84" t="s">
        <v>9194</v>
      </c>
      <c r="B466" s="45"/>
      <c r="C466" s="84" t="s">
        <v>9195</v>
      </c>
      <c r="D466" s="45"/>
      <c r="E466" s="84" t="s">
        <v>5215</v>
      </c>
      <c r="F466" s="84" t="s">
        <v>5836</v>
      </c>
      <c r="G466" s="85" t="s">
        <v>96</v>
      </c>
      <c r="H466" s="87">
        <v>4.72E-4</v>
      </c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</row>
    <row r="467">
      <c r="A467" s="84" t="s">
        <v>4363</v>
      </c>
      <c r="B467" s="45"/>
      <c r="C467" s="84" t="s">
        <v>9186</v>
      </c>
      <c r="D467" s="45"/>
      <c r="E467" s="84" t="s">
        <v>5434</v>
      </c>
      <c r="F467" s="84" t="s">
        <v>5300</v>
      </c>
      <c r="G467" s="85" t="s">
        <v>96</v>
      </c>
      <c r="H467" s="87">
        <v>4.681E-4</v>
      </c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</row>
    <row r="468">
      <c r="A468" s="84" t="s">
        <v>9214</v>
      </c>
      <c r="B468" s="45"/>
      <c r="C468" s="84" t="s">
        <v>9215</v>
      </c>
      <c r="D468" s="45"/>
      <c r="E468" s="84" t="s">
        <v>5218</v>
      </c>
      <c r="F468" s="84" t="s">
        <v>5300</v>
      </c>
      <c r="G468" s="85" t="s">
        <v>96</v>
      </c>
      <c r="H468" s="87">
        <v>4.667E-4</v>
      </c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</row>
    <row r="469">
      <c r="A469" s="84" t="s">
        <v>4324</v>
      </c>
      <c r="B469" s="45"/>
      <c r="C469" s="84" t="s">
        <v>9148</v>
      </c>
      <c r="D469" s="45"/>
      <c r="E469" s="84" t="s">
        <v>6040</v>
      </c>
      <c r="F469" s="84" t="s">
        <v>5300</v>
      </c>
      <c r="G469" s="85" t="s">
        <v>96</v>
      </c>
      <c r="H469" s="87">
        <v>4.649E-4</v>
      </c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</row>
    <row r="470">
      <c r="A470" s="84" t="s">
        <v>4303</v>
      </c>
      <c r="B470" s="45"/>
      <c r="C470" s="84" t="s">
        <v>11389</v>
      </c>
      <c r="D470" s="45"/>
      <c r="E470" s="84" t="s">
        <v>6191</v>
      </c>
      <c r="F470" s="84" t="s">
        <v>5300</v>
      </c>
      <c r="G470" s="85" t="s">
        <v>96</v>
      </c>
      <c r="H470" s="87">
        <v>4.643E-4</v>
      </c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</row>
    <row r="471">
      <c r="A471" s="84" t="s">
        <v>4375</v>
      </c>
      <c r="B471" s="45"/>
      <c r="C471" s="84" t="s">
        <v>9211</v>
      </c>
      <c r="D471" s="45"/>
      <c r="E471" s="84" t="s">
        <v>5321</v>
      </c>
      <c r="F471" s="84" t="s">
        <v>5300</v>
      </c>
      <c r="G471" s="85" t="s">
        <v>96</v>
      </c>
      <c r="H471" s="87">
        <v>4.626E-4</v>
      </c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</row>
    <row r="472">
      <c r="A472" s="84" t="s">
        <v>4392</v>
      </c>
      <c r="B472" s="45"/>
      <c r="C472" s="84" t="s">
        <v>9235</v>
      </c>
      <c r="D472" s="45"/>
      <c r="E472" s="84" t="s">
        <v>5348</v>
      </c>
      <c r="F472" s="84" t="s">
        <v>5300</v>
      </c>
      <c r="G472" s="85" t="s">
        <v>96</v>
      </c>
      <c r="H472" s="87">
        <v>4.561E-4</v>
      </c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</row>
    <row r="473">
      <c r="A473" s="84" t="s">
        <v>4377</v>
      </c>
      <c r="B473" s="45"/>
      <c r="C473" s="84" t="s">
        <v>9234</v>
      </c>
      <c r="D473" s="45"/>
      <c r="E473" s="84" t="s">
        <v>6012</v>
      </c>
      <c r="F473" s="84" t="s">
        <v>6988</v>
      </c>
      <c r="G473" s="85" t="s">
        <v>96</v>
      </c>
      <c r="H473" s="87">
        <v>4.553E-4</v>
      </c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</row>
    <row r="474">
      <c r="A474" s="84" t="s">
        <v>11390</v>
      </c>
      <c r="B474" s="45"/>
      <c r="C474" s="84" t="s">
        <v>11391</v>
      </c>
      <c r="D474" s="45"/>
      <c r="E474" s="84" t="s">
        <v>5422</v>
      </c>
      <c r="F474" s="84" t="s">
        <v>8784</v>
      </c>
      <c r="G474" s="85" t="s">
        <v>96</v>
      </c>
      <c r="H474" s="87">
        <v>4.541E-4</v>
      </c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</row>
    <row r="475">
      <c r="A475" s="84" t="s">
        <v>9201</v>
      </c>
      <c r="B475" s="45"/>
      <c r="C475" s="84" t="s">
        <v>9202</v>
      </c>
      <c r="D475" s="45"/>
      <c r="E475" s="84" t="s">
        <v>5261</v>
      </c>
      <c r="F475" s="84" t="s">
        <v>5836</v>
      </c>
      <c r="G475" s="85" t="s">
        <v>96</v>
      </c>
      <c r="H475" s="87">
        <v>4.537E-4</v>
      </c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</row>
    <row r="476">
      <c r="A476" s="84" t="s">
        <v>11392</v>
      </c>
      <c r="B476" s="45"/>
      <c r="C476" s="84" t="s">
        <v>11393</v>
      </c>
      <c r="D476" s="45"/>
      <c r="E476" s="84" t="s">
        <v>6110</v>
      </c>
      <c r="F476" s="84" t="s">
        <v>6988</v>
      </c>
      <c r="G476" s="85" t="s">
        <v>96</v>
      </c>
      <c r="H476" s="87">
        <v>4.506E-4</v>
      </c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</row>
    <row r="477">
      <c r="A477" s="84" t="s">
        <v>4404</v>
      </c>
      <c r="B477" s="45"/>
      <c r="C477" s="84" t="s">
        <v>9227</v>
      </c>
      <c r="D477" s="45"/>
      <c r="E477" s="84" t="s">
        <v>5964</v>
      </c>
      <c r="F477" s="84" t="s">
        <v>5300</v>
      </c>
      <c r="G477" s="85" t="s">
        <v>96</v>
      </c>
      <c r="H477" s="87">
        <v>4.506E-4</v>
      </c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</row>
    <row r="478">
      <c r="A478" s="84" t="s">
        <v>9232</v>
      </c>
      <c r="B478" s="45"/>
      <c r="C478" s="84" t="s">
        <v>9233</v>
      </c>
      <c r="D478" s="45"/>
      <c r="E478" s="84" t="s">
        <v>5450</v>
      </c>
      <c r="F478" s="84" t="s">
        <v>8759</v>
      </c>
      <c r="G478" s="85" t="s">
        <v>96</v>
      </c>
      <c r="H478" s="87">
        <v>4.497E-4</v>
      </c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</row>
    <row r="479">
      <c r="A479" s="84" t="s">
        <v>4361</v>
      </c>
      <c r="B479" s="45"/>
      <c r="C479" s="84" t="s">
        <v>9222</v>
      </c>
      <c r="D479" s="45"/>
      <c r="E479" s="84" t="s">
        <v>5811</v>
      </c>
      <c r="F479" s="84" t="s">
        <v>5300</v>
      </c>
      <c r="G479" s="85" t="s">
        <v>96</v>
      </c>
      <c r="H479" s="87">
        <v>4.474E-4</v>
      </c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</row>
    <row r="480">
      <c r="A480" s="84" t="s">
        <v>4401</v>
      </c>
      <c r="B480" s="45"/>
      <c r="C480" s="84" t="s">
        <v>9237</v>
      </c>
      <c r="D480" s="45"/>
      <c r="E480" s="84" t="s">
        <v>5431</v>
      </c>
      <c r="F480" s="84" t="s">
        <v>9212</v>
      </c>
      <c r="G480" s="85" t="s">
        <v>96</v>
      </c>
      <c r="H480" s="87">
        <v>4.469E-4</v>
      </c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</row>
    <row r="481">
      <c r="A481" s="84" t="s">
        <v>9219</v>
      </c>
      <c r="B481" s="45"/>
      <c r="C481" s="84" t="s">
        <v>9220</v>
      </c>
      <c r="D481" s="45"/>
      <c r="E481" s="84" t="s">
        <v>9221</v>
      </c>
      <c r="F481" s="84" t="s">
        <v>8784</v>
      </c>
      <c r="G481" s="85" t="s">
        <v>96</v>
      </c>
      <c r="H481" s="87">
        <v>4.446E-4</v>
      </c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</row>
    <row r="482">
      <c r="A482" s="84" t="s">
        <v>4436</v>
      </c>
      <c r="B482" s="45"/>
      <c r="C482" s="84" t="s">
        <v>11394</v>
      </c>
      <c r="D482" s="45"/>
      <c r="E482" s="84" t="s">
        <v>6191</v>
      </c>
      <c r="F482" s="84" t="s">
        <v>5300</v>
      </c>
      <c r="G482" s="85" t="s">
        <v>96</v>
      </c>
      <c r="H482" s="87">
        <v>4.441E-4</v>
      </c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</row>
    <row r="483">
      <c r="A483" s="84" t="s">
        <v>9224</v>
      </c>
      <c r="B483" s="45"/>
      <c r="C483" s="84" t="s">
        <v>9225</v>
      </c>
      <c r="D483" s="45"/>
      <c r="E483" s="84" t="s">
        <v>5742</v>
      </c>
      <c r="F483" s="84" t="s">
        <v>8784</v>
      </c>
      <c r="G483" s="85" t="s">
        <v>96</v>
      </c>
      <c r="H483" s="87">
        <v>4.429E-4</v>
      </c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</row>
    <row r="484">
      <c r="A484" s="84" t="s">
        <v>4396</v>
      </c>
      <c r="B484" s="45"/>
      <c r="C484" s="84" t="s">
        <v>9262</v>
      </c>
      <c r="D484" s="45"/>
      <c r="E484" s="84" t="s">
        <v>5395</v>
      </c>
      <c r="F484" s="84" t="s">
        <v>5300</v>
      </c>
      <c r="G484" s="85" t="s">
        <v>96</v>
      </c>
      <c r="H484" s="87">
        <v>4.414E-4</v>
      </c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</row>
    <row r="485">
      <c r="A485" s="84" t="s">
        <v>4433</v>
      </c>
      <c r="B485" s="45"/>
      <c r="C485" s="84" t="s">
        <v>9218</v>
      </c>
      <c r="D485" s="45"/>
      <c r="E485" s="84" t="s">
        <v>5366</v>
      </c>
      <c r="F485" s="84" t="s">
        <v>5300</v>
      </c>
      <c r="G485" s="85" t="s">
        <v>96</v>
      </c>
      <c r="H485" s="87">
        <v>4.408E-4</v>
      </c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</row>
    <row r="486">
      <c r="A486" s="84" t="s">
        <v>4418</v>
      </c>
      <c r="B486" s="45"/>
      <c r="C486" s="84" t="s">
        <v>9226</v>
      </c>
      <c r="D486" s="45"/>
      <c r="E486" s="84" t="s">
        <v>5650</v>
      </c>
      <c r="F486" s="84" t="s">
        <v>5300</v>
      </c>
      <c r="G486" s="85" t="s">
        <v>96</v>
      </c>
      <c r="H486" s="87">
        <v>4.408E-4</v>
      </c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</row>
    <row r="487">
      <c r="A487" s="84" t="s">
        <v>9244</v>
      </c>
      <c r="B487" s="45"/>
      <c r="C487" s="84" t="s">
        <v>9245</v>
      </c>
      <c r="D487" s="45"/>
      <c r="E487" s="84" t="s">
        <v>5450</v>
      </c>
      <c r="F487" s="84" t="s">
        <v>5425</v>
      </c>
      <c r="G487" s="85" t="s">
        <v>96</v>
      </c>
      <c r="H487" s="87">
        <v>4.377E-4</v>
      </c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</row>
    <row r="488">
      <c r="A488" s="84" t="s">
        <v>25</v>
      </c>
      <c r="B488" s="45"/>
      <c r="C488" s="84" t="s">
        <v>11395</v>
      </c>
      <c r="D488" s="45"/>
      <c r="E488" s="84" t="s">
        <v>5226</v>
      </c>
      <c r="F488" s="84" t="s">
        <v>5300</v>
      </c>
      <c r="G488" s="85" t="s">
        <v>96</v>
      </c>
      <c r="H488" s="87">
        <v>4.371E-4</v>
      </c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</row>
    <row r="489">
      <c r="A489" s="84" t="s">
        <v>9120</v>
      </c>
      <c r="B489" s="45"/>
      <c r="C489" s="84" t="s">
        <v>9121</v>
      </c>
      <c r="D489" s="45"/>
      <c r="E489" s="84" t="s">
        <v>5855</v>
      </c>
      <c r="F489" s="84" t="s">
        <v>8784</v>
      </c>
      <c r="G489" s="85" t="s">
        <v>96</v>
      </c>
      <c r="H489" s="87">
        <v>4.365E-4</v>
      </c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</row>
    <row r="490">
      <c r="A490" s="84" t="s">
        <v>4399</v>
      </c>
      <c r="B490" s="45"/>
      <c r="C490" s="84" t="s">
        <v>11396</v>
      </c>
      <c r="D490" s="45"/>
      <c r="E490" s="84" t="s">
        <v>11397</v>
      </c>
      <c r="F490" s="84" t="s">
        <v>5300</v>
      </c>
      <c r="G490" s="85" t="s">
        <v>96</v>
      </c>
      <c r="H490" s="87">
        <v>4.352E-4</v>
      </c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</row>
    <row r="491">
      <c r="A491" s="84" t="s">
        <v>4406</v>
      </c>
      <c r="B491" s="45"/>
      <c r="C491" s="84" t="s">
        <v>9228</v>
      </c>
      <c r="D491" s="45"/>
      <c r="E491" s="84" t="s">
        <v>5407</v>
      </c>
      <c r="F491" s="84" t="s">
        <v>5300</v>
      </c>
      <c r="G491" s="85" t="s">
        <v>96</v>
      </c>
      <c r="H491" s="87">
        <v>4.346E-4</v>
      </c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</row>
    <row r="492">
      <c r="A492" s="84" t="s">
        <v>4421</v>
      </c>
      <c r="B492" s="45"/>
      <c r="C492" s="84" t="s">
        <v>9223</v>
      </c>
      <c r="D492" s="45"/>
      <c r="E492" s="84" t="s">
        <v>5450</v>
      </c>
      <c r="F492" s="84" t="s">
        <v>5300</v>
      </c>
      <c r="G492" s="85" t="s">
        <v>96</v>
      </c>
      <c r="H492" s="87">
        <v>4.333E-4</v>
      </c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</row>
    <row r="493">
      <c r="A493" s="84" t="s">
        <v>11398</v>
      </c>
      <c r="B493" s="45"/>
      <c r="C493" s="84" t="s">
        <v>11399</v>
      </c>
      <c r="D493" s="45"/>
      <c r="E493" s="84" t="s">
        <v>5404</v>
      </c>
      <c r="F493" s="84" t="s">
        <v>8784</v>
      </c>
      <c r="G493" s="85" t="s">
        <v>96</v>
      </c>
      <c r="H493" s="87">
        <v>4.33E-4</v>
      </c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</row>
    <row r="494">
      <c r="A494" s="84" t="s">
        <v>4406</v>
      </c>
      <c r="B494" s="45"/>
      <c r="C494" s="84" t="s">
        <v>9259</v>
      </c>
      <c r="D494" s="45"/>
      <c r="E494" s="84" t="s">
        <v>5238</v>
      </c>
      <c r="F494" s="84" t="s">
        <v>5425</v>
      </c>
      <c r="G494" s="85" t="s">
        <v>96</v>
      </c>
      <c r="H494" s="87">
        <v>4.314E-4</v>
      </c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</row>
    <row r="495">
      <c r="A495" s="84" t="s">
        <v>9238</v>
      </c>
      <c r="B495" s="45"/>
      <c r="C495" s="84" t="s">
        <v>9239</v>
      </c>
      <c r="D495" s="45"/>
      <c r="E495" s="84" t="s">
        <v>5258</v>
      </c>
      <c r="F495" s="84" t="s">
        <v>5836</v>
      </c>
      <c r="G495" s="85" t="s">
        <v>96</v>
      </c>
      <c r="H495" s="87">
        <v>4.298E-4</v>
      </c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</row>
    <row r="496">
      <c r="A496" s="84" t="s">
        <v>9241</v>
      </c>
      <c r="B496" s="45"/>
      <c r="C496" s="84" t="s">
        <v>9242</v>
      </c>
      <c r="D496" s="45"/>
      <c r="E496" s="84" t="s">
        <v>5267</v>
      </c>
      <c r="F496" s="84" t="s">
        <v>9021</v>
      </c>
      <c r="G496" s="85" t="s">
        <v>96</v>
      </c>
      <c r="H496" s="87">
        <v>4.273E-4</v>
      </c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</row>
    <row r="497">
      <c r="A497" s="84" t="s">
        <v>4398</v>
      </c>
      <c r="B497" s="45"/>
      <c r="C497" s="84" t="s">
        <v>9240</v>
      </c>
      <c r="D497" s="45"/>
      <c r="E497" s="84" t="s">
        <v>5218</v>
      </c>
      <c r="F497" s="84" t="s">
        <v>5300</v>
      </c>
      <c r="G497" s="85" t="s">
        <v>96</v>
      </c>
      <c r="H497" s="87">
        <v>4.269E-4</v>
      </c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</row>
    <row r="498">
      <c r="A498" s="84" t="s">
        <v>9021</v>
      </c>
      <c r="B498" s="45"/>
      <c r="C498" s="84" t="s">
        <v>11400</v>
      </c>
      <c r="D498" s="45"/>
      <c r="E498" s="84" t="s">
        <v>5326</v>
      </c>
      <c r="F498" s="84" t="s">
        <v>5927</v>
      </c>
      <c r="G498" s="85" t="s">
        <v>96</v>
      </c>
      <c r="H498" s="87">
        <v>4.269E-4</v>
      </c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</row>
    <row r="499">
      <c r="A499" s="84" t="s">
        <v>4388</v>
      </c>
      <c r="B499" s="45"/>
      <c r="C499" s="84" t="s">
        <v>9268</v>
      </c>
      <c r="D499" s="45"/>
      <c r="E499" s="84" t="s">
        <v>5759</v>
      </c>
      <c r="F499" s="84" t="s">
        <v>5300</v>
      </c>
      <c r="G499" s="85" t="s">
        <v>96</v>
      </c>
      <c r="H499" s="87">
        <v>4.252E-4</v>
      </c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</row>
    <row r="500">
      <c r="A500" s="84" t="s">
        <v>4431</v>
      </c>
      <c r="B500" s="45"/>
      <c r="C500" s="84" t="s">
        <v>9229</v>
      </c>
      <c r="D500" s="45"/>
      <c r="E500" s="84" t="s">
        <v>5321</v>
      </c>
      <c r="F500" s="84" t="s">
        <v>5300</v>
      </c>
      <c r="G500" s="85" t="s">
        <v>96</v>
      </c>
      <c r="H500" s="87">
        <v>4.222E-4</v>
      </c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</row>
    <row r="501">
      <c r="A501" s="84" t="s">
        <v>4426</v>
      </c>
      <c r="B501" s="45"/>
      <c r="C501" s="84" t="s">
        <v>9236</v>
      </c>
      <c r="D501" s="45"/>
      <c r="E501" s="84" t="s">
        <v>5215</v>
      </c>
      <c r="F501" s="84" t="s">
        <v>5300</v>
      </c>
      <c r="G501" s="85" t="s">
        <v>96</v>
      </c>
      <c r="H501" s="87">
        <v>4.201E-4</v>
      </c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</row>
    <row r="502">
      <c r="A502" s="84" t="s">
        <v>11401</v>
      </c>
      <c r="B502" s="45"/>
      <c r="C502" s="84" t="s">
        <v>11402</v>
      </c>
      <c r="D502" s="45"/>
      <c r="E502" s="84" t="s">
        <v>5978</v>
      </c>
      <c r="F502" s="84" t="s">
        <v>4095</v>
      </c>
      <c r="G502" s="85" t="s">
        <v>96</v>
      </c>
      <c r="H502" s="87">
        <v>4.186E-4</v>
      </c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</row>
    <row r="503">
      <c r="A503" s="84" t="s">
        <v>9230</v>
      </c>
      <c r="B503" s="45"/>
      <c r="C503" s="84" t="s">
        <v>9231</v>
      </c>
      <c r="D503" s="45"/>
      <c r="E503" s="84" t="s">
        <v>5478</v>
      </c>
      <c r="F503" s="84" t="s">
        <v>5300</v>
      </c>
      <c r="G503" s="85" t="s">
        <v>96</v>
      </c>
      <c r="H503" s="87">
        <v>4.182E-4</v>
      </c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</row>
    <row r="504">
      <c r="A504" s="84" t="s">
        <v>9265</v>
      </c>
      <c r="B504" s="45"/>
      <c r="C504" s="84" t="s">
        <v>9266</v>
      </c>
      <c r="D504" s="45"/>
      <c r="E504" s="84" t="s">
        <v>5215</v>
      </c>
      <c r="F504" s="84" t="s">
        <v>5425</v>
      </c>
      <c r="G504" s="85" t="s">
        <v>96</v>
      </c>
      <c r="H504" s="87">
        <v>4.152E-4</v>
      </c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</row>
    <row r="505">
      <c r="A505" s="84" t="s">
        <v>11403</v>
      </c>
      <c r="B505" s="45"/>
      <c r="C505" s="84" t="s">
        <v>11404</v>
      </c>
      <c r="D505" s="45"/>
      <c r="E505" s="84" t="s">
        <v>6191</v>
      </c>
      <c r="F505" s="84" t="s">
        <v>5425</v>
      </c>
      <c r="G505" s="85" t="s">
        <v>96</v>
      </c>
      <c r="H505" s="87">
        <v>4.149E-4</v>
      </c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</row>
    <row r="506">
      <c r="A506" s="84" t="s">
        <v>4394</v>
      </c>
      <c r="B506" s="45"/>
      <c r="C506" s="84" t="s">
        <v>9269</v>
      </c>
      <c r="D506" s="45"/>
      <c r="E506" s="84" t="s">
        <v>7846</v>
      </c>
      <c r="F506" s="84" t="s">
        <v>5300</v>
      </c>
      <c r="G506" s="85" t="s">
        <v>96</v>
      </c>
      <c r="H506" s="87">
        <v>4.079E-4</v>
      </c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</row>
    <row r="507">
      <c r="A507" s="84" t="s">
        <v>9246</v>
      </c>
      <c r="B507" s="45"/>
      <c r="C507" s="84" t="s">
        <v>9247</v>
      </c>
      <c r="D507" s="45"/>
      <c r="E507" s="84" t="s">
        <v>5650</v>
      </c>
      <c r="F507" s="84" t="s">
        <v>8784</v>
      </c>
      <c r="G507" s="85" t="s">
        <v>96</v>
      </c>
      <c r="H507" s="87">
        <v>4.071E-4</v>
      </c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</row>
    <row r="508">
      <c r="A508" s="84" t="s">
        <v>9288</v>
      </c>
      <c r="B508" s="45"/>
      <c r="C508" s="84" t="s">
        <v>9289</v>
      </c>
      <c r="D508" s="45"/>
      <c r="E508" s="84" t="s">
        <v>7260</v>
      </c>
      <c r="F508" s="84" t="s">
        <v>5836</v>
      </c>
      <c r="G508" s="85" t="s">
        <v>96</v>
      </c>
      <c r="H508" s="87">
        <v>4.069E-4</v>
      </c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</row>
    <row r="509">
      <c r="A509" s="84" t="s">
        <v>11405</v>
      </c>
      <c r="B509" s="45"/>
      <c r="C509" s="84" t="s">
        <v>11406</v>
      </c>
      <c r="D509" s="45"/>
      <c r="E509" s="84" t="s">
        <v>5296</v>
      </c>
      <c r="F509" s="84" t="s">
        <v>8784</v>
      </c>
      <c r="G509" s="85" t="s">
        <v>96</v>
      </c>
      <c r="H509" s="87">
        <v>4.048E-4</v>
      </c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</row>
    <row r="510">
      <c r="A510" s="84" t="s">
        <v>9253</v>
      </c>
      <c r="B510" s="45"/>
      <c r="C510" s="84" t="s">
        <v>9254</v>
      </c>
      <c r="D510" s="45"/>
      <c r="E510" s="84" t="s">
        <v>7098</v>
      </c>
      <c r="F510" s="84" t="s">
        <v>8784</v>
      </c>
      <c r="G510" s="85" t="s">
        <v>96</v>
      </c>
      <c r="H510" s="87">
        <v>4.046E-4</v>
      </c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</row>
    <row r="511">
      <c r="A511" s="84" t="s">
        <v>4030</v>
      </c>
      <c r="B511" s="45"/>
      <c r="C511" s="84" t="s">
        <v>9267</v>
      </c>
      <c r="D511" s="45"/>
      <c r="E511" s="84" t="s">
        <v>5218</v>
      </c>
      <c r="F511" s="84" t="s">
        <v>4095</v>
      </c>
      <c r="G511" s="85" t="s">
        <v>96</v>
      </c>
      <c r="H511" s="87">
        <v>4.036E-4</v>
      </c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</row>
    <row r="512">
      <c r="A512" s="84" t="s">
        <v>4422</v>
      </c>
      <c r="B512" s="45"/>
      <c r="C512" s="84" t="s">
        <v>9250</v>
      </c>
      <c r="D512" s="45"/>
      <c r="E512" s="84" t="s">
        <v>8851</v>
      </c>
      <c r="F512" s="84" t="s">
        <v>5300</v>
      </c>
      <c r="G512" s="85" t="s">
        <v>96</v>
      </c>
      <c r="H512" s="87">
        <v>4.036E-4</v>
      </c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</row>
    <row r="513">
      <c r="A513" s="84" t="s">
        <v>4408</v>
      </c>
      <c r="B513" s="45"/>
      <c r="C513" s="84" t="s">
        <v>9303</v>
      </c>
      <c r="D513" s="45"/>
      <c r="E513" s="84" t="s">
        <v>6338</v>
      </c>
      <c r="F513" s="84" t="s">
        <v>5300</v>
      </c>
      <c r="G513" s="85" t="s">
        <v>96</v>
      </c>
      <c r="H513" s="87">
        <v>4.029E-4</v>
      </c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</row>
    <row r="514">
      <c r="A514" s="84" t="s">
        <v>9248</v>
      </c>
      <c r="B514" s="45"/>
      <c r="C514" s="84" t="s">
        <v>9249</v>
      </c>
      <c r="D514" s="45"/>
      <c r="E514" s="84" t="s">
        <v>5374</v>
      </c>
      <c r="F514" s="84" t="s">
        <v>8784</v>
      </c>
      <c r="G514" s="85" t="s">
        <v>96</v>
      </c>
      <c r="H514" s="87">
        <v>4.022E-4</v>
      </c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</row>
    <row r="515">
      <c r="A515" s="84" t="s">
        <v>11407</v>
      </c>
      <c r="B515" s="45"/>
      <c r="C515" s="84" t="s">
        <v>11408</v>
      </c>
      <c r="D515" s="45"/>
      <c r="E515" s="84" t="s">
        <v>5253</v>
      </c>
      <c r="F515" s="84" t="s">
        <v>9021</v>
      </c>
      <c r="G515" s="85" t="s">
        <v>96</v>
      </c>
      <c r="H515" s="87">
        <v>4.016E-4</v>
      </c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</row>
    <row r="516">
      <c r="A516" s="84" t="s">
        <v>4450</v>
      </c>
      <c r="B516" s="45"/>
      <c r="C516" s="84" t="s">
        <v>9264</v>
      </c>
      <c r="D516" s="45"/>
      <c r="E516" s="84" t="s">
        <v>5283</v>
      </c>
      <c r="F516" s="84" t="s">
        <v>5300</v>
      </c>
      <c r="G516" s="85" t="s">
        <v>96</v>
      </c>
      <c r="H516" s="87">
        <v>3.997E-4</v>
      </c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</row>
    <row r="517">
      <c r="A517" s="84" t="s">
        <v>4437</v>
      </c>
      <c r="B517" s="45"/>
      <c r="C517" s="84" t="s">
        <v>9276</v>
      </c>
      <c r="D517" s="45"/>
      <c r="E517" s="84" t="s">
        <v>5407</v>
      </c>
      <c r="F517" s="84" t="s">
        <v>5300</v>
      </c>
      <c r="G517" s="85" t="s">
        <v>96</v>
      </c>
      <c r="H517" s="87">
        <v>3.971E-4</v>
      </c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</row>
    <row r="518">
      <c r="A518" s="84" t="s">
        <v>4417</v>
      </c>
      <c r="B518" s="45"/>
      <c r="C518" s="84" t="s">
        <v>9308</v>
      </c>
      <c r="D518" s="45"/>
      <c r="E518" s="84" t="s">
        <v>5387</v>
      </c>
      <c r="F518" s="84" t="s">
        <v>5268</v>
      </c>
      <c r="G518" s="85" t="s">
        <v>96</v>
      </c>
      <c r="H518" s="87">
        <v>3.963E-4</v>
      </c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</row>
    <row r="519">
      <c r="A519" s="84" t="s">
        <v>9260</v>
      </c>
      <c r="B519" s="45"/>
      <c r="C519" s="84" t="s">
        <v>9261</v>
      </c>
      <c r="D519" s="45"/>
      <c r="E519" s="84" t="s">
        <v>5456</v>
      </c>
      <c r="F519" s="84" t="s">
        <v>5836</v>
      </c>
      <c r="G519" s="85" t="s">
        <v>96</v>
      </c>
      <c r="H519" s="87">
        <v>3.961E-4</v>
      </c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</row>
    <row r="520">
      <c r="A520" s="84" t="s">
        <v>4390</v>
      </c>
      <c r="B520" s="45"/>
      <c r="C520" s="84" t="s">
        <v>9284</v>
      </c>
      <c r="D520" s="45"/>
      <c r="E520" s="84" t="s">
        <v>5374</v>
      </c>
      <c r="F520" s="84" t="s">
        <v>5300</v>
      </c>
      <c r="G520" s="85" t="s">
        <v>96</v>
      </c>
      <c r="H520" s="87">
        <v>3.961E-4</v>
      </c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</row>
    <row r="521">
      <c r="A521" s="84" t="s">
        <v>4453</v>
      </c>
      <c r="B521" s="45"/>
      <c r="C521" s="84" t="s">
        <v>9263</v>
      </c>
      <c r="D521" s="45"/>
      <c r="E521" s="84" t="s">
        <v>5434</v>
      </c>
      <c r="F521" s="84" t="s">
        <v>5300</v>
      </c>
      <c r="G521" s="85" t="s">
        <v>96</v>
      </c>
      <c r="H521" s="87">
        <v>3.954E-4</v>
      </c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</row>
    <row r="522">
      <c r="A522" s="84" t="s">
        <v>9282</v>
      </c>
      <c r="B522" s="45"/>
      <c r="C522" s="84" t="s">
        <v>9283</v>
      </c>
      <c r="D522" s="45"/>
      <c r="E522" s="84" t="s">
        <v>5235</v>
      </c>
      <c r="F522" s="84" t="s">
        <v>4436</v>
      </c>
      <c r="G522" s="85" t="s">
        <v>96</v>
      </c>
      <c r="H522" s="87">
        <v>3.953E-4</v>
      </c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</row>
    <row r="523">
      <c r="A523" s="84" t="s">
        <v>9293</v>
      </c>
      <c r="B523" s="45"/>
      <c r="C523" s="84" t="s">
        <v>9294</v>
      </c>
      <c r="D523" s="45"/>
      <c r="E523" s="84" t="s">
        <v>5742</v>
      </c>
      <c r="F523" s="84" t="s">
        <v>6988</v>
      </c>
      <c r="G523" s="85" t="s">
        <v>96</v>
      </c>
      <c r="H523" s="87">
        <v>3.944E-4</v>
      </c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</row>
    <row r="524">
      <c r="A524" s="84" t="s">
        <v>9273</v>
      </c>
      <c r="B524" s="45"/>
      <c r="C524" s="84" t="s">
        <v>9274</v>
      </c>
      <c r="D524" s="45"/>
      <c r="E524" s="84" t="s">
        <v>5235</v>
      </c>
      <c r="F524" s="84" t="s">
        <v>4436</v>
      </c>
      <c r="G524" s="85" t="s">
        <v>96</v>
      </c>
      <c r="H524" s="87">
        <v>3.895E-4</v>
      </c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</row>
    <row r="525">
      <c r="A525" s="84" t="s">
        <v>9277</v>
      </c>
      <c r="B525" s="45"/>
      <c r="C525" s="84" t="s">
        <v>9278</v>
      </c>
      <c r="D525" s="45"/>
      <c r="E525" s="84" t="s">
        <v>5218</v>
      </c>
      <c r="F525" s="84" t="s">
        <v>5425</v>
      </c>
      <c r="G525" s="85" t="s">
        <v>96</v>
      </c>
      <c r="H525" s="87">
        <v>3.892E-4</v>
      </c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</row>
    <row r="526">
      <c r="A526" s="84" t="s">
        <v>4528</v>
      </c>
      <c r="B526" s="45"/>
      <c r="C526" s="84" t="s">
        <v>9295</v>
      </c>
      <c r="D526" s="45"/>
      <c r="E526" s="84" t="s">
        <v>5704</v>
      </c>
      <c r="F526" s="84" t="s">
        <v>5300</v>
      </c>
      <c r="G526" s="85" t="s">
        <v>96</v>
      </c>
      <c r="H526" s="87">
        <v>3.889E-4</v>
      </c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</row>
    <row r="527">
      <c r="A527" s="84" t="s">
        <v>4440</v>
      </c>
      <c r="B527" s="45"/>
      <c r="C527" s="84" t="s">
        <v>11409</v>
      </c>
      <c r="D527" s="45"/>
      <c r="E527" s="84" t="s">
        <v>5288</v>
      </c>
      <c r="F527" s="84" t="s">
        <v>5300</v>
      </c>
      <c r="G527" s="85" t="s">
        <v>96</v>
      </c>
      <c r="H527" s="87">
        <v>3.885E-4</v>
      </c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</row>
    <row r="528">
      <c r="A528" s="84" t="s">
        <v>4414</v>
      </c>
      <c r="B528" s="45"/>
      <c r="C528" s="84" t="s">
        <v>9270</v>
      </c>
      <c r="D528" s="45"/>
      <c r="E528" s="84" t="s">
        <v>5283</v>
      </c>
      <c r="F528" s="84" t="s">
        <v>5268</v>
      </c>
      <c r="G528" s="85" t="s">
        <v>96</v>
      </c>
      <c r="H528" s="87">
        <v>3.884E-4</v>
      </c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</row>
    <row r="529">
      <c r="A529" s="84" t="s">
        <v>6620</v>
      </c>
      <c r="B529" s="45"/>
      <c r="C529" s="84" t="s">
        <v>9292</v>
      </c>
      <c r="D529" s="45"/>
      <c r="E529" s="84" t="s">
        <v>5235</v>
      </c>
      <c r="F529" s="84" t="s">
        <v>5425</v>
      </c>
      <c r="G529" s="85" t="s">
        <v>96</v>
      </c>
      <c r="H529" s="87">
        <v>3.882E-4</v>
      </c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</row>
    <row r="530">
      <c r="A530" s="84" t="s">
        <v>11410</v>
      </c>
      <c r="B530" s="45"/>
      <c r="C530" s="84" t="s">
        <v>11411</v>
      </c>
      <c r="D530" s="45"/>
      <c r="E530" s="84" t="s">
        <v>5351</v>
      </c>
      <c r="F530" s="84" t="s">
        <v>5300</v>
      </c>
      <c r="G530" s="85" t="s">
        <v>96</v>
      </c>
      <c r="H530" s="87">
        <v>3.879E-4</v>
      </c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</row>
    <row r="531">
      <c r="A531" s="84" t="s">
        <v>11412</v>
      </c>
      <c r="B531" s="45"/>
      <c r="C531" s="84" t="s">
        <v>11413</v>
      </c>
      <c r="D531" s="45"/>
      <c r="E531" s="84" t="s">
        <v>6083</v>
      </c>
      <c r="F531" s="84" t="s">
        <v>5425</v>
      </c>
      <c r="G531" s="85" t="s">
        <v>96</v>
      </c>
      <c r="H531" s="87">
        <v>3.875E-4</v>
      </c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</row>
    <row r="532">
      <c r="A532" s="84" t="s">
        <v>4434</v>
      </c>
      <c r="B532" s="45"/>
      <c r="C532" s="84" t="s">
        <v>9275</v>
      </c>
      <c r="D532" s="45"/>
      <c r="E532" s="84" t="s">
        <v>5501</v>
      </c>
      <c r="F532" s="84" t="s">
        <v>5300</v>
      </c>
      <c r="G532" s="85" t="s">
        <v>96</v>
      </c>
      <c r="H532" s="87">
        <v>3.873E-4</v>
      </c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</row>
    <row r="533">
      <c r="A533" s="84" t="s">
        <v>9290</v>
      </c>
      <c r="B533" s="45"/>
      <c r="C533" s="84" t="s">
        <v>9291</v>
      </c>
      <c r="D533" s="45"/>
      <c r="E533" s="84" t="s">
        <v>7098</v>
      </c>
      <c r="F533" s="84" t="s">
        <v>5747</v>
      </c>
      <c r="G533" s="85" t="s">
        <v>96</v>
      </c>
      <c r="H533" s="87">
        <v>3.858E-4</v>
      </c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</row>
    <row r="534">
      <c r="A534" s="84" t="s">
        <v>4429</v>
      </c>
      <c r="B534" s="45"/>
      <c r="C534" s="84" t="s">
        <v>11414</v>
      </c>
      <c r="D534" s="45"/>
      <c r="E534" s="84" t="s">
        <v>6191</v>
      </c>
      <c r="F534" s="84" t="s">
        <v>5300</v>
      </c>
      <c r="G534" s="85" t="s">
        <v>96</v>
      </c>
      <c r="H534" s="87">
        <v>3.856E-4</v>
      </c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</row>
    <row r="535">
      <c r="A535" s="84" t="s">
        <v>9305</v>
      </c>
      <c r="B535" s="45"/>
      <c r="C535" s="84" t="s">
        <v>9306</v>
      </c>
      <c r="D535" s="45"/>
      <c r="E535" s="84" t="s">
        <v>5374</v>
      </c>
      <c r="F535" s="84" t="s">
        <v>5836</v>
      </c>
      <c r="G535" s="85" t="s">
        <v>96</v>
      </c>
      <c r="H535" s="87">
        <v>3.841E-4</v>
      </c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</row>
    <row r="536">
      <c r="A536" s="84" t="s">
        <v>11415</v>
      </c>
      <c r="B536" s="45"/>
      <c r="C536" s="84" t="s">
        <v>11416</v>
      </c>
      <c r="D536" s="45"/>
      <c r="E536" s="84" t="s">
        <v>9478</v>
      </c>
      <c r="F536" s="84" t="s">
        <v>9021</v>
      </c>
      <c r="G536" s="85" t="s">
        <v>96</v>
      </c>
      <c r="H536" s="87">
        <v>3.839E-4</v>
      </c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</row>
    <row r="537">
      <c r="A537" s="84" t="s">
        <v>9146</v>
      </c>
      <c r="B537" s="45"/>
      <c r="C537" s="84" t="s">
        <v>9059</v>
      </c>
      <c r="D537" s="45"/>
      <c r="E537" s="84" t="s">
        <v>6801</v>
      </c>
      <c r="F537" s="84" t="s">
        <v>5747</v>
      </c>
      <c r="G537" s="85" t="s">
        <v>96</v>
      </c>
      <c r="H537" s="87">
        <v>3.828E-4</v>
      </c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</row>
    <row r="538">
      <c r="A538" s="84" t="s">
        <v>9279</v>
      </c>
      <c r="B538" s="45"/>
      <c r="C538" s="84" t="s">
        <v>9280</v>
      </c>
      <c r="D538" s="45"/>
      <c r="E538" s="84" t="s">
        <v>5218</v>
      </c>
      <c r="F538" s="84" t="s">
        <v>5268</v>
      </c>
      <c r="G538" s="85" t="s">
        <v>96</v>
      </c>
      <c r="H538" s="87">
        <v>3.825E-4</v>
      </c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</row>
    <row r="539">
      <c r="A539" s="84" t="s">
        <v>4455</v>
      </c>
      <c r="B539" s="45"/>
      <c r="C539" s="84" t="s">
        <v>9271</v>
      </c>
      <c r="D539" s="45"/>
      <c r="E539" s="84" t="s">
        <v>5321</v>
      </c>
      <c r="F539" s="84" t="s">
        <v>5300</v>
      </c>
      <c r="G539" s="85" t="s">
        <v>96</v>
      </c>
      <c r="H539" s="87">
        <v>3.821E-4</v>
      </c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</row>
    <row r="540">
      <c r="A540" s="84" t="s">
        <v>11417</v>
      </c>
      <c r="B540" s="45"/>
      <c r="C540" s="84" t="s">
        <v>11418</v>
      </c>
      <c r="D540" s="45"/>
      <c r="E540" s="84" t="s">
        <v>6630</v>
      </c>
      <c r="F540" s="84" t="s">
        <v>5747</v>
      </c>
      <c r="G540" s="85" t="s">
        <v>96</v>
      </c>
      <c r="H540" s="87">
        <v>3.813E-4</v>
      </c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</row>
    <row r="541">
      <c r="A541" s="84" t="s">
        <v>4463</v>
      </c>
      <c r="B541" s="45"/>
      <c r="C541" s="84" t="s">
        <v>9281</v>
      </c>
      <c r="D541" s="45"/>
      <c r="E541" s="84" t="s">
        <v>6012</v>
      </c>
      <c r="F541" s="84" t="s">
        <v>5300</v>
      </c>
      <c r="G541" s="85" t="s">
        <v>96</v>
      </c>
      <c r="H541" s="87">
        <v>3.804E-4</v>
      </c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</row>
    <row r="542">
      <c r="A542" s="84" t="s">
        <v>4428</v>
      </c>
      <c r="B542" s="45"/>
      <c r="C542" s="84" t="s">
        <v>11419</v>
      </c>
      <c r="D542" s="45"/>
      <c r="E542" s="84" t="s">
        <v>5226</v>
      </c>
      <c r="F542" s="84" t="s">
        <v>5300</v>
      </c>
      <c r="G542" s="85" t="s">
        <v>96</v>
      </c>
      <c r="H542" s="87">
        <v>3.8E-4</v>
      </c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</row>
    <row r="543">
      <c r="A543" s="84" t="s">
        <v>9257</v>
      </c>
      <c r="B543" s="45"/>
      <c r="C543" s="84" t="s">
        <v>9258</v>
      </c>
      <c r="D543" s="45"/>
      <c r="E543" s="84" t="s">
        <v>5215</v>
      </c>
      <c r="F543" s="84" t="s">
        <v>4095</v>
      </c>
      <c r="G543" s="85" t="s">
        <v>96</v>
      </c>
      <c r="H543" s="87">
        <v>3.797E-4</v>
      </c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</row>
    <row r="544">
      <c r="A544" s="84" t="s">
        <v>4461</v>
      </c>
      <c r="B544" s="45"/>
      <c r="C544" s="84" t="s">
        <v>11420</v>
      </c>
      <c r="D544" s="45"/>
      <c r="E544" s="84" t="s">
        <v>6191</v>
      </c>
      <c r="F544" s="84" t="s">
        <v>5300</v>
      </c>
      <c r="G544" s="85" t="s">
        <v>96</v>
      </c>
      <c r="H544" s="87">
        <v>3.774E-4</v>
      </c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</row>
    <row r="545">
      <c r="A545" s="84" t="s">
        <v>4451</v>
      </c>
      <c r="B545" s="45"/>
      <c r="C545" s="84" t="s">
        <v>9287</v>
      </c>
      <c r="D545" s="45"/>
      <c r="E545" s="84" t="s">
        <v>5229</v>
      </c>
      <c r="F545" s="84" t="s">
        <v>5300</v>
      </c>
      <c r="G545" s="85" t="s">
        <v>96</v>
      </c>
      <c r="H545" s="87">
        <v>3.772E-4</v>
      </c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</row>
    <row r="546">
      <c r="A546" s="84" t="s">
        <v>9285</v>
      </c>
      <c r="B546" s="45"/>
      <c r="C546" s="84" t="s">
        <v>9286</v>
      </c>
      <c r="D546" s="45"/>
      <c r="E546" s="84" t="s">
        <v>5283</v>
      </c>
      <c r="F546" s="84" t="s">
        <v>8784</v>
      </c>
      <c r="G546" s="85" t="s">
        <v>96</v>
      </c>
      <c r="H546" s="87">
        <v>3.743E-4</v>
      </c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</row>
    <row r="547">
      <c r="A547" s="84" t="s">
        <v>9209</v>
      </c>
      <c r="B547" s="45"/>
      <c r="C547" s="84" t="s">
        <v>9210</v>
      </c>
      <c r="D547" s="45"/>
      <c r="E547" s="84" t="s">
        <v>5326</v>
      </c>
      <c r="F547" s="84" t="s">
        <v>5300</v>
      </c>
      <c r="G547" s="85" t="s">
        <v>96</v>
      </c>
      <c r="H547" s="87">
        <v>3.733E-4</v>
      </c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</row>
    <row r="548">
      <c r="A548" s="84" t="s">
        <v>4465</v>
      </c>
      <c r="B548" s="45"/>
      <c r="C548" s="84" t="s">
        <v>11421</v>
      </c>
      <c r="D548" s="45"/>
      <c r="E548" s="84" t="s">
        <v>5456</v>
      </c>
      <c r="F548" s="84" t="s">
        <v>5300</v>
      </c>
      <c r="G548" s="85" t="s">
        <v>96</v>
      </c>
      <c r="H548" s="87">
        <v>3.704E-4</v>
      </c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</row>
    <row r="549">
      <c r="A549" s="84" t="s">
        <v>4410</v>
      </c>
      <c r="B549" s="45"/>
      <c r="C549" s="84" t="s">
        <v>9300</v>
      </c>
      <c r="D549" s="45"/>
      <c r="E549" s="84" t="s">
        <v>5395</v>
      </c>
      <c r="F549" s="84" t="s">
        <v>5300</v>
      </c>
      <c r="G549" s="85" t="s">
        <v>96</v>
      </c>
      <c r="H549" s="87">
        <v>3.699E-4</v>
      </c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</row>
    <row r="550">
      <c r="A550" s="84" t="s">
        <v>4439</v>
      </c>
      <c r="B550" s="45"/>
      <c r="C550" s="84" t="s">
        <v>9307</v>
      </c>
      <c r="D550" s="45"/>
      <c r="E550" s="84" t="s">
        <v>6389</v>
      </c>
      <c r="F550" s="84" t="s">
        <v>5300</v>
      </c>
      <c r="G550" s="85" t="s">
        <v>96</v>
      </c>
      <c r="H550" s="87">
        <v>3.688E-4</v>
      </c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</row>
    <row r="551">
      <c r="A551" s="84" t="s">
        <v>4447</v>
      </c>
      <c r="B551" s="45"/>
      <c r="C551" s="84" t="s">
        <v>9304</v>
      </c>
      <c r="D551" s="45"/>
      <c r="E551" s="84" t="s">
        <v>6868</v>
      </c>
      <c r="F551" s="84" t="s">
        <v>5300</v>
      </c>
      <c r="G551" s="85" t="s">
        <v>96</v>
      </c>
      <c r="H551" s="87">
        <v>3.671E-4</v>
      </c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</row>
    <row r="552">
      <c r="A552" s="84" t="s">
        <v>9318</v>
      </c>
      <c r="B552" s="45"/>
      <c r="C552" s="84" t="s">
        <v>9319</v>
      </c>
      <c r="D552" s="45"/>
      <c r="E552" s="84" t="s">
        <v>5258</v>
      </c>
      <c r="F552" s="84" t="s">
        <v>5836</v>
      </c>
      <c r="G552" s="85" t="s">
        <v>96</v>
      </c>
      <c r="H552" s="87">
        <v>3.671E-4</v>
      </c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</row>
    <row r="553">
      <c r="A553" s="84" t="s">
        <v>9322</v>
      </c>
      <c r="B553" s="45"/>
      <c r="C553" s="84" t="s">
        <v>9323</v>
      </c>
      <c r="D553" s="45"/>
      <c r="E553" s="84" t="s">
        <v>5691</v>
      </c>
      <c r="F553" s="84" t="s">
        <v>4153</v>
      </c>
      <c r="G553" s="85" t="s">
        <v>96</v>
      </c>
      <c r="H553" s="87">
        <v>3.668E-4</v>
      </c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</row>
    <row r="554">
      <c r="A554" s="84" t="s">
        <v>4443</v>
      </c>
      <c r="B554" s="45"/>
      <c r="C554" s="84" t="s">
        <v>11422</v>
      </c>
      <c r="D554" s="45"/>
      <c r="E554" s="84" t="s">
        <v>6191</v>
      </c>
      <c r="F554" s="84" t="s">
        <v>5300</v>
      </c>
      <c r="G554" s="85" t="s">
        <v>96</v>
      </c>
      <c r="H554" s="87">
        <v>3.663E-4</v>
      </c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</row>
    <row r="555">
      <c r="A555" s="84" t="s">
        <v>11423</v>
      </c>
      <c r="B555" s="45"/>
      <c r="C555" s="84" t="s">
        <v>11424</v>
      </c>
      <c r="D555" s="45"/>
      <c r="E555" s="84" t="s">
        <v>6191</v>
      </c>
      <c r="F555" s="84" t="s">
        <v>5836</v>
      </c>
      <c r="G555" s="85" t="s">
        <v>96</v>
      </c>
      <c r="H555" s="87">
        <v>3.661E-4</v>
      </c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</row>
    <row r="556">
      <c r="A556" s="84" t="s">
        <v>9315</v>
      </c>
      <c r="B556" s="45"/>
      <c r="C556" s="84" t="s">
        <v>9316</v>
      </c>
      <c r="D556" s="45"/>
      <c r="E556" s="84" t="s">
        <v>9221</v>
      </c>
      <c r="F556" s="84" t="s">
        <v>8784</v>
      </c>
      <c r="G556" s="85" t="s">
        <v>96</v>
      </c>
      <c r="H556" s="87">
        <v>3.656E-4</v>
      </c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</row>
    <row r="557">
      <c r="A557" s="84" t="s">
        <v>4530</v>
      </c>
      <c r="B557" s="45"/>
      <c r="C557" s="84" t="s">
        <v>11425</v>
      </c>
      <c r="D557" s="45"/>
      <c r="E557" s="84" t="s">
        <v>5253</v>
      </c>
      <c r="F557" s="84" t="s">
        <v>5300</v>
      </c>
      <c r="G557" s="85" t="s">
        <v>96</v>
      </c>
      <c r="H557" s="87">
        <v>3.653E-4</v>
      </c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</row>
    <row r="558">
      <c r="A558" s="84" t="s">
        <v>4498</v>
      </c>
      <c r="B558" s="45"/>
      <c r="C558" s="84" t="s">
        <v>9317</v>
      </c>
      <c r="D558" s="45"/>
      <c r="E558" s="84" t="s">
        <v>6514</v>
      </c>
      <c r="F558" s="84" t="s">
        <v>5300</v>
      </c>
      <c r="G558" s="85" t="s">
        <v>96</v>
      </c>
      <c r="H558" s="87">
        <v>3.651E-4</v>
      </c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</row>
    <row r="559">
      <c r="A559" s="84" t="s">
        <v>4467</v>
      </c>
      <c r="B559" s="45"/>
      <c r="C559" s="84" t="s">
        <v>11426</v>
      </c>
      <c r="D559" s="45"/>
      <c r="E559" s="84" t="s">
        <v>6191</v>
      </c>
      <c r="F559" s="84" t="s">
        <v>5300</v>
      </c>
      <c r="G559" s="85" t="s">
        <v>96</v>
      </c>
      <c r="H559" s="87">
        <v>3.624E-4</v>
      </c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</row>
    <row r="560">
      <c r="A560" s="84" t="s">
        <v>9344</v>
      </c>
      <c r="B560" s="45"/>
      <c r="C560" s="84" t="s">
        <v>9345</v>
      </c>
      <c r="D560" s="45"/>
      <c r="E560" s="84" t="s">
        <v>5395</v>
      </c>
      <c r="F560" s="84" t="s">
        <v>5425</v>
      </c>
      <c r="G560" s="85" t="s">
        <v>96</v>
      </c>
      <c r="H560" s="87">
        <v>3.618E-4</v>
      </c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</row>
    <row r="561">
      <c r="A561" s="84" t="s">
        <v>11427</v>
      </c>
      <c r="B561" s="45"/>
      <c r="C561" s="84" t="s">
        <v>11428</v>
      </c>
      <c r="D561" s="45"/>
      <c r="E561" s="84" t="s">
        <v>5211</v>
      </c>
      <c r="F561" s="84" t="s">
        <v>5836</v>
      </c>
      <c r="G561" s="85" t="s">
        <v>96</v>
      </c>
      <c r="H561" s="87">
        <v>3.605E-4</v>
      </c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</row>
    <row r="562">
      <c r="A562" s="84" t="s">
        <v>9301</v>
      </c>
      <c r="B562" s="45"/>
      <c r="C562" s="84" t="s">
        <v>9302</v>
      </c>
      <c r="D562" s="45"/>
      <c r="E562" s="84" t="s">
        <v>5261</v>
      </c>
      <c r="F562" s="84" t="s">
        <v>4153</v>
      </c>
      <c r="G562" s="85" t="s">
        <v>96</v>
      </c>
      <c r="H562" s="87">
        <v>3.603E-4</v>
      </c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</row>
    <row r="563">
      <c r="A563" s="84" t="s">
        <v>11429</v>
      </c>
      <c r="B563" s="45"/>
      <c r="C563" s="84" t="s">
        <v>11430</v>
      </c>
      <c r="D563" s="45"/>
      <c r="E563" s="84" t="s">
        <v>5989</v>
      </c>
      <c r="F563" s="84" t="s">
        <v>4436</v>
      </c>
      <c r="G563" s="85" t="s">
        <v>96</v>
      </c>
      <c r="H563" s="87">
        <v>3.586E-4</v>
      </c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</row>
    <row r="564">
      <c r="A564" s="84" t="s">
        <v>4474</v>
      </c>
      <c r="B564" s="45"/>
      <c r="C564" s="84" t="s">
        <v>9382</v>
      </c>
      <c r="D564" s="45"/>
      <c r="E564" s="84" t="s">
        <v>5241</v>
      </c>
      <c r="F564" s="84" t="s">
        <v>5300</v>
      </c>
      <c r="G564" s="85" t="s">
        <v>96</v>
      </c>
      <c r="H564" s="87">
        <v>3.58E-4</v>
      </c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</row>
    <row r="565">
      <c r="A565" s="84" t="s">
        <v>5468</v>
      </c>
      <c r="B565" s="45"/>
      <c r="C565" s="84" t="s">
        <v>9296</v>
      </c>
      <c r="D565" s="45"/>
      <c r="E565" s="84" t="s">
        <v>5235</v>
      </c>
      <c r="F565" s="84" t="s">
        <v>5747</v>
      </c>
      <c r="G565" s="85" t="s">
        <v>96</v>
      </c>
      <c r="H565" s="87">
        <v>3.576E-4</v>
      </c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</row>
    <row r="566">
      <c r="A566" s="84" t="s">
        <v>4458</v>
      </c>
      <c r="B566" s="45"/>
      <c r="C566" s="84" t="s">
        <v>9385</v>
      </c>
      <c r="D566" s="45"/>
      <c r="E566" s="84" t="s">
        <v>5374</v>
      </c>
      <c r="F566" s="84" t="s">
        <v>5300</v>
      </c>
      <c r="G566" s="85" t="s">
        <v>96</v>
      </c>
      <c r="H566" s="87">
        <v>3.532E-4</v>
      </c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</row>
    <row r="567">
      <c r="A567" s="84" t="s">
        <v>6260</v>
      </c>
      <c r="B567" s="45"/>
      <c r="C567" s="84" t="s">
        <v>11431</v>
      </c>
      <c r="D567" s="45"/>
      <c r="E567" s="84" t="s">
        <v>5288</v>
      </c>
      <c r="F567" s="84" t="s">
        <v>5747</v>
      </c>
      <c r="G567" s="85" t="s">
        <v>96</v>
      </c>
      <c r="H567" s="87">
        <v>3.508E-4</v>
      </c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</row>
    <row r="568">
      <c r="A568" s="84" t="s">
        <v>4471</v>
      </c>
      <c r="B568" s="45"/>
      <c r="C568" s="84" t="s">
        <v>9324</v>
      </c>
      <c r="D568" s="45"/>
      <c r="E568" s="84" t="s">
        <v>5215</v>
      </c>
      <c r="F568" s="84" t="s">
        <v>5300</v>
      </c>
      <c r="G568" s="85" t="s">
        <v>96</v>
      </c>
      <c r="H568" s="87">
        <v>3.506E-4</v>
      </c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</row>
    <row r="569">
      <c r="A569" s="84" t="s">
        <v>11432</v>
      </c>
      <c r="B569" s="45"/>
      <c r="C569" s="84" t="s">
        <v>11433</v>
      </c>
      <c r="D569" s="45"/>
      <c r="E569" s="84" t="s">
        <v>6759</v>
      </c>
      <c r="F569" s="84" t="s">
        <v>5425</v>
      </c>
      <c r="G569" s="85" t="s">
        <v>96</v>
      </c>
      <c r="H569" s="87">
        <v>3.506E-4</v>
      </c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</row>
    <row r="570">
      <c r="A570" s="84" t="s">
        <v>4466</v>
      </c>
      <c r="B570" s="45"/>
      <c r="C570" s="84" t="s">
        <v>9272</v>
      </c>
      <c r="D570" s="45"/>
      <c r="E570" s="84" t="s">
        <v>6514</v>
      </c>
      <c r="F570" s="84" t="s">
        <v>5300</v>
      </c>
      <c r="G570" s="85" t="s">
        <v>96</v>
      </c>
      <c r="H570" s="87">
        <v>3.502E-4</v>
      </c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</row>
    <row r="571">
      <c r="A571" s="84" t="s">
        <v>9341</v>
      </c>
      <c r="B571" s="45"/>
      <c r="C571" s="84" t="s">
        <v>9342</v>
      </c>
      <c r="D571" s="45"/>
      <c r="E571" s="84" t="s">
        <v>5218</v>
      </c>
      <c r="F571" s="84" t="s">
        <v>8784</v>
      </c>
      <c r="G571" s="85" t="s">
        <v>96</v>
      </c>
      <c r="H571" s="87">
        <v>3.501E-4</v>
      </c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</row>
    <row r="572">
      <c r="A572" s="84" t="s">
        <v>4519</v>
      </c>
      <c r="B572" s="45"/>
      <c r="C572" s="84" t="s">
        <v>9320</v>
      </c>
      <c r="D572" s="45"/>
      <c r="E572" s="84" t="s">
        <v>5341</v>
      </c>
      <c r="F572" s="84" t="s">
        <v>5300</v>
      </c>
      <c r="G572" s="85" t="s">
        <v>96</v>
      </c>
      <c r="H572" s="87">
        <v>3.485E-4</v>
      </c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</row>
    <row r="573">
      <c r="A573" s="84" t="s">
        <v>9336</v>
      </c>
      <c r="B573" s="45"/>
      <c r="C573" s="84" t="s">
        <v>9091</v>
      </c>
      <c r="D573" s="45"/>
      <c r="E573" s="84" t="s">
        <v>5422</v>
      </c>
      <c r="F573" s="84" t="s">
        <v>9021</v>
      </c>
      <c r="G573" s="85" t="s">
        <v>96</v>
      </c>
      <c r="H573" s="87">
        <v>3.48E-4</v>
      </c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</row>
    <row r="574">
      <c r="A574" s="84" t="s">
        <v>9578</v>
      </c>
      <c r="B574" s="45"/>
      <c r="C574" s="84" t="s">
        <v>9579</v>
      </c>
      <c r="D574" s="45"/>
      <c r="E574" s="84" t="s">
        <v>5215</v>
      </c>
      <c r="F574" s="84" t="s">
        <v>9021</v>
      </c>
      <c r="G574" s="85" t="s">
        <v>96</v>
      </c>
      <c r="H574" s="87">
        <v>3.456E-4</v>
      </c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</row>
    <row r="575">
      <c r="A575" s="84" t="s">
        <v>9362</v>
      </c>
      <c r="B575" s="45"/>
      <c r="C575" s="84" t="s">
        <v>9363</v>
      </c>
      <c r="D575" s="45"/>
      <c r="E575" s="84" t="s">
        <v>5453</v>
      </c>
      <c r="F575" s="84" t="s">
        <v>8759</v>
      </c>
      <c r="G575" s="85" t="s">
        <v>96</v>
      </c>
      <c r="H575" s="87">
        <v>3.454E-4</v>
      </c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</row>
    <row r="576">
      <c r="A576" s="84" t="s">
        <v>4504</v>
      </c>
      <c r="B576" s="45"/>
      <c r="C576" s="84" t="s">
        <v>9352</v>
      </c>
      <c r="D576" s="45"/>
      <c r="E576" s="84" t="s">
        <v>5271</v>
      </c>
      <c r="F576" s="84" t="s">
        <v>5300</v>
      </c>
      <c r="G576" s="85" t="s">
        <v>96</v>
      </c>
      <c r="H576" s="87">
        <v>3.453E-4</v>
      </c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</row>
    <row r="577">
      <c r="A577" s="84" t="s">
        <v>4468</v>
      </c>
      <c r="B577" s="45"/>
      <c r="C577" s="84" t="s">
        <v>9331</v>
      </c>
      <c r="D577" s="45"/>
      <c r="E577" s="84" t="s">
        <v>5283</v>
      </c>
      <c r="F577" s="84" t="s">
        <v>5300</v>
      </c>
      <c r="G577" s="85" t="s">
        <v>96</v>
      </c>
      <c r="H577" s="87">
        <v>3.451E-4</v>
      </c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</row>
    <row r="578">
      <c r="A578" s="84" t="s">
        <v>9355</v>
      </c>
      <c r="B578" s="45"/>
      <c r="C578" s="84" t="s">
        <v>9356</v>
      </c>
      <c r="D578" s="45"/>
      <c r="E578" s="84" t="s">
        <v>5271</v>
      </c>
      <c r="F578" s="84" t="s">
        <v>8759</v>
      </c>
      <c r="G578" s="85" t="s">
        <v>96</v>
      </c>
      <c r="H578" s="87">
        <v>3.447E-4</v>
      </c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</row>
    <row r="579">
      <c r="A579" s="84" t="s">
        <v>9311</v>
      </c>
      <c r="B579" s="45"/>
      <c r="C579" s="84" t="s">
        <v>9312</v>
      </c>
      <c r="D579" s="45"/>
      <c r="E579" s="84" t="s">
        <v>5283</v>
      </c>
      <c r="F579" s="84" t="s">
        <v>8784</v>
      </c>
      <c r="G579" s="85" t="s">
        <v>96</v>
      </c>
      <c r="H579" s="87">
        <v>3.441E-4</v>
      </c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</row>
    <row r="580">
      <c r="A580" s="84" t="s">
        <v>4424</v>
      </c>
      <c r="B580" s="45"/>
      <c r="C580" s="84" t="s">
        <v>9321</v>
      </c>
      <c r="D580" s="45"/>
      <c r="E580" s="84" t="s">
        <v>5229</v>
      </c>
      <c r="F580" s="84" t="s">
        <v>5300</v>
      </c>
      <c r="G580" s="85" t="s">
        <v>96</v>
      </c>
      <c r="H580" s="87">
        <v>3.44E-4</v>
      </c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</row>
    <row r="581">
      <c r="A581" s="84" t="s">
        <v>4456</v>
      </c>
      <c r="B581" s="45"/>
      <c r="C581" s="84" t="s">
        <v>11434</v>
      </c>
      <c r="D581" s="45"/>
      <c r="E581" s="84" t="s">
        <v>6759</v>
      </c>
      <c r="F581" s="84" t="s">
        <v>5300</v>
      </c>
      <c r="G581" s="85" t="s">
        <v>96</v>
      </c>
      <c r="H581" s="87">
        <v>3.427E-4</v>
      </c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</row>
    <row r="582">
      <c r="A582" s="84" t="s">
        <v>9327</v>
      </c>
      <c r="B582" s="45"/>
      <c r="C582" s="84" t="s">
        <v>9328</v>
      </c>
      <c r="D582" s="45"/>
      <c r="E582" s="84" t="s">
        <v>5434</v>
      </c>
      <c r="F582" s="84" t="s">
        <v>8759</v>
      </c>
      <c r="G582" s="85" t="s">
        <v>96</v>
      </c>
      <c r="H582" s="87">
        <v>3.42E-4</v>
      </c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</row>
    <row r="583">
      <c r="A583" s="84" t="s">
        <v>9140</v>
      </c>
      <c r="B583" s="45"/>
      <c r="C583" s="84" t="s">
        <v>9141</v>
      </c>
      <c r="D583" s="45"/>
      <c r="E583" s="84" t="s">
        <v>6338</v>
      </c>
      <c r="F583" s="84" t="s">
        <v>4357</v>
      </c>
      <c r="G583" s="85" t="s">
        <v>96</v>
      </c>
      <c r="H583" s="87">
        <v>3.417E-4</v>
      </c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</row>
    <row r="584">
      <c r="A584" s="84" t="s">
        <v>4472</v>
      </c>
      <c r="B584" s="45"/>
      <c r="C584" s="84" t="s">
        <v>9326</v>
      </c>
      <c r="D584" s="45"/>
      <c r="E584" s="84" t="s">
        <v>5609</v>
      </c>
      <c r="F584" s="84" t="s">
        <v>5300</v>
      </c>
      <c r="G584" s="85" t="s">
        <v>96</v>
      </c>
      <c r="H584" s="87">
        <v>3.411E-4</v>
      </c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</row>
    <row r="585">
      <c r="A585" s="84" t="s">
        <v>9386</v>
      </c>
      <c r="B585" s="45"/>
      <c r="C585" s="84" t="s">
        <v>9387</v>
      </c>
      <c r="D585" s="45"/>
      <c r="E585" s="84" t="s">
        <v>5271</v>
      </c>
      <c r="F585" s="84" t="s">
        <v>8784</v>
      </c>
      <c r="G585" s="85" t="s">
        <v>96</v>
      </c>
      <c r="H585" s="87">
        <v>3.41E-4</v>
      </c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</row>
    <row r="586">
      <c r="A586" s="84" t="s">
        <v>4495</v>
      </c>
      <c r="B586" s="45"/>
      <c r="C586" s="84" t="s">
        <v>9357</v>
      </c>
      <c r="D586" s="45"/>
      <c r="E586" s="84" t="s">
        <v>9189</v>
      </c>
      <c r="F586" s="84" t="s">
        <v>5300</v>
      </c>
      <c r="G586" s="85" t="s">
        <v>96</v>
      </c>
      <c r="H586" s="87">
        <v>3.406E-4</v>
      </c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</row>
    <row r="587">
      <c r="A587" s="84" t="s">
        <v>4596</v>
      </c>
      <c r="B587" s="45"/>
      <c r="C587" s="84" t="s">
        <v>9346</v>
      </c>
      <c r="D587" s="45"/>
      <c r="E587" s="84" t="s">
        <v>5283</v>
      </c>
      <c r="F587" s="84" t="s">
        <v>5300</v>
      </c>
      <c r="G587" s="85" t="s">
        <v>96</v>
      </c>
      <c r="H587" s="87">
        <v>3.391E-4</v>
      </c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</row>
    <row r="588">
      <c r="A588" s="84" t="s">
        <v>4510</v>
      </c>
      <c r="B588" s="45"/>
      <c r="C588" s="84" t="s">
        <v>9394</v>
      </c>
      <c r="D588" s="45"/>
      <c r="E588" s="84" t="s">
        <v>5467</v>
      </c>
      <c r="F588" s="84" t="s">
        <v>5300</v>
      </c>
      <c r="G588" s="85" t="s">
        <v>96</v>
      </c>
      <c r="H588" s="87">
        <v>3.387E-4</v>
      </c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</row>
    <row r="589">
      <c r="A589" s="84" t="s">
        <v>9347</v>
      </c>
      <c r="B589" s="45"/>
      <c r="C589" s="84" t="s">
        <v>9348</v>
      </c>
      <c r="D589" s="45"/>
      <c r="E589" s="84" t="s">
        <v>5283</v>
      </c>
      <c r="F589" s="84" t="s">
        <v>6988</v>
      </c>
      <c r="G589" s="85" t="s">
        <v>96</v>
      </c>
      <c r="H589" s="87">
        <v>3.385E-4</v>
      </c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</row>
    <row r="590">
      <c r="A590" s="84" t="s">
        <v>4438</v>
      </c>
      <c r="B590" s="45"/>
      <c r="C590" s="84" t="s">
        <v>9343</v>
      </c>
      <c r="D590" s="45"/>
      <c r="E590" s="84" t="s">
        <v>9189</v>
      </c>
      <c r="F590" s="84" t="s">
        <v>5300</v>
      </c>
      <c r="G590" s="85" t="s">
        <v>96</v>
      </c>
      <c r="H590" s="87">
        <v>3.385E-4</v>
      </c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</row>
    <row r="591">
      <c r="A591" s="84" t="s">
        <v>9350</v>
      </c>
      <c r="B591" s="45"/>
      <c r="C591" s="84" t="s">
        <v>9351</v>
      </c>
      <c r="D591" s="45"/>
      <c r="E591" s="84" t="s">
        <v>5215</v>
      </c>
      <c r="F591" s="84" t="s">
        <v>5747</v>
      </c>
      <c r="G591" s="85" t="s">
        <v>96</v>
      </c>
      <c r="H591" s="87">
        <v>3.383E-4</v>
      </c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</row>
    <row r="592">
      <c r="A592" s="84" t="s">
        <v>4507</v>
      </c>
      <c r="B592" s="45"/>
      <c r="C592" s="84" t="s">
        <v>9325</v>
      </c>
      <c r="D592" s="45"/>
      <c r="E592" s="84" t="s">
        <v>5215</v>
      </c>
      <c r="F592" s="84" t="s">
        <v>5300</v>
      </c>
      <c r="G592" s="85" t="s">
        <v>96</v>
      </c>
      <c r="H592" s="87">
        <v>3.377E-4</v>
      </c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</row>
    <row r="593">
      <c r="A593" s="84" t="s">
        <v>4572</v>
      </c>
      <c r="B593" s="45"/>
      <c r="C593" s="84" t="s">
        <v>9361</v>
      </c>
      <c r="D593" s="45"/>
      <c r="E593" s="84" t="s">
        <v>5276</v>
      </c>
      <c r="F593" s="84" t="s">
        <v>5300</v>
      </c>
      <c r="G593" s="85" t="s">
        <v>96</v>
      </c>
      <c r="H593" s="87">
        <v>3.353E-4</v>
      </c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</row>
    <row r="594">
      <c r="A594" s="84" t="s">
        <v>4539</v>
      </c>
      <c r="B594" s="45"/>
      <c r="C594" s="84" t="s">
        <v>9359</v>
      </c>
      <c r="D594" s="45"/>
      <c r="E594" s="84" t="s">
        <v>5431</v>
      </c>
      <c r="F594" s="84" t="s">
        <v>9360</v>
      </c>
      <c r="G594" s="85" t="s">
        <v>96</v>
      </c>
      <c r="H594" s="87">
        <v>3.349E-4</v>
      </c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</row>
    <row r="595">
      <c r="A595" s="84" t="s">
        <v>11435</v>
      </c>
      <c r="B595" s="45"/>
      <c r="C595" s="84" t="s">
        <v>11436</v>
      </c>
      <c r="D595" s="45"/>
      <c r="E595" s="84" t="s">
        <v>5276</v>
      </c>
      <c r="F595" s="84" t="s">
        <v>9021</v>
      </c>
      <c r="G595" s="85" t="s">
        <v>96</v>
      </c>
      <c r="H595" s="87">
        <v>3.347E-4</v>
      </c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</row>
    <row r="596">
      <c r="A596" s="84" t="s">
        <v>4508</v>
      </c>
      <c r="B596" s="45"/>
      <c r="C596" s="84" t="s">
        <v>9340</v>
      </c>
      <c r="D596" s="45"/>
      <c r="E596" s="84" t="s">
        <v>7846</v>
      </c>
      <c r="F596" s="84" t="s">
        <v>5300</v>
      </c>
      <c r="G596" s="85" t="s">
        <v>96</v>
      </c>
      <c r="H596" s="87">
        <v>3.343E-4</v>
      </c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</row>
    <row r="597">
      <c r="A597" s="84" t="s">
        <v>4478</v>
      </c>
      <c r="B597" s="45"/>
      <c r="C597" s="84" t="s">
        <v>11437</v>
      </c>
      <c r="D597" s="45"/>
      <c r="E597" s="84" t="s">
        <v>5288</v>
      </c>
      <c r="F597" s="84" t="s">
        <v>5300</v>
      </c>
      <c r="G597" s="85" t="s">
        <v>96</v>
      </c>
      <c r="H597" s="87">
        <v>3.339E-4</v>
      </c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</row>
    <row r="598">
      <c r="A598" s="84" t="s">
        <v>9412</v>
      </c>
      <c r="B598" s="45"/>
      <c r="C598" s="84" t="s">
        <v>9413</v>
      </c>
      <c r="D598" s="45"/>
      <c r="E598" s="84" t="s">
        <v>5215</v>
      </c>
      <c r="F598" s="84" t="s">
        <v>9414</v>
      </c>
      <c r="G598" s="85" t="s">
        <v>96</v>
      </c>
      <c r="H598" s="87">
        <v>3.324E-4</v>
      </c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</row>
    <row r="599">
      <c r="A599" s="84" t="s">
        <v>11438</v>
      </c>
      <c r="B599" s="45"/>
      <c r="C599" s="84" t="s">
        <v>11263</v>
      </c>
      <c r="D599" s="45"/>
      <c r="E599" s="84" t="s">
        <v>6012</v>
      </c>
      <c r="F599" s="84" t="s">
        <v>5747</v>
      </c>
      <c r="G599" s="85" t="s">
        <v>96</v>
      </c>
      <c r="H599" s="87">
        <v>3.322E-4</v>
      </c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</row>
    <row r="600">
      <c r="A600" s="84" t="s">
        <v>5610</v>
      </c>
      <c r="B600" s="45"/>
      <c r="C600" s="84" t="s">
        <v>9349</v>
      </c>
      <c r="D600" s="45"/>
      <c r="E600" s="84" t="s">
        <v>5459</v>
      </c>
      <c r="F600" s="84" t="s">
        <v>6988</v>
      </c>
      <c r="G600" s="85" t="s">
        <v>96</v>
      </c>
      <c r="H600" s="87">
        <v>3.316E-4</v>
      </c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</row>
    <row r="601">
      <c r="A601" s="84" t="s">
        <v>4459</v>
      </c>
      <c r="B601" s="45"/>
      <c r="C601" s="84" t="s">
        <v>9339</v>
      </c>
      <c r="D601" s="45"/>
      <c r="E601" s="84" t="s">
        <v>5280</v>
      </c>
      <c r="F601" s="84" t="s">
        <v>5300</v>
      </c>
      <c r="G601" s="85" t="s">
        <v>96</v>
      </c>
      <c r="H601" s="87">
        <v>3.309E-4</v>
      </c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</row>
    <row r="602">
      <c r="A602" s="84" t="s">
        <v>11439</v>
      </c>
      <c r="B602" s="45"/>
      <c r="C602" s="84" t="s">
        <v>11440</v>
      </c>
      <c r="D602" s="45"/>
      <c r="E602" s="84" t="s">
        <v>5246</v>
      </c>
      <c r="F602" s="84" t="s">
        <v>8784</v>
      </c>
      <c r="G602" s="85" t="s">
        <v>96</v>
      </c>
      <c r="H602" s="87">
        <v>3.29E-4</v>
      </c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</row>
    <row r="603">
      <c r="A603" s="84" t="s">
        <v>9297</v>
      </c>
      <c r="B603" s="45"/>
      <c r="C603" s="84" t="s">
        <v>9298</v>
      </c>
      <c r="D603" s="45"/>
      <c r="E603" s="84" t="s">
        <v>5215</v>
      </c>
      <c r="F603" s="84" t="s">
        <v>9299</v>
      </c>
      <c r="G603" s="85" t="s">
        <v>96</v>
      </c>
      <c r="H603" s="87">
        <v>3.29E-4</v>
      </c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</row>
    <row r="604">
      <c r="A604" s="84" t="s">
        <v>9334</v>
      </c>
      <c r="B604" s="45"/>
      <c r="C604" s="84" t="s">
        <v>9335</v>
      </c>
      <c r="D604" s="45"/>
      <c r="E604" s="84" t="s">
        <v>5715</v>
      </c>
      <c r="F604" s="84" t="s">
        <v>5747</v>
      </c>
      <c r="G604" s="85" t="s">
        <v>96</v>
      </c>
      <c r="H604" s="87">
        <v>3.283E-4</v>
      </c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</row>
    <row r="605">
      <c r="A605" s="84" t="s">
        <v>4543</v>
      </c>
      <c r="B605" s="45"/>
      <c r="C605" s="84" t="s">
        <v>9438</v>
      </c>
      <c r="D605" s="45"/>
      <c r="E605" s="84" t="s">
        <v>5431</v>
      </c>
      <c r="F605" s="84" t="s">
        <v>5300</v>
      </c>
      <c r="G605" s="85" t="s">
        <v>96</v>
      </c>
      <c r="H605" s="87">
        <v>3.282E-4</v>
      </c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</row>
    <row r="606">
      <c r="A606" s="84" t="s">
        <v>9408</v>
      </c>
      <c r="B606" s="45"/>
      <c r="C606" s="84" t="s">
        <v>9409</v>
      </c>
      <c r="D606" s="45"/>
      <c r="E606" s="84" t="s">
        <v>5261</v>
      </c>
      <c r="F606" s="84" t="s">
        <v>5836</v>
      </c>
      <c r="G606" s="85" t="s">
        <v>96</v>
      </c>
      <c r="H606" s="87">
        <v>3.257E-4</v>
      </c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</row>
    <row r="607">
      <c r="A607" s="84" t="s">
        <v>9430</v>
      </c>
      <c r="B607" s="45"/>
      <c r="C607" s="84" t="s">
        <v>9431</v>
      </c>
      <c r="D607" s="45"/>
      <c r="E607" s="84" t="s">
        <v>5467</v>
      </c>
      <c r="F607" s="84" t="s">
        <v>8759</v>
      </c>
      <c r="G607" s="85" t="s">
        <v>96</v>
      </c>
      <c r="H607" s="87">
        <v>3.255E-4</v>
      </c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</row>
    <row r="608">
      <c r="A608" s="84" t="s">
        <v>9374</v>
      </c>
      <c r="B608" s="45"/>
      <c r="C608" s="84" t="s">
        <v>9375</v>
      </c>
      <c r="D608" s="45"/>
      <c r="E608" s="84" t="s">
        <v>5229</v>
      </c>
      <c r="F608" s="84" t="s">
        <v>5300</v>
      </c>
      <c r="G608" s="85" t="s">
        <v>96</v>
      </c>
      <c r="H608" s="87">
        <v>3.252E-4</v>
      </c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</row>
    <row r="609">
      <c r="A609" s="84" t="s">
        <v>4515</v>
      </c>
      <c r="B609" s="45"/>
      <c r="C609" s="84" t="s">
        <v>9423</v>
      </c>
      <c r="D609" s="45"/>
      <c r="E609" s="84" t="s">
        <v>5650</v>
      </c>
      <c r="F609" s="84" t="s">
        <v>5300</v>
      </c>
      <c r="G609" s="85" t="s">
        <v>96</v>
      </c>
      <c r="H609" s="87">
        <v>3.232E-4</v>
      </c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</row>
    <row r="610">
      <c r="A610" s="84" t="s">
        <v>9255</v>
      </c>
      <c r="B610" s="45"/>
      <c r="C610" s="84" t="s">
        <v>9256</v>
      </c>
      <c r="D610" s="45"/>
      <c r="E610" s="84" t="s">
        <v>5369</v>
      </c>
      <c r="F610" s="84" t="s">
        <v>8784</v>
      </c>
      <c r="G610" s="85" t="s">
        <v>96</v>
      </c>
      <c r="H610" s="87">
        <v>3.23E-4</v>
      </c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</row>
    <row r="611">
      <c r="A611" s="84" t="s">
        <v>9364</v>
      </c>
      <c r="B611" s="45"/>
      <c r="C611" s="84" t="s">
        <v>9365</v>
      </c>
      <c r="D611" s="45"/>
      <c r="E611" s="84" t="s">
        <v>5232</v>
      </c>
      <c r="F611" s="84" t="s">
        <v>5836</v>
      </c>
      <c r="G611" s="85" t="s">
        <v>96</v>
      </c>
      <c r="H611" s="87">
        <v>3.229E-4</v>
      </c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</row>
    <row r="612">
      <c r="A612" s="84" t="s">
        <v>9329</v>
      </c>
      <c r="B612" s="45"/>
      <c r="C612" s="84" t="s">
        <v>9330</v>
      </c>
      <c r="D612" s="45"/>
      <c r="E612" s="84" t="s">
        <v>5261</v>
      </c>
      <c r="F612" s="84" t="s">
        <v>5300</v>
      </c>
      <c r="G612" s="85" t="s">
        <v>96</v>
      </c>
      <c r="H612" s="87">
        <v>3.229E-4</v>
      </c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</row>
    <row r="613">
      <c r="A613" s="84" t="s">
        <v>4524</v>
      </c>
      <c r="B613" s="45"/>
      <c r="C613" s="84" t="s">
        <v>11441</v>
      </c>
      <c r="D613" s="45"/>
      <c r="E613" s="84" t="s">
        <v>5264</v>
      </c>
      <c r="F613" s="84" t="s">
        <v>5300</v>
      </c>
      <c r="G613" s="85" t="s">
        <v>96</v>
      </c>
      <c r="H613" s="87">
        <v>3.219E-4</v>
      </c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</row>
    <row r="614">
      <c r="A614" s="84" t="s">
        <v>9404</v>
      </c>
      <c r="B614" s="45"/>
      <c r="C614" s="84" t="s">
        <v>9405</v>
      </c>
      <c r="D614" s="45"/>
      <c r="E614" s="84" t="s">
        <v>5561</v>
      </c>
      <c r="F614" s="84" t="s">
        <v>6220</v>
      </c>
      <c r="G614" s="85" t="s">
        <v>96</v>
      </c>
      <c r="H614" s="87">
        <v>3.197E-4</v>
      </c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</row>
    <row r="615">
      <c r="A615" s="84" t="s">
        <v>9372</v>
      </c>
      <c r="B615" s="45"/>
      <c r="C615" s="84" t="s">
        <v>9373</v>
      </c>
      <c r="D615" s="45"/>
      <c r="E615" s="84" t="s">
        <v>5561</v>
      </c>
      <c r="F615" s="84" t="s">
        <v>8784</v>
      </c>
      <c r="G615" s="85" t="s">
        <v>96</v>
      </c>
      <c r="H615" s="87">
        <v>3.185E-4</v>
      </c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</row>
    <row r="616">
      <c r="A616" s="84" t="s">
        <v>4445</v>
      </c>
      <c r="B616" s="45"/>
      <c r="C616" s="84" t="s">
        <v>11442</v>
      </c>
      <c r="D616" s="45"/>
      <c r="E616" s="84" t="s">
        <v>8230</v>
      </c>
      <c r="F616" s="84" t="s">
        <v>5300</v>
      </c>
      <c r="G616" s="85" t="s">
        <v>96</v>
      </c>
      <c r="H616" s="87">
        <v>3.183E-4</v>
      </c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</row>
    <row r="617">
      <c r="A617" s="84" t="s">
        <v>4444</v>
      </c>
      <c r="B617" s="45"/>
      <c r="C617" s="84" t="s">
        <v>9384</v>
      </c>
      <c r="D617" s="45"/>
      <c r="E617" s="84" t="s">
        <v>6487</v>
      </c>
      <c r="F617" s="84" t="s">
        <v>5300</v>
      </c>
      <c r="G617" s="85" t="s">
        <v>96</v>
      </c>
      <c r="H617" s="87">
        <v>3.174E-4</v>
      </c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</row>
    <row r="618">
      <c r="A618" s="84" t="s">
        <v>4521</v>
      </c>
      <c r="B618" s="45"/>
      <c r="C618" s="84" t="s">
        <v>11443</v>
      </c>
      <c r="D618" s="45"/>
      <c r="E618" s="84" t="s">
        <v>6191</v>
      </c>
      <c r="F618" s="84" t="s">
        <v>5300</v>
      </c>
      <c r="G618" s="85" t="s">
        <v>96</v>
      </c>
      <c r="H618" s="87">
        <v>3.164E-4</v>
      </c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</row>
    <row r="619">
      <c r="A619" s="84" t="s">
        <v>4462</v>
      </c>
      <c r="B619" s="45"/>
      <c r="C619" s="84" t="s">
        <v>9358</v>
      </c>
      <c r="D619" s="45"/>
      <c r="E619" s="84" t="s">
        <v>5675</v>
      </c>
      <c r="F619" s="84" t="s">
        <v>5300</v>
      </c>
      <c r="G619" s="85" t="s">
        <v>96</v>
      </c>
      <c r="H619" s="87">
        <v>3.149E-4</v>
      </c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</row>
    <row r="620">
      <c r="A620" s="84" t="s">
        <v>9376</v>
      </c>
      <c r="B620" s="45"/>
      <c r="C620" s="84" t="s">
        <v>9377</v>
      </c>
      <c r="D620" s="45"/>
      <c r="E620" s="84" t="s">
        <v>5434</v>
      </c>
      <c r="F620" s="84" t="s">
        <v>8784</v>
      </c>
      <c r="G620" s="85" t="s">
        <v>96</v>
      </c>
      <c r="H620" s="87">
        <v>3.133E-4</v>
      </c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</row>
    <row r="621">
      <c r="A621" s="84" t="s">
        <v>11444</v>
      </c>
      <c r="B621" s="45"/>
      <c r="C621" s="84" t="s">
        <v>11445</v>
      </c>
      <c r="D621" s="45"/>
      <c r="E621" s="84" t="s">
        <v>6110</v>
      </c>
      <c r="F621" s="84" t="s">
        <v>8784</v>
      </c>
      <c r="G621" s="85" t="s">
        <v>96</v>
      </c>
      <c r="H621" s="87">
        <v>3.13E-4</v>
      </c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</row>
    <row r="622">
      <c r="A622" s="84" t="s">
        <v>9337</v>
      </c>
      <c r="B622" s="45"/>
      <c r="C622" s="84" t="s">
        <v>9338</v>
      </c>
      <c r="D622" s="45"/>
      <c r="E622" s="84" t="s">
        <v>5374</v>
      </c>
      <c r="F622" s="84" t="s">
        <v>5300</v>
      </c>
      <c r="G622" s="85" t="s">
        <v>96</v>
      </c>
      <c r="H622" s="87">
        <v>3.128E-4</v>
      </c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</row>
    <row r="623">
      <c r="A623" s="84" t="s">
        <v>9427</v>
      </c>
      <c r="B623" s="45"/>
      <c r="C623" s="84" t="s">
        <v>9428</v>
      </c>
      <c r="D623" s="45"/>
      <c r="E623" s="84" t="s">
        <v>6327</v>
      </c>
      <c r="F623" s="84" t="s">
        <v>4153</v>
      </c>
      <c r="G623" s="85" t="s">
        <v>96</v>
      </c>
      <c r="H623" s="87">
        <v>3.127E-4</v>
      </c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</row>
    <row r="624">
      <c r="A624" s="84" t="s">
        <v>4449</v>
      </c>
      <c r="B624" s="45"/>
      <c r="C624" s="84" t="s">
        <v>9378</v>
      </c>
      <c r="D624" s="45"/>
      <c r="E624" s="84" t="s">
        <v>5445</v>
      </c>
      <c r="F624" s="84" t="s">
        <v>5300</v>
      </c>
      <c r="G624" s="85" t="s">
        <v>96</v>
      </c>
      <c r="H624" s="87">
        <v>3.126E-4</v>
      </c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</row>
    <row r="625">
      <c r="A625" s="84" t="s">
        <v>4441</v>
      </c>
      <c r="B625" s="45"/>
      <c r="C625" s="84" t="s">
        <v>11446</v>
      </c>
      <c r="D625" s="45"/>
      <c r="E625" s="84" t="s">
        <v>5311</v>
      </c>
      <c r="F625" s="84" t="s">
        <v>5300</v>
      </c>
      <c r="G625" s="85" t="s">
        <v>96</v>
      </c>
      <c r="H625" s="87">
        <v>3.126E-4</v>
      </c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</row>
    <row r="626">
      <c r="A626" s="84" t="s">
        <v>4493</v>
      </c>
      <c r="B626" s="45"/>
      <c r="C626" s="84" t="s">
        <v>9461</v>
      </c>
      <c r="D626" s="45"/>
      <c r="E626" s="84" t="s">
        <v>5246</v>
      </c>
      <c r="F626" s="84" t="s">
        <v>5300</v>
      </c>
      <c r="G626" s="85" t="s">
        <v>96</v>
      </c>
      <c r="H626" s="87">
        <v>3.12E-4</v>
      </c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</row>
    <row r="627">
      <c r="A627" s="84" t="s">
        <v>11447</v>
      </c>
      <c r="B627" s="45"/>
      <c r="C627" s="84" t="s">
        <v>11448</v>
      </c>
      <c r="D627" s="45"/>
      <c r="E627" s="84" t="s">
        <v>5462</v>
      </c>
      <c r="F627" s="84" t="s">
        <v>5836</v>
      </c>
      <c r="G627" s="85" t="s">
        <v>96</v>
      </c>
      <c r="H627" s="87">
        <v>3.113E-4</v>
      </c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</row>
    <row r="628">
      <c r="A628" s="84" t="s">
        <v>4467</v>
      </c>
      <c r="B628" s="45"/>
      <c r="C628" s="84" t="s">
        <v>11449</v>
      </c>
      <c r="D628" s="45"/>
      <c r="E628" s="84" t="s">
        <v>5311</v>
      </c>
      <c r="F628" s="84" t="s">
        <v>5836</v>
      </c>
      <c r="G628" s="85" t="s">
        <v>96</v>
      </c>
      <c r="H628" s="87">
        <v>3.112E-4</v>
      </c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</row>
    <row r="629">
      <c r="A629" s="84" t="s">
        <v>9388</v>
      </c>
      <c r="B629" s="45"/>
      <c r="C629" s="84" t="s">
        <v>9389</v>
      </c>
      <c r="D629" s="45"/>
      <c r="E629" s="84" t="s">
        <v>5271</v>
      </c>
      <c r="F629" s="84" t="s">
        <v>5425</v>
      </c>
      <c r="G629" s="85" t="s">
        <v>96</v>
      </c>
      <c r="H629" s="87">
        <v>3.111E-4</v>
      </c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</row>
    <row r="630">
      <c r="A630" s="84" t="s">
        <v>9424</v>
      </c>
      <c r="B630" s="45"/>
      <c r="C630" s="84" t="s">
        <v>9425</v>
      </c>
      <c r="D630" s="45"/>
      <c r="E630" s="84" t="s">
        <v>6009</v>
      </c>
      <c r="F630" s="84" t="s">
        <v>8784</v>
      </c>
      <c r="G630" s="85" t="s">
        <v>96</v>
      </c>
      <c r="H630" s="87">
        <v>3.106E-4</v>
      </c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</row>
    <row r="631">
      <c r="A631" s="84" t="s">
        <v>4533</v>
      </c>
      <c r="B631" s="45"/>
      <c r="C631" s="84" t="s">
        <v>9391</v>
      </c>
      <c r="D631" s="45"/>
      <c r="E631" s="84" t="s">
        <v>5215</v>
      </c>
      <c r="F631" s="84" t="s">
        <v>5300</v>
      </c>
      <c r="G631" s="85" t="s">
        <v>96</v>
      </c>
      <c r="H631" s="87">
        <v>3.102E-4</v>
      </c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</row>
    <row r="632">
      <c r="A632" s="84" t="s">
        <v>4522</v>
      </c>
      <c r="B632" s="45"/>
      <c r="C632" s="84" t="s">
        <v>9381</v>
      </c>
      <c r="D632" s="45"/>
      <c r="E632" s="84" t="s">
        <v>5742</v>
      </c>
      <c r="F632" s="84" t="s">
        <v>5300</v>
      </c>
      <c r="G632" s="85" t="s">
        <v>96</v>
      </c>
      <c r="H632" s="87">
        <v>3.092E-4</v>
      </c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</row>
    <row r="633">
      <c r="A633" s="84" t="s">
        <v>9398</v>
      </c>
      <c r="B633" s="45"/>
      <c r="C633" s="84" t="s">
        <v>9399</v>
      </c>
      <c r="D633" s="45"/>
      <c r="E633" s="84" t="s">
        <v>6801</v>
      </c>
      <c r="F633" s="84" t="s">
        <v>8784</v>
      </c>
      <c r="G633" s="85" t="s">
        <v>96</v>
      </c>
      <c r="H633" s="87">
        <v>3.089E-4</v>
      </c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</row>
    <row r="634">
      <c r="A634" s="84" t="s">
        <v>9440</v>
      </c>
      <c r="B634" s="45"/>
      <c r="C634" s="84" t="s">
        <v>9441</v>
      </c>
      <c r="D634" s="45"/>
      <c r="E634" s="84" t="s">
        <v>6130</v>
      </c>
      <c r="F634" s="84" t="s">
        <v>4153</v>
      </c>
      <c r="G634" s="85" t="s">
        <v>96</v>
      </c>
      <c r="H634" s="87">
        <v>3.084E-4</v>
      </c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</row>
    <row r="635">
      <c r="A635" s="84" t="s">
        <v>9366</v>
      </c>
      <c r="B635" s="45"/>
      <c r="C635" s="84" t="s">
        <v>9367</v>
      </c>
      <c r="D635" s="45"/>
      <c r="E635" s="84" t="s">
        <v>5276</v>
      </c>
      <c r="F635" s="84" t="s">
        <v>5300</v>
      </c>
      <c r="G635" s="85" t="s">
        <v>96</v>
      </c>
      <c r="H635" s="87">
        <v>3.084E-4</v>
      </c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</row>
    <row r="636">
      <c r="A636" s="84" t="s">
        <v>9370</v>
      </c>
      <c r="B636" s="45"/>
      <c r="C636" s="84" t="s">
        <v>9371</v>
      </c>
      <c r="D636" s="45"/>
      <c r="E636" s="84" t="s">
        <v>5961</v>
      </c>
      <c r="F636" s="84" t="s">
        <v>8784</v>
      </c>
      <c r="G636" s="85" t="s">
        <v>96</v>
      </c>
      <c r="H636" s="87">
        <v>3.073E-4</v>
      </c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</row>
    <row r="637">
      <c r="A637" s="84" t="s">
        <v>4536</v>
      </c>
      <c r="B637" s="45"/>
      <c r="C637" s="84" t="s">
        <v>9395</v>
      </c>
      <c r="D637" s="45"/>
      <c r="E637" s="84" t="s">
        <v>5715</v>
      </c>
      <c r="F637" s="84" t="s">
        <v>5300</v>
      </c>
      <c r="G637" s="85" t="s">
        <v>96</v>
      </c>
      <c r="H637" s="87">
        <v>3.058E-4</v>
      </c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</row>
    <row r="638">
      <c r="A638" s="84" t="s">
        <v>9410</v>
      </c>
      <c r="B638" s="45"/>
      <c r="C638" s="84" t="s">
        <v>9411</v>
      </c>
      <c r="D638" s="45"/>
      <c r="E638" s="84" t="s">
        <v>5478</v>
      </c>
      <c r="F638" s="84" t="s">
        <v>5300</v>
      </c>
      <c r="G638" s="85" t="s">
        <v>96</v>
      </c>
      <c r="H638" s="87">
        <v>3.058E-4</v>
      </c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</row>
    <row r="639">
      <c r="A639" s="84" t="s">
        <v>4489</v>
      </c>
      <c r="B639" s="45"/>
      <c r="C639" s="84" t="s">
        <v>9418</v>
      </c>
      <c r="D639" s="45"/>
      <c r="E639" s="84" t="s">
        <v>5229</v>
      </c>
      <c r="F639" s="84" t="s">
        <v>5300</v>
      </c>
      <c r="G639" s="85" t="s">
        <v>96</v>
      </c>
      <c r="H639" s="87">
        <v>3.055E-4</v>
      </c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</row>
    <row r="640">
      <c r="A640" s="84" t="s">
        <v>4514</v>
      </c>
      <c r="B640" s="45"/>
      <c r="C640" s="84" t="s">
        <v>9429</v>
      </c>
      <c r="D640" s="45"/>
      <c r="E640" s="84" t="s">
        <v>6249</v>
      </c>
      <c r="F640" s="84" t="s">
        <v>5300</v>
      </c>
      <c r="G640" s="85" t="s">
        <v>96</v>
      </c>
      <c r="H640" s="87">
        <v>3.046E-4</v>
      </c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</row>
    <row r="641">
      <c r="A641" s="84" t="s">
        <v>4512</v>
      </c>
      <c r="B641" s="45"/>
      <c r="C641" s="84" t="s">
        <v>9420</v>
      </c>
      <c r="D641" s="45"/>
      <c r="E641" s="84" t="s">
        <v>8230</v>
      </c>
      <c r="F641" s="84" t="s">
        <v>5300</v>
      </c>
      <c r="G641" s="85" t="s">
        <v>96</v>
      </c>
      <c r="H641" s="87">
        <v>3.038E-4</v>
      </c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</row>
    <row r="642">
      <c r="A642" s="84" t="s">
        <v>4526</v>
      </c>
      <c r="B642" s="45"/>
      <c r="C642" s="84" t="s">
        <v>9383</v>
      </c>
      <c r="D642" s="45"/>
      <c r="E642" s="84" t="s">
        <v>5321</v>
      </c>
      <c r="F642" s="84" t="s">
        <v>5300</v>
      </c>
      <c r="G642" s="85" t="s">
        <v>96</v>
      </c>
      <c r="H642" s="87">
        <v>3.037E-4</v>
      </c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</row>
    <row r="643">
      <c r="A643" s="84" t="s">
        <v>9406</v>
      </c>
      <c r="B643" s="45"/>
      <c r="C643" s="84" t="s">
        <v>9407</v>
      </c>
      <c r="D643" s="45"/>
      <c r="E643" s="84" t="s">
        <v>5326</v>
      </c>
      <c r="F643" s="84" t="s">
        <v>5300</v>
      </c>
      <c r="G643" s="85" t="s">
        <v>96</v>
      </c>
      <c r="H643" s="87">
        <v>3.036E-4</v>
      </c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</row>
    <row r="644">
      <c r="A644" s="84" t="s">
        <v>9480</v>
      </c>
      <c r="B644" s="45"/>
      <c r="C644" s="84" t="s">
        <v>9481</v>
      </c>
      <c r="D644" s="45"/>
      <c r="E644" s="84" t="s">
        <v>5501</v>
      </c>
      <c r="F644" s="84" t="s">
        <v>5836</v>
      </c>
      <c r="G644" s="85" t="s">
        <v>96</v>
      </c>
      <c r="H644" s="87">
        <v>3.032E-4</v>
      </c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</row>
    <row r="645">
      <c r="A645" s="84" t="s">
        <v>9535</v>
      </c>
      <c r="B645" s="45"/>
      <c r="C645" s="84" t="s">
        <v>9252</v>
      </c>
      <c r="D645" s="45"/>
      <c r="E645" s="84" t="s">
        <v>5978</v>
      </c>
      <c r="F645" s="84" t="s">
        <v>6988</v>
      </c>
      <c r="G645" s="85" t="s">
        <v>96</v>
      </c>
      <c r="H645" s="87">
        <v>3.026E-4</v>
      </c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</row>
    <row r="646">
      <c r="A646" s="84" t="s">
        <v>4516</v>
      </c>
      <c r="B646" s="45"/>
      <c r="C646" s="84" t="s">
        <v>9415</v>
      </c>
      <c r="D646" s="45"/>
      <c r="E646" s="84" t="s">
        <v>5434</v>
      </c>
      <c r="F646" s="84" t="s">
        <v>5300</v>
      </c>
      <c r="G646" s="85" t="s">
        <v>96</v>
      </c>
      <c r="H646" s="87">
        <v>3.024E-4</v>
      </c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</row>
    <row r="647">
      <c r="A647" s="84" t="s">
        <v>11450</v>
      </c>
      <c r="B647" s="45"/>
      <c r="C647" s="84" t="s">
        <v>11451</v>
      </c>
      <c r="D647" s="45"/>
      <c r="E647" s="84" t="s">
        <v>5377</v>
      </c>
      <c r="F647" s="84" t="s">
        <v>5836</v>
      </c>
      <c r="G647" s="85" t="s">
        <v>96</v>
      </c>
      <c r="H647" s="87">
        <v>3.019E-4</v>
      </c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</row>
    <row r="648">
      <c r="A648" s="84" t="s">
        <v>4523</v>
      </c>
      <c r="B648" s="45"/>
      <c r="C648" s="84" t="s">
        <v>9426</v>
      </c>
      <c r="D648" s="45"/>
      <c r="E648" s="84" t="s">
        <v>9039</v>
      </c>
      <c r="F648" s="84" t="s">
        <v>5300</v>
      </c>
      <c r="G648" s="85" t="s">
        <v>96</v>
      </c>
      <c r="H648" s="87">
        <v>3.015E-4</v>
      </c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</row>
    <row r="649">
      <c r="A649" s="84" t="s">
        <v>9309</v>
      </c>
      <c r="B649" s="45"/>
      <c r="C649" s="84" t="s">
        <v>9310</v>
      </c>
      <c r="D649" s="45"/>
      <c r="E649" s="84" t="s">
        <v>5369</v>
      </c>
      <c r="F649" s="84" t="s">
        <v>8784</v>
      </c>
      <c r="G649" s="85" t="s">
        <v>96</v>
      </c>
      <c r="H649" s="87">
        <v>3.011E-4</v>
      </c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</row>
    <row r="650">
      <c r="A650" s="84" t="s">
        <v>4506</v>
      </c>
      <c r="B650" s="45"/>
      <c r="C650" s="84" t="s">
        <v>9390</v>
      </c>
      <c r="D650" s="45"/>
      <c r="E650" s="84" t="s">
        <v>5811</v>
      </c>
      <c r="F650" s="84" t="s">
        <v>5300</v>
      </c>
      <c r="G650" s="85" t="s">
        <v>96</v>
      </c>
      <c r="H650" s="87">
        <v>3.005E-4</v>
      </c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</row>
    <row r="651">
      <c r="A651" s="84" t="s">
        <v>11452</v>
      </c>
      <c r="B651" s="45"/>
      <c r="C651" s="84" t="s">
        <v>11453</v>
      </c>
      <c r="D651" s="45"/>
      <c r="E651" s="84" t="s">
        <v>5855</v>
      </c>
      <c r="F651" s="84" t="s">
        <v>5300</v>
      </c>
      <c r="G651" s="85" t="s">
        <v>96</v>
      </c>
      <c r="H651" s="87">
        <v>2.994E-4</v>
      </c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</row>
    <row r="652">
      <c r="A652" s="84" t="s">
        <v>9492</v>
      </c>
      <c r="B652" s="45"/>
      <c r="C652" s="84" t="s">
        <v>9493</v>
      </c>
      <c r="D652" s="45"/>
      <c r="E652" s="84" t="s">
        <v>5756</v>
      </c>
      <c r="F652" s="84" t="s">
        <v>8759</v>
      </c>
      <c r="G652" s="85" t="s">
        <v>96</v>
      </c>
      <c r="H652" s="87">
        <v>2.983E-4</v>
      </c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</row>
    <row r="653">
      <c r="A653" s="84" t="s">
        <v>11454</v>
      </c>
      <c r="B653" s="45"/>
      <c r="C653" s="84" t="s">
        <v>11455</v>
      </c>
      <c r="D653" s="45"/>
      <c r="E653" s="84" t="s">
        <v>5226</v>
      </c>
      <c r="F653" s="84" t="s">
        <v>5836</v>
      </c>
      <c r="G653" s="85" t="s">
        <v>96</v>
      </c>
      <c r="H653" s="87">
        <v>2.974E-4</v>
      </c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</row>
    <row r="654">
      <c r="A654" s="84" t="s">
        <v>9490</v>
      </c>
      <c r="B654" s="45"/>
      <c r="C654" s="84" t="s">
        <v>9491</v>
      </c>
      <c r="D654" s="45"/>
      <c r="E654" s="84" t="s">
        <v>5235</v>
      </c>
      <c r="F654" s="84" t="s">
        <v>5941</v>
      </c>
      <c r="G654" s="85" t="s">
        <v>96</v>
      </c>
      <c r="H654" s="87">
        <v>2.971E-4</v>
      </c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</row>
    <row r="655">
      <c r="A655" s="84" t="s">
        <v>4476</v>
      </c>
      <c r="B655" s="45"/>
      <c r="C655" s="84" t="s">
        <v>9419</v>
      </c>
      <c r="D655" s="45"/>
      <c r="E655" s="84" t="s">
        <v>7260</v>
      </c>
      <c r="F655" s="84" t="s">
        <v>5300</v>
      </c>
      <c r="G655" s="85" t="s">
        <v>96</v>
      </c>
      <c r="H655" s="87">
        <v>2.96E-4</v>
      </c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</row>
    <row r="656">
      <c r="A656" s="84" t="s">
        <v>4481</v>
      </c>
      <c r="B656" s="45"/>
      <c r="C656" s="84" t="s">
        <v>9403</v>
      </c>
      <c r="D656" s="45"/>
      <c r="E656" s="84" t="s">
        <v>5261</v>
      </c>
      <c r="F656" s="84" t="s">
        <v>5300</v>
      </c>
      <c r="G656" s="85" t="s">
        <v>96</v>
      </c>
      <c r="H656" s="87">
        <v>2.952E-4</v>
      </c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</row>
    <row r="657">
      <c r="A657" s="84" t="s">
        <v>9469</v>
      </c>
      <c r="B657" s="45"/>
      <c r="C657" s="84" t="s">
        <v>9470</v>
      </c>
      <c r="D657" s="45"/>
      <c r="E657" s="84" t="s">
        <v>5235</v>
      </c>
      <c r="F657" s="84" t="s">
        <v>8759</v>
      </c>
      <c r="G657" s="85" t="s">
        <v>96</v>
      </c>
      <c r="H657" s="87">
        <v>2.951E-4</v>
      </c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</row>
    <row r="658">
      <c r="A658" s="84" t="s">
        <v>4560</v>
      </c>
      <c r="B658" s="45"/>
      <c r="C658" s="84" t="s">
        <v>9436</v>
      </c>
      <c r="D658" s="45"/>
      <c r="E658" s="84" t="s">
        <v>5407</v>
      </c>
      <c r="F658" s="84" t="s">
        <v>5300</v>
      </c>
      <c r="G658" s="85" t="s">
        <v>96</v>
      </c>
      <c r="H658" s="87">
        <v>2.95E-4</v>
      </c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</row>
    <row r="659">
      <c r="A659" s="84" t="s">
        <v>4485</v>
      </c>
      <c r="B659" s="45"/>
      <c r="C659" s="84" t="s">
        <v>11456</v>
      </c>
      <c r="D659" s="45"/>
      <c r="E659" s="84" t="s">
        <v>5226</v>
      </c>
      <c r="F659" s="84" t="s">
        <v>5300</v>
      </c>
      <c r="G659" s="85" t="s">
        <v>96</v>
      </c>
      <c r="H659" s="87">
        <v>2.947E-4</v>
      </c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</row>
    <row r="660">
      <c r="A660" s="84" t="s">
        <v>4518</v>
      </c>
      <c r="B660" s="45"/>
      <c r="C660" s="84" t="s">
        <v>11457</v>
      </c>
      <c r="D660" s="45"/>
      <c r="E660" s="84" t="s">
        <v>6759</v>
      </c>
      <c r="F660" s="84" t="s">
        <v>5300</v>
      </c>
      <c r="G660" s="85" t="s">
        <v>96</v>
      </c>
      <c r="H660" s="87">
        <v>2.943E-4</v>
      </c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</row>
    <row r="661">
      <c r="A661" s="84" t="s">
        <v>9396</v>
      </c>
      <c r="B661" s="45"/>
      <c r="C661" s="84" t="s">
        <v>9397</v>
      </c>
      <c r="D661" s="45"/>
      <c r="E661" s="84" t="s">
        <v>5215</v>
      </c>
      <c r="F661" s="84" t="s">
        <v>5425</v>
      </c>
      <c r="G661" s="85" t="s">
        <v>96</v>
      </c>
      <c r="H661" s="87">
        <v>2.939E-4</v>
      </c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</row>
    <row r="662">
      <c r="A662" s="84" t="s">
        <v>11458</v>
      </c>
      <c r="B662" s="45"/>
      <c r="C662" s="84" t="s">
        <v>11459</v>
      </c>
      <c r="D662" s="45"/>
      <c r="E662" s="84" t="s">
        <v>6238</v>
      </c>
      <c r="F662" s="84" t="s">
        <v>8767</v>
      </c>
      <c r="G662" s="85" t="s">
        <v>96</v>
      </c>
      <c r="H662" s="87">
        <v>2.923E-4</v>
      </c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</row>
    <row r="663">
      <c r="A663" s="84" t="s">
        <v>9452</v>
      </c>
      <c r="B663" s="45"/>
      <c r="C663" s="84" t="s">
        <v>9453</v>
      </c>
      <c r="D663" s="45"/>
      <c r="E663" s="84" t="s">
        <v>5218</v>
      </c>
      <c r="F663" s="84" t="s">
        <v>5300</v>
      </c>
      <c r="G663" s="85" t="s">
        <v>96</v>
      </c>
      <c r="H663" s="87">
        <v>2.922E-4</v>
      </c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</row>
    <row r="664">
      <c r="A664" s="84" t="s">
        <v>9401</v>
      </c>
      <c r="B664" s="45"/>
      <c r="C664" s="84" t="s">
        <v>9402</v>
      </c>
      <c r="D664" s="45"/>
      <c r="E664" s="84" t="s">
        <v>5964</v>
      </c>
      <c r="F664" s="84" t="s">
        <v>5300</v>
      </c>
      <c r="G664" s="85" t="s">
        <v>96</v>
      </c>
      <c r="H664" s="87">
        <v>2.913E-4</v>
      </c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</row>
    <row r="665">
      <c r="A665" s="84" t="s">
        <v>9531</v>
      </c>
      <c r="B665" s="45"/>
      <c r="C665" s="84" t="s">
        <v>9532</v>
      </c>
      <c r="D665" s="45"/>
      <c r="E665" s="84" t="s">
        <v>5561</v>
      </c>
      <c r="F665" s="84" t="s">
        <v>4095</v>
      </c>
      <c r="G665" s="85" t="s">
        <v>96</v>
      </c>
      <c r="H665" s="87">
        <v>2.911E-4</v>
      </c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</row>
    <row r="666">
      <c r="A666" s="84" t="s">
        <v>9522</v>
      </c>
      <c r="B666" s="45"/>
      <c r="C666" s="84" t="s">
        <v>9523</v>
      </c>
      <c r="D666" s="45"/>
      <c r="E666" s="84" t="s">
        <v>5215</v>
      </c>
      <c r="F666" s="84" t="s">
        <v>4436</v>
      </c>
      <c r="G666" s="85" t="s">
        <v>96</v>
      </c>
      <c r="H666" s="87">
        <v>2.902E-4</v>
      </c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</row>
    <row r="667">
      <c r="A667" s="84" t="s">
        <v>4496</v>
      </c>
      <c r="B667" s="45"/>
      <c r="C667" s="84" t="s">
        <v>9451</v>
      </c>
      <c r="D667" s="45"/>
      <c r="E667" s="84" t="s">
        <v>5276</v>
      </c>
      <c r="F667" s="84" t="s">
        <v>5300</v>
      </c>
      <c r="G667" s="85" t="s">
        <v>96</v>
      </c>
      <c r="H667" s="87">
        <v>2.901E-4</v>
      </c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</row>
    <row r="668">
      <c r="A668" s="84" t="s">
        <v>9463</v>
      </c>
      <c r="B668" s="45"/>
      <c r="C668" s="84" t="s">
        <v>9464</v>
      </c>
      <c r="D668" s="45"/>
      <c r="E668" s="84" t="s">
        <v>5445</v>
      </c>
      <c r="F668" s="84" t="s">
        <v>5747</v>
      </c>
      <c r="G668" s="85" t="s">
        <v>96</v>
      </c>
      <c r="H668" s="87">
        <v>2.901E-4</v>
      </c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</row>
    <row r="669">
      <c r="A669" s="84" t="s">
        <v>4479</v>
      </c>
      <c r="B669" s="45"/>
      <c r="C669" s="84" t="s">
        <v>9465</v>
      </c>
      <c r="D669" s="45"/>
      <c r="E669" s="84" t="s">
        <v>5276</v>
      </c>
      <c r="F669" s="84" t="s">
        <v>5300</v>
      </c>
      <c r="G669" s="85" t="s">
        <v>96</v>
      </c>
      <c r="H669" s="87">
        <v>2.9E-4</v>
      </c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</row>
    <row r="670">
      <c r="A670" s="84" t="s">
        <v>11460</v>
      </c>
      <c r="B670" s="45"/>
      <c r="C670" s="84" t="s">
        <v>11461</v>
      </c>
      <c r="D670" s="45"/>
      <c r="E670" s="84" t="s">
        <v>5742</v>
      </c>
      <c r="F670" s="84" t="s">
        <v>5300</v>
      </c>
      <c r="G670" s="85" t="s">
        <v>96</v>
      </c>
      <c r="H670" s="87">
        <v>2.898E-4</v>
      </c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</row>
    <row r="671">
      <c r="A671" s="84" t="s">
        <v>9379</v>
      </c>
      <c r="B671" s="45"/>
      <c r="C671" s="84" t="s">
        <v>9380</v>
      </c>
      <c r="D671" s="45"/>
      <c r="E671" s="84" t="s">
        <v>5276</v>
      </c>
      <c r="F671" s="84" t="s">
        <v>5300</v>
      </c>
      <c r="G671" s="85" t="s">
        <v>96</v>
      </c>
      <c r="H671" s="87">
        <v>2.889E-4</v>
      </c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</row>
    <row r="672">
      <c r="A672" s="84" t="s">
        <v>5278</v>
      </c>
      <c r="B672" s="45"/>
      <c r="C672" s="84" t="s">
        <v>9460</v>
      </c>
      <c r="D672" s="45"/>
      <c r="E672" s="84" t="s">
        <v>5283</v>
      </c>
      <c r="F672" s="84" t="s">
        <v>4095</v>
      </c>
      <c r="G672" s="85" t="s">
        <v>96</v>
      </c>
      <c r="H672" s="87">
        <v>2.889E-4</v>
      </c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</row>
    <row r="673">
      <c r="A673" s="84" t="s">
        <v>4500</v>
      </c>
      <c r="B673" s="45"/>
      <c r="C673" s="84" t="s">
        <v>9439</v>
      </c>
      <c r="D673" s="45"/>
      <c r="E673" s="84" t="s">
        <v>8230</v>
      </c>
      <c r="F673" s="84" t="s">
        <v>5300</v>
      </c>
      <c r="G673" s="85" t="s">
        <v>96</v>
      </c>
      <c r="H673" s="87">
        <v>2.881E-4</v>
      </c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</row>
    <row r="674">
      <c r="A674" s="84" t="s">
        <v>11462</v>
      </c>
      <c r="B674" s="45"/>
      <c r="C674" s="84" t="s">
        <v>11463</v>
      </c>
      <c r="D674" s="45"/>
      <c r="E674" s="84" t="s">
        <v>5395</v>
      </c>
      <c r="F674" s="84" t="s">
        <v>5300</v>
      </c>
      <c r="G674" s="85" t="s">
        <v>96</v>
      </c>
      <c r="H674" s="87">
        <v>2.875E-4</v>
      </c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</row>
    <row r="675">
      <c r="A675" s="84" t="s">
        <v>11464</v>
      </c>
      <c r="B675" s="45"/>
      <c r="C675" s="84" t="s">
        <v>11465</v>
      </c>
      <c r="D675" s="45"/>
      <c r="E675" s="84" t="s">
        <v>5377</v>
      </c>
      <c r="F675" s="84" t="s">
        <v>6988</v>
      </c>
      <c r="G675" s="85" t="s">
        <v>96</v>
      </c>
      <c r="H675" s="87">
        <v>2.87E-4</v>
      </c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</row>
    <row r="676">
      <c r="A676" s="84" t="s">
        <v>11466</v>
      </c>
      <c r="B676" s="45"/>
      <c r="C676" s="84" t="s">
        <v>11467</v>
      </c>
      <c r="D676" s="45"/>
      <c r="E676" s="84" t="s">
        <v>5215</v>
      </c>
      <c r="F676" s="84" t="s">
        <v>8767</v>
      </c>
      <c r="G676" s="85" t="s">
        <v>96</v>
      </c>
      <c r="H676" s="87">
        <v>2.868E-4</v>
      </c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</row>
    <row r="677">
      <c r="A677" s="84" t="s">
        <v>4483</v>
      </c>
      <c r="B677" s="45"/>
      <c r="C677" s="84" t="s">
        <v>9473</v>
      </c>
      <c r="D677" s="45"/>
      <c r="E677" s="84" t="s">
        <v>5550</v>
      </c>
      <c r="F677" s="84" t="s">
        <v>6210</v>
      </c>
      <c r="G677" s="85" t="s">
        <v>96</v>
      </c>
      <c r="H677" s="87">
        <v>2.864E-4</v>
      </c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</row>
    <row r="678">
      <c r="A678" s="84" t="s">
        <v>9539</v>
      </c>
      <c r="B678" s="45"/>
      <c r="C678" s="84" t="s">
        <v>9540</v>
      </c>
      <c r="D678" s="45"/>
      <c r="E678" s="84" t="s">
        <v>5742</v>
      </c>
      <c r="F678" s="84" t="s">
        <v>8784</v>
      </c>
      <c r="G678" s="85" t="s">
        <v>96</v>
      </c>
      <c r="H678" s="87">
        <v>2.86E-4</v>
      </c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</row>
    <row r="679">
      <c r="A679" s="84" t="s">
        <v>9445</v>
      </c>
      <c r="B679" s="45"/>
      <c r="C679" s="84" t="s">
        <v>9446</v>
      </c>
      <c r="D679" s="45"/>
      <c r="E679" s="84" t="s">
        <v>5321</v>
      </c>
      <c r="F679" s="84" t="s">
        <v>5300</v>
      </c>
      <c r="G679" s="85" t="s">
        <v>96</v>
      </c>
      <c r="H679" s="87">
        <v>2.859E-4</v>
      </c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</row>
    <row r="680">
      <c r="A680" s="84" t="s">
        <v>11468</v>
      </c>
      <c r="B680" s="45"/>
      <c r="C680" s="84" t="s">
        <v>11469</v>
      </c>
      <c r="D680" s="45"/>
      <c r="E680" s="84" t="s">
        <v>5267</v>
      </c>
      <c r="F680" s="84" t="s">
        <v>5300</v>
      </c>
      <c r="G680" s="85" t="s">
        <v>96</v>
      </c>
      <c r="H680" s="87">
        <v>2.852E-4</v>
      </c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</row>
    <row r="681">
      <c r="A681" s="84" t="s">
        <v>4501</v>
      </c>
      <c r="B681" s="45"/>
      <c r="C681" s="84" t="s">
        <v>9450</v>
      </c>
      <c r="D681" s="45"/>
      <c r="E681" s="84" t="s">
        <v>5261</v>
      </c>
      <c r="F681" s="84" t="s">
        <v>5300</v>
      </c>
      <c r="G681" s="85" t="s">
        <v>96</v>
      </c>
      <c r="H681" s="87">
        <v>2.849E-4</v>
      </c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</row>
    <row r="682">
      <c r="A682" s="84" t="s">
        <v>4570</v>
      </c>
      <c r="B682" s="45"/>
      <c r="C682" s="84" t="s">
        <v>9474</v>
      </c>
      <c r="D682" s="45"/>
      <c r="E682" s="84" t="s">
        <v>5434</v>
      </c>
      <c r="F682" s="84" t="s">
        <v>5300</v>
      </c>
      <c r="G682" s="85" t="s">
        <v>96</v>
      </c>
      <c r="H682" s="87">
        <v>2.849E-4</v>
      </c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</row>
    <row r="683">
      <c r="A683" s="84" t="s">
        <v>4487</v>
      </c>
      <c r="B683" s="45"/>
      <c r="C683" s="84" t="s">
        <v>9444</v>
      </c>
      <c r="D683" s="45"/>
      <c r="E683" s="84" t="s">
        <v>5525</v>
      </c>
      <c r="F683" s="84" t="s">
        <v>5300</v>
      </c>
      <c r="G683" s="85" t="s">
        <v>96</v>
      </c>
      <c r="H683" s="87">
        <v>2.849E-4</v>
      </c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</row>
    <row r="684">
      <c r="A684" s="84" t="s">
        <v>9416</v>
      </c>
      <c r="B684" s="45"/>
      <c r="C684" s="84" t="s">
        <v>9417</v>
      </c>
      <c r="D684" s="45"/>
      <c r="E684" s="84" t="s">
        <v>5218</v>
      </c>
      <c r="F684" s="84" t="s">
        <v>8784</v>
      </c>
      <c r="G684" s="85" t="s">
        <v>96</v>
      </c>
      <c r="H684" s="87">
        <v>2.843E-4</v>
      </c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</row>
    <row r="685">
      <c r="A685" s="84" t="s">
        <v>11470</v>
      </c>
      <c r="B685" s="45"/>
      <c r="C685" s="84" t="s">
        <v>11471</v>
      </c>
      <c r="D685" s="45"/>
      <c r="E685" s="84" t="s">
        <v>5229</v>
      </c>
      <c r="F685" s="84" t="s">
        <v>5300</v>
      </c>
      <c r="G685" s="85" t="s">
        <v>96</v>
      </c>
      <c r="H685" s="87">
        <v>2.843E-4</v>
      </c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</row>
    <row r="686">
      <c r="A686" s="84" t="s">
        <v>9524</v>
      </c>
      <c r="B686" s="45"/>
      <c r="C686" s="84" t="s">
        <v>9525</v>
      </c>
      <c r="D686" s="45"/>
      <c r="E686" s="84" t="s">
        <v>5978</v>
      </c>
      <c r="F686" s="84" t="s">
        <v>5300</v>
      </c>
      <c r="G686" s="85" t="s">
        <v>96</v>
      </c>
      <c r="H686" s="87">
        <v>2.837E-4</v>
      </c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</row>
    <row r="687">
      <c r="A687" s="84" t="s">
        <v>9442</v>
      </c>
      <c r="B687" s="45"/>
      <c r="C687" s="84" t="s">
        <v>9443</v>
      </c>
      <c r="D687" s="45"/>
      <c r="E687" s="84" t="s">
        <v>9189</v>
      </c>
      <c r="F687" s="84" t="s">
        <v>8784</v>
      </c>
      <c r="G687" s="85" t="s">
        <v>96</v>
      </c>
      <c r="H687" s="87">
        <v>2.836E-4</v>
      </c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</row>
    <row r="688">
      <c r="A688" s="84" t="s">
        <v>11472</v>
      </c>
      <c r="B688" s="45"/>
      <c r="C688" s="84" t="s">
        <v>11473</v>
      </c>
      <c r="D688" s="45"/>
      <c r="E688" s="84" t="s">
        <v>6472</v>
      </c>
      <c r="F688" s="84" t="s">
        <v>5747</v>
      </c>
      <c r="G688" s="85" t="s">
        <v>96</v>
      </c>
      <c r="H688" s="87">
        <v>2.829E-4</v>
      </c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</row>
    <row r="689">
      <c r="A689" s="84" t="s">
        <v>4540</v>
      </c>
      <c r="B689" s="45"/>
      <c r="C689" s="84" t="s">
        <v>9400</v>
      </c>
      <c r="D689" s="45"/>
      <c r="E689" s="84" t="s">
        <v>5450</v>
      </c>
      <c r="F689" s="84" t="s">
        <v>5300</v>
      </c>
      <c r="G689" s="85" t="s">
        <v>96</v>
      </c>
      <c r="H689" s="87">
        <v>2.821E-4</v>
      </c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</row>
    <row r="690">
      <c r="A690" s="84" t="s">
        <v>4541</v>
      </c>
      <c r="B690" s="45"/>
      <c r="C690" s="84" t="s">
        <v>9509</v>
      </c>
      <c r="D690" s="45"/>
      <c r="E690" s="84" t="s">
        <v>5434</v>
      </c>
      <c r="F690" s="84" t="s">
        <v>5300</v>
      </c>
      <c r="G690" s="85" t="s">
        <v>96</v>
      </c>
      <c r="H690" s="87">
        <v>2.821E-4</v>
      </c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</row>
    <row r="691">
      <c r="A691" s="84" t="s">
        <v>4564</v>
      </c>
      <c r="B691" s="45"/>
      <c r="C691" s="84" t="s">
        <v>9536</v>
      </c>
      <c r="D691" s="45"/>
      <c r="E691" s="84" t="s">
        <v>5434</v>
      </c>
      <c r="F691" s="84" t="s">
        <v>5300</v>
      </c>
      <c r="G691" s="85" t="s">
        <v>96</v>
      </c>
      <c r="H691" s="87">
        <v>2.812E-4</v>
      </c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</row>
    <row r="692">
      <c r="A692" s="84" t="s">
        <v>11474</v>
      </c>
      <c r="B692" s="45"/>
      <c r="C692" s="84" t="s">
        <v>11475</v>
      </c>
      <c r="D692" s="45"/>
      <c r="E692" s="84" t="s">
        <v>5253</v>
      </c>
      <c r="F692" s="84" t="s">
        <v>6220</v>
      </c>
      <c r="G692" s="85" t="s">
        <v>96</v>
      </c>
      <c r="H692" s="87">
        <v>2.806E-4</v>
      </c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</row>
    <row r="693">
      <c r="A693" s="84" t="s">
        <v>4581</v>
      </c>
      <c r="B693" s="45"/>
      <c r="C693" s="84" t="s">
        <v>9437</v>
      </c>
      <c r="D693" s="45"/>
      <c r="E693" s="84" t="s">
        <v>8230</v>
      </c>
      <c r="F693" s="84" t="s">
        <v>5300</v>
      </c>
      <c r="G693" s="85" t="s">
        <v>96</v>
      </c>
      <c r="H693" s="87">
        <v>2.804E-4</v>
      </c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</row>
    <row r="694">
      <c r="A694" s="84" t="s">
        <v>4505</v>
      </c>
      <c r="B694" s="45"/>
      <c r="C694" s="84" t="s">
        <v>9449</v>
      </c>
      <c r="D694" s="45"/>
      <c r="E694" s="84" t="s">
        <v>6275</v>
      </c>
      <c r="F694" s="84" t="s">
        <v>8759</v>
      </c>
      <c r="G694" s="85" t="s">
        <v>96</v>
      </c>
      <c r="H694" s="87">
        <v>2.802E-4</v>
      </c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</row>
    <row r="695">
      <c r="A695" s="84" t="s">
        <v>9392</v>
      </c>
      <c r="B695" s="45"/>
      <c r="C695" s="84" t="s">
        <v>9393</v>
      </c>
      <c r="D695" s="45"/>
      <c r="E695" s="84" t="s">
        <v>5215</v>
      </c>
      <c r="F695" s="84" t="s">
        <v>9021</v>
      </c>
      <c r="G695" s="85" t="s">
        <v>96</v>
      </c>
      <c r="H695" s="87">
        <v>2.802E-4</v>
      </c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</row>
    <row r="696">
      <c r="A696" s="84" t="s">
        <v>4618</v>
      </c>
      <c r="B696" s="45"/>
      <c r="C696" s="84" t="s">
        <v>11476</v>
      </c>
      <c r="D696" s="45"/>
      <c r="E696" s="84" t="s">
        <v>5253</v>
      </c>
      <c r="F696" s="84" t="s">
        <v>5300</v>
      </c>
      <c r="G696" s="85" t="s">
        <v>96</v>
      </c>
      <c r="H696" s="87">
        <v>2.801E-4</v>
      </c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</row>
    <row r="697">
      <c r="A697" s="84" t="s">
        <v>9421</v>
      </c>
      <c r="B697" s="45"/>
      <c r="C697" s="84" t="s">
        <v>9422</v>
      </c>
      <c r="D697" s="45"/>
      <c r="E697" s="84" t="s">
        <v>5261</v>
      </c>
      <c r="F697" s="84" t="s">
        <v>8784</v>
      </c>
      <c r="G697" s="85" t="s">
        <v>96</v>
      </c>
      <c r="H697" s="87">
        <v>2.799E-4</v>
      </c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</row>
    <row r="698">
      <c r="A698" s="84" t="s">
        <v>4469</v>
      </c>
      <c r="B698" s="45"/>
      <c r="C698" s="84" t="s">
        <v>11477</v>
      </c>
      <c r="D698" s="45"/>
      <c r="E698" s="84" t="s">
        <v>5395</v>
      </c>
      <c r="F698" s="84" t="s">
        <v>5300</v>
      </c>
      <c r="G698" s="85" t="s">
        <v>96</v>
      </c>
      <c r="H698" s="87">
        <v>2.795E-4</v>
      </c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</row>
    <row r="699">
      <c r="A699" s="84" t="s">
        <v>4577</v>
      </c>
      <c r="B699" s="45"/>
      <c r="C699" s="84" t="s">
        <v>9462</v>
      </c>
      <c r="D699" s="45"/>
      <c r="E699" s="84" t="s">
        <v>5215</v>
      </c>
      <c r="F699" s="84" t="s">
        <v>5300</v>
      </c>
      <c r="G699" s="85" t="s">
        <v>96</v>
      </c>
      <c r="H699" s="87">
        <v>2.786E-4</v>
      </c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</row>
    <row r="700">
      <c r="A700" s="84" t="s">
        <v>9466</v>
      </c>
      <c r="B700" s="45"/>
      <c r="C700" s="84" t="s">
        <v>9467</v>
      </c>
      <c r="D700" s="45"/>
      <c r="E700" s="84" t="s">
        <v>5434</v>
      </c>
      <c r="F700" s="84" t="s">
        <v>5268</v>
      </c>
      <c r="G700" s="85" t="s">
        <v>96</v>
      </c>
      <c r="H700" s="87">
        <v>2.771E-4</v>
      </c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</row>
    <row r="701">
      <c r="A701" s="84" t="s">
        <v>9528</v>
      </c>
      <c r="B701" s="45"/>
      <c r="C701" s="84" t="s">
        <v>9529</v>
      </c>
      <c r="D701" s="45"/>
      <c r="E701" s="84" t="s">
        <v>6012</v>
      </c>
      <c r="F701" s="84" t="s">
        <v>6988</v>
      </c>
      <c r="G701" s="85" t="s">
        <v>96</v>
      </c>
      <c r="H701" s="87">
        <v>2.768E-4</v>
      </c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</row>
    <row r="702">
      <c r="A702" s="84" t="s">
        <v>11478</v>
      </c>
      <c r="B702" s="45"/>
      <c r="C702" s="84" t="s">
        <v>11479</v>
      </c>
      <c r="D702" s="45"/>
      <c r="E702" s="84" t="s">
        <v>5235</v>
      </c>
      <c r="F702" s="84" t="s">
        <v>5836</v>
      </c>
      <c r="G702" s="85" t="s">
        <v>96</v>
      </c>
      <c r="H702" s="87">
        <v>2.766E-4</v>
      </c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</row>
    <row r="703">
      <c r="A703" s="84" t="s">
        <v>11480</v>
      </c>
      <c r="B703" s="45"/>
      <c r="C703" s="84" t="s">
        <v>11481</v>
      </c>
      <c r="D703" s="45"/>
      <c r="E703" s="84" t="s">
        <v>5357</v>
      </c>
      <c r="F703" s="84" t="s">
        <v>4153</v>
      </c>
      <c r="G703" s="85" t="s">
        <v>96</v>
      </c>
      <c r="H703" s="87">
        <v>2.744E-4</v>
      </c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</row>
    <row r="704">
      <c r="A704" s="84" t="s">
        <v>11482</v>
      </c>
      <c r="B704" s="45"/>
      <c r="C704" s="84" t="s">
        <v>11483</v>
      </c>
      <c r="D704" s="45"/>
      <c r="E704" s="84" t="s">
        <v>5450</v>
      </c>
      <c r="F704" s="84" t="s">
        <v>5300</v>
      </c>
      <c r="G704" s="85" t="s">
        <v>96</v>
      </c>
      <c r="H704" s="87">
        <v>2.743E-4</v>
      </c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</row>
    <row r="705">
      <c r="A705" s="84" t="s">
        <v>11484</v>
      </c>
      <c r="B705" s="45"/>
      <c r="C705" s="84" t="s">
        <v>11485</v>
      </c>
      <c r="D705" s="45"/>
      <c r="E705" s="84" t="s">
        <v>5271</v>
      </c>
      <c r="F705" s="84" t="s">
        <v>5836</v>
      </c>
      <c r="G705" s="85" t="s">
        <v>96</v>
      </c>
      <c r="H705" s="87">
        <v>2.741E-4</v>
      </c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</row>
    <row r="706">
      <c r="A706" s="84" t="s">
        <v>4553</v>
      </c>
      <c r="B706" s="45"/>
      <c r="C706" s="84" t="s">
        <v>9468</v>
      </c>
      <c r="D706" s="45"/>
      <c r="E706" s="84" t="s">
        <v>5321</v>
      </c>
      <c r="F706" s="84" t="s">
        <v>5300</v>
      </c>
      <c r="G706" s="85" t="s">
        <v>96</v>
      </c>
      <c r="H706" s="87">
        <v>2.738E-4</v>
      </c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</row>
    <row r="707">
      <c r="A707" s="84" t="s">
        <v>11486</v>
      </c>
      <c r="B707" s="45"/>
      <c r="C707" s="84" t="s">
        <v>11487</v>
      </c>
      <c r="D707" s="45"/>
      <c r="E707" s="84" t="s">
        <v>6130</v>
      </c>
      <c r="F707" s="84" t="s">
        <v>8784</v>
      </c>
      <c r="G707" s="85" t="s">
        <v>96</v>
      </c>
      <c r="H707" s="87">
        <v>2.727E-4</v>
      </c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</row>
    <row r="708">
      <c r="A708" s="84" t="s">
        <v>9503</v>
      </c>
      <c r="B708" s="45"/>
      <c r="C708" s="84" t="s">
        <v>9504</v>
      </c>
      <c r="D708" s="45"/>
      <c r="E708" s="84" t="s">
        <v>5450</v>
      </c>
      <c r="F708" s="84" t="s">
        <v>8759</v>
      </c>
      <c r="G708" s="85" t="s">
        <v>96</v>
      </c>
      <c r="H708" s="87">
        <v>2.725E-4</v>
      </c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</row>
    <row r="709">
      <c r="A709" s="84" t="s">
        <v>4555</v>
      </c>
      <c r="B709" s="45"/>
      <c r="C709" s="84" t="s">
        <v>5328</v>
      </c>
      <c r="D709" s="45"/>
      <c r="E709" s="84" t="s">
        <v>5264</v>
      </c>
      <c r="F709" s="84" t="s">
        <v>5329</v>
      </c>
      <c r="G709" s="85" t="s">
        <v>96</v>
      </c>
      <c r="H709" s="87">
        <v>2.724E-4</v>
      </c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</row>
    <row r="710">
      <c r="A710" s="84" t="s">
        <v>9476</v>
      </c>
      <c r="B710" s="45"/>
      <c r="C710" s="84" t="s">
        <v>9477</v>
      </c>
      <c r="D710" s="45"/>
      <c r="E710" s="84" t="s">
        <v>9478</v>
      </c>
      <c r="F710" s="84" t="s">
        <v>6220</v>
      </c>
      <c r="G710" s="85" t="s">
        <v>96</v>
      </c>
      <c r="H710" s="87">
        <v>2.721E-4</v>
      </c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</row>
    <row r="711">
      <c r="A711" s="84" t="s">
        <v>11488</v>
      </c>
      <c r="B711" s="45"/>
      <c r="C711" s="84" t="s">
        <v>11489</v>
      </c>
      <c r="D711" s="45"/>
      <c r="E711" s="84" t="s">
        <v>5808</v>
      </c>
      <c r="F711" s="84" t="s">
        <v>5836</v>
      </c>
      <c r="G711" s="85" t="s">
        <v>96</v>
      </c>
      <c r="H711" s="87">
        <v>2.72E-4</v>
      </c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</row>
    <row r="712">
      <c r="A712" s="84" t="s">
        <v>11490</v>
      </c>
      <c r="B712" s="45"/>
      <c r="C712" s="84" t="s">
        <v>11491</v>
      </c>
      <c r="D712" s="45"/>
      <c r="E712" s="84" t="s">
        <v>5215</v>
      </c>
      <c r="F712" s="84" t="s">
        <v>5300</v>
      </c>
      <c r="G712" s="85" t="s">
        <v>96</v>
      </c>
      <c r="H712" s="87">
        <v>2.717E-4</v>
      </c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</row>
    <row r="713">
      <c r="A713" s="84" t="s">
        <v>9458</v>
      </c>
      <c r="B713" s="45"/>
      <c r="C713" s="84" t="s">
        <v>9459</v>
      </c>
      <c r="D713" s="45"/>
      <c r="E713" s="84" t="s">
        <v>5395</v>
      </c>
      <c r="F713" s="84" t="s">
        <v>5300</v>
      </c>
      <c r="G713" s="85" t="s">
        <v>96</v>
      </c>
      <c r="H713" s="87">
        <v>2.702E-4</v>
      </c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</row>
    <row r="714">
      <c r="A714" s="84" t="s">
        <v>4568</v>
      </c>
      <c r="B714" s="45"/>
      <c r="C714" s="84" t="s">
        <v>9482</v>
      </c>
      <c r="D714" s="45"/>
      <c r="E714" s="84" t="s">
        <v>5445</v>
      </c>
      <c r="F714" s="84" t="s">
        <v>5300</v>
      </c>
      <c r="G714" s="85" t="s">
        <v>96</v>
      </c>
      <c r="H714" s="87">
        <v>2.701E-4</v>
      </c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</row>
    <row r="715">
      <c r="A715" s="84" t="s">
        <v>4545</v>
      </c>
      <c r="B715" s="45"/>
      <c r="C715" s="84" t="s">
        <v>9475</v>
      </c>
      <c r="D715" s="45"/>
      <c r="E715" s="84" t="s">
        <v>5280</v>
      </c>
      <c r="F715" s="84" t="s">
        <v>5300</v>
      </c>
      <c r="G715" s="85" t="s">
        <v>96</v>
      </c>
      <c r="H715" s="87">
        <v>2.701E-4</v>
      </c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</row>
    <row r="716">
      <c r="A716" s="84" t="s">
        <v>9456</v>
      </c>
      <c r="B716" s="45"/>
      <c r="C716" s="84" t="s">
        <v>9457</v>
      </c>
      <c r="D716" s="45"/>
      <c r="E716" s="84" t="s">
        <v>6009</v>
      </c>
      <c r="F716" s="84" t="s">
        <v>9021</v>
      </c>
      <c r="G716" s="85" t="s">
        <v>96</v>
      </c>
      <c r="H716" s="87">
        <v>2.692E-4</v>
      </c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</row>
    <row r="717">
      <c r="A717" s="84" t="s">
        <v>11492</v>
      </c>
      <c r="B717" s="45"/>
      <c r="C717" s="84" t="s">
        <v>11493</v>
      </c>
      <c r="D717" s="45"/>
      <c r="E717" s="84" t="s">
        <v>6389</v>
      </c>
      <c r="F717" s="84" t="s">
        <v>5927</v>
      </c>
      <c r="G717" s="85" t="s">
        <v>96</v>
      </c>
      <c r="H717" s="87">
        <v>2.688E-4</v>
      </c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</row>
    <row r="718">
      <c r="A718" s="84" t="s">
        <v>9569</v>
      </c>
      <c r="B718" s="45"/>
      <c r="C718" s="84" t="s">
        <v>9570</v>
      </c>
      <c r="D718" s="45"/>
      <c r="E718" s="84" t="s">
        <v>5961</v>
      </c>
      <c r="F718" s="84" t="s">
        <v>8784</v>
      </c>
      <c r="G718" s="85" t="s">
        <v>96</v>
      </c>
      <c r="H718" s="87">
        <v>2.682E-4</v>
      </c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</row>
    <row r="719">
      <c r="A719" s="84" t="s">
        <v>4547</v>
      </c>
      <c r="B719" s="45"/>
      <c r="C719" s="84" t="s">
        <v>9479</v>
      </c>
      <c r="D719" s="45"/>
      <c r="E719" s="84" t="s">
        <v>7251</v>
      </c>
      <c r="F719" s="84" t="s">
        <v>5300</v>
      </c>
      <c r="G719" s="85" t="s">
        <v>96</v>
      </c>
      <c r="H719" s="87">
        <v>2.675E-4</v>
      </c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</row>
    <row r="720">
      <c r="A720" s="84" t="s">
        <v>4556</v>
      </c>
      <c r="B720" s="45"/>
      <c r="C720" s="84" t="s">
        <v>9486</v>
      </c>
      <c r="D720" s="45"/>
      <c r="E720" s="84" t="s">
        <v>5434</v>
      </c>
      <c r="F720" s="84" t="s">
        <v>5300</v>
      </c>
      <c r="G720" s="85" t="s">
        <v>96</v>
      </c>
      <c r="H720" s="87">
        <v>2.643E-4</v>
      </c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</row>
    <row r="721">
      <c r="A721" s="84" t="s">
        <v>4569</v>
      </c>
      <c r="B721" s="45"/>
      <c r="C721" s="84" t="s">
        <v>9494</v>
      </c>
      <c r="D721" s="45"/>
      <c r="E721" s="84" t="s">
        <v>9478</v>
      </c>
      <c r="F721" s="84" t="s">
        <v>5300</v>
      </c>
      <c r="G721" s="85" t="s">
        <v>96</v>
      </c>
      <c r="H721" s="87">
        <v>2.637E-4</v>
      </c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</row>
    <row r="722">
      <c r="A722" s="84" t="s">
        <v>9507</v>
      </c>
      <c r="B722" s="45"/>
      <c r="C722" s="84" t="s">
        <v>9508</v>
      </c>
      <c r="D722" s="45"/>
      <c r="E722" s="84" t="s">
        <v>6009</v>
      </c>
      <c r="F722" s="84" t="s">
        <v>8784</v>
      </c>
      <c r="G722" s="85" t="s">
        <v>96</v>
      </c>
      <c r="H722" s="87">
        <v>2.636E-4</v>
      </c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</row>
    <row r="723">
      <c r="A723" s="84" t="s">
        <v>9518</v>
      </c>
      <c r="B723" s="45"/>
      <c r="C723" s="84" t="s">
        <v>9519</v>
      </c>
      <c r="D723" s="45"/>
      <c r="E723" s="84" t="s">
        <v>5215</v>
      </c>
      <c r="F723" s="84" t="s">
        <v>5747</v>
      </c>
      <c r="G723" s="85" t="s">
        <v>96</v>
      </c>
      <c r="H723" s="87">
        <v>2.635E-4</v>
      </c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</row>
    <row r="724">
      <c r="A724" s="84" t="s">
        <v>9432</v>
      </c>
      <c r="B724" s="45"/>
      <c r="C724" s="84" t="s">
        <v>9433</v>
      </c>
      <c r="D724" s="45"/>
      <c r="E724" s="84" t="s">
        <v>7169</v>
      </c>
      <c r="F724" s="84" t="s">
        <v>4095</v>
      </c>
      <c r="G724" s="85" t="s">
        <v>96</v>
      </c>
      <c r="H724" s="87">
        <v>2.631E-4</v>
      </c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</row>
    <row r="725">
      <c r="A725" s="84" t="s">
        <v>9497</v>
      </c>
      <c r="B725" s="45"/>
      <c r="C725" s="84" t="s">
        <v>9498</v>
      </c>
      <c r="D725" s="45"/>
      <c r="E725" s="84" t="s">
        <v>6115</v>
      </c>
      <c r="F725" s="84" t="s">
        <v>4357</v>
      </c>
      <c r="G725" s="85" t="s">
        <v>96</v>
      </c>
      <c r="H725" s="87">
        <v>2.63E-4</v>
      </c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</row>
    <row r="726">
      <c r="A726" s="84" t="s">
        <v>9501</v>
      </c>
      <c r="B726" s="45"/>
      <c r="C726" s="84" t="s">
        <v>9502</v>
      </c>
      <c r="D726" s="45"/>
      <c r="E726" s="84" t="s">
        <v>8480</v>
      </c>
      <c r="F726" s="84" t="s">
        <v>6988</v>
      </c>
      <c r="G726" s="85" t="s">
        <v>96</v>
      </c>
      <c r="H726" s="87">
        <v>2.627E-4</v>
      </c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</row>
    <row r="727">
      <c r="A727" s="84" t="s">
        <v>9368</v>
      </c>
      <c r="B727" s="45"/>
      <c r="C727" s="84" t="s">
        <v>9369</v>
      </c>
      <c r="D727" s="45"/>
      <c r="E727" s="84" t="s">
        <v>5978</v>
      </c>
      <c r="F727" s="84" t="s">
        <v>8784</v>
      </c>
      <c r="G727" s="85" t="s">
        <v>96</v>
      </c>
      <c r="H727" s="87">
        <v>2.614E-4</v>
      </c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</row>
    <row r="728">
      <c r="A728" s="84" t="s">
        <v>11494</v>
      </c>
      <c r="B728" s="45"/>
      <c r="C728" s="84" t="s">
        <v>11495</v>
      </c>
      <c r="D728" s="45"/>
      <c r="E728" s="84" t="s">
        <v>6110</v>
      </c>
      <c r="F728" s="84" t="s">
        <v>8767</v>
      </c>
      <c r="G728" s="85" t="s">
        <v>96</v>
      </c>
      <c r="H728" s="87">
        <v>2.614E-4</v>
      </c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</row>
    <row r="729">
      <c r="A729" s="84" t="s">
        <v>4531</v>
      </c>
      <c r="B729" s="45"/>
      <c r="C729" s="84" t="s">
        <v>9487</v>
      </c>
      <c r="D729" s="45"/>
      <c r="E729" s="84" t="s">
        <v>6480</v>
      </c>
      <c r="F729" s="84" t="s">
        <v>5300</v>
      </c>
      <c r="G729" s="85" t="s">
        <v>96</v>
      </c>
      <c r="H729" s="87">
        <v>2.613E-4</v>
      </c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</row>
    <row r="730">
      <c r="A730" s="84" t="s">
        <v>9454</v>
      </c>
      <c r="B730" s="45"/>
      <c r="C730" s="84" t="s">
        <v>9455</v>
      </c>
      <c r="D730" s="45"/>
      <c r="E730" s="84" t="s">
        <v>5271</v>
      </c>
      <c r="F730" s="84" t="s">
        <v>8784</v>
      </c>
      <c r="G730" s="85" t="s">
        <v>96</v>
      </c>
      <c r="H730" s="87">
        <v>2.613E-4</v>
      </c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</row>
    <row r="731">
      <c r="A731" s="84" t="s">
        <v>4492</v>
      </c>
      <c r="B731" s="45"/>
      <c r="C731" s="84" t="s">
        <v>9514</v>
      </c>
      <c r="D731" s="45"/>
      <c r="E731" s="84" t="s">
        <v>5229</v>
      </c>
      <c r="F731" s="84" t="s">
        <v>5300</v>
      </c>
      <c r="G731" s="85" t="s">
        <v>96</v>
      </c>
      <c r="H731" s="87">
        <v>2.609E-4</v>
      </c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</row>
    <row r="732">
      <c r="A732" s="84" t="s">
        <v>4499</v>
      </c>
      <c r="B732" s="45"/>
      <c r="C732" s="84" t="s">
        <v>9515</v>
      </c>
      <c r="D732" s="45"/>
      <c r="E732" s="84" t="s">
        <v>5326</v>
      </c>
      <c r="F732" s="84" t="s">
        <v>5300</v>
      </c>
      <c r="G732" s="85" t="s">
        <v>96</v>
      </c>
      <c r="H732" s="87">
        <v>2.593E-4</v>
      </c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</row>
    <row r="733">
      <c r="A733" s="84" t="s">
        <v>4551</v>
      </c>
      <c r="B733" s="45"/>
      <c r="C733" s="84" t="s">
        <v>9495</v>
      </c>
      <c r="D733" s="45"/>
      <c r="E733" s="84" t="s">
        <v>9478</v>
      </c>
      <c r="F733" s="84" t="s">
        <v>5300</v>
      </c>
      <c r="G733" s="85" t="s">
        <v>96</v>
      </c>
      <c r="H733" s="87">
        <v>2.586E-4</v>
      </c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</row>
    <row r="734">
      <c r="A734" s="84" t="s">
        <v>9499</v>
      </c>
      <c r="B734" s="45"/>
      <c r="C734" s="84" t="s">
        <v>9500</v>
      </c>
      <c r="D734" s="45"/>
      <c r="E734" s="84" t="s">
        <v>5366</v>
      </c>
      <c r="F734" s="84" t="s">
        <v>4095</v>
      </c>
      <c r="G734" s="85" t="s">
        <v>96</v>
      </c>
      <c r="H734" s="87">
        <v>2.585E-4</v>
      </c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</row>
    <row r="735">
      <c r="A735" s="84" t="s">
        <v>9575</v>
      </c>
      <c r="B735" s="45"/>
      <c r="C735" s="84" t="s">
        <v>9576</v>
      </c>
      <c r="D735" s="45"/>
      <c r="E735" s="84" t="s">
        <v>5691</v>
      </c>
      <c r="F735" s="84" t="s">
        <v>9021</v>
      </c>
      <c r="G735" s="85" t="s">
        <v>96</v>
      </c>
      <c r="H735" s="87">
        <v>2.575E-4</v>
      </c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</row>
    <row r="736">
      <c r="A736" s="84" t="s">
        <v>9546</v>
      </c>
      <c r="B736" s="45"/>
      <c r="C736" s="84" t="s">
        <v>9547</v>
      </c>
      <c r="D736" s="45"/>
      <c r="E736" s="84" t="s">
        <v>5467</v>
      </c>
      <c r="F736" s="84" t="s">
        <v>8767</v>
      </c>
      <c r="G736" s="85" t="s">
        <v>96</v>
      </c>
      <c r="H736" s="87">
        <v>2.566E-4</v>
      </c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</row>
    <row r="737">
      <c r="A737" s="84" t="s">
        <v>9548</v>
      </c>
      <c r="B737" s="45"/>
      <c r="C737" s="84" t="s">
        <v>9549</v>
      </c>
      <c r="D737" s="45"/>
      <c r="E737" s="84" t="s">
        <v>5283</v>
      </c>
      <c r="F737" s="84" t="s">
        <v>8759</v>
      </c>
      <c r="G737" s="85" t="s">
        <v>96</v>
      </c>
      <c r="H737" s="87">
        <v>2.562E-4</v>
      </c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</row>
    <row r="738">
      <c r="A738" s="84" t="s">
        <v>11496</v>
      </c>
      <c r="B738" s="45"/>
      <c r="C738" s="84" t="s">
        <v>11497</v>
      </c>
      <c r="D738" s="45"/>
      <c r="E738" s="84" t="s">
        <v>5246</v>
      </c>
      <c r="F738" s="84" t="s">
        <v>6698</v>
      </c>
      <c r="G738" s="85" t="s">
        <v>96</v>
      </c>
      <c r="H738" s="87">
        <v>2.56E-4</v>
      </c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</row>
    <row r="739">
      <c r="A739" s="84" t="s">
        <v>4627</v>
      </c>
      <c r="B739" s="45"/>
      <c r="C739" s="84" t="s">
        <v>11498</v>
      </c>
      <c r="D739" s="45"/>
      <c r="E739" s="84" t="s">
        <v>6191</v>
      </c>
      <c r="F739" s="84" t="s">
        <v>5300</v>
      </c>
      <c r="G739" s="85" t="s">
        <v>96</v>
      </c>
      <c r="H739" s="87">
        <v>2.556E-4</v>
      </c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</row>
    <row r="740">
      <c r="A740" s="84" t="s">
        <v>11499</v>
      </c>
      <c r="B740" s="45"/>
      <c r="C740" s="84" t="s">
        <v>11500</v>
      </c>
      <c r="D740" s="45"/>
      <c r="E740" s="84" t="s">
        <v>5459</v>
      </c>
      <c r="F740" s="84" t="s">
        <v>5300</v>
      </c>
      <c r="G740" s="85" t="s">
        <v>96</v>
      </c>
      <c r="H740" s="87">
        <v>2.533E-4</v>
      </c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</row>
    <row r="741">
      <c r="A741" s="84" t="s">
        <v>4490</v>
      </c>
      <c r="B741" s="45"/>
      <c r="C741" s="84" t="s">
        <v>9496</v>
      </c>
      <c r="D741" s="45"/>
      <c r="E741" s="84" t="s">
        <v>9144</v>
      </c>
      <c r="F741" s="84" t="s">
        <v>6210</v>
      </c>
      <c r="G741" s="85" t="s">
        <v>96</v>
      </c>
      <c r="H741" s="87">
        <v>2.525E-4</v>
      </c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</row>
    <row r="742">
      <c r="A742" s="84" t="s">
        <v>9471</v>
      </c>
      <c r="B742" s="45"/>
      <c r="C742" s="84" t="s">
        <v>9472</v>
      </c>
      <c r="D742" s="45"/>
      <c r="E742" s="84" t="s">
        <v>8480</v>
      </c>
      <c r="F742" s="84" t="s">
        <v>8784</v>
      </c>
      <c r="G742" s="85" t="s">
        <v>96</v>
      </c>
      <c r="H742" s="87">
        <v>2.521E-4</v>
      </c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</row>
    <row r="743">
      <c r="A743" s="84" t="s">
        <v>9447</v>
      </c>
      <c r="B743" s="45"/>
      <c r="C743" s="84" t="s">
        <v>9448</v>
      </c>
      <c r="D743" s="45"/>
      <c r="E743" s="84" t="s">
        <v>5218</v>
      </c>
      <c r="F743" s="84" t="s">
        <v>8784</v>
      </c>
      <c r="G743" s="85" t="s">
        <v>96</v>
      </c>
      <c r="H743" s="87">
        <v>2.518E-4</v>
      </c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</row>
    <row r="744">
      <c r="A744" s="84" t="s">
        <v>4588</v>
      </c>
      <c r="B744" s="45"/>
      <c r="C744" s="84" t="s">
        <v>9505</v>
      </c>
      <c r="D744" s="45"/>
      <c r="E744" s="84" t="s">
        <v>8110</v>
      </c>
      <c r="F744" s="84" t="s">
        <v>5300</v>
      </c>
      <c r="G744" s="85" t="s">
        <v>96</v>
      </c>
      <c r="H744" s="87">
        <v>2.51E-4</v>
      </c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</row>
    <row r="745">
      <c r="A745" s="84" t="s">
        <v>4537</v>
      </c>
      <c r="B745" s="45"/>
      <c r="C745" s="84" t="s">
        <v>11501</v>
      </c>
      <c r="D745" s="45"/>
      <c r="E745" s="84" t="s">
        <v>5226</v>
      </c>
      <c r="F745" s="84" t="s">
        <v>5300</v>
      </c>
      <c r="G745" s="85" t="s">
        <v>96</v>
      </c>
      <c r="H745" s="87">
        <v>2.505E-4</v>
      </c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</row>
    <row r="746">
      <c r="A746" s="84" t="s">
        <v>5216</v>
      </c>
      <c r="B746" s="45"/>
      <c r="C746" s="84" t="s">
        <v>11502</v>
      </c>
      <c r="D746" s="45"/>
      <c r="E746" s="84" t="s">
        <v>6389</v>
      </c>
      <c r="F746" s="84" t="s">
        <v>5300</v>
      </c>
      <c r="G746" s="85" t="s">
        <v>96</v>
      </c>
      <c r="H746" s="87">
        <v>2.504E-4</v>
      </c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</row>
    <row r="747">
      <c r="A747" s="84" t="s">
        <v>9483</v>
      </c>
      <c r="B747" s="45"/>
      <c r="C747" s="84" t="s">
        <v>9484</v>
      </c>
      <c r="D747" s="45"/>
      <c r="E747" s="84" t="s">
        <v>5238</v>
      </c>
      <c r="F747" s="84" t="s">
        <v>8784</v>
      </c>
      <c r="G747" s="85" t="s">
        <v>96</v>
      </c>
      <c r="H747" s="87">
        <v>2.497E-4</v>
      </c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</row>
    <row r="748">
      <c r="A748" s="84" t="s">
        <v>9537</v>
      </c>
      <c r="B748" s="45"/>
      <c r="C748" s="84" t="s">
        <v>9538</v>
      </c>
      <c r="D748" s="45"/>
      <c r="E748" s="84" t="s">
        <v>5271</v>
      </c>
      <c r="F748" s="84" t="s">
        <v>5425</v>
      </c>
      <c r="G748" s="85" t="s">
        <v>96</v>
      </c>
      <c r="H748" s="87">
        <v>2.497E-4</v>
      </c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</row>
    <row r="749">
      <c r="A749" s="84" t="s">
        <v>4550</v>
      </c>
      <c r="B749" s="45"/>
      <c r="C749" s="84" t="s">
        <v>9485</v>
      </c>
      <c r="D749" s="45"/>
      <c r="E749" s="84" t="s">
        <v>5283</v>
      </c>
      <c r="F749" s="84" t="s">
        <v>5300</v>
      </c>
      <c r="G749" s="85" t="s">
        <v>96</v>
      </c>
      <c r="H749" s="87">
        <v>2.496E-4</v>
      </c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</row>
    <row r="750">
      <c r="A750" s="84" t="s">
        <v>4558</v>
      </c>
      <c r="B750" s="45"/>
      <c r="C750" s="84" t="s">
        <v>9560</v>
      </c>
      <c r="D750" s="45"/>
      <c r="E750" s="84" t="s">
        <v>5456</v>
      </c>
      <c r="F750" s="84" t="s">
        <v>5300</v>
      </c>
      <c r="G750" s="85" t="s">
        <v>96</v>
      </c>
      <c r="H750" s="87">
        <v>2.496E-4</v>
      </c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</row>
    <row r="751">
      <c r="A751" s="84" t="s">
        <v>9533</v>
      </c>
      <c r="B751" s="45"/>
      <c r="C751" s="84" t="s">
        <v>9534</v>
      </c>
      <c r="D751" s="45"/>
      <c r="E751" s="84" t="s">
        <v>5691</v>
      </c>
      <c r="F751" s="84" t="s">
        <v>9513</v>
      </c>
      <c r="G751" s="85" t="s">
        <v>96</v>
      </c>
      <c r="H751" s="87">
        <v>2.493E-4</v>
      </c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</row>
    <row r="752">
      <c r="A752" s="84" t="s">
        <v>4589</v>
      </c>
      <c r="B752" s="45"/>
      <c r="C752" s="84" t="s">
        <v>9643</v>
      </c>
      <c r="D752" s="45"/>
      <c r="E752" s="84" t="s">
        <v>5238</v>
      </c>
      <c r="F752" s="84" t="s">
        <v>5836</v>
      </c>
      <c r="G752" s="85" t="s">
        <v>96</v>
      </c>
      <c r="H752" s="87">
        <v>2.485E-4</v>
      </c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</row>
    <row r="753">
      <c r="A753" s="84" t="s">
        <v>9618</v>
      </c>
      <c r="B753" s="45"/>
      <c r="C753" s="84" t="s">
        <v>9619</v>
      </c>
      <c r="D753" s="45"/>
      <c r="E753" s="84" t="s">
        <v>5467</v>
      </c>
      <c r="F753" s="84" t="s">
        <v>5300</v>
      </c>
      <c r="G753" s="85" t="s">
        <v>96</v>
      </c>
      <c r="H753" s="87">
        <v>2.483E-4</v>
      </c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</row>
    <row r="754">
      <c r="A754" s="84" t="s">
        <v>11503</v>
      </c>
      <c r="B754" s="45"/>
      <c r="C754" s="84" t="s">
        <v>2583</v>
      </c>
      <c r="D754" s="45"/>
      <c r="E754" s="84" t="s">
        <v>8648</v>
      </c>
      <c r="F754" s="84" t="s">
        <v>8759</v>
      </c>
      <c r="G754" s="85" t="s">
        <v>96</v>
      </c>
      <c r="H754" s="87">
        <v>2.482E-4</v>
      </c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</row>
    <row r="755">
      <c r="A755" s="84" t="s">
        <v>9567</v>
      </c>
      <c r="B755" s="45"/>
      <c r="C755" s="84" t="s">
        <v>9568</v>
      </c>
      <c r="D755" s="45"/>
      <c r="E755" s="84" t="s">
        <v>5276</v>
      </c>
      <c r="F755" s="84" t="s">
        <v>5300</v>
      </c>
      <c r="G755" s="85" t="s">
        <v>96</v>
      </c>
      <c r="H755" s="87">
        <v>2.476E-4</v>
      </c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</row>
    <row r="756">
      <c r="A756" s="84" t="s">
        <v>9488</v>
      </c>
      <c r="B756" s="45"/>
      <c r="C756" s="84" t="s">
        <v>9489</v>
      </c>
      <c r="D756" s="45"/>
      <c r="E756" s="84" t="s">
        <v>5291</v>
      </c>
      <c r="F756" s="84" t="s">
        <v>6220</v>
      </c>
      <c r="G756" s="85" t="s">
        <v>96</v>
      </c>
      <c r="H756" s="87">
        <v>2.475E-4</v>
      </c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</row>
    <row r="757">
      <c r="A757" s="84" t="s">
        <v>11504</v>
      </c>
      <c r="B757" s="45"/>
      <c r="C757" s="84" t="s">
        <v>11505</v>
      </c>
      <c r="D757" s="45"/>
      <c r="E757" s="84" t="s">
        <v>5276</v>
      </c>
      <c r="F757" s="84" t="s">
        <v>5300</v>
      </c>
      <c r="G757" s="85" t="s">
        <v>96</v>
      </c>
      <c r="H757" s="87">
        <v>2.475E-4</v>
      </c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</row>
    <row r="758">
      <c r="A758" s="84" t="s">
        <v>9610</v>
      </c>
      <c r="B758" s="45"/>
      <c r="C758" s="84" t="s">
        <v>9611</v>
      </c>
      <c r="D758" s="45"/>
      <c r="E758" s="84" t="s">
        <v>8648</v>
      </c>
      <c r="F758" s="84" t="s">
        <v>8784</v>
      </c>
      <c r="G758" s="85" t="s">
        <v>96</v>
      </c>
      <c r="H758" s="87">
        <v>2.459E-4</v>
      </c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</row>
    <row r="759">
      <c r="A759" s="84" t="s">
        <v>11506</v>
      </c>
      <c r="B759" s="45"/>
      <c r="C759" s="84" t="s">
        <v>11507</v>
      </c>
      <c r="D759" s="45"/>
      <c r="E759" s="84" t="s">
        <v>5978</v>
      </c>
      <c r="F759" s="84" t="s">
        <v>4095</v>
      </c>
      <c r="G759" s="85" t="s">
        <v>96</v>
      </c>
      <c r="H759" s="87">
        <v>2.45E-4</v>
      </c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</row>
    <row r="760">
      <c r="A760" s="84" t="s">
        <v>9541</v>
      </c>
      <c r="B760" s="45"/>
      <c r="C760" s="84" t="s">
        <v>9542</v>
      </c>
      <c r="D760" s="45"/>
      <c r="E760" s="84" t="s">
        <v>5261</v>
      </c>
      <c r="F760" s="84" t="s">
        <v>8784</v>
      </c>
      <c r="G760" s="85" t="s">
        <v>96</v>
      </c>
      <c r="H760" s="87">
        <v>2.447E-4</v>
      </c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</row>
    <row r="761">
      <c r="A761" s="84" t="s">
        <v>4580</v>
      </c>
      <c r="B761" s="45"/>
      <c r="C761" s="84" t="s">
        <v>9544</v>
      </c>
      <c r="D761" s="45"/>
      <c r="E761" s="84" t="s">
        <v>5267</v>
      </c>
      <c r="F761" s="84" t="s">
        <v>5300</v>
      </c>
      <c r="G761" s="85" t="s">
        <v>96</v>
      </c>
      <c r="H761" s="87">
        <v>2.439E-4</v>
      </c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</row>
    <row r="762">
      <c r="A762" s="84" t="s">
        <v>9587</v>
      </c>
      <c r="B762" s="45"/>
      <c r="C762" s="84" t="s">
        <v>9588</v>
      </c>
      <c r="D762" s="45"/>
      <c r="E762" s="84" t="s">
        <v>5715</v>
      </c>
      <c r="F762" s="84" t="s">
        <v>5425</v>
      </c>
      <c r="G762" s="85" t="s">
        <v>96</v>
      </c>
      <c r="H762" s="87">
        <v>2.438E-4</v>
      </c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</row>
    <row r="763">
      <c r="A763" s="84" t="s">
        <v>4576</v>
      </c>
      <c r="B763" s="45"/>
      <c r="C763" s="84" t="s">
        <v>11508</v>
      </c>
      <c r="D763" s="45"/>
      <c r="E763" s="84" t="s">
        <v>5366</v>
      </c>
      <c r="F763" s="84" t="s">
        <v>5300</v>
      </c>
      <c r="G763" s="85" t="s">
        <v>96</v>
      </c>
      <c r="H763" s="87">
        <v>2.434E-4</v>
      </c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</row>
    <row r="764">
      <c r="A764" s="84" t="s">
        <v>4586</v>
      </c>
      <c r="B764" s="45"/>
      <c r="C764" s="84" t="s">
        <v>9506</v>
      </c>
      <c r="D764" s="45"/>
      <c r="E764" s="84" t="s">
        <v>5525</v>
      </c>
      <c r="F764" s="84" t="s">
        <v>5300</v>
      </c>
      <c r="G764" s="85" t="s">
        <v>96</v>
      </c>
      <c r="H764" s="87">
        <v>2.431E-4</v>
      </c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</row>
    <row r="765">
      <c r="A765" s="84" t="s">
        <v>4561</v>
      </c>
      <c r="B765" s="45"/>
      <c r="C765" s="84" t="s">
        <v>9545</v>
      </c>
      <c r="D765" s="45"/>
      <c r="E765" s="84" t="s">
        <v>5501</v>
      </c>
      <c r="F765" s="84" t="s">
        <v>5300</v>
      </c>
      <c r="G765" s="85" t="s">
        <v>96</v>
      </c>
      <c r="H765" s="87">
        <v>2.431E-4</v>
      </c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</row>
    <row r="766">
      <c r="A766" s="84" t="s">
        <v>4595</v>
      </c>
      <c r="B766" s="45"/>
      <c r="C766" s="84" t="s">
        <v>11509</v>
      </c>
      <c r="D766" s="45"/>
      <c r="E766" s="84" t="s">
        <v>6191</v>
      </c>
      <c r="F766" s="84" t="s">
        <v>5300</v>
      </c>
      <c r="G766" s="85" t="s">
        <v>96</v>
      </c>
      <c r="H766" s="87">
        <v>2.43E-4</v>
      </c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</row>
    <row r="767">
      <c r="A767" s="84" t="s">
        <v>4546</v>
      </c>
      <c r="B767" s="45"/>
      <c r="C767" s="84" t="s">
        <v>9510</v>
      </c>
      <c r="D767" s="45"/>
      <c r="E767" s="84" t="s">
        <v>5264</v>
      </c>
      <c r="F767" s="84" t="s">
        <v>5300</v>
      </c>
      <c r="G767" s="85" t="s">
        <v>96</v>
      </c>
      <c r="H767" s="87">
        <v>2.43E-4</v>
      </c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</row>
    <row r="768">
      <c r="A768" s="84" t="s">
        <v>4525</v>
      </c>
      <c r="B768" s="45"/>
      <c r="C768" s="84" t="s">
        <v>9558</v>
      </c>
      <c r="D768" s="45"/>
      <c r="E768" s="84" t="s">
        <v>5374</v>
      </c>
      <c r="F768" s="84" t="s">
        <v>5300</v>
      </c>
      <c r="G768" s="85" t="s">
        <v>96</v>
      </c>
      <c r="H768" s="87">
        <v>2.422E-4</v>
      </c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</row>
    <row r="769">
      <c r="A769" s="84" t="s">
        <v>4583</v>
      </c>
      <c r="B769" s="45"/>
      <c r="C769" s="84" t="s">
        <v>11510</v>
      </c>
      <c r="D769" s="45"/>
      <c r="E769" s="84" t="s">
        <v>6191</v>
      </c>
      <c r="F769" s="84" t="s">
        <v>5300</v>
      </c>
      <c r="G769" s="85" t="s">
        <v>96</v>
      </c>
      <c r="H769" s="87">
        <v>2.417E-4</v>
      </c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</row>
    <row r="770">
      <c r="A770" s="84" t="s">
        <v>9589</v>
      </c>
      <c r="B770" s="45"/>
      <c r="C770" s="84" t="s">
        <v>9590</v>
      </c>
      <c r="D770" s="45"/>
      <c r="E770" s="84" t="s">
        <v>5434</v>
      </c>
      <c r="F770" s="84" t="s">
        <v>8759</v>
      </c>
      <c r="G770" s="85" t="s">
        <v>96</v>
      </c>
      <c r="H770" s="87">
        <v>2.415E-4</v>
      </c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</row>
    <row r="771">
      <c r="A771" s="84" t="s">
        <v>11511</v>
      </c>
      <c r="B771" s="45"/>
      <c r="C771" s="84" t="s">
        <v>11512</v>
      </c>
      <c r="D771" s="45"/>
      <c r="E771" s="84" t="s">
        <v>6090</v>
      </c>
      <c r="F771" s="84" t="s">
        <v>5300</v>
      </c>
      <c r="G771" s="85" t="s">
        <v>96</v>
      </c>
      <c r="H771" s="87">
        <v>2.401E-4</v>
      </c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</row>
    <row r="772">
      <c r="A772" s="84" t="s">
        <v>9584</v>
      </c>
      <c r="B772" s="45"/>
      <c r="C772" s="84" t="s">
        <v>9585</v>
      </c>
      <c r="D772" s="45"/>
      <c r="E772" s="84" t="s">
        <v>8951</v>
      </c>
      <c r="F772" s="84" t="s">
        <v>9021</v>
      </c>
      <c r="G772" s="85" t="s">
        <v>96</v>
      </c>
      <c r="H772" s="87">
        <v>2.399E-4</v>
      </c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</row>
    <row r="773">
      <c r="A773" s="84" t="s">
        <v>4593</v>
      </c>
      <c r="B773" s="45"/>
      <c r="C773" s="84" t="s">
        <v>11513</v>
      </c>
      <c r="D773" s="45"/>
      <c r="E773" s="84" t="s">
        <v>6110</v>
      </c>
      <c r="F773" s="84" t="s">
        <v>5300</v>
      </c>
      <c r="G773" s="85" t="s">
        <v>96</v>
      </c>
      <c r="H773" s="87">
        <v>2.395E-4</v>
      </c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</row>
    <row r="774">
      <c r="A774" s="84" t="s">
        <v>4535</v>
      </c>
      <c r="B774" s="45"/>
      <c r="C774" s="84" t="s">
        <v>9554</v>
      </c>
      <c r="D774" s="45"/>
      <c r="E774" s="84" t="s">
        <v>5811</v>
      </c>
      <c r="F774" s="84" t="s">
        <v>5300</v>
      </c>
      <c r="G774" s="85" t="s">
        <v>96</v>
      </c>
      <c r="H774" s="87">
        <v>2.392E-4</v>
      </c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</row>
    <row r="775">
      <c r="A775" s="84" t="s">
        <v>11514</v>
      </c>
      <c r="B775" s="45"/>
      <c r="C775" s="84" t="s">
        <v>11515</v>
      </c>
      <c r="D775" s="45"/>
      <c r="E775" s="84" t="s">
        <v>6191</v>
      </c>
      <c r="F775" s="84" t="s">
        <v>6220</v>
      </c>
      <c r="G775" s="85" t="s">
        <v>96</v>
      </c>
      <c r="H775" s="87">
        <v>2.39E-4</v>
      </c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</row>
    <row r="776">
      <c r="A776" s="84" t="s">
        <v>9600</v>
      </c>
      <c r="B776" s="45"/>
      <c r="C776" s="84" t="s">
        <v>9601</v>
      </c>
      <c r="D776" s="45"/>
      <c r="E776" s="84" t="s">
        <v>6798</v>
      </c>
      <c r="F776" s="84" t="s">
        <v>8784</v>
      </c>
      <c r="G776" s="85" t="s">
        <v>96</v>
      </c>
      <c r="H776" s="87">
        <v>2.38E-4</v>
      </c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</row>
    <row r="777">
      <c r="A777" s="84" t="s">
        <v>4597</v>
      </c>
      <c r="B777" s="45"/>
      <c r="C777" s="84" t="s">
        <v>9599</v>
      </c>
      <c r="D777" s="45"/>
      <c r="E777" s="84" t="s">
        <v>5715</v>
      </c>
      <c r="F777" s="84" t="s">
        <v>5300</v>
      </c>
      <c r="G777" s="85" t="s">
        <v>96</v>
      </c>
      <c r="H777" s="87">
        <v>2.378E-4</v>
      </c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</row>
    <row r="778">
      <c r="A778" s="84" t="s">
        <v>4607</v>
      </c>
      <c r="B778" s="45"/>
      <c r="C778" s="84" t="s">
        <v>9530</v>
      </c>
      <c r="D778" s="45"/>
      <c r="E778" s="84" t="s">
        <v>5321</v>
      </c>
      <c r="F778" s="84" t="s">
        <v>5300</v>
      </c>
      <c r="G778" s="85" t="s">
        <v>96</v>
      </c>
      <c r="H778" s="87">
        <v>2.371E-4</v>
      </c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</row>
    <row r="779">
      <c r="A779" s="84" t="s">
        <v>4682</v>
      </c>
      <c r="B779" s="45"/>
      <c r="C779" s="84" t="s">
        <v>9551</v>
      </c>
      <c r="D779" s="45"/>
      <c r="E779" s="84" t="s">
        <v>6514</v>
      </c>
      <c r="F779" s="84" t="s">
        <v>5300</v>
      </c>
      <c r="G779" s="85" t="s">
        <v>96</v>
      </c>
      <c r="H779" s="87">
        <v>2.364E-4</v>
      </c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</row>
    <row r="780">
      <c r="A780" s="84" t="s">
        <v>9591</v>
      </c>
      <c r="B780" s="45"/>
      <c r="C780" s="84" t="s">
        <v>9592</v>
      </c>
      <c r="D780" s="45"/>
      <c r="E780" s="84" t="s">
        <v>6009</v>
      </c>
      <c r="F780" s="84" t="s">
        <v>4095</v>
      </c>
      <c r="G780" s="85" t="s">
        <v>96</v>
      </c>
      <c r="H780" s="87">
        <v>2.352E-4</v>
      </c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</row>
    <row r="781">
      <c r="A781" s="84" t="s">
        <v>4605</v>
      </c>
      <c r="B781" s="45"/>
      <c r="C781" s="84" t="s">
        <v>9594</v>
      </c>
      <c r="D781" s="45"/>
      <c r="E781" s="84" t="s">
        <v>5407</v>
      </c>
      <c r="F781" s="84" t="s">
        <v>5300</v>
      </c>
      <c r="G781" s="85" t="s">
        <v>96</v>
      </c>
      <c r="H781" s="87">
        <v>2.346E-4</v>
      </c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</row>
    <row r="782">
      <c r="A782" s="84" t="s">
        <v>11516</v>
      </c>
      <c r="B782" s="45"/>
      <c r="C782" s="84" t="s">
        <v>11517</v>
      </c>
      <c r="D782" s="45"/>
      <c r="E782" s="84" t="s">
        <v>6238</v>
      </c>
      <c r="F782" s="84" t="s">
        <v>9908</v>
      </c>
      <c r="G782" s="85" t="s">
        <v>96</v>
      </c>
      <c r="H782" s="87">
        <v>2.338E-4</v>
      </c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</row>
    <row r="783">
      <c r="A783" s="84" t="s">
        <v>11518</v>
      </c>
      <c r="B783" s="45"/>
      <c r="C783" s="84" t="s">
        <v>11519</v>
      </c>
      <c r="D783" s="45"/>
      <c r="E783" s="84" t="s">
        <v>5267</v>
      </c>
      <c r="F783" s="84" t="s">
        <v>5300</v>
      </c>
      <c r="G783" s="85" t="s">
        <v>96</v>
      </c>
      <c r="H783" s="87">
        <v>2.335E-4</v>
      </c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</row>
    <row r="784">
      <c r="A784" s="84" t="s">
        <v>4591</v>
      </c>
      <c r="B784" s="45"/>
      <c r="C784" s="84" t="s">
        <v>9552</v>
      </c>
      <c r="D784" s="45"/>
      <c r="E784" s="84" t="s">
        <v>9553</v>
      </c>
      <c r="F784" s="84" t="s">
        <v>5300</v>
      </c>
      <c r="G784" s="85" t="s">
        <v>96</v>
      </c>
      <c r="H784" s="87">
        <v>2.333E-4</v>
      </c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</row>
    <row r="785">
      <c r="A785" s="84" t="s">
        <v>9434</v>
      </c>
      <c r="B785" s="45"/>
      <c r="C785" s="84" t="s">
        <v>9435</v>
      </c>
      <c r="D785" s="45"/>
      <c r="E785" s="84" t="s">
        <v>5422</v>
      </c>
      <c r="F785" s="84" t="s">
        <v>9021</v>
      </c>
      <c r="G785" s="85" t="s">
        <v>96</v>
      </c>
      <c r="H785" s="87">
        <v>2.332E-4</v>
      </c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</row>
    <row r="786">
      <c r="A786" s="84" t="s">
        <v>9602</v>
      </c>
      <c r="B786" s="45"/>
      <c r="C786" s="84" t="s">
        <v>9603</v>
      </c>
      <c r="D786" s="45"/>
      <c r="E786" s="84" t="s">
        <v>5775</v>
      </c>
      <c r="F786" s="84" t="s">
        <v>4095</v>
      </c>
      <c r="G786" s="85" t="s">
        <v>96</v>
      </c>
      <c r="H786" s="87">
        <v>2.329E-4</v>
      </c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</row>
    <row r="787">
      <c r="A787" s="84" t="s">
        <v>9520</v>
      </c>
      <c r="B787" s="45"/>
      <c r="C787" s="84" t="s">
        <v>9521</v>
      </c>
      <c r="D787" s="45"/>
      <c r="E787" s="84" t="s">
        <v>5249</v>
      </c>
      <c r="F787" s="84" t="s">
        <v>5300</v>
      </c>
      <c r="G787" s="85" t="s">
        <v>96</v>
      </c>
      <c r="H787" s="87">
        <v>2.326E-4</v>
      </c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</row>
    <row r="788">
      <c r="A788" s="84" t="s">
        <v>9516</v>
      </c>
      <c r="B788" s="45"/>
      <c r="C788" s="84" t="s">
        <v>9517</v>
      </c>
      <c r="D788" s="45"/>
      <c r="E788" s="84" t="s">
        <v>5561</v>
      </c>
      <c r="F788" s="84" t="s">
        <v>8784</v>
      </c>
      <c r="G788" s="85" t="s">
        <v>96</v>
      </c>
      <c r="H788" s="87">
        <v>2.316E-4</v>
      </c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</row>
    <row r="789">
      <c r="A789" s="84" t="s">
        <v>4565</v>
      </c>
      <c r="B789" s="45"/>
      <c r="C789" s="84" t="s">
        <v>9577</v>
      </c>
      <c r="D789" s="45"/>
      <c r="E789" s="84" t="s">
        <v>7611</v>
      </c>
      <c r="F789" s="84" t="s">
        <v>5300</v>
      </c>
      <c r="G789" s="85" t="s">
        <v>96</v>
      </c>
      <c r="H789" s="87">
        <v>2.315E-4</v>
      </c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</row>
    <row r="790">
      <c r="A790" s="84" t="s">
        <v>11520</v>
      </c>
      <c r="B790" s="45"/>
      <c r="C790" s="84" t="s">
        <v>11521</v>
      </c>
      <c r="D790" s="45"/>
      <c r="E790" s="84" t="s">
        <v>5246</v>
      </c>
      <c r="F790" s="84" t="s">
        <v>5300</v>
      </c>
      <c r="G790" s="85" t="s">
        <v>96</v>
      </c>
      <c r="H790" s="87">
        <v>2.309E-4</v>
      </c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</row>
    <row r="791">
      <c r="A791" s="84" t="s">
        <v>9739</v>
      </c>
      <c r="B791" s="45"/>
      <c r="C791" s="84" t="s">
        <v>9740</v>
      </c>
      <c r="D791" s="45"/>
      <c r="E791" s="84" t="s">
        <v>5513</v>
      </c>
      <c r="F791" s="84" t="s">
        <v>4095</v>
      </c>
      <c r="G791" s="85" t="s">
        <v>96</v>
      </c>
      <c r="H791" s="87">
        <v>2.305E-4</v>
      </c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</row>
    <row r="792">
      <c r="A792" s="84" t="s">
        <v>4611</v>
      </c>
      <c r="B792" s="45"/>
      <c r="C792" s="84" t="s">
        <v>9550</v>
      </c>
      <c r="D792" s="45"/>
      <c r="E792" s="84" t="s">
        <v>5467</v>
      </c>
      <c r="F792" s="84" t="s">
        <v>5300</v>
      </c>
      <c r="G792" s="85" t="s">
        <v>96</v>
      </c>
      <c r="H792" s="87">
        <v>2.305E-4</v>
      </c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</row>
    <row r="793">
      <c r="A793" s="84" t="s">
        <v>9562</v>
      </c>
      <c r="B793" s="45"/>
      <c r="C793" s="84" t="s">
        <v>9563</v>
      </c>
      <c r="D793" s="45"/>
      <c r="E793" s="84" t="s">
        <v>5283</v>
      </c>
      <c r="F793" s="84" t="s">
        <v>5425</v>
      </c>
      <c r="G793" s="85" t="s">
        <v>96</v>
      </c>
      <c r="H793" s="87">
        <v>2.301E-4</v>
      </c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</row>
    <row r="794">
      <c r="A794" s="84" t="s">
        <v>9750</v>
      </c>
      <c r="B794" s="45"/>
      <c r="C794" s="84" t="s">
        <v>9751</v>
      </c>
      <c r="D794" s="45"/>
      <c r="E794" s="84" t="s">
        <v>6266</v>
      </c>
      <c r="F794" s="84" t="s">
        <v>5425</v>
      </c>
      <c r="G794" s="85" t="s">
        <v>96</v>
      </c>
      <c r="H794" s="87">
        <v>2.3E-4</v>
      </c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</row>
    <row r="795">
      <c r="A795" s="84" t="s">
        <v>4566</v>
      </c>
      <c r="B795" s="45"/>
      <c r="C795" s="84" t="s">
        <v>11522</v>
      </c>
      <c r="D795" s="45"/>
      <c r="E795" s="84" t="s">
        <v>5226</v>
      </c>
      <c r="F795" s="84" t="s">
        <v>5300</v>
      </c>
      <c r="G795" s="85" t="s">
        <v>96</v>
      </c>
      <c r="H795" s="87">
        <v>2.296E-4</v>
      </c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</row>
    <row r="796">
      <c r="A796" s="84" t="s">
        <v>4590</v>
      </c>
      <c r="B796" s="45"/>
      <c r="C796" s="84" t="s">
        <v>9561</v>
      </c>
      <c r="D796" s="45"/>
      <c r="E796" s="84" t="s">
        <v>5218</v>
      </c>
      <c r="F796" s="84" t="s">
        <v>5300</v>
      </c>
      <c r="G796" s="85" t="s">
        <v>96</v>
      </c>
      <c r="H796" s="87">
        <v>2.292E-4</v>
      </c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</row>
    <row r="797">
      <c r="A797" s="84" t="s">
        <v>9620</v>
      </c>
      <c r="B797" s="45"/>
      <c r="C797" s="84" t="s">
        <v>9621</v>
      </c>
      <c r="D797" s="45"/>
      <c r="E797" s="84" t="s">
        <v>6040</v>
      </c>
      <c r="F797" s="84" t="s">
        <v>5425</v>
      </c>
      <c r="G797" s="85" t="s">
        <v>96</v>
      </c>
      <c r="H797" s="87">
        <v>2.288E-4</v>
      </c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</row>
    <row r="798">
      <c r="A798" s="84" t="s">
        <v>4562</v>
      </c>
      <c r="B798" s="45"/>
      <c r="C798" s="84" t="s">
        <v>9593</v>
      </c>
      <c r="D798" s="45"/>
      <c r="E798" s="84" t="s">
        <v>5261</v>
      </c>
      <c r="F798" s="84" t="s">
        <v>5300</v>
      </c>
      <c r="G798" s="85" t="s">
        <v>96</v>
      </c>
      <c r="H798" s="87">
        <v>2.287E-4</v>
      </c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</row>
    <row r="799">
      <c r="A799" s="84" t="s">
        <v>9511</v>
      </c>
      <c r="B799" s="45"/>
      <c r="C799" s="84" t="s">
        <v>9512</v>
      </c>
      <c r="D799" s="45"/>
      <c r="E799" s="84" t="s">
        <v>5276</v>
      </c>
      <c r="F799" s="84" t="s">
        <v>9513</v>
      </c>
      <c r="G799" s="85" t="s">
        <v>96</v>
      </c>
      <c r="H799" s="87">
        <v>2.284E-4</v>
      </c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</row>
    <row r="800">
      <c r="A800" s="84" t="s">
        <v>4584</v>
      </c>
      <c r="B800" s="45"/>
      <c r="C800" s="84" t="s">
        <v>11523</v>
      </c>
      <c r="D800" s="45"/>
      <c r="E800" s="84" t="s">
        <v>6130</v>
      </c>
      <c r="F800" s="84" t="s">
        <v>5300</v>
      </c>
      <c r="G800" s="85" t="s">
        <v>96</v>
      </c>
      <c r="H800" s="87">
        <v>2.283E-4</v>
      </c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</row>
    <row r="801">
      <c r="A801" s="84" t="s">
        <v>9565</v>
      </c>
      <c r="B801" s="45"/>
      <c r="C801" s="84" t="s">
        <v>9566</v>
      </c>
      <c r="D801" s="45"/>
      <c r="E801" s="84" t="s">
        <v>5215</v>
      </c>
      <c r="F801" s="84" t="s">
        <v>4095</v>
      </c>
      <c r="G801" s="85" t="s">
        <v>96</v>
      </c>
      <c r="H801" s="87">
        <v>2.276E-4</v>
      </c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</row>
    <row r="802">
      <c r="A802" s="84" t="s">
        <v>9573</v>
      </c>
      <c r="B802" s="45"/>
      <c r="C802" s="84" t="s">
        <v>9574</v>
      </c>
      <c r="D802" s="45"/>
      <c r="E802" s="84" t="s">
        <v>5276</v>
      </c>
      <c r="F802" s="84" t="s">
        <v>5300</v>
      </c>
      <c r="G802" s="85" t="s">
        <v>96</v>
      </c>
      <c r="H802" s="87">
        <v>2.276E-4</v>
      </c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</row>
    <row r="803">
      <c r="A803" s="84" t="s">
        <v>4602</v>
      </c>
      <c r="B803" s="45"/>
      <c r="C803" s="84" t="s">
        <v>9559</v>
      </c>
      <c r="D803" s="45"/>
      <c r="E803" s="84" t="s">
        <v>5326</v>
      </c>
      <c r="F803" s="84" t="s">
        <v>5300</v>
      </c>
      <c r="G803" s="85" t="s">
        <v>96</v>
      </c>
      <c r="H803" s="87">
        <v>2.275E-4</v>
      </c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</row>
    <row r="804">
      <c r="A804" s="84" t="s">
        <v>4671</v>
      </c>
      <c r="B804" s="45"/>
      <c r="C804" s="84" t="s">
        <v>9596</v>
      </c>
      <c r="D804" s="45"/>
      <c r="E804" s="84" t="s">
        <v>5232</v>
      </c>
      <c r="F804" s="84" t="s">
        <v>5300</v>
      </c>
      <c r="G804" s="85" t="s">
        <v>96</v>
      </c>
      <c r="H804" s="87">
        <v>2.273E-4</v>
      </c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</row>
    <row r="805">
      <c r="A805" s="84" t="s">
        <v>9806</v>
      </c>
      <c r="B805" s="45"/>
      <c r="C805" s="84" t="s">
        <v>9807</v>
      </c>
      <c r="D805" s="45"/>
      <c r="E805" s="84" t="s">
        <v>5215</v>
      </c>
      <c r="F805" s="84" t="s">
        <v>9021</v>
      </c>
      <c r="G805" s="85" t="s">
        <v>96</v>
      </c>
      <c r="H805" s="87">
        <v>2.273E-4</v>
      </c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</row>
    <row r="806">
      <c r="A806" s="84" t="s">
        <v>9615</v>
      </c>
      <c r="B806" s="45"/>
      <c r="C806" s="84" t="s">
        <v>9616</v>
      </c>
      <c r="D806" s="45"/>
      <c r="E806" s="84" t="s">
        <v>5215</v>
      </c>
      <c r="F806" s="84" t="s">
        <v>9617</v>
      </c>
      <c r="G806" s="85" t="s">
        <v>96</v>
      </c>
      <c r="H806" s="87">
        <v>2.267E-4</v>
      </c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</row>
    <row r="807">
      <c r="A807" s="84" t="s">
        <v>4623</v>
      </c>
      <c r="B807" s="45"/>
      <c r="C807" s="84" t="s">
        <v>11524</v>
      </c>
      <c r="D807" s="45"/>
      <c r="E807" s="84" t="s">
        <v>5253</v>
      </c>
      <c r="F807" s="84" t="s">
        <v>5300</v>
      </c>
      <c r="G807" s="85" t="s">
        <v>96</v>
      </c>
      <c r="H807" s="87">
        <v>2.257E-4</v>
      </c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</row>
    <row r="808">
      <c r="A808" s="84" t="s">
        <v>9624</v>
      </c>
      <c r="B808" s="45"/>
      <c r="C808" s="84" t="s">
        <v>9625</v>
      </c>
      <c r="D808" s="45"/>
      <c r="E808" s="84" t="s">
        <v>9144</v>
      </c>
      <c r="F808" s="84" t="s">
        <v>4095</v>
      </c>
      <c r="G808" s="85" t="s">
        <v>96</v>
      </c>
      <c r="H808" s="87">
        <v>2.256E-4</v>
      </c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</row>
    <row r="809">
      <c r="A809" s="84" t="s">
        <v>9526</v>
      </c>
      <c r="B809" s="45"/>
      <c r="C809" s="84" t="s">
        <v>9527</v>
      </c>
      <c r="D809" s="45"/>
      <c r="E809" s="84" t="s">
        <v>5215</v>
      </c>
      <c r="F809" s="84" t="s">
        <v>8784</v>
      </c>
      <c r="G809" s="85" t="s">
        <v>96</v>
      </c>
      <c r="H809" s="87">
        <v>2.255E-4</v>
      </c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</row>
    <row r="810">
      <c r="A810" s="84" t="s">
        <v>9582</v>
      </c>
      <c r="B810" s="45"/>
      <c r="C810" s="84" t="s">
        <v>9583</v>
      </c>
      <c r="D810" s="45"/>
      <c r="E810" s="84" t="s">
        <v>5321</v>
      </c>
      <c r="F810" s="84" t="s">
        <v>5300</v>
      </c>
      <c r="G810" s="85" t="s">
        <v>96</v>
      </c>
      <c r="H810" s="87">
        <v>2.251E-4</v>
      </c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</row>
    <row r="811">
      <c r="A811" s="84" t="s">
        <v>11525</v>
      </c>
      <c r="B811" s="45"/>
      <c r="C811" s="84" t="s">
        <v>11526</v>
      </c>
      <c r="D811" s="45"/>
      <c r="E811" s="84" t="s">
        <v>6759</v>
      </c>
      <c r="F811" s="84" t="s">
        <v>4095</v>
      </c>
      <c r="G811" s="85" t="s">
        <v>96</v>
      </c>
      <c r="H811" s="87">
        <v>2.244E-4</v>
      </c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</row>
    <row r="812">
      <c r="A812" s="84" t="s">
        <v>9662</v>
      </c>
      <c r="B812" s="45"/>
      <c r="C812" s="84" t="s">
        <v>9663</v>
      </c>
      <c r="D812" s="45"/>
      <c r="E812" s="84" t="s">
        <v>6389</v>
      </c>
      <c r="F812" s="84" t="s">
        <v>5425</v>
      </c>
      <c r="G812" s="85" t="s">
        <v>96</v>
      </c>
      <c r="H812" s="87">
        <v>2.238E-4</v>
      </c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</row>
    <row r="813">
      <c r="A813" s="84" t="s">
        <v>9678</v>
      </c>
      <c r="B813" s="45"/>
      <c r="C813" s="84" t="s">
        <v>9679</v>
      </c>
      <c r="D813" s="45"/>
      <c r="E813" s="84" t="s">
        <v>9189</v>
      </c>
      <c r="F813" s="84" t="s">
        <v>8784</v>
      </c>
      <c r="G813" s="85" t="s">
        <v>96</v>
      </c>
      <c r="H813" s="87">
        <v>2.238E-4</v>
      </c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</row>
    <row r="814">
      <c r="A814" s="84" t="s">
        <v>11527</v>
      </c>
      <c r="B814" s="45"/>
      <c r="C814" s="84" t="s">
        <v>11528</v>
      </c>
      <c r="D814" s="45"/>
      <c r="E814" s="84" t="s">
        <v>6389</v>
      </c>
      <c r="F814" s="84" t="s">
        <v>8784</v>
      </c>
      <c r="G814" s="85" t="s">
        <v>96</v>
      </c>
      <c r="H814" s="87">
        <v>2.233E-4</v>
      </c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</row>
    <row r="815">
      <c r="A815" s="84" t="s">
        <v>4603</v>
      </c>
      <c r="B815" s="45"/>
      <c r="C815" s="84" t="s">
        <v>9646</v>
      </c>
      <c r="D815" s="45"/>
      <c r="E815" s="84" t="s">
        <v>5291</v>
      </c>
      <c r="F815" s="84" t="s">
        <v>5300</v>
      </c>
      <c r="G815" s="85" t="s">
        <v>96</v>
      </c>
      <c r="H815" s="87">
        <v>2.23E-4</v>
      </c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</row>
    <row r="816">
      <c r="A816" s="84" t="s">
        <v>9608</v>
      </c>
      <c r="B816" s="45"/>
      <c r="C816" s="84" t="s">
        <v>9609</v>
      </c>
      <c r="D816" s="45"/>
      <c r="E816" s="84" t="s">
        <v>5238</v>
      </c>
      <c r="F816" s="84" t="s">
        <v>5836</v>
      </c>
      <c r="G816" s="85" t="s">
        <v>96</v>
      </c>
      <c r="H816" s="87">
        <v>2.221E-4</v>
      </c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</row>
    <row r="817">
      <c r="A817" s="84" t="s">
        <v>11529</v>
      </c>
      <c r="B817" s="45"/>
      <c r="C817" s="84" t="s">
        <v>11530</v>
      </c>
      <c r="D817" s="45"/>
      <c r="E817" s="84" t="s">
        <v>6472</v>
      </c>
      <c r="F817" s="84" t="s">
        <v>4095</v>
      </c>
      <c r="G817" s="85" t="s">
        <v>96</v>
      </c>
      <c r="H817" s="87">
        <v>2.217E-4</v>
      </c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</row>
    <row r="818">
      <c r="A818" s="84" t="s">
        <v>6869</v>
      </c>
      <c r="B818" s="45"/>
      <c r="C818" s="84" t="s">
        <v>11531</v>
      </c>
      <c r="D818" s="45"/>
      <c r="E818" s="84" t="s">
        <v>5226</v>
      </c>
      <c r="F818" s="84" t="s">
        <v>8784</v>
      </c>
      <c r="G818" s="85" t="s">
        <v>96</v>
      </c>
      <c r="H818" s="87">
        <v>2.202E-4</v>
      </c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</row>
    <row r="819">
      <c r="A819" s="84" t="s">
        <v>9639</v>
      </c>
      <c r="B819" s="45"/>
      <c r="C819" s="84" t="s">
        <v>9640</v>
      </c>
      <c r="D819" s="45"/>
      <c r="E819" s="84" t="s">
        <v>5267</v>
      </c>
      <c r="F819" s="84" t="s">
        <v>5268</v>
      </c>
      <c r="G819" s="85" t="s">
        <v>96</v>
      </c>
      <c r="H819" s="87">
        <v>2.2E-4</v>
      </c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</row>
    <row r="820">
      <c r="A820" s="84" t="s">
        <v>11532</v>
      </c>
      <c r="B820" s="45"/>
      <c r="C820" s="84" t="s">
        <v>11533</v>
      </c>
      <c r="D820" s="45"/>
      <c r="E820" s="84" t="s">
        <v>5675</v>
      </c>
      <c r="F820" s="84" t="s">
        <v>5300</v>
      </c>
      <c r="G820" s="85" t="s">
        <v>96</v>
      </c>
      <c r="H820" s="87">
        <v>2.181E-4</v>
      </c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</row>
    <row r="821">
      <c r="A821" s="84" t="s">
        <v>4599</v>
      </c>
      <c r="B821" s="45"/>
      <c r="C821" s="84" t="s">
        <v>9660</v>
      </c>
      <c r="D821" s="45"/>
      <c r="E821" s="84" t="s">
        <v>5445</v>
      </c>
      <c r="F821" s="84" t="s">
        <v>5300</v>
      </c>
      <c r="G821" s="85" t="s">
        <v>96</v>
      </c>
      <c r="H821" s="87">
        <v>2.178E-4</v>
      </c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</row>
    <row r="822">
      <c r="A822" s="84" t="s">
        <v>4589</v>
      </c>
      <c r="B822" s="45"/>
      <c r="C822" s="84" t="s">
        <v>9661</v>
      </c>
      <c r="D822" s="45"/>
      <c r="E822" s="84" t="s">
        <v>5261</v>
      </c>
      <c r="F822" s="84" t="s">
        <v>5300</v>
      </c>
      <c r="G822" s="85" t="s">
        <v>96</v>
      </c>
      <c r="H822" s="87">
        <v>2.178E-4</v>
      </c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</row>
    <row r="823">
      <c r="A823" s="84" t="s">
        <v>9683</v>
      </c>
      <c r="B823" s="45"/>
      <c r="C823" s="84" t="s">
        <v>9684</v>
      </c>
      <c r="D823" s="45"/>
      <c r="E823" s="84" t="s">
        <v>5276</v>
      </c>
      <c r="F823" s="84" t="s">
        <v>5425</v>
      </c>
      <c r="G823" s="85" t="s">
        <v>96</v>
      </c>
      <c r="H823" s="87">
        <v>2.177E-4</v>
      </c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</row>
    <row r="824">
      <c r="A824" s="84" t="s">
        <v>9571</v>
      </c>
      <c r="B824" s="45"/>
      <c r="C824" s="84" t="s">
        <v>9572</v>
      </c>
      <c r="D824" s="45"/>
      <c r="E824" s="84" t="s">
        <v>5811</v>
      </c>
      <c r="F824" s="84" t="s">
        <v>8784</v>
      </c>
      <c r="G824" s="85" t="s">
        <v>96</v>
      </c>
      <c r="H824" s="87">
        <v>2.171E-4</v>
      </c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</row>
    <row r="825">
      <c r="A825" s="84" t="s">
        <v>4660</v>
      </c>
      <c r="B825" s="45"/>
      <c r="C825" s="84" t="s">
        <v>9628</v>
      </c>
      <c r="D825" s="45"/>
      <c r="E825" s="84" t="s">
        <v>5525</v>
      </c>
      <c r="F825" s="84" t="s">
        <v>5300</v>
      </c>
      <c r="G825" s="85" t="s">
        <v>96</v>
      </c>
      <c r="H825" s="87">
        <v>2.169E-4</v>
      </c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</row>
    <row r="826">
      <c r="A826" s="84" t="s">
        <v>4601</v>
      </c>
      <c r="B826" s="45"/>
      <c r="C826" s="84" t="s">
        <v>9651</v>
      </c>
      <c r="D826" s="45"/>
      <c r="E826" s="84" t="s">
        <v>5434</v>
      </c>
      <c r="F826" s="84" t="s">
        <v>5300</v>
      </c>
      <c r="G826" s="85" t="s">
        <v>96</v>
      </c>
      <c r="H826" s="87">
        <v>2.162E-4</v>
      </c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</row>
    <row r="827">
      <c r="A827" s="84" t="s">
        <v>4606</v>
      </c>
      <c r="B827" s="45"/>
      <c r="C827" s="84" t="s">
        <v>9636</v>
      </c>
      <c r="D827" s="45"/>
      <c r="E827" s="84" t="s">
        <v>5478</v>
      </c>
      <c r="F827" s="84" t="s">
        <v>5300</v>
      </c>
      <c r="G827" s="85" t="s">
        <v>96</v>
      </c>
      <c r="H827" s="87">
        <v>2.158E-4</v>
      </c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</row>
    <row r="828">
      <c r="A828" s="84" t="s">
        <v>9580</v>
      </c>
      <c r="B828" s="45"/>
      <c r="C828" s="84" t="s">
        <v>9581</v>
      </c>
      <c r="D828" s="45"/>
      <c r="E828" s="84" t="s">
        <v>5241</v>
      </c>
      <c r="F828" s="84" t="s">
        <v>4436</v>
      </c>
      <c r="G828" s="85" t="s">
        <v>96</v>
      </c>
      <c r="H828" s="87">
        <v>2.155E-4</v>
      </c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</row>
    <row r="829">
      <c r="A829" s="84" t="s">
        <v>9597</v>
      </c>
      <c r="B829" s="45"/>
      <c r="C829" s="84" t="s">
        <v>9598</v>
      </c>
      <c r="D829" s="45"/>
      <c r="E829" s="84" t="s">
        <v>5215</v>
      </c>
      <c r="F829" s="84" t="s">
        <v>9513</v>
      </c>
      <c r="G829" s="85" t="s">
        <v>96</v>
      </c>
      <c r="H829" s="87">
        <v>2.153E-4</v>
      </c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</row>
    <row r="830">
      <c r="A830" s="84" t="s">
        <v>11534</v>
      </c>
      <c r="B830" s="45"/>
      <c r="C830" s="84" t="s">
        <v>11535</v>
      </c>
      <c r="D830" s="45"/>
      <c r="E830" s="84" t="s">
        <v>5450</v>
      </c>
      <c r="F830" s="84" t="s">
        <v>5836</v>
      </c>
      <c r="G830" s="85" t="s">
        <v>96</v>
      </c>
      <c r="H830" s="87">
        <v>2.142E-4</v>
      </c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</row>
    <row r="831">
      <c r="A831" s="84" t="s">
        <v>9626</v>
      </c>
      <c r="B831" s="45"/>
      <c r="C831" s="84" t="s">
        <v>9627</v>
      </c>
      <c r="D831" s="45"/>
      <c r="E831" s="84" t="s">
        <v>5326</v>
      </c>
      <c r="F831" s="84" t="s">
        <v>5300</v>
      </c>
      <c r="G831" s="85" t="s">
        <v>96</v>
      </c>
      <c r="H831" s="87">
        <v>2.135E-4</v>
      </c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</row>
    <row r="832">
      <c r="A832" s="84" t="s">
        <v>11536</v>
      </c>
      <c r="B832" s="45"/>
      <c r="C832" s="84" t="s">
        <v>11537</v>
      </c>
      <c r="D832" s="45"/>
      <c r="E832" s="84" t="s">
        <v>6389</v>
      </c>
      <c r="F832" s="84" t="s">
        <v>8784</v>
      </c>
      <c r="G832" s="85" t="s">
        <v>96</v>
      </c>
      <c r="H832" s="87">
        <v>2.132E-4</v>
      </c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</row>
    <row r="833">
      <c r="A833" s="84" t="s">
        <v>4575</v>
      </c>
      <c r="B833" s="45"/>
      <c r="C833" s="84" t="s">
        <v>11538</v>
      </c>
      <c r="D833" s="45"/>
      <c r="E833" s="84" t="s">
        <v>5374</v>
      </c>
      <c r="F833" s="84" t="s">
        <v>5300</v>
      </c>
      <c r="G833" s="85" t="s">
        <v>96</v>
      </c>
      <c r="H833" s="87">
        <v>2.123E-4</v>
      </c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</row>
    <row r="834">
      <c r="A834" s="84" t="s">
        <v>11539</v>
      </c>
      <c r="B834" s="45"/>
      <c r="C834" s="84" t="s">
        <v>11540</v>
      </c>
      <c r="D834" s="45"/>
      <c r="E834" s="84" t="s">
        <v>6110</v>
      </c>
      <c r="F834" s="84" t="s">
        <v>8784</v>
      </c>
      <c r="G834" s="85" t="s">
        <v>96</v>
      </c>
      <c r="H834" s="87">
        <v>2.119E-4</v>
      </c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</row>
    <row r="835">
      <c r="A835" s="84" t="s">
        <v>9671</v>
      </c>
      <c r="B835" s="45"/>
      <c r="C835" s="84" t="s">
        <v>9672</v>
      </c>
      <c r="D835" s="45"/>
      <c r="E835" s="84" t="s">
        <v>5564</v>
      </c>
      <c r="F835" s="84" t="s">
        <v>5425</v>
      </c>
      <c r="G835" s="85" t="s">
        <v>96</v>
      </c>
      <c r="H835" s="87">
        <v>2.119E-4</v>
      </c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</row>
    <row r="836">
      <c r="A836" s="84" t="s">
        <v>9632</v>
      </c>
      <c r="B836" s="45"/>
      <c r="C836" s="84" t="s">
        <v>9633</v>
      </c>
      <c r="D836" s="45"/>
      <c r="E836" s="84" t="s">
        <v>5215</v>
      </c>
      <c r="F836" s="84" t="s">
        <v>8784</v>
      </c>
      <c r="G836" s="85" t="s">
        <v>96</v>
      </c>
      <c r="H836" s="87">
        <v>2.112E-4</v>
      </c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</row>
    <row r="837">
      <c r="A837" s="84" t="s">
        <v>9664</v>
      </c>
      <c r="B837" s="45"/>
      <c r="C837" s="84" t="s">
        <v>9665</v>
      </c>
      <c r="D837" s="45"/>
      <c r="E837" s="84" t="s">
        <v>5682</v>
      </c>
      <c r="F837" s="84" t="s">
        <v>4095</v>
      </c>
      <c r="G837" s="85" t="s">
        <v>96</v>
      </c>
      <c r="H837" s="87">
        <v>2.111E-4</v>
      </c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</row>
    <row r="838">
      <c r="A838" s="84" t="s">
        <v>4647</v>
      </c>
      <c r="B838" s="45"/>
      <c r="C838" s="84" t="s">
        <v>11541</v>
      </c>
      <c r="D838" s="45"/>
      <c r="E838" s="84" t="s">
        <v>5253</v>
      </c>
      <c r="F838" s="84" t="s">
        <v>5300</v>
      </c>
      <c r="G838" s="85" t="s">
        <v>96</v>
      </c>
      <c r="H838" s="87">
        <v>2.11E-4</v>
      </c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</row>
    <row r="839">
      <c r="A839" s="84" t="s">
        <v>9629</v>
      </c>
      <c r="B839" s="45"/>
      <c r="C839" s="84" t="s">
        <v>9590</v>
      </c>
      <c r="D839" s="45"/>
      <c r="E839" s="84" t="s">
        <v>5434</v>
      </c>
      <c r="F839" s="84" t="s">
        <v>8759</v>
      </c>
      <c r="G839" s="85" t="s">
        <v>96</v>
      </c>
      <c r="H839" s="87">
        <v>2.106E-4</v>
      </c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</row>
    <row r="840">
      <c r="A840" s="84" t="s">
        <v>4631</v>
      </c>
      <c r="B840" s="45"/>
      <c r="C840" s="84" t="s">
        <v>9564</v>
      </c>
      <c r="D840" s="45"/>
      <c r="E840" s="84" t="s">
        <v>5609</v>
      </c>
      <c r="F840" s="84" t="s">
        <v>5300</v>
      </c>
      <c r="G840" s="85" t="s">
        <v>96</v>
      </c>
      <c r="H840" s="87">
        <v>2.105E-4</v>
      </c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</row>
    <row r="841">
      <c r="A841" s="84" t="s">
        <v>9680</v>
      </c>
      <c r="B841" s="45"/>
      <c r="C841" s="84" t="s">
        <v>9681</v>
      </c>
      <c r="D841" s="45"/>
      <c r="E841" s="84" t="s">
        <v>5756</v>
      </c>
      <c r="F841" s="84" t="s">
        <v>8784</v>
      </c>
      <c r="G841" s="85" t="s">
        <v>96</v>
      </c>
      <c r="H841" s="87">
        <v>2.102E-4</v>
      </c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</row>
    <row r="842">
      <c r="A842" s="84" t="s">
        <v>9634</v>
      </c>
      <c r="B842" s="45"/>
      <c r="C842" s="84" t="s">
        <v>9635</v>
      </c>
      <c r="D842" s="45"/>
      <c r="E842" s="84" t="s">
        <v>5366</v>
      </c>
      <c r="F842" s="84" t="s">
        <v>4095</v>
      </c>
      <c r="G842" s="85" t="s">
        <v>96</v>
      </c>
      <c r="H842" s="87">
        <v>2.101E-4</v>
      </c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</row>
    <row r="843">
      <c r="A843" s="84" t="s">
        <v>4573</v>
      </c>
      <c r="B843" s="45"/>
      <c r="C843" s="84" t="s">
        <v>9586</v>
      </c>
      <c r="D843" s="45"/>
      <c r="E843" s="84" t="s">
        <v>5811</v>
      </c>
      <c r="F843" s="84" t="s">
        <v>5268</v>
      </c>
      <c r="G843" s="85" t="s">
        <v>96</v>
      </c>
      <c r="H843" s="87">
        <v>2.1E-4</v>
      </c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</row>
    <row r="844">
      <c r="A844" s="84" t="s">
        <v>4578</v>
      </c>
      <c r="B844" s="45"/>
      <c r="C844" s="84" t="s">
        <v>9595</v>
      </c>
      <c r="D844" s="45"/>
      <c r="E844" s="84" t="s">
        <v>6327</v>
      </c>
      <c r="F844" s="84" t="s">
        <v>5300</v>
      </c>
      <c r="G844" s="85" t="s">
        <v>96</v>
      </c>
      <c r="H844" s="87">
        <v>2.099E-4</v>
      </c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</row>
    <row r="845">
      <c r="A845" s="84" t="s">
        <v>9729</v>
      </c>
      <c r="B845" s="45"/>
      <c r="C845" s="84" t="s">
        <v>9730</v>
      </c>
      <c r="D845" s="45"/>
      <c r="E845" s="84" t="s">
        <v>5229</v>
      </c>
      <c r="F845" s="84" t="s">
        <v>8784</v>
      </c>
      <c r="G845" s="85" t="s">
        <v>96</v>
      </c>
      <c r="H845" s="87">
        <v>2.098E-4</v>
      </c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</row>
    <row r="846">
      <c r="A846" s="84" t="s">
        <v>9637</v>
      </c>
      <c r="B846" s="45"/>
      <c r="C846" s="84" t="s">
        <v>9638</v>
      </c>
      <c r="D846" s="45"/>
      <c r="E846" s="84" t="s">
        <v>5445</v>
      </c>
      <c r="F846" s="84" t="s">
        <v>5300</v>
      </c>
      <c r="G846" s="85" t="s">
        <v>96</v>
      </c>
      <c r="H846" s="87">
        <v>2.091E-4</v>
      </c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</row>
    <row r="847">
      <c r="A847" s="84" t="s">
        <v>5836</v>
      </c>
      <c r="B847" s="45"/>
      <c r="C847" s="84" t="s">
        <v>9677</v>
      </c>
      <c r="D847" s="45"/>
      <c r="E847" s="84" t="s">
        <v>5238</v>
      </c>
      <c r="F847" s="84" t="s">
        <v>5747</v>
      </c>
      <c r="G847" s="85" t="s">
        <v>96</v>
      </c>
      <c r="H847" s="87">
        <v>2.087E-4</v>
      </c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</row>
    <row r="848">
      <c r="A848" s="84" t="s">
        <v>9673</v>
      </c>
      <c r="B848" s="45"/>
      <c r="C848" s="84" t="s">
        <v>9674</v>
      </c>
      <c r="D848" s="45"/>
      <c r="E848" s="84" t="s">
        <v>5715</v>
      </c>
      <c r="F848" s="84" t="s">
        <v>5329</v>
      </c>
      <c r="G848" s="85" t="s">
        <v>96</v>
      </c>
      <c r="H848" s="87">
        <v>2.085E-4</v>
      </c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</row>
    <row r="849">
      <c r="A849" s="84" t="s">
        <v>9685</v>
      </c>
      <c r="B849" s="45"/>
      <c r="C849" s="84" t="s">
        <v>9686</v>
      </c>
      <c r="D849" s="45"/>
      <c r="E849" s="84" t="s">
        <v>6191</v>
      </c>
      <c r="F849" s="84" t="s">
        <v>4357</v>
      </c>
      <c r="G849" s="85" t="s">
        <v>96</v>
      </c>
      <c r="H849" s="87">
        <v>2.085E-4</v>
      </c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</row>
    <row r="850">
      <c r="A850" s="84" t="s">
        <v>11542</v>
      </c>
      <c r="B850" s="45"/>
      <c r="C850" s="84" t="s">
        <v>11543</v>
      </c>
      <c r="D850" s="45"/>
      <c r="E850" s="84" t="s">
        <v>5978</v>
      </c>
      <c r="F850" s="84" t="s">
        <v>8784</v>
      </c>
      <c r="G850" s="85" t="s">
        <v>96</v>
      </c>
      <c r="H850" s="87">
        <v>2.084E-4</v>
      </c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</row>
    <row r="851">
      <c r="A851" s="84" t="s">
        <v>11544</v>
      </c>
      <c r="B851" s="45"/>
      <c r="C851" s="84" t="s">
        <v>11545</v>
      </c>
      <c r="D851" s="45"/>
      <c r="E851" s="84" t="s">
        <v>5276</v>
      </c>
      <c r="F851" s="84" t="s">
        <v>5836</v>
      </c>
      <c r="G851" s="85" t="s">
        <v>96</v>
      </c>
      <c r="H851" s="87">
        <v>2.078E-4</v>
      </c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</row>
    <row r="852">
      <c r="A852" s="84" t="s">
        <v>9714</v>
      </c>
      <c r="B852" s="45"/>
      <c r="C852" s="84" t="s">
        <v>9715</v>
      </c>
      <c r="D852" s="45"/>
      <c r="E852" s="84" t="s">
        <v>8230</v>
      </c>
      <c r="F852" s="84" t="s">
        <v>8759</v>
      </c>
      <c r="G852" s="85" t="s">
        <v>96</v>
      </c>
      <c r="H852" s="87">
        <v>2.076E-4</v>
      </c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</row>
    <row r="853">
      <c r="A853" s="84" t="s">
        <v>11546</v>
      </c>
      <c r="B853" s="45"/>
      <c r="C853" s="84" t="s">
        <v>11547</v>
      </c>
      <c r="D853" s="45"/>
      <c r="E853" s="84" t="s">
        <v>8951</v>
      </c>
      <c r="F853" s="84" t="s">
        <v>5300</v>
      </c>
      <c r="G853" s="85" t="s">
        <v>96</v>
      </c>
      <c r="H853" s="87">
        <v>2.075E-4</v>
      </c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</row>
    <row r="854">
      <c r="A854" s="84" t="s">
        <v>9647</v>
      </c>
      <c r="B854" s="45"/>
      <c r="C854" s="84" t="s">
        <v>9648</v>
      </c>
      <c r="D854" s="45"/>
      <c r="E854" s="84" t="s">
        <v>5516</v>
      </c>
      <c r="F854" s="84" t="s">
        <v>5300</v>
      </c>
      <c r="G854" s="85" t="s">
        <v>96</v>
      </c>
      <c r="H854" s="87">
        <v>2.073E-4</v>
      </c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</row>
    <row r="855">
      <c r="A855" s="84" t="s">
        <v>9668</v>
      </c>
      <c r="B855" s="45"/>
      <c r="C855" s="84" t="s">
        <v>9669</v>
      </c>
      <c r="D855" s="45"/>
      <c r="E855" s="84" t="s">
        <v>5276</v>
      </c>
      <c r="F855" s="84" t="s">
        <v>5300</v>
      </c>
      <c r="G855" s="85" t="s">
        <v>96</v>
      </c>
      <c r="H855" s="87">
        <v>2.071E-4</v>
      </c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</row>
    <row r="856">
      <c r="A856" s="84" t="s">
        <v>9758</v>
      </c>
      <c r="B856" s="45"/>
      <c r="C856" s="84" t="s">
        <v>9759</v>
      </c>
      <c r="D856" s="45"/>
      <c r="E856" s="84" t="s">
        <v>5811</v>
      </c>
      <c r="F856" s="84" t="s">
        <v>8759</v>
      </c>
      <c r="G856" s="85" t="s">
        <v>96</v>
      </c>
      <c r="H856" s="87">
        <v>2.071E-4</v>
      </c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</row>
    <row r="857">
      <c r="A857" s="84" t="s">
        <v>11548</v>
      </c>
      <c r="B857" s="45"/>
      <c r="C857" s="84" t="s">
        <v>11549</v>
      </c>
      <c r="D857" s="45"/>
      <c r="E857" s="84" t="s">
        <v>5321</v>
      </c>
      <c r="F857" s="84" t="s">
        <v>5300</v>
      </c>
      <c r="G857" s="85" t="s">
        <v>96</v>
      </c>
      <c r="H857" s="87">
        <v>2.067E-4</v>
      </c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</row>
    <row r="858">
      <c r="A858" s="84" t="s">
        <v>4620</v>
      </c>
      <c r="B858" s="45"/>
      <c r="C858" s="84" t="s">
        <v>9667</v>
      </c>
      <c r="D858" s="45"/>
      <c r="E858" s="84" t="s">
        <v>9039</v>
      </c>
      <c r="F858" s="84" t="s">
        <v>5300</v>
      </c>
      <c r="G858" s="85" t="s">
        <v>96</v>
      </c>
      <c r="H858" s="87">
        <v>2.067E-4</v>
      </c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</row>
    <row r="859">
      <c r="A859" s="84" t="s">
        <v>4640</v>
      </c>
      <c r="B859" s="45"/>
      <c r="C859" s="84" t="s">
        <v>9666</v>
      </c>
      <c r="D859" s="45"/>
      <c r="E859" s="84" t="s">
        <v>5467</v>
      </c>
      <c r="F859" s="84" t="s">
        <v>5300</v>
      </c>
      <c r="G859" s="85" t="s">
        <v>96</v>
      </c>
      <c r="H859" s="87">
        <v>2.064E-4</v>
      </c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</row>
    <row r="860">
      <c r="A860" s="84" t="s">
        <v>9641</v>
      </c>
      <c r="B860" s="45"/>
      <c r="C860" s="84" t="s">
        <v>9642</v>
      </c>
      <c r="D860" s="45"/>
      <c r="E860" s="84" t="s">
        <v>5374</v>
      </c>
      <c r="F860" s="84" t="s">
        <v>5300</v>
      </c>
      <c r="G860" s="85" t="s">
        <v>96</v>
      </c>
      <c r="H860" s="87">
        <v>2.051E-4</v>
      </c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</row>
    <row r="861">
      <c r="A861" s="84" t="s">
        <v>9612</v>
      </c>
      <c r="B861" s="45"/>
      <c r="C861" s="84" t="s">
        <v>9613</v>
      </c>
      <c r="D861" s="45"/>
      <c r="E861" s="84" t="s">
        <v>5215</v>
      </c>
      <c r="F861" s="84" t="s">
        <v>8784</v>
      </c>
      <c r="G861" s="85" t="s">
        <v>96</v>
      </c>
      <c r="H861" s="87">
        <v>2.05E-4</v>
      </c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</row>
    <row r="862">
      <c r="A862" s="84" t="s">
        <v>4632</v>
      </c>
      <c r="B862" s="45"/>
      <c r="C862" s="84" t="s">
        <v>9670</v>
      </c>
      <c r="D862" s="45"/>
      <c r="E862" s="84" t="s">
        <v>5215</v>
      </c>
      <c r="F862" s="84" t="s">
        <v>5300</v>
      </c>
      <c r="G862" s="85" t="s">
        <v>96</v>
      </c>
      <c r="H862" s="87">
        <v>2.047E-4</v>
      </c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</row>
    <row r="863">
      <c r="A863" s="84" t="s">
        <v>4609</v>
      </c>
      <c r="B863" s="45"/>
      <c r="C863" s="84" t="s">
        <v>11550</v>
      </c>
      <c r="D863" s="45"/>
      <c r="E863" s="84" t="s">
        <v>10231</v>
      </c>
      <c r="F863" s="84" t="s">
        <v>5268</v>
      </c>
      <c r="G863" s="85" t="s">
        <v>96</v>
      </c>
      <c r="H863" s="87">
        <v>2.04E-4</v>
      </c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</row>
    <row r="864">
      <c r="A864" s="84" t="s">
        <v>11551</v>
      </c>
      <c r="B864" s="45"/>
      <c r="C864" s="84" t="s">
        <v>11552</v>
      </c>
      <c r="D864" s="45"/>
      <c r="E864" s="84" t="s">
        <v>5226</v>
      </c>
      <c r="F864" s="84" t="s">
        <v>5300</v>
      </c>
      <c r="G864" s="85" t="s">
        <v>96</v>
      </c>
      <c r="H864" s="87">
        <v>2.037E-4</v>
      </c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</row>
    <row r="865">
      <c r="A865" s="84" t="s">
        <v>9710</v>
      </c>
      <c r="B865" s="45"/>
      <c r="C865" s="84" t="s">
        <v>9711</v>
      </c>
      <c r="D865" s="45"/>
      <c r="E865" s="84" t="s">
        <v>5374</v>
      </c>
      <c r="F865" s="84" t="s">
        <v>8784</v>
      </c>
      <c r="G865" s="85" t="s">
        <v>96</v>
      </c>
      <c r="H865" s="87">
        <v>2.036E-4</v>
      </c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</row>
    <row r="866">
      <c r="A866" s="84" t="s">
        <v>5372</v>
      </c>
      <c r="B866" s="45"/>
      <c r="C866" s="84" t="s">
        <v>9682</v>
      </c>
      <c r="D866" s="45"/>
      <c r="E866" s="84" t="s">
        <v>5232</v>
      </c>
      <c r="F866" s="84" t="s">
        <v>5425</v>
      </c>
      <c r="G866" s="85" t="s">
        <v>96</v>
      </c>
      <c r="H866" s="87">
        <v>2.035E-4</v>
      </c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</row>
    <row r="867">
      <c r="A867" s="84" t="s">
        <v>9694</v>
      </c>
      <c r="B867" s="45"/>
      <c r="C867" s="84" t="s">
        <v>9695</v>
      </c>
      <c r="D867" s="45"/>
      <c r="E867" s="84" t="s">
        <v>5742</v>
      </c>
      <c r="F867" s="84" t="s">
        <v>8784</v>
      </c>
      <c r="G867" s="85" t="s">
        <v>96</v>
      </c>
      <c r="H867" s="87">
        <v>2.03E-4</v>
      </c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</row>
    <row r="868">
      <c r="A868" s="84" t="s">
        <v>9658</v>
      </c>
      <c r="B868" s="45"/>
      <c r="C868" s="84" t="s">
        <v>9659</v>
      </c>
      <c r="D868" s="45"/>
      <c r="E868" s="84" t="s">
        <v>5215</v>
      </c>
      <c r="F868" s="84" t="s">
        <v>5268</v>
      </c>
      <c r="G868" s="85" t="s">
        <v>96</v>
      </c>
      <c r="H868" s="87">
        <v>2.029E-4</v>
      </c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</row>
    <row r="869">
      <c r="A869" s="84" t="s">
        <v>11553</v>
      </c>
      <c r="B869" s="45"/>
      <c r="C869" s="84" t="s">
        <v>11554</v>
      </c>
      <c r="D869" s="45"/>
      <c r="E869" s="84" t="s">
        <v>7476</v>
      </c>
      <c r="F869" s="84" t="s">
        <v>5300</v>
      </c>
      <c r="G869" s="85" t="s">
        <v>96</v>
      </c>
      <c r="H869" s="87">
        <v>2.029E-4</v>
      </c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</row>
    <row r="870">
      <c r="A870" s="84" t="s">
        <v>9644</v>
      </c>
      <c r="B870" s="45"/>
      <c r="C870" s="84" t="s">
        <v>9645</v>
      </c>
      <c r="D870" s="45"/>
      <c r="E870" s="84" t="s">
        <v>5215</v>
      </c>
      <c r="F870" s="84" t="s">
        <v>9513</v>
      </c>
      <c r="G870" s="85" t="s">
        <v>96</v>
      </c>
      <c r="H870" s="87">
        <v>2.021E-4</v>
      </c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</row>
    <row r="871">
      <c r="A871" s="84" t="s">
        <v>11555</v>
      </c>
      <c r="B871" s="45"/>
      <c r="C871" s="84" t="s">
        <v>11556</v>
      </c>
      <c r="D871" s="45"/>
      <c r="E871" s="84" t="s">
        <v>5326</v>
      </c>
      <c r="F871" s="84" t="s">
        <v>5300</v>
      </c>
      <c r="G871" s="85" t="s">
        <v>96</v>
      </c>
      <c r="H871" s="87">
        <v>2.015E-4</v>
      </c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</row>
    <row r="872">
      <c r="A872" s="84" t="s">
        <v>9649</v>
      </c>
      <c r="B872" s="45"/>
      <c r="C872" s="84" t="s">
        <v>9650</v>
      </c>
      <c r="D872" s="45"/>
      <c r="E872" s="84" t="s">
        <v>5235</v>
      </c>
      <c r="F872" s="84" t="s">
        <v>6988</v>
      </c>
      <c r="G872" s="85" t="s">
        <v>96</v>
      </c>
      <c r="H872" s="87">
        <v>2.013E-4</v>
      </c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</row>
    <row r="873">
      <c r="A873" s="84" t="s">
        <v>9699</v>
      </c>
      <c r="B873" s="45"/>
      <c r="C873" s="84" t="s">
        <v>2869</v>
      </c>
      <c r="D873" s="45"/>
      <c r="E873" s="84" t="s">
        <v>5218</v>
      </c>
      <c r="F873" s="84" t="s">
        <v>9414</v>
      </c>
      <c r="G873" s="85" t="s">
        <v>96</v>
      </c>
      <c r="H873" s="87">
        <v>2.008E-4</v>
      </c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</row>
    <row r="874">
      <c r="A874" s="84" t="s">
        <v>11557</v>
      </c>
      <c r="B874" s="45"/>
      <c r="C874" s="84" t="s">
        <v>11558</v>
      </c>
      <c r="D874" s="45"/>
      <c r="E874" s="84" t="s">
        <v>5434</v>
      </c>
      <c r="F874" s="84" t="s">
        <v>5300</v>
      </c>
      <c r="G874" s="85" t="s">
        <v>96</v>
      </c>
      <c r="H874" s="87">
        <v>1.994E-4</v>
      </c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</row>
    <row r="875">
      <c r="A875" s="84" t="s">
        <v>4619</v>
      </c>
      <c r="B875" s="45"/>
      <c r="C875" s="84" t="s">
        <v>11559</v>
      </c>
      <c r="D875" s="45"/>
      <c r="E875" s="84" t="s">
        <v>6249</v>
      </c>
      <c r="F875" s="84" t="s">
        <v>5300</v>
      </c>
      <c r="G875" s="85" t="s">
        <v>96</v>
      </c>
      <c r="H875" s="87">
        <v>1.992E-4</v>
      </c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</row>
    <row r="876">
      <c r="A876" s="84" t="s">
        <v>9687</v>
      </c>
      <c r="B876" s="45"/>
      <c r="C876" s="84" t="s">
        <v>9688</v>
      </c>
      <c r="D876" s="45"/>
      <c r="E876" s="84" t="s">
        <v>5215</v>
      </c>
      <c r="F876" s="84" t="s">
        <v>6220</v>
      </c>
      <c r="G876" s="85" t="s">
        <v>96</v>
      </c>
      <c r="H876" s="87">
        <v>1.983E-4</v>
      </c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</row>
    <row r="877">
      <c r="A877" s="84" t="s">
        <v>11560</v>
      </c>
      <c r="B877" s="45"/>
      <c r="C877" s="84" t="s">
        <v>11561</v>
      </c>
      <c r="D877" s="45"/>
      <c r="E877" s="84" t="s">
        <v>5253</v>
      </c>
      <c r="F877" s="84" t="s">
        <v>11562</v>
      </c>
      <c r="G877" s="85" t="s">
        <v>96</v>
      </c>
      <c r="H877" s="87">
        <v>1.983E-4</v>
      </c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</row>
    <row r="878">
      <c r="A878" s="84" t="s">
        <v>9606</v>
      </c>
      <c r="B878" s="45"/>
      <c r="C878" s="84" t="s">
        <v>9607</v>
      </c>
      <c r="D878" s="45"/>
      <c r="E878" s="84" t="s">
        <v>5283</v>
      </c>
      <c r="F878" s="84" t="s">
        <v>8784</v>
      </c>
      <c r="G878" s="85" t="s">
        <v>96</v>
      </c>
      <c r="H878" s="87">
        <v>1.979E-4</v>
      </c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</row>
    <row r="879">
      <c r="A879" s="84" t="s">
        <v>4638</v>
      </c>
      <c r="B879" s="45"/>
      <c r="C879" s="84" t="s">
        <v>9691</v>
      </c>
      <c r="D879" s="45"/>
      <c r="E879" s="84" t="s">
        <v>5650</v>
      </c>
      <c r="F879" s="84" t="s">
        <v>5300</v>
      </c>
      <c r="G879" s="85" t="s">
        <v>96</v>
      </c>
      <c r="H879" s="87">
        <v>1.979E-4</v>
      </c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</row>
    <row r="880">
      <c r="A880" s="84" t="s">
        <v>4621</v>
      </c>
      <c r="B880" s="45"/>
      <c r="C880" s="84" t="s">
        <v>11563</v>
      </c>
      <c r="D880" s="45"/>
      <c r="E880" s="84" t="s">
        <v>5321</v>
      </c>
      <c r="F880" s="84" t="s">
        <v>5300</v>
      </c>
      <c r="G880" s="85" t="s">
        <v>96</v>
      </c>
      <c r="H880" s="87">
        <v>1.975E-4</v>
      </c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</row>
    <row r="881">
      <c r="A881" s="84" t="s">
        <v>4636</v>
      </c>
      <c r="B881" s="45"/>
      <c r="C881" s="84" t="s">
        <v>9713</v>
      </c>
      <c r="D881" s="45"/>
      <c r="E881" s="84" t="s">
        <v>5501</v>
      </c>
      <c r="F881" s="84" t="s">
        <v>5300</v>
      </c>
      <c r="G881" s="85" t="s">
        <v>96</v>
      </c>
      <c r="H881" s="87">
        <v>1.975E-4</v>
      </c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</row>
    <row r="882">
      <c r="A882" s="84" t="s">
        <v>4624</v>
      </c>
      <c r="B882" s="45"/>
      <c r="C882" s="84" t="s">
        <v>9724</v>
      </c>
      <c r="D882" s="45"/>
      <c r="E882" s="84" t="s">
        <v>5276</v>
      </c>
      <c r="F882" s="84" t="s">
        <v>5300</v>
      </c>
      <c r="G882" s="85" t="s">
        <v>96</v>
      </c>
      <c r="H882" s="87">
        <v>1.972E-4</v>
      </c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</row>
    <row r="883">
      <c r="A883" s="84" t="s">
        <v>10728</v>
      </c>
      <c r="B883" s="45"/>
      <c r="C883" s="84" t="s">
        <v>9020</v>
      </c>
      <c r="D883" s="45"/>
      <c r="E883" s="84" t="s">
        <v>5296</v>
      </c>
      <c r="F883" s="84" t="s">
        <v>9021</v>
      </c>
      <c r="G883" s="85" t="s">
        <v>96</v>
      </c>
      <c r="H883" s="87">
        <v>1.97E-4</v>
      </c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</row>
    <row r="884">
      <c r="A884" s="84" t="s">
        <v>9708</v>
      </c>
      <c r="B884" s="45"/>
      <c r="C884" s="84" t="s">
        <v>9709</v>
      </c>
      <c r="D884" s="45"/>
      <c r="E884" s="84" t="s">
        <v>6115</v>
      </c>
      <c r="F884" s="84" t="s">
        <v>5425</v>
      </c>
      <c r="G884" s="85" t="s">
        <v>96</v>
      </c>
      <c r="H884" s="87">
        <v>1.968E-4</v>
      </c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</row>
    <row r="885">
      <c r="A885" s="84" t="s">
        <v>11564</v>
      </c>
      <c r="B885" s="45"/>
      <c r="C885" s="84" t="s">
        <v>11565</v>
      </c>
      <c r="D885" s="45"/>
      <c r="E885" s="84" t="s">
        <v>5989</v>
      </c>
      <c r="F885" s="84" t="s">
        <v>5836</v>
      </c>
      <c r="G885" s="85" t="s">
        <v>96</v>
      </c>
      <c r="H885" s="87">
        <v>1.957E-4</v>
      </c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</row>
    <row r="886">
      <c r="A886" s="84" t="s">
        <v>9656</v>
      </c>
      <c r="B886" s="45"/>
      <c r="C886" s="84" t="s">
        <v>9657</v>
      </c>
      <c r="D886" s="45"/>
      <c r="E886" s="84" t="s">
        <v>5218</v>
      </c>
      <c r="F886" s="84" t="s">
        <v>5425</v>
      </c>
      <c r="G886" s="85" t="s">
        <v>96</v>
      </c>
      <c r="H886" s="87">
        <v>1.953E-4</v>
      </c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</row>
    <row r="887">
      <c r="A887" s="84" t="s">
        <v>11566</v>
      </c>
      <c r="B887" s="45"/>
      <c r="C887" s="84" t="s">
        <v>11567</v>
      </c>
      <c r="D887" s="45"/>
      <c r="E887" s="84" t="s">
        <v>8230</v>
      </c>
      <c r="F887" s="84" t="s">
        <v>9021</v>
      </c>
      <c r="G887" s="85" t="s">
        <v>96</v>
      </c>
      <c r="H887" s="87">
        <v>1.947E-4</v>
      </c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</row>
    <row r="888">
      <c r="A888" s="84" t="s">
        <v>11568</v>
      </c>
      <c r="B888" s="45"/>
      <c r="C888" s="84" t="s">
        <v>11569</v>
      </c>
      <c r="D888" s="45"/>
      <c r="E888" s="84" t="s">
        <v>5561</v>
      </c>
      <c r="F888" s="84" t="s">
        <v>5927</v>
      </c>
      <c r="G888" s="85" t="s">
        <v>96</v>
      </c>
      <c r="H888" s="87">
        <v>1.942E-4</v>
      </c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</row>
    <row r="889">
      <c r="A889" s="84" t="s">
        <v>11570</v>
      </c>
      <c r="B889" s="45"/>
      <c r="C889" s="84" t="s">
        <v>11571</v>
      </c>
      <c r="D889" s="45"/>
      <c r="E889" s="84" t="s">
        <v>5276</v>
      </c>
      <c r="F889" s="84" t="s">
        <v>5300</v>
      </c>
      <c r="G889" s="85" t="s">
        <v>96</v>
      </c>
      <c r="H889" s="87">
        <v>1.94E-4</v>
      </c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</row>
    <row r="890">
      <c r="A890" s="84" t="s">
        <v>11572</v>
      </c>
      <c r="B890" s="45"/>
      <c r="C890" s="84" t="s">
        <v>11573</v>
      </c>
      <c r="D890" s="45"/>
      <c r="E890" s="84" t="s">
        <v>5264</v>
      </c>
      <c r="F890" s="84" t="s">
        <v>5300</v>
      </c>
      <c r="G890" s="85" t="s">
        <v>96</v>
      </c>
      <c r="H890" s="87">
        <v>1.939E-4</v>
      </c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</row>
    <row r="891">
      <c r="A891" s="84" t="s">
        <v>9716</v>
      </c>
      <c r="B891" s="45"/>
      <c r="C891" s="84" t="s">
        <v>9717</v>
      </c>
      <c r="D891" s="45"/>
      <c r="E891" s="84" t="s">
        <v>5756</v>
      </c>
      <c r="F891" s="84" t="s">
        <v>8767</v>
      </c>
      <c r="G891" s="85" t="s">
        <v>96</v>
      </c>
      <c r="H891" s="87">
        <v>1.938E-4</v>
      </c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</row>
    <row r="892">
      <c r="A892" s="84" t="s">
        <v>9741</v>
      </c>
      <c r="B892" s="45"/>
      <c r="C892" s="84" t="s">
        <v>9742</v>
      </c>
      <c r="D892" s="45"/>
      <c r="E892" s="84" t="s">
        <v>5516</v>
      </c>
      <c r="F892" s="84" t="s">
        <v>9021</v>
      </c>
      <c r="G892" s="85" t="s">
        <v>96</v>
      </c>
      <c r="H892" s="87">
        <v>1.937E-4</v>
      </c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</row>
    <row r="893">
      <c r="A893" s="84" t="s">
        <v>9689</v>
      </c>
      <c r="B893" s="45"/>
      <c r="C893" s="84" t="s">
        <v>9690</v>
      </c>
      <c r="D893" s="45"/>
      <c r="E893" s="84" t="s">
        <v>5218</v>
      </c>
      <c r="F893" s="84" t="s">
        <v>8784</v>
      </c>
      <c r="G893" s="85" t="s">
        <v>96</v>
      </c>
      <c r="H893" s="87">
        <v>1.936E-4</v>
      </c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</row>
    <row r="894">
      <c r="A894" s="84" t="s">
        <v>11574</v>
      </c>
      <c r="B894" s="45"/>
      <c r="C894" s="84" t="s">
        <v>11575</v>
      </c>
      <c r="D894" s="45"/>
      <c r="E894" s="84" t="s">
        <v>5326</v>
      </c>
      <c r="F894" s="84" t="s">
        <v>5300</v>
      </c>
      <c r="G894" s="85" t="s">
        <v>96</v>
      </c>
      <c r="H894" s="87">
        <v>1.93E-4</v>
      </c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</row>
    <row r="895">
      <c r="A895" s="84" t="s">
        <v>11576</v>
      </c>
      <c r="B895" s="45"/>
      <c r="C895" s="84" t="s">
        <v>11577</v>
      </c>
      <c r="D895" s="45"/>
      <c r="E895" s="84" t="s">
        <v>6191</v>
      </c>
      <c r="F895" s="84" t="s">
        <v>5836</v>
      </c>
      <c r="G895" s="85" t="s">
        <v>96</v>
      </c>
      <c r="H895" s="87">
        <v>1.928E-4</v>
      </c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</row>
    <row r="896">
      <c r="A896" s="84" t="s">
        <v>9702</v>
      </c>
      <c r="B896" s="45"/>
      <c r="C896" s="84" t="s">
        <v>9703</v>
      </c>
      <c r="D896" s="45"/>
      <c r="E896" s="84" t="s">
        <v>5235</v>
      </c>
      <c r="F896" s="84" t="s">
        <v>5425</v>
      </c>
      <c r="G896" s="85" t="s">
        <v>96</v>
      </c>
      <c r="H896" s="87">
        <v>1.927E-4</v>
      </c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</row>
    <row r="897">
      <c r="A897" s="84" t="s">
        <v>9675</v>
      </c>
      <c r="B897" s="45"/>
      <c r="C897" s="84" t="s">
        <v>9676</v>
      </c>
      <c r="D897" s="45"/>
      <c r="E897" s="84" t="s">
        <v>7251</v>
      </c>
      <c r="F897" s="84" t="s">
        <v>8784</v>
      </c>
      <c r="G897" s="85" t="s">
        <v>96</v>
      </c>
      <c r="H897" s="87">
        <v>1.923E-4</v>
      </c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</row>
    <row r="898">
      <c r="A898" s="84" t="s">
        <v>9722</v>
      </c>
      <c r="B898" s="45"/>
      <c r="C898" s="84" t="s">
        <v>9723</v>
      </c>
      <c r="D898" s="45"/>
      <c r="E898" s="84" t="s">
        <v>5276</v>
      </c>
      <c r="F898" s="84" t="s">
        <v>5300</v>
      </c>
      <c r="G898" s="85" t="s">
        <v>96</v>
      </c>
      <c r="H898" s="87">
        <v>1.917E-4</v>
      </c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</row>
    <row r="899">
      <c r="A899" s="84" t="s">
        <v>9782</v>
      </c>
      <c r="B899" s="45"/>
      <c r="C899" s="84" t="s">
        <v>9783</v>
      </c>
      <c r="D899" s="45"/>
      <c r="E899" s="84" t="s">
        <v>7476</v>
      </c>
      <c r="F899" s="84" t="s">
        <v>5300</v>
      </c>
      <c r="G899" s="85" t="s">
        <v>96</v>
      </c>
      <c r="H899" s="87">
        <v>1.915E-4</v>
      </c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</row>
    <row r="900">
      <c r="A900" s="84" t="s">
        <v>9731</v>
      </c>
      <c r="B900" s="45"/>
      <c r="C900" s="84" t="s">
        <v>9732</v>
      </c>
      <c r="D900" s="45"/>
      <c r="E900" s="84" t="s">
        <v>5296</v>
      </c>
      <c r="F900" s="84" t="s">
        <v>5300</v>
      </c>
      <c r="G900" s="85" t="s">
        <v>96</v>
      </c>
      <c r="H900" s="87">
        <v>1.912E-4</v>
      </c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</row>
    <row r="901">
      <c r="A901" s="84" t="s">
        <v>4665</v>
      </c>
      <c r="B901" s="45"/>
      <c r="C901" s="84" t="s">
        <v>9555</v>
      </c>
      <c r="D901" s="45"/>
      <c r="E901" s="84" t="s">
        <v>5459</v>
      </c>
      <c r="F901" s="84" t="s">
        <v>5300</v>
      </c>
      <c r="G901" s="85" t="s">
        <v>96</v>
      </c>
      <c r="H901" s="87">
        <v>1.912E-4</v>
      </c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</row>
    <row r="902">
      <c r="A902" s="84" t="s">
        <v>9727</v>
      </c>
      <c r="B902" s="45"/>
      <c r="C902" s="84" t="s">
        <v>9728</v>
      </c>
      <c r="D902" s="45"/>
      <c r="E902" s="84" t="s">
        <v>7611</v>
      </c>
      <c r="F902" s="84" t="s">
        <v>5425</v>
      </c>
      <c r="G902" s="85" t="s">
        <v>96</v>
      </c>
      <c r="H902" s="87">
        <v>1.905E-4</v>
      </c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</row>
    <row r="903">
      <c r="A903" s="84" t="s">
        <v>9719</v>
      </c>
      <c r="B903" s="45"/>
      <c r="C903" s="84" t="s">
        <v>9720</v>
      </c>
      <c r="D903" s="45"/>
      <c r="E903" s="84" t="s">
        <v>5215</v>
      </c>
      <c r="F903" s="84" t="s">
        <v>6220</v>
      </c>
      <c r="G903" s="85" t="s">
        <v>96</v>
      </c>
      <c r="H903" s="87">
        <v>1.905E-4</v>
      </c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</row>
    <row r="904">
      <c r="A904" s="84" t="s">
        <v>11578</v>
      </c>
      <c r="B904" s="45"/>
      <c r="C904" s="84" t="s">
        <v>11579</v>
      </c>
      <c r="D904" s="45"/>
      <c r="E904" s="84" t="s">
        <v>8154</v>
      </c>
      <c r="F904" s="84" t="s">
        <v>5300</v>
      </c>
      <c r="G904" s="85" t="s">
        <v>96</v>
      </c>
      <c r="H904" s="87">
        <v>1.901E-4</v>
      </c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</row>
    <row r="905">
      <c r="A905" s="84" t="s">
        <v>9692</v>
      </c>
      <c r="B905" s="45"/>
      <c r="C905" s="84" t="s">
        <v>9693</v>
      </c>
      <c r="D905" s="45"/>
      <c r="E905" s="84" t="s">
        <v>5366</v>
      </c>
      <c r="F905" s="84" t="s">
        <v>5425</v>
      </c>
      <c r="G905" s="85" t="s">
        <v>96</v>
      </c>
      <c r="H905" s="87">
        <v>1.898E-4</v>
      </c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</row>
    <row r="906">
      <c r="A906" s="84" t="s">
        <v>9604</v>
      </c>
      <c r="B906" s="45"/>
      <c r="C906" s="84" t="s">
        <v>9605</v>
      </c>
      <c r="D906" s="45"/>
      <c r="E906" s="84" t="s">
        <v>5374</v>
      </c>
      <c r="F906" s="84" t="s">
        <v>8784</v>
      </c>
      <c r="G906" s="85" t="s">
        <v>96</v>
      </c>
      <c r="H906" s="87">
        <v>1.897E-4</v>
      </c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</row>
    <row r="907">
      <c r="A907" s="84" t="s">
        <v>4625</v>
      </c>
      <c r="B907" s="45"/>
      <c r="C907" s="84" t="s">
        <v>9712</v>
      </c>
      <c r="D907" s="45"/>
      <c r="E907" s="84" t="s">
        <v>5478</v>
      </c>
      <c r="F907" s="84" t="s">
        <v>5300</v>
      </c>
      <c r="G907" s="85" t="s">
        <v>96</v>
      </c>
      <c r="H907" s="87">
        <v>1.882E-4</v>
      </c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</row>
    <row r="908">
      <c r="A908" s="84" t="s">
        <v>9755</v>
      </c>
      <c r="B908" s="45"/>
      <c r="C908" s="84" t="s">
        <v>9756</v>
      </c>
      <c r="D908" s="45"/>
      <c r="E908" s="84" t="s">
        <v>5775</v>
      </c>
      <c r="F908" s="84" t="s">
        <v>4095</v>
      </c>
      <c r="G908" s="85" t="s">
        <v>96</v>
      </c>
      <c r="H908" s="87">
        <v>1.875E-4</v>
      </c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</row>
    <row r="909">
      <c r="A909" s="84" t="s">
        <v>9777</v>
      </c>
      <c r="B909" s="45"/>
      <c r="C909" s="84" t="s">
        <v>9778</v>
      </c>
      <c r="D909" s="45"/>
      <c r="E909" s="84" t="s">
        <v>6012</v>
      </c>
      <c r="F909" s="84" t="s">
        <v>4095</v>
      </c>
      <c r="G909" s="85" t="s">
        <v>96</v>
      </c>
      <c r="H909" s="87">
        <v>1.873E-4</v>
      </c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</row>
    <row r="910">
      <c r="A910" s="84" t="s">
        <v>11580</v>
      </c>
      <c r="B910" s="45"/>
      <c r="C910" s="84" t="s">
        <v>11581</v>
      </c>
      <c r="D910" s="45"/>
      <c r="E910" s="84" t="s">
        <v>6130</v>
      </c>
      <c r="F910" s="84" t="s">
        <v>5425</v>
      </c>
      <c r="G910" s="85" t="s">
        <v>96</v>
      </c>
      <c r="H910" s="87">
        <v>1.87E-4</v>
      </c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</row>
    <row r="911">
      <c r="A911" s="84" t="s">
        <v>11582</v>
      </c>
      <c r="B911" s="45"/>
      <c r="C911" s="84" t="s">
        <v>11583</v>
      </c>
      <c r="D911" s="45"/>
      <c r="E911" s="84" t="s">
        <v>5276</v>
      </c>
      <c r="F911" s="84" t="s">
        <v>5300</v>
      </c>
      <c r="G911" s="85" t="s">
        <v>96</v>
      </c>
      <c r="H911" s="87">
        <v>1.866E-4</v>
      </c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</row>
    <row r="912">
      <c r="A912" s="84" t="s">
        <v>9721</v>
      </c>
      <c r="B912" s="45"/>
      <c r="C912" s="84" t="s">
        <v>4840</v>
      </c>
      <c r="D912" s="45"/>
      <c r="E912" s="84" t="s">
        <v>5467</v>
      </c>
      <c r="F912" s="84" t="s">
        <v>6988</v>
      </c>
      <c r="G912" s="85" t="s">
        <v>96</v>
      </c>
      <c r="H912" s="87">
        <v>1.864E-4</v>
      </c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</row>
    <row r="913">
      <c r="A913" s="84" t="s">
        <v>11584</v>
      </c>
      <c r="B913" s="45"/>
      <c r="C913" s="84" t="s">
        <v>11585</v>
      </c>
      <c r="D913" s="45"/>
      <c r="E913" s="84" t="s">
        <v>5357</v>
      </c>
      <c r="F913" s="84" t="s">
        <v>8784</v>
      </c>
      <c r="G913" s="85" t="s">
        <v>96</v>
      </c>
      <c r="H913" s="87">
        <v>1.839E-4</v>
      </c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</row>
    <row r="914">
      <c r="A914" s="84" t="s">
        <v>9831</v>
      </c>
      <c r="B914" s="45"/>
      <c r="C914" s="84" t="s">
        <v>9832</v>
      </c>
      <c r="D914" s="45"/>
      <c r="E914" s="84" t="s">
        <v>5978</v>
      </c>
      <c r="F914" s="84" t="s">
        <v>8784</v>
      </c>
      <c r="G914" s="85" t="s">
        <v>96</v>
      </c>
      <c r="H914" s="87">
        <v>1.837E-4</v>
      </c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</row>
    <row r="915">
      <c r="A915" s="84" t="s">
        <v>4634</v>
      </c>
      <c r="B915" s="45"/>
      <c r="C915" s="84" t="s">
        <v>9747</v>
      </c>
      <c r="D915" s="45"/>
      <c r="E915" s="84" t="s">
        <v>5271</v>
      </c>
      <c r="F915" s="84" t="s">
        <v>5300</v>
      </c>
      <c r="G915" s="85" t="s">
        <v>96</v>
      </c>
      <c r="H915" s="87">
        <v>1.834E-4</v>
      </c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</row>
    <row r="916">
      <c r="A916" s="84" t="s">
        <v>9654</v>
      </c>
      <c r="B916" s="45"/>
      <c r="C916" s="84" t="s">
        <v>9655</v>
      </c>
      <c r="D916" s="45"/>
      <c r="E916" s="84" t="s">
        <v>5276</v>
      </c>
      <c r="F916" s="84" t="s">
        <v>5300</v>
      </c>
      <c r="G916" s="85" t="s">
        <v>96</v>
      </c>
      <c r="H916" s="87">
        <v>1.834E-4</v>
      </c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</row>
    <row r="917">
      <c r="A917" s="84" t="s">
        <v>4633</v>
      </c>
      <c r="B917" s="45"/>
      <c r="C917" s="84" t="s">
        <v>9796</v>
      </c>
      <c r="D917" s="45"/>
      <c r="E917" s="84" t="s">
        <v>5467</v>
      </c>
      <c r="F917" s="84" t="s">
        <v>5300</v>
      </c>
      <c r="G917" s="85" t="s">
        <v>96</v>
      </c>
      <c r="H917" s="87">
        <v>1.829E-4</v>
      </c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</row>
    <row r="918">
      <c r="A918" s="84" t="s">
        <v>9652</v>
      </c>
      <c r="B918" s="45"/>
      <c r="C918" s="84" t="s">
        <v>9653</v>
      </c>
      <c r="D918" s="45"/>
      <c r="E918" s="84" t="s">
        <v>6130</v>
      </c>
      <c r="F918" s="84" t="s">
        <v>8784</v>
      </c>
      <c r="G918" s="85" t="s">
        <v>96</v>
      </c>
      <c r="H918" s="87">
        <v>1.828E-4</v>
      </c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</row>
    <row r="919">
      <c r="A919" s="84" t="s">
        <v>9797</v>
      </c>
      <c r="B919" s="45"/>
      <c r="C919" s="84" t="s">
        <v>9798</v>
      </c>
      <c r="D919" s="45"/>
      <c r="E919" s="84" t="s">
        <v>5775</v>
      </c>
      <c r="F919" s="84" t="s">
        <v>8784</v>
      </c>
      <c r="G919" s="85" t="s">
        <v>96</v>
      </c>
      <c r="H919" s="87">
        <v>1.828E-4</v>
      </c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</row>
    <row r="920">
      <c r="A920" s="84" t="s">
        <v>9745</v>
      </c>
      <c r="B920" s="45"/>
      <c r="C920" s="84" t="s">
        <v>9746</v>
      </c>
      <c r="D920" s="45"/>
      <c r="E920" s="84" t="s">
        <v>5501</v>
      </c>
      <c r="F920" s="84" t="s">
        <v>8784</v>
      </c>
      <c r="G920" s="85" t="s">
        <v>96</v>
      </c>
      <c r="H920" s="87">
        <v>1.823E-4</v>
      </c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</row>
    <row r="921">
      <c r="A921" s="84" t="s">
        <v>11586</v>
      </c>
      <c r="B921" s="45"/>
      <c r="C921" s="84" t="s">
        <v>11587</v>
      </c>
      <c r="D921" s="45"/>
      <c r="E921" s="84" t="s">
        <v>6630</v>
      </c>
      <c r="F921" s="84" t="s">
        <v>5300</v>
      </c>
      <c r="G921" s="85" t="s">
        <v>96</v>
      </c>
      <c r="H921" s="87">
        <v>1.82E-4</v>
      </c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</row>
    <row r="922">
      <c r="A922" s="84" t="s">
        <v>9614</v>
      </c>
      <c r="B922" s="45"/>
      <c r="C922" s="84" t="s">
        <v>9125</v>
      </c>
      <c r="D922" s="45"/>
      <c r="E922" s="84" t="s">
        <v>5978</v>
      </c>
      <c r="F922" s="84" t="s">
        <v>4095</v>
      </c>
      <c r="G922" s="85" t="s">
        <v>96</v>
      </c>
      <c r="H922" s="87">
        <v>1.819E-4</v>
      </c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</row>
    <row r="923">
      <c r="A923" s="84" t="s">
        <v>4667</v>
      </c>
      <c r="B923" s="45"/>
      <c r="C923" s="84" t="s">
        <v>9761</v>
      </c>
      <c r="D923" s="45"/>
      <c r="E923" s="84" t="s">
        <v>5229</v>
      </c>
      <c r="F923" s="84" t="s">
        <v>5300</v>
      </c>
      <c r="G923" s="85" t="s">
        <v>96</v>
      </c>
      <c r="H923" s="87">
        <v>1.816E-4</v>
      </c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</row>
    <row r="924">
      <c r="A924" s="84" t="s">
        <v>4629</v>
      </c>
      <c r="B924" s="45"/>
      <c r="C924" s="84" t="s">
        <v>9754</v>
      </c>
      <c r="D924" s="45"/>
      <c r="E924" s="84" t="s">
        <v>5291</v>
      </c>
      <c r="F924" s="84" t="s">
        <v>5300</v>
      </c>
      <c r="G924" s="85" t="s">
        <v>96</v>
      </c>
      <c r="H924" s="87">
        <v>1.813E-4</v>
      </c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</row>
    <row r="925">
      <c r="A925" s="84" t="s">
        <v>9752</v>
      </c>
      <c r="B925" s="45"/>
      <c r="C925" s="84" t="s">
        <v>9753</v>
      </c>
      <c r="D925" s="45"/>
      <c r="E925" s="84" t="s">
        <v>5261</v>
      </c>
      <c r="F925" s="84" t="s">
        <v>5300</v>
      </c>
      <c r="G925" s="85" t="s">
        <v>96</v>
      </c>
      <c r="H925" s="87">
        <v>1.81E-4</v>
      </c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</row>
    <row r="926">
      <c r="A926" s="84" t="s">
        <v>4548</v>
      </c>
      <c r="B926" s="45"/>
      <c r="C926" s="84" t="s">
        <v>11588</v>
      </c>
      <c r="D926" s="45"/>
      <c r="E926" s="84" t="s">
        <v>6472</v>
      </c>
      <c r="F926" s="84" t="s">
        <v>5300</v>
      </c>
      <c r="G926" s="85" t="s">
        <v>96</v>
      </c>
      <c r="H926" s="87">
        <v>1.809E-4</v>
      </c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</row>
    <row r="927">
      <c r="A927" s="84" t="s">
        <v>4644</v>
      </c>
      <c r="B927" s="45"/>
      <c r="C927" s="84" t="s">
        <v>11589</v>
      </c>
      <c r="D927" s="45"/>
      <c r="E927" s="84" t="s">
        <v>5366</v>
      </c>
      <c r="F927" s="84" t="s">
        <v>5300</v>
      </c>
      <c r="G927" s="85" t="s">
        <v>96</v>
      </c>
      <c r="H927" s="87">
        <v>1.803E-4</v>
      </c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</row>
    <row r="928">
      <c r="A928" s="84" t="s">
        <v>11590</v>
      </c>
      <c r="B928" s="45"/>
      <c r="C928" s="84" t="s">
        <v>11591</v>
      </c>
      <c r="D928" s="45"/>
      <c r="E928" s="84" t="s">
        <v>5855</v>
      </c>
      <c r="F928" s="84" t="s">
        <v>4357</v>
      </c>
      <c r="G928" s="85" t="s">
        <v>96</v>
      </c>
      <c r="H928" s="87">
        <v>1.8E-4</v>
      </c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</row>
    <row r="929">
      <c r="A929" s="84" t="s">
        <v>9841</v>
      </c>
      <c r="B929" s="45"/>
      <c r="C929" s="84" t="s">
        <v>3008</v>
      </c>
      <c r="D929" s="45"/>
      <c r="E929" s="84" t="s">
        <v>5296</v>
      </c>
      <c r="F929" s="84" t="s">
        <v>6988</v>
      </c>
      <c r="G929" s="85" t="s">
        <v>96</v>
      </c>
      <c r="H929" s="87">
        <v>1.796E-4</v>
      </c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</row>
    <row r="930">
      <c r="A930" s="84" t="s">
        <v>4643</v>
      </c>
      <c r="B930" s="45"/>
      <c r="C930" s="84" t="s">
        <v>9762</v>
      </c>
      <c r="D930" s="45"/>
      <c r="E930" s="84" t="s">
        <v>8230</v>
      </c>
      <c r="F930" s="84" t="s">
        <v>5268</v>
      </c>
      <c r="G930" s="85" t="s">
        <v>96</v>
      </c>
      <c r="H930" s="87">
        <v>1.795E-4</v>
      </c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</row>
    <row r="931">
      <c r="A931" s="84" t="s">
        <v>9737</v>
      </c>
      <c r="B931" s="45"/>
      <c r="C931" s="84" t="s">
        <v>9738</v>
      </c>
      <c r="D931" s="45"/>
      <c r="E931" s="84" t="s">
        <v>5478</v>
      </c>
      <c r="F931" s="84" t="s">
        <v>8767</v>
      </c>
      <c r="G931" s="85" t="s">
        <v>96</v>
      </c>
      <c r="H931" s="87">
        <v>1.793E-4</v>
      </c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</row>
    <row r="932">
      <c r="A932" s="84" t="s">
        <v>9725</v>
      </c>
      <c r="B932" s="45"/>
      <c r="C932" s="84" t="s">
        <v>9726</v>
      </c>
      <c r="D932" s="45"/>
      <c r="E932" s="84" t="s">
        <v>6012</v>
      </c>
      <c r="F932" s="84" t="s">
        <v>8784</v>
      </c>
      <c r="G932" s="85" t="s">
        <v>96</v>
      </c>
      <c r="H932" s="87">
        <v>1.789E-4</v>
      </c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</row>
    <row r="933">
      <c r="A933" s="84" t="s">
        <v>11592</v>
      </c>
      <c r="B933" s="45"/>
      <c r="C933" s="84" t="s">
        <v>11593</v>
      </c>
      <c r="D933" s="45"/>
      <c r="E933" s="84" t="s">
        <v>9039</v>
      </c>
      <c r="F933" s="84" t="s">
        <v>5836</v>
      </c>
      <c r="G933" s="85" t="s">
        <v>96</v>
      </c>
      <c r="H933" s="87">
        <v>1.781E-4</v>
      </c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</row>
    <row r="934">
      <c r="A934" s="84" t="s">
        <v>11594</v>
      </c>
      <c r="B934" s="45"/>
      <c r="C934" s="84" t="s">
        <v>11595</v>
      </c>
      <c r="D934" s="45"/>
      <c r="E934" s="84" t="s">
        <v>5311</v>
      </c>
      <c r="F934" s="84" t="s">
        <v>4357</v>
      </c>
      <c r="G934" s="85" t="s">
        <v>96</v>
      </c>
      <c r="H934" s="87">
        <v>1.779E-4</v>
      </c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</row>
    <row r="935">
      <c r="A935" s="84" t="s">
        <v>4652</v>
      </c>
      <c r="B935" s="45"/>
      <c r="C935" s="84" t="s">
        <v>9718</v>
      </c>
      <c r="D935" s="45"/>
      <c r="E935" s="84" t="s">
        <v>5341</v>
      </c>
      <c r="F935" s="84" t="s">
        <v>5300</v>
      </c>
      <c r="G935" s="85" t="s">
        <v>96</v>
      </c>
      <c r="H935" s="87">
        <v>1.773E-4</v>
      </c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</row>
    <row r="936">
      <c r="A936" s="84" t="s">
        <v>9771</v>
      </c>
      <c r="B936" s="45"/>
      <c r="C936" s="84" t="s">
        <v>9772</v>
      </c>
      <c r="D936" s="45"/>
      <c r="E936" s="84" t="s">
        <v>5735</v>
      </c>
      <c r="F936" s="84" t="s">
        <v>8784</v>
      </c>
      <c r="G936" s="85" t="s">
        <v>96</v>
      </c>
      <c r="H936" s="87">
        <v>1.768E-4</v>
      </c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</row>
    <row r="937">
      <c r="A937" s="84" t="s">
        <v>9987</v>
      </c>
      <c r="B937" s="45"/>
      <c r="C937" s="84" t="s">
        <v>9988</v>
      </c>
      <c r="D937" s="45"/>
      <c r="E937" s="84" t="s">
        <v>5283</v>
      </c>
      <c r="F937" s="84" t="s">
        <v>4095</v>
      </c>
      <c r="G937" s="85" t="s">
        <v>96</v>
      </c>
      <c r="H937" s="87">
        <v>1.76E-4</v>
      </c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</row>
    <row r="938">
      <c r="A938" s="84" t="s">
        <v>4614</v>
      </c>
      <c r="B938" s="45"/>
      <c r="C938" s="84" t="s">
        <v>9805</v>
      </c>
      <c r="D938" s="45"/>
      <c r="E938" s="84" t="s">
        <v>5276</v>
      </c>
      <c r="F938" s="84" t="s">
        <v>5300</v>
      </c>
      <c r="G938" s="85" t="s">
        <v>96</v>
      </c>
      <c r="H938" s="87">
        <v>1.753E-4</v>
      </c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</row>
    <row r="939">
      <c r="A939" s="84" t="s">
        <v>11596</v>
      </c>
      <c r="B939" s="45"/>
      <c r="C939" s="84" t="s">
        <v>11597</v>
      </c>
      <c r="D939" s="45"/>
      <c r="E939" s="84" t="s">
        <v>5478</v>
      </c>
      <c r="F939" s="84" t="s">
        <v>5300</v>
      </c>
      <c r="G939" s="85" t="s">
        <v>96</v>
      </c>
      <c r="H939" s="87">
        <v>1.735E-4</v>
      </c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</row>
    <row r="940">
      <c r="A940" s="84" t="s">
        <v>9773</v>
      </c>
      <c r="B940" s="45"/>
      <c r="C940" s="84" t="s">
        <v>9774</v>
      </c>
      <c r="D940" s="45"/>
      <c r="E940" s="84" t="s">
        <v>5961</v>
      </c>
      <c r="F940" s="84" t="s">
        <v>8784</v>
      </c>
      <c r="G940" s="85" t="s">
        <v>96</v>
      </c>
      <c r="H940" s="87">
        <v>1.735E-4</v>
      </c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</row>
    <row r="941">
      <c r="A941" s="84" t="s">
        <v>11598</v>
      </c>
      <c r="B941" s="45"/>
      <c r="C941" s="84" t="s">
        <v>11599</v>
      </c>
      <c r="D941" s="45"/>
      <c r="E941" s="84" t="s">
        <v>5855</v>
      </c>
      <c r="F941" s="84" t="s">
        <v>5747</v>
      </c>
      <c r="G941" s="85" t="s">
        <v>96</v>
      </c>
      <c r="H941" s="87">
        <v>1.733E-4</v>
      </c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</row>
    <row r="942">
      <c r="A942" s="84" t="s">
        <v>11600</v>
      </c>
      <c r="B942" s="45"/>
      <c r="C942" s="84" t="s">
        <v>11601</v>
      </c>
      <c r="D942" s="45"/>
      <c r="E942" s="84" t="s">
        <v>5650</v>
      </c>
      <c r="F942" s="84" t="s">
        <v>5300</v>
      </c>
      <c r="G942" s="85" t="s">
        <v>96</v>
      </c>
      <c r="H942" s="87">
        <v>1.732E-4</v>
      </c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</row>
    <row r="943">
      <c r="A943" s="84" t="s">
        <v>11602</v>
      </c>
      <c r="B943" s="45"/>
      <c r="C943" s="84" t="s">
        <v>11603</v>
      </c>
      <c r="D943" s="45"/>
      <c r="E943" s="84" t="s">
        <v>6249</v>
      </c>
      <c r="F943" s="84" t="s">
        <v>6220</v>
      </c>
      <c r="G943" s="85" t="s">
        <v>96</v>
      </c>
      <c r="H943" s="87">
        <v>1.721E-4</v>
      </c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</row>
    <row r="944">
      <c r="A944" s="84" t="s">
        <v>6260</v>
      </c>
      <c r="B944" s="45"/>
      <c r="C944" s="84" t="s">
        <v>9059</v>
      </c>
      <c r="D944" s="45"/>
      <c r="E944" s="84" t="s">
        <v>6801</v>
      </c>
      <c r="F944" s="84" t="s">
        <v>5747</v>
      </c>
      <c r="G944" s="85" t="s">
        <v>96</v>
      </c>
      <c r="H944" s="87">
        <v>1.718E-4</v>
      </c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</row>
    <row r="945">
      <c r="A945" s="84" t="s">
        <v>10016</v>
      </c>
      <c r="B945" s="45"/>
      <c r="C945" s="84" t="s">
        <v>10017</v>
      </c>
      <c r="D945" s="45"/>
      <c r="E945" s="84" t="s">
        <v>5264</v>
      </c>
      <c r="F945" s="84" t="s">
        <v>5268</v>
      </c>
      <c r="G945" s="85" t="s">
        <v>96</v>
      </c>
      <c r="H945" s="87">
        <v>1.715E-4</v>
      </c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</row>
    <row r="946">
      <c r="A946" s="84" t="s">
        <v>6138</v>
      </c>
      <c r="B946" s="45"/>
      <c r="C946" s="84" t="s">
        <v>9779</v>
      </c>
      <c r="D946" s="45"/>
      <c r="E946" s="84" t="s">
        <v>6266</v>
      </c>
      <c r="F946" s="84" t="s">
        <v>5300</v>
      </c>
      <c r="G946" s="85" t="s">
        <v>96</v>
      </c>
      <c r="H946" s="87">
        <v>1.713E-4</v>
      </c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</row>
    <row r="947">
      <c r="A947" s="84" t="s">
        <v>11604</v>
      </c>
      <c r="B947" s="45"/>
      <c r="C947" s="84" t="s">
        <v>11605</v>
      </c>
      <c r="D947" s="45"/>
      <c r="E947" s="84" t="s">
        <v>6191</v>
      </c>
      <c r="F947" s="84" t="s">
        <v>5300</v>
      </c>
      <c r="G947" s="85" t="s">
        <v>96</v>
      </c>
      <c r="H947" s="87">
        <v>1.71E-4</v>
      </c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</row>
    <row r="948">
      <c r="A948" s="84" t="s">
        <v>11606</v>
      </c>
      <c r="B948" s="45"/>
      <c r="C948" s="84" t="s">
        <v>11607</v>
      </c>
      <c r="D948" s="45"/>
      <c r="E948" s="84" t="s">
        <v>7471</v>
      </c>
      <c r="F948" s="84" t="s">
        <v>6988</v>
      </c>
      <c r="G948" s="85" t="s">
        <v>96</v>
      </c>
      <c r="H948" s="87">
        <v>1.705E-4</v>
      </c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</row>
    <row r="949">
      <c r="A949" s="84" t="s">
        <v>9802</v>
      </c>
      <c r="B949" s="45"/>
      <c r="C949" s="84" t="s">
        <v>9803</v>
      </c>
      <c r="D949" s="45"/>
      <c r="E949" s="84" t="s">
        <v>5215</v>
      </c>
      <c r="F949" s="84" t="s">
        <v>4357</v>
      </c>
      <c r="G949" s="85" t="s">
        <v>96</v>
      </c>
      <c r="H949" s="87">
        <v>1.699E-4</v>
      </c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</row>
    <row r="950">
      <c r="A950" s="84" t="s">
        <v>11608</v>
      </c>
      <c r="B950" s="45"/>
      <c r="C950" s="84" t="s">
        <v>11609</v>
      </c>
      <c r="D950" s="45"/>
      <c r="E950" s="84" t="s">
        <v>5395</v>
      </c>
      <c r="F950" s="84" t="s">
        <v>5300</v>
      </c>
      <c r="G950" s="85" t="s">
        <v>96</v>
      </c>
      <c r="H950" s="87">
        <v>1.697E-4</v>
      </c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</row>
    <row r="951">
      <c r="A951" s="84" t="s">
        <v>9700</v>
      </c>
      <c r="B951" s="45"/>
      <c r="C951" s="84" t="s">
        <v>9701</v>
      </c>
      <c r="D951" s="45"/>
      <c r="E951" s="84" t="s">
        <v>5271</v>
      </c>
      <c r="F951" s="84" t="s">
        <v>6988</v>
      </c>
      <c r="G951" s="85" t="s">
        <v>96</v>
      </c>
      <c r="H951" s="87">
        <v>1.694E-4</v>
      </c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</row>
    <row r="952">
      <c r="A952" s="84" t="s">
        <v>11610</v>
      </c>
      <c r="B952" s="45"/>
      <c r="C952" s="84" t="s">
        <v>11611</v>
      </c>
      <c r="D952" s="45"/>
      <c r="E952" s="84" t="s">
        <v>5226</v>
      </c>
      <c r="F952" s="84" t="s">
        <v>5836</v>
      </c>
      <c r="G952" s="85" t="s">
        <v>96</v>
      </c>
      <c r="H952" s="87">
        <v>1.692E-4</v>
      </c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</row>
    <row r="953">
      <c r="A953" s="84" t="s">
        <v>4635</v>
      </c>
      <c r="B953" s="45"/>
      <c r="C953" s="84" t="s">
        <v>9818</v>
      </c>
      <c r="D953" s="45"/>
      <c r="E953" s="84" t="s">
        <v>5374</v>
      </c>
      <c r="F953" s="84" t="s">
        <v>5300</v>
      </c>
      <c r="G953" s="85" t="s">
        <v>96</v>
      </c>
      <c r="H953" s="87">
        <v>1.688E-4</v>
      </c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</row>
    <row r="954">
      <c r="A954" s="84" t="s">
        <v>4663</v>
      </c>
      <c r="B954" s="45"/>
      <c r="C954" s="84" t="s">
        <v>9795</v>
      </c>
      <c r="D954" s="45"/>
      <c r="E954" s="84" t="s">
        <v>5434</v>
      </c>
      <c r="F954" s="84" t="s">
        <v>5300</v>
      </c>
      <c r="G954" s="85" t="s">
        <v>96</v>
      </c>
      <c r="H954" s="87">
        <v>1.688E-4</v>
      </c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</row>
    <row r="955">
      <c r="A955" s="84" t="s">
        <v>9813</v>
      </c>
      <c r="B955" s="45"/>
      <c r="C955" s="84" t="s">
        <v>9814</v>
      </c>
      <c r="D955" s="45"/>
      <c r="E955" s="84" t="s">
        <v>6238</v>
      </c>
      <c r="F955" s="84" t="s">
        <v>5836</v>
      </c>
      <c r="G955" s="85" t="s">
        <v>96</v>
      </c>
      <c r="H955" s="87">
        <v>1.685E-4</v>
      </c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</row>
    <row r="956">
      <c r="A956" s="84" t="s">
        <v>4690</v>
      </c>
      <c r="B956" s="45"/>
      <c r="C956" s="84" t="s">
        <v>9760</v>
      </c>
      <c r="D956" s="45"/>
      <c r="E956" s="84" t="s">
        <v>7181</v>
      </c>
      <c r="F956" s="84" t="s">
        <v>5300</v>
      </c>
      <c r="G956" s="85" t="s">
        <v>96</v>
      </c>
      <c r="H956" s="87">
        <v>1.682E-4</v>
      </c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</row>
    <row r="957">
      <c r="A957" s="84" t="s">
        <v>11612</v>
      </c>
      <c r="B957" s="45"/>
      <c r="C957" s="84" t="s">
        <v>11613</v>
      </c>
      <c r="D957" s="45"/>
      <c r="E957" s="84" t="s">
        <v>7611</v>
      </c>
      <c r="F957" s="84" t="s">
        <v>5300</v>
      </c>
      <c r="G957" s="85" t="s">
        <v>96</v>
      </c>
      <c r="H957" s="87">
        <v>1.682E-4</v>
      </c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</row>
    <row r="958">
      <c r="A958" s="84" t="s">
        <v>9786</v>
      </c>
      <c r="B958" s="45"/>
      <c r="C958" s="84" t="s">
        <v>9787</v>
      </c>
      <c r="D958" s="45"/>
      <c r="E958" s="84" t="s">
        <v>5445</v>
      </c>
      <c r="F958" s="84" t="s">
        <v>5747</v>
      </c>
      <c r="G958" s="85" t="s">
        <v>96</v>
      </c>
      <c r="H958" s="87">
        <v>1.68E-4</v>
      </c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</row>
    <row r="959">
      <c r="A959" s="84" t="s">
        <v>11614</v>
      </c>
      <c r="B959" s="45"/>
      <c r="C959" s="84" t="s">
        <v>11615</v>
      </c>
      <c r="D959" s="45"/>
      <c r="E959" s="84" t="s">
        <v>6759</v>
      </c>
      <c r="F959" s="84" t="s">
        <v>5300</v>
      </c>
      <c r="G959" s="85" t="s">
        <v>96</v>
      </c>
      <c r="H959" s="87">
        <v>1.68E-4</v>
      </c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</row>
    <row r="960">
      <c r="A960" s="84" t="s">
        <v>9764</v>
      </c>
      <c r="B960" s="45"/>
      <c r="C960" s="84" t="s">
        <v>9765</v>
      </c>
      <c r="D960" s="45"/>
      <c r="E960" s="84" t="s">
        <v>5456</v>
      </c>
      <c r="F960" s="84" t="s">
        <v>5300</v>
      </c>
      <c r="G960" s="85" t="s">
        <v>96</v>
      </c>
      <c r="H960" s="87">
        <v>1.669E-4</v>
      </c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</row>
    <row r="961">
      <c r="A961" s="84" t="s">
        <v>11616</v>
      </c>
      <c r="B961" s="45"/>
      <c r="C961" s="84" t="s">
        <v>11617</v>
      </c>
      <c r="D961" s="45"/>
      <c r="E961" s="84" t="s">
        <v>5226</v>
      </c>
      <c r="F961" s="84" t="s">
        <v>5300</v>
      </c>
      <c r="G961" s="85" t="s">
        <v>96</v>
      </c>
      <c r="H961" s="87">
        <v>1.667E-4</v>
      </c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</row>
    <row r="962">
      <c r="A962" s="84" t="s">
        <v>11618</v>
      </c>
      <c r="B962" s="45"/>
      <c r="C962" s="84" t="s">
        <v>11619</v>
      </c>
      <c r="D962" s="45"/>
      <c r="E962" s="84" t="s">
        <v>5218</v>
      </c>
      <c r="F962" s="84" t="s">
        <v>9513</v>
      </c>
      <c r="G962" s="85" t="s">
        <v>96</v>
      </c>
      <c r="H962" s="87">
        <v>1.665E-4</v>
      </c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</row>
    <row r="963">
      <c r="A963" s="84" t="s">
        <v>9706</v>
      </c>
      <c r="B963" s="45"/>
      <c r="C963" s="84" t="s">
        <v>9707</v>
      </c>
      <c r="D963" s="45"/>
      <c r="E963" s="84" t="s">
        <v>5501</v>
      </c>
      <c r="F963" s="84" t="s">
        <v>8784</v>
      </c>
      <c r="G963" s="85" t="s">
        <v>96</v>
      </c>
      <c r="H963" s="87">
        <v>1.657E-4</v>
      </c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</row>
    <row r="964">
      <c r="A964" s="84" t="s">
        <v>9735</v>
      </c>
      <c r="B964" s="45"/>
      <c r="C964" s="84" t="s">
        <v>9736</v>
      </c>
      <c r="D964" s="45"/>
      <c r="E964" s="84" t="s">
        <v>5271</v>
      </c>
      <c r="F964" s="84" t="s">
        <v>6988</v>
      </c>
      <c r="G964" s="85" t="s">
        <v>96</v>
      </c>
      <c r="H964" s="87">
        <v>1.654E-4</v>
      </c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</row>
    <row r="965">
      <c r="A965" s="84" t="s">
        <v>11620</v>
      </c>
      <c r="B965" s="45"/>
      <c r="C965" s="84" t="s">
        <v>11621</v>
      </c>
      <c r="D965" s="45"/>
      <c r="E965" s="84" t="s">
        <v>9039</v>
      </c>
      <c r="F965" s="84" t="s">
        <v>5300</v>
      </c>
      <c r="G965" s="85" t="s">
        <v>96</v>
      </c>
      <c r="H965" s="87">
        <v>1.654E-4</v>
      </c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</row>
    <row r="966">
      <c r="A966" s="84" t="s">
        <v>4661</v>
      </c>
      <c r="B966" s="45"/>
      <c r="C966" s="84" t="s">
        <v>11622</v>
      </c>
      <c r="D966" s="45"/>
      <c r="E966" s="84" t="s">
        <v>6472</v>
      </c>
      <c r="F966" s="84" t="s">
        <v>5300</v>
      </c>
      <c r="G966" s="85" t="s">
        <v>96</v>
      </c>
      <c r="H966" s="87">
        <v>1.65E-4</v>
      </c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</row>
    <row r="967">
      <c r="A967" s="84" t="s">
        <v>9819</v>
      </c>
      <c r="B967" s="45"/>
      <c r="C967" s="84" t="s">
        <v>9820</v>
      </c>
      <c r="D967" s="45"/>
      <c r="E967" s="84" t="s">
        <v>5434</v>
      </c>
      <c r="F967" s="84" t="s">
        <v>5425</v>
      </c>
      <c r="G967" s="85" t="s">
        <v>96</v>
      </c>
      <c r="H967" s="87">
        <v>1.648E-4</v>
      </c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</row>
    <row r="968">
      <c r="A968" s="84" t="s">
        <v>11623</v>
      </c>
      <c r="B968" s="45"/>
      <c r="C968" s="84" t="s">
        <v>9557</v>
      </c>
      <c r="D968" s="45"/>
      <c r="E968" s="84" t="s">
        <v>6130</v>
      </c>
      <c r="F968" s="84" t="s">
        <v>8759</v>
      </c>
      <c r="G968" s="85" t="s">
        <v>96</v>
      </c>
      <c r="H968" s="87">
        <v>1.645E-4</v>
      </c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</row>
    <row r="969">
      <c r="A969" s="84" t="s">
        <v>9808</v>
      </c>
      <c r="B969" s="45"/>
      <c r="C969" s="84" t="s">
        <v>9809</v>
      </c>
      <c r="D969" s="45"/>
      <c r="E969" s="84" t="s">
        <v>9810</v>
      </c>
      <c r="F969" s="84" t="s">
        <v>5300</v>
      </c>
      <c r="G969" s="85" t="s">
        <v>96</v>
      </c>
      <c r="H969" s="87">
        <v>1.642E-4</v>
      </c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</row>
    <row r="970">
      <c r="A970" s="84" t="s">
        <v>11624</v>
      </c>
      <c r="B970" s="45"/>
      <c r="C970" s="84" t="s">
        <v>11625</v>
      </c>
      <c r="D970" s="45"/>
      <c r="E970" s="84" t="s">
        <v>5246</v>
      </c>
      <c r="F970" s="84" t="s">
        <v>5300</v>
      </c>
      <c r="G970" s="85" t="s">
        <v>96</v>
      </c>
      <c r="H970" s="87">
        <v>1.641E-4</v>
      </c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</row>
    <row r="971">
      <c r="A971" s="84" t="s">
        <v>9822</v>
      </c>
      <c r="B971" s="45"/>
      <c r="C971" s="84" t="s">
        <v>9823</v>
      </c>
      <c r="D971" s="45"/>
      <c r="E971" s="84" t="s">
        <v>5267</v>
      </c>
      <c r="F971" s="84" t="s">
        <v>5300</v>
      </c>
      <c r="G971" s="85" t="s">
        <v>96</v>
      </c>
      <c r="H971" s="87">
        <v>1.632E-4</v>
      </c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</row>
    <row r="972">
      <c r="A972" s="84" t="s">
        <v>11626</v>
      </c>
      <c r="B972" s="45"/>
      <c r="C972" s="84" t="s">
        <v>11627</v>
      </c>
      <c r="D972" s="45"/>
      <c r="E972" s="84" t="s">
        <v>5978</v>
      </c>
      <c r="F972" s="84" t="s">
        <v>4095</v>
      </c>
      <c r="G972" s="85" t="s">
        <v>96</v>
      </c>
      <c r="H972" s="87">
        <v>1.632E-4</v>
      </c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</row>
    <row r="973">
      <c r="A973" s="84" t="s">
        <v>9767</v>
      </c>
      <c r="B973" s="45"/>
      <c r="C973" s="84" t="s">
        <v>9768</v>
      </c>
      <c r="D973" s="45"/>
      <c r="E973" s="84" t="s">
        <v>6150</v>
      </c>
      <c r="F973" s="84" t="s">
        <v>8767</v>
      </c>
      <c r="G973" s="85" t="s">
        <v>96</v>
      </c>
      <c r="H973" s="87">
        <v>1.63E-4</v>
      </c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</row>
    <row r="974">
      <c r="A974" s="84" t="s">
        <v>11628</v>
      </c>
      <c r="B974" s="45"/>
      <c r="C974" s="84" t="s">
        <v>11629</v>
      </c>
      <c r="D974" s="45"/>
      <c r="E974" s="84" t="s">
        <v>5283</v>
      </c>
      <c r="F974" s="84" t="s">
        <v>5300</v>
      </c>
      <c r="G974" s="85" t="s">
        <v>96</v>
      </c>
      <c r="H974" s="87">
        <v>1.627E-4</v>
      </c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</row>
    <row r="975">
      <c r="A975" s="84" t="s">
        <v>9678</v>
      </c>
      <c r="B975" s="45"/>
      <c r="C975" s="84" t="s">
        <v>11630</v>
      </c>
      <c r="D975" s="45"/>
      <c r="E975" s="84" t="s">
        <v>5253</v>
      </c>
      <c r="F975" s="84" t="s">
        <v>5927</v>
      </c>
      <c r="G975" s="85" t="s">
        <v>96</v>
      </c>
      <c r="H975" s="87">
        <v>1.621E-4</v>
      </c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</row>
    <row r="976">
      <c r="A976" s="84" t="s">
        <v>9816</v>
      </c>
      <c r="B976" s="45"/>
      <c r="C976" s="84" t="s">
        <v>9817</v>
      </c>
      <c r="D976" s="45"/>
      <c r="E976" s="84" t="s">
        <v>5501</v>
      </c>
      <c r="F976" s="84" t="s">
        <v>5300</v>
      </c>
      <c r="G976" s="85" t="s">
        <v>96</v>
      </c>
      <c r="H976" s="87">
        <v>1.618E-4</v>
      </c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</row>
    <row r="977">
      <c r="A977" s="84" t="s">
        <v>4658</v>
      </c>
      <c r="B977" s="45"/>
      <c r="C977" s="84" t="s">
        <v>11631</v>
      </c>
      <c r="D977" s="45"/>
      <c r="E977" s="84" t="s">
        <v>8951</v>
      </c>
      <c r="F977" s="84" t="s">
        <v>5300</v>
      </c>
      <c r="G977" s="85" t="s">
        <v>96</v>
      </c>
      <c r="H977" s="87">
        <v>1.616E-4</v>
      </c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</row>
    <row r="978">
      <c r="A978" s="84" t="s">
        <v>11632</v>
      </c>
      <c r="B978" s="45"/>
      <c r="C978" s="84" t="s">
        <v>11633</v>
      </c>
      <c r="D978" s="45"/>
      <c r="E978" s="84" t="s">
        <v>5377</v>
      </c>
      <c r="F978" s="84" t="s">
        <v>5300</v>
      </c>
      <c r="G978" s="85" t="s">
        <v>96</v>
      </c>
      <c r="H978" s="87">
        <v>1.614E-4</v>
      </c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</row>
    <row r="979">
      <c r="A979" s="84" t="s">
        <v>11634</v>
      </c>
      <c r="B979" s="45"/>
      <c r="C979" s="84" t="s">
        <v>11635</v>
      </c>
      <c r="D979" s="45"/>
      <c r="E979" s="84" t="s">
        <v>5395</v>
      </c>
      <c r="F979" s="84" t="s">
        <v>5425</v>
      </c>
      <c r="G979" s="85" t="s">
        <v>96</v>
      </c>
      <c r="H979" s="87">
        <v>1.611E-4</v>
      </c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</row>
    <row r="980">
      <c r="A980" s="84" t="s">
        <v>9842</v>
      </c>
      <c r="B980" s="45"/>
      <c r="C980" s="84" t="s">
        <v>9843</v>
      </c>
      <c r="D980" s="45"/>
      <c r="E980" s="84" t="s">
        <v>5756</v>
      </c>
      <c r="F980" s="84" t="s">
        <v>8784</v>
      </c>
      <c r="G980" s="85" t="s">
        <v>96</v>
      </c>
      <c r="H980" s="87">
        <v>1.609E-4</v>
      </c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</row>
    <row r="981">
      <c r="A981" s="84" t="s">
        <v>11636</v>
      </c>
      <c r="B981" s="45"/>
      <c r="C981" s="84" t="s">
        <v>11637</v>
      </c>
      <c r="D981" s="45"/>
      <c r="E981" s="84" t="s">
        <v>6191</v>
      </c>
      <c r="F981" s="84" t="s">
        <v>8784</v>
      </c>
      <c r="G981" s="85" t="s">
        <v>96</v>
      </c>
      <c r="H981" s="87">
        <v>1.605E-4</v>
      </c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</row>
    <row r="982">
      <c r="A982" s="84" t="s">
        <v>9868</v>
      </c>
      <c r="B982" s="45"/>
      <c r="C982" s="84" t="s">
        <v>9869</v>
      </c>
      <c r="D982" s="45"/>
      <c r="E982" s="84" t="s">
        <v>5280</v>
      </c>
      <c r="F982" s="84" t="s">
        <v>6698</v>
      </c>
      <c r="G982" s="85" t="s">
        <v>96</v>
      </c>
      <c r="H982" s="87">
        <v>1.604E-4</v>
      </c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</row>
    <row r="983">
      <c r="A983" s="84" t="s">
        <v>4669</v>
      </c>
      <c r="B983" s="45"/>
      <c r="C983" s="84" t="s">
        <v>9848</v>
      </c>
      <c r="D983" s="45"/>
      <c r="E983" s="84" t="s">
        <v>5316</v>
      </c>
      <c r="F983" s="84" t="s">
        <v>5300</v>
      </c>
      <c r="G983" s="85" t="s">
        <v>96</v>
      </c>
      <c r="H983" s="87">
        <v>1.599E-4</v>
      </c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</row>
    <row r="984">
      <c r="A984" s="84" t="s">
        <v>4646</v>
      </c>
      <c r="B984" s="45"/>
      <c r="C984" s="84" t="s">
        <v>9790</v>
      </c>
      <c r="D984" s="45"/>
      <c r="E984" s="84" t="s">
        <v>5691</v>
      </c>
      <c r="F984" s="84" t="s">
        <v>5300</v>
      </c>
      <c r="G984" s="85" t="s">
        <v>96</v>
      </c>
      <c r="H984" s="87">
        <v>1.599E-4</v>
      </c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</row>
    <row r="985">
      <c r="A985" s="84" t="s">
        <v>9863</v>
      </c>
      <c r="B985" s="45"/>
      <c r="C985" s="84" t="s">
        <v>9864</v>
      </c>
      <c r="D985" s="45"/>
      <c r="E985" s="84" t="s">
        <v>5366</v>
      </c>
      <c r="F985" s="84" t="s">
        <v>9414</v>
      </c>
      <c r="G985" s="85" t="s">
        <v>96</v>
      </c>
      <c r="H985" s="87">
        <v>1.597E-4</v>
      </c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</row>
    <row r="986">
      <c r="A986" s="84" t="s">
        <v>9793</v>
      </c>
      <c r="B986" s="45"/>
      <c r="C986" s="84" t="s">
        <v>9794</v>
      </c>
      <c r="D986" s="45"/>
      <c r="E986" s="84" t="s">
        <v>5369</v>
      </c>
      <c r="F986" s="84" t="s">
        <v>8784</v>
      </c>
      <c r="G986" s="85" t="s">
        <v>96</v>
      </c>
      <c r="H986" s="87">
        <v>1.594E-4</v>
      </c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</row>
    <row r="987">
      <c r="A987" s="84" t="s">
        <v>4680</v>
      </c>
      <c r="B987" s="45"/>
      <c r="C987" s="84" t="s">
        <v>9799</v>
      </c>
      <c r="D987" s="45"/>
      <c r="E987" s="84" t="s">
        <v>5283</v>
      </c>
      <c r="F987" s="84" t="s">
        <v>5300</v>
      </c>
      <c r="G987" s="85" t="s">
        <v>96</v>
      </c>
      <c r="H987" s="87">
        <v>1.593E-4</v>
      </c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</row>
    <row r="988">
      <c r="A988" s="84" t="s">
        <v>4613</v>
      </c>
      <c r="B988" s="45"/>
      <c r="C988" s="84" t="s">
        <v>9763</v>
      </c>
      <c r="D988" s="45"/>
      <c r="E988" s="84" t="s">
        <v>5759</v>
      </c>
      <c r="F988" s="84" t="s">
        <v>5300</v>
      </c>
      <c r="G988" s="85" t="s">
        <v>96</v>
      </c>
      <c r="H988" s="87">
        <v>1.593E-4</v>
      </c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</row>
    <row r="989">
      <c r="A989" s="84" t="s">
        <v>9839</v>
      </c>
      <c r="B989" s="45"/>
      <c r="C989" s="84" t="s">
        <v>9840</v>
      </c>
      <c r="D989" s="45"/>
      <c r="E989" s="84" t="s">
        <v>5561</v>
      </c>
      <c r="F989" s="84" t="s">
        <v>5927</v>
      </c>
      <c r="G989" s="85" t="s">
        <v>96</v>
      </c>
      <c r="H989" s="87">
        <v>1.589E-4</v>
      </c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</row>
    <row r="990">
      <c r="A990" s="84" t="s">
        <v>5435</v>
      </c>
      <c r="B990" s="45"/>
      <c r="C990" s="84" t="s">
        <v>5436</v>
      </c>
      <c r="D990" s="45"/>
      <c r="E990" s="84" t="s">
        <v>5283</v>
      </c>
      <c r="F990" s="84" t="s">
        <v>5277</v>
      </c>
      <c r="G990" s="85" t="s">
        <v>96</v>
      </c>
      <c r="H990" s="87">
        <v>1.587E-4</v>
      </c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</row>
    <row r="991">
      <c r="A991" s="84" t="s">
        <v>11638</v>
      </c>
      <c r="B991" s="45"/>
      <c r="C991" s="84" t="s">
        <v>11639</v>
      </c>
      <c r="D991" s="45"/>
      <c r="E991" s="84" t="s">
        <v>5226</v>
      </c>
      <c r="F991" s="84" t="s">
        <v>9299</v>
      </c>
      <c r="G991" s="85" t="s">
        <v>96</v>
      </c>
      <c r="H991" s="87">
        <v>1.584E-4</v>
      </c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</row>
    <row r="992">
      <c r="A992" s="84" t="s">
        <v>9769</v>
      </c>
      <c r="B992" s="45"/>
      <c r="C992" s="84" t="s">
        <v>9770</v>
      </c>
      <c r="D992" s="45"/>
      <c r="E992" s="84" t="s">
        <v>6475</v>
      </c>
      <c r="F992" s="84" t="s">
        <v>8784</v>
      </c>
      <c r="G992" s="85" t="s">
        <v>96</v>
      </c>
      <c r="H992" s="87">
        <v>1.579E-4</v>
      </c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</row>
    <row r="993">
      <c r="A993" s="84" t="s">
        <v>9775</v>
      </c>
      <c r="B993" s="45"/>
      <c r="C993" s="84" t="s">
        <v>9776</v>
      </c>
      <c r="D993" s="45"/>
      <c r="E993" s="84" t="s">
        <v>6266</v>
      </c>
      <c r="F993" s="84" t="s">
        <v>5425</v>
      </c>
      <c r="G993" s="85" t="s">
        <v>96</v>
      </c>
      <c r="H993" s="87">
        <v>1.578E-4</v>
      </c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</row>
    <row r="994">
      <c r="A994" s="84" t="s">
        <v>9824</v>
      </c>
      <c r="B994" s="45"/>
      <c r="C994" s="84" t="s">
        <v>9825</v>
      </c>
      <c r="D994" s="45"/>
      <c r="E994" s="84" t="s">
        <v>6630</v>
      </c>
      <c r="F994" s="84" t="s">
        <v>5425</v>
      </c>
      <c r="G994" s="85" t="s">
        <v>96</v>
      </c>
      <c r="H994" s="87">
        <v>1.578E-4</v>
      </c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</row>
    <row r="995">
      <c r="A995" s="84" t="s">
        <v>5832</v>
      </c>
      <c r="B995" s="45"/>
      <c r="C995" s="84" t="s">
        <v>11640</v>
      </c>
      <c r="D995" s="45"/>
      <c r="E995" s="84" t="s">
        <v>5261</v>
      </c>
      <c r="F995" s="84" t="s">
        <v>5300</v>
      </c>
      <c r="G995" s="85" t="s">
        <v>96</v>
      </c>
      <c r="H995" s="87">
        <v>1.573E-4</v>
      </c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</row>
    <row r="996">
      <c r="A996" s="84" t="s">
        <v>9811</v>
      </c>
      <c r="B996" s="45"/>
      <c r="C996" s="84" t="s">
        <v>9812</v>
      </c>
      <c r="D996" s="45"/>
      <c r="E996" s="84" t="s">
        <v>5448</v>
      </c>
      <c r="F996" s="84" t="s">
        <v>9299</v>
      </c>
      <c r="G996" s="85" t="s">
        <v>96</v>
      </c>
      <c r="H996" s="87">
        <v>1.571E-4</v>
      </c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</row>
    <row r="997">
      <c r="A997" s="84" t="s">
        <v>9925</v>
      </c>
      <c r="B997" s="45"/>
      <c r="C997" s="84" t="s">
        <v>9926</v>
      </c>
      <c r="D997" s="45"/>
      <c r="E997" s="84" t="s">
        <v>5229</v>
      </c>
      <c r="F997" s="84" t="s">
        <v>8784</v>
      </c>
      <c r="G997" s="85" t="s">
        <v>96</v>
      </c>
      <c r="H997" s="87">
        <v>1.57E-4</v>
      </c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</row>
    <row r="998">
      <c r="A998" s="84" t="s">
        <v>5924</v>
      </c>
      <c r="B998" s="45"/>
      <c r="C998" s="84" t="s">
        <v>11641</v>
      </c>
      <c r="D998" s="45"/>
      <c r="E998" s="84" t="s">
        <v>5229</v>
      </c>
      <c r="F998" s="84" t="s">
        <v>5300</v>
      </c>
      <c r="G998" s="85" t="s">
        <v>96</v>
      </c>
      <c r="H998" s="87">
        <v>1.558E-4</v>
      </c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</row>
    <row r="999">
      <c r="A999" s="84" t="s">
        <v>11642</v>
      </c>
      <c r="B999" s="45"/>
      <c r="C999" s="84" t="s">
        <v>11643</v>
      </c>
      <c r="D999" s="45"/>
      <c r="E999" s="84" t="s">
        <v>5226</v>
      </c>
      <c r="F999" s="84" t="s">
        <v>5300</v>
      </c>
      <c r="G999" s="85" t="s">
        <v>96</v>
      </c>
      <c r="H999" s="87">
        <v>1.557E-4</v>
      </c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</row>
    <row r="1000">
      <c r="A1000" s="84" t="s">
        <v>4685</v>
      </c>
      <c r="B1000" s="45"/>
      <c r="C1000" s="84" t="s">
        <v>9826</v>
      </c>
      <c r="D1000" s="45"/>
      <c r="E1000" s="84" t="s">
        <v>5467</v>
      </c>
      <c r="F1000" s="84" t="s">
        <v>5300</v>
      </c>
      <c r="G1000" s="85" t="s">
        <v>96</v>
      </c>
      <c r="H1000" s="87">
        <v>1.557E-4</v>
      </c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</row>
    <row r="1001">
      <c r="A1001" s="84" t="s">
        <v>9866</v>
      </c>
      <c r="B1001" s="45"/>
      <c r="C1001" s="84" t="s">
        <v>9867</v>
      </c>
      <c r="D1001" s="45"/>
      <c r="E1001" s="84" t="s">
        <v>5366</v>
      </c>
      <c r="F1001" s="84" t="s">
        <v>8784</v>
      </c>
      <c r="G1001" s="85" t="s">
        <v>96</v>
      </c>
      <c r="H1001" s="87">
        <v>1.55E-4</v>
      </c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</row>
    <row r="1002">
      <c r="A1002" s="84" t="s">
        <v>9931</v>
      </c>
      <c r="B1002" s="45"/>
      <c r="C1002" s="84" t="s">
        <v>9932</v>
      </c>
      <c r="D1002" s="45"/>
      <c r="E1002" s="84" t="s">
        <v>5462</v>
      </c>
      <c r="F1002" s="84" t="s">
        <v>5425</v>
      </c>
      <c r="G1002" s="85" t="s">
        <v>96</v>
      </c>
      <c r="H1002" s="87">
        <v>1.549E-4</v>
      </c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</row>
    <row r="1003">
      <c r="A1003" s="84" t="s">
        <v>4689</v>
      </c>
      <c r="B1003" s="45"/>
      <c r="C1003" s="84" t="s">
        <v>9865</v>
      </c>
      <c r="D1003" s="45"/>
      <c r="E1003" s="84" t="s">
        <v>5450</v>
      </c>
      <c r="F1003" s="84" t="s">
        <v>5300</v>
      </c>
      <c r="G1003" s="85" t="s">
        <v>96</v>
      </c>
      <c r="H1003" s="87">
        <v>1.548E-4</v>
      </c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</row>
    <row r="1004">
      <c r="A1004" s="84" t="s">
        <v>11644</v>
      </c>
      <c r="B1004" s="45"/>
      <c r="C1004" s="84" t="s">
        <v>11645</v>
      </c>
      <c r="D1004" s="45"/>
      <c r="E1004" s="84" t="s">
        <v>6249</v>
      </c>
      <c r="F1004" s="84" t="s">
        <v>8784</v>
      </c>
      <c r="G1004" s="85" t="s">
        <v>96</v>
      </c>
      <c r="H1004" s="87">
        <v>1.54E-4</v>
      </c>
      <c r="I1004" s="45"/>
      <c r="J1004" s="45"/>
      <c r="K1004" s="45"/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</row>
    <row r="1005">
      <c r="A1005" s="84" t="s">
        <v>9882</v>
      </c>
      <c r="B1005" s="45"/>
      <c r="C1005" s="84" t="s">
        <v>9883</v>
      </c>
      <c r="D1005" s="45"/>
      <c r="E1005" s="84" t="s">
        <v>6012</v>
      </c>
      <c r="F1005" s="84" t="s">
        <v>6988</v>
      </c>
      <c r="G1005" s="85" t="s">
        <v>96</v>
      </c>
      <c r="H1005" s="87">
        <v>1.54E-4</v>
      </c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</row>
    <row r="1006">
      <c r="A1006" s="84" t="s">
        <v>9886</v>
      </c>
      <c r="B1006" s="45"/>
      <c r="C1006" s="84" t="s">
        <v>9887</v>
      </c>
      <c r="D1006" s="45"/>
      <c r="E1006" s="84" t="s">
        <v>5467</v>
      </c>
      <c r="F1006" s="84" t="s">
        <v>5747</v>
      </c>
      <c r="G1006" s="85" t="s">
        <v>96</v>
      </c>
      <c r="H1006" s="87">
        <v>1.536E-4</v>
      </c>
      <c r="I1006" s="45"/>
      <c r="J1006" s="45"/>
      <c r="K1006" s="45"/>
      <c r="L1006" s="45"/>
      <c r="M1006" s="45"/>
      <c r="N1006" s="45"/>
      <c r="O1006" s="45"/>
      <c r="P1006" s="45"/>
      <c r="Q1006" s="45"/>
      <c r="R1006" s="45"/>
      <c r="S1006" s="45"/>
      <c r="T1006" s="45"/>
      <c r="U1006" s="45"/>
    </row>
    <row r="1007">
      <c r="A1007" s="84" t="s">
        <v>9837</v>
      </c>
      <c r="B1007" s="45"/>
      <c r="C1007" s="84" t="s">
        <v>9838</v>
      </c>
      <c r="D1007" s="45"/>
      <c r="E1007" s="84" t="s">
        <v>5374</v>
      </c>
      <c r="F1007" s="84" t="s">
        <v>8784</v>
      </c>
      <c r="G1007" s="85" t="s">
        <v>96</v>
      </c>
      <c r="H1007" s="87">
        <v>1.533E-4</v>
      </c>
      <c r="I1007" s="45"/>
      <c r="J1007" s="45"/>
      <c r="K1007" s="45"/>
      <c r="L1007" s="45"/>
      <c r="M1007" s="45"/>
      <c r="N1007" s="45"/>
      <c r="O1007" s="45"/>
      <c r="P1007" s="45"/>
      <c r="Q1007" s="45"/>
      <c r="R1007" s="45"/>
      <c r="S1007" s="45"/>
      <c r="T1007" s="45"/>
      <c r="U1007" s="45"/>
    </row>
    <row r="1008">
      <c r="A1008" s="84" t="s">
        <v>11646</v>
      </c>
      <c r="B1008" s="45"/>
      <c r="C1008" s="84" t="s">
        <v>11647</v>
      </c>
      <c r="D1008" s="45"/>
      <c r="E1008" s="84" t="s">
        <v>5338</v>
      </c>
      <c r="F1008" s="84" t="s">
        <v>8784</v>
      </c>
      <c r="G1008" s="85" t="s">
        <v>96</v>
      </c>
      <c r="H1008" s="87">
        <v>1.533E-4</v>
      </c>
      <c r="I1008" s="45"/>
      <c r="J1008" s="45"/>
      <c r="K1008" s="45"/>
      <c r="L1008" s="45"/>
      <c r="M1008" s="45"/>
      <c r="N1008" s="45"/>
      <c r="O1008" s="45"/>
      <c r="P1008" s="45"/>
      <c r="Q1008" s="45"/>
      <c r="R1008" s="45"/>
      <c r="S1008" s="45"/>
      <c r="T1008" s="45"/>
      <c r="U1008" s="45"/>
    </row>
    <row r="1009">
      <c r="A1009" s="84" t="s">
        <v>10242</v>
      </c>
      <c r="B1009" s="45"/>
      <c r="C1009" s="84" t="s">
        <v>9852</v>
      </c>
      <c r="D1009" s="45"/>
      <c r="E1009" s="84" t="s">
        <v>6150</v>
      </c>
      <c r="F1009" s="84" t="s">
        <v>8759</v>
      </c>
      <c r="G1009" s="85" t="s">
        <v>96</v>
      </c>
      <c r="H1009" s="87">
        <v>1.531E-4</v>
      </c>
      <c r="I1009" s="45"/>
      <c r="J1009" s="45"/>
      <c r="K1009" s="45"/>
      <c r="L1009" s="45"/>
      <c r="M1009" s="45"/>
      <c r="N1009" s="45"/>
      <c r="O1009" s="45"/>
      <c r="P1009" s="45"/>
      <c r="Q1009" s="45"/>
      <c r="R1009" s="45"/>
      <c r="S1009" s="45"/>
      <c r="T1009" s="45"/>
      <c r="U1009" s="45"/>
    </row>
    <row r="1010">
      <c r="A1010" s="84" t="s">
        <v>4649</v>
      </c>
      <c r="B1010" s="45"/>
      <c r="C1010" s="84" t="s">
        <v>11648</v>
      </c>
      <c r="D1010" s="45"/>
      <c r="E1010" s="84" t="s">
        <v>6191</v>
      </c>
      <c r="F1010" s="84" t="s">
        <v>5300</v>
      </c>
      <c r="G1010" s="85" t="s">
        <v>96</v>
      </c>
      <c r="H1010" s="87">
        <v>1.525E-4</v>
      </c>
      <c r="I1010" s="45"/>
      <c r="J1010" s="45"/>
      <c r="K1010" s="45"/>
      <c r="L1010" s="45"/>
      <c r="M1010" s="45"/>
      <c r="N1010" s="45"/>
      <c r="O1010" s="45"/>
      <c r="P1010" s="45"/>
      <c r="Q1010" s="45"/>
      <c r="R1010" s="45"/>
      <c r="S1010" s="45"/>
      <c r="T1010" s="45"/>
      <c r="U1010" s="45"/>
    </row>
    <row r="1011">
      <c r="A1011" s="84" t="s">
        <v>9844</v>
      </c>
      <c r="B1011" s="45"/>
      <c r="C1011" s="84" t="s">
        <v>9845</v>
      </c>
      <c r="D1011" s="45"/>
      <c r="E1011" s="84" t="s">
        <v>5501</v>
      </c>
      <c r="F1011" s="84" t="s">
        <v>4095</v>
      </c>
      <c r="G1011" s="85" t="s">
        <v>96</v>
      </c>
      <c r="H1011" s="87">
        <v>1.521E-4</v>
      </c>
      <c r="I1011" s="45"/>
      <c r="J1011" s="45"/>
      <c r="K1011" s="45"/>
      <c r="L1011" s="45"/>
      <c r="M1011" s="45"/>
      <c r="N1011" s="45"/>
      <c r="O1011" s="45"/>
      <c r="P1011" s="45"/>
      <c r="Q1011" s="45"/>
      <c r="R1011" s="45"/>
      <c r="S1011" s="45"/>
      <c r="T1011" s="45"/>
      <c r="U1011" s="45"/>
    </row>
    <row r="1012">
      <c r="A1012" s="84" t="s">
        <v>9874</v>
      </c>
      <c r="B1012" s="45"/>
      <c r="C1012" s="84" t="s">
        <v>9875</v>
      </c>
      <c r="D1012" s="45"/>
      <c r="E1012" s="84" t="s">
        <v>5271</v>
      </c>
      <c r="F1012" s="84" t="s">
        <v>5836</v>
      </c>
      <c r="G1012" s="85" t="s">
        <v>96</v>
      </c>
      <c r="H1012" s="87">
        <v>1.517E-4</v>
      </c>
      <c r="I1012" s="45"/>
      <c r="J1012" s="45"/>
      <c r="K1012" s="45"/>
      <c r="L1012" s="45"/>
      <c r="M1012" s="45"/>
      <c r="N1012" s="45"/>
      <c r="O1012" s="45"/>
      <c r="P1012" s="45"/>
      <c r="Q1012" s="45"/>
      <c r="R1012" s="45"/>
      <c r="S1012" s="45"/>
      <c r="T1012" s="45"/>
      <c r="U1012" s="45"/>
    </row>
    <row r="1013">
      <c r="A1013" s="84" t="s">
        <v>11649</v>
      </c>
      <c r="B1013" s="45"/>
      <c r="C1013" s="84" t="s">
        <v>11650</v>
      </c>
      <c r="D1013" s="45"/>
      <c r="E1013" s="84" t="s">
        <v>5978</v>
      </c>
      <c r="F1013" s="84" t="s">
        <v>5747</v>
      </c>
      <c r="G1013" s="85" t="s">
        <v>96</v>
      </c>
      <c r="H1013" s="87">
        <v>1.517E-4</v>
      </c>
      <c r="I1013" s="45"/>
      <c r="J1013" s="45"/>
      <c r="K1013" s="45"/>
      <c r="L1013" s="45"/>
      <c r="M1013" s="45"/>
      <c r="N1013" s="45"/>
      <c r="O1013" s="45"/>
      <c r="P1013" s="45"/>
      <c r="Q1013" s="45"/>
      <c r="R1013" s="45"/>
      <c r="S1013" s="45"/>
      <c r="T1013" s="45"/>
      <c r="U1013" s="45"/>
    </row>
    <row r="1014">
      <c r="A1014" s="84" t="s">
        <v>9664</v>
      </c>
      <c r="B1014" s="45"/>
      <c r="C1014" s="84" t="s">
        <v>11615</v>
      </c>
      <c r="D1014" s="45"/>
      <c r="E1014" s="84" t="s">
        <v>6759</v>
      </c>
      <c r="F1014" s="84" t="s">
        <v>5300</v>
      </c>
      <c r="G1014" s="85" t="s">
        <v>96</v>
      </c>
      <c r="H1014" s="87">
        <v>1.51E-4</v>
      </c>
      <c r="I1014" s="45"/>
      <c r="J1014" s="45"/>
      <c r="K1014" s="45"/>
      <c r="L1014" s="45"/>
      <c r="M1014" s="45"/>
      <c r="N1014" s="45"/>
      <c r="O1014" s="45"/>
      <c r="P1014" s="45"/>
      <c r="Q1014" s="45"/>
      <c r="R1014" s="45"/>
      <c r="S1014" s="45"/>
      <c r="T1014" s="45"/>
      <c r="U1014" s="45"/>
    </row>
    <row r="1015">
      <c r="A1015" s="84" t="s">
        <v>9857</v>
      </c>
      <c r="B1015" s="45"/>
      <c r="C1015" s="84" t="s">
        <v>9858</v>
      </c>
      <c r="D1015" s="45"/>
      <c r="E1015" s="84" t="s">
        <v>5395</v>
      </c>
      <c r="F1015" s="84" t="s">
        <v>5747</v>
      </c>
      <c r="G1015" s="85" t="s">
        <v>96</v>
      </c>
      <c r="H1015" s="87">
        <v>1.51E-4</v>
      </c>
      <c r="I1015" s="45"/>
      <c r="J1015" s="45"/>
      <c r="K1015" s="45"/>
      <c r="L1015" s="45"/>
      <c r="M1015" s="45"/>
      <c r="N1015" s="45"/>
      <c r="O1015" s="45"/>
      <c r="P1015" s="45"/>
      <c r="Q1015" s="45"/>
      <c r="R1015" s="45"/>
      <c r="S1015" s="45"/>
      <c r="T1015" s="45"/>
      <c r="U1015" s="45"/>
    </row>
    <row r="1016">
      <c r="A1016" s="84" t="s">
        <v>9846</v>
      </c>
      <c r="B1016" s="45"/>
      <c r="C1016" s="84" t="s">
        <v>9847</v>
      </c>
      <c r="D1016" s="45"/>
      <c r="E1016" s="84" t="s">
        <v>5264</v>
      </c>
      <c r="F1016" s="84" t="s">
        <v>5425</v>
      </c>
      <c r="G1016" s="85" t="s">
        <v>96</v>
      </c>
      <c r="H1016" s="87">
        <v>1.508E-4</v>
      </c>
      <c r="I1016" s="45"/>
      <c r="J1016" s="45"/>
      <c r="K1016" s="45"/>
      <c r="L1016" s="45"/>
      <c r="M1016" s="45"/>
      <c r="N1016" s="45"/>
      <c r="O1016" s="45"/>
      <c r="P1016" s="45"/>
      <c r="Q1016" s="45"/>
      <c r="R1016" s="45"/>
      <c r="S1016" s="45"/>
      <c r="T1016" s="45"/>
      <c r="U1016" s="45"/>
    </row>
    <row r="1017">
      <c r="A1017" s="84" t="s">
        <v>9791</v>
      </c>
      <c r="B1017" s="45"/>
      <c r="C1017" s="84" t="s">
        <v>9792</v>
      </c>
      <c r="D1017" s="45"/>
      <c r="E1017" s="84" t="s">
        <v>5578</v>
      </c>
      <c r="F1017" s="84" t="s">
        <v>5300</v>
      </c>
      <c r="G1017" s="85" t="s">
        <v>96</v>
      </c>
      <c r="H1017" s="87">
        <v>1.505E-4</v>
      </c>
      <c r="I1017" s="45"/>
      <c r="J1017" s="45"/>
      <c r="K1017" s="45"/>
      <c r="L1017" s="45"/>
      <c r="M1017" s="45"/>
      <c r="N1017" s="45"/>
      <c r="O1017" s="45"/>
      <c r="P1017" s="45"/>
      <c r="Q1017" s="45"/>
      <c r="R1017" s="45"/>
      <c r="S1017" s="45"/>
      <c r="T1017" s="45"/>
      <c r="U1017" s="45"/>
    </row>
    <row r="1018">
      <c r="A1018" s="84" t="s">
        <v>4678</v>
      </c>
      <c r="B1018" s="45"/>
      <c r="C1018" s="84" t="s">
        <v>9850</v>
      </c>
      <c r="D1018" s="45"/>
      <c r="E1018" s="84" t="s">
        <v>5407</v>
      </c>
      <c r="F1018" s="84" t="s">
        <v>5300</v>
      </c>
      <c r="G1018" s="85" t="s">
        <v>96</v>
      </c>
      <c r="H1018" s="87">
        <v>1.495E-4</v>
      </c>
      <c r="I1018" s="45"/>
      <c r="J1018" s="45"/>
      <c r="K1018" s="45"/>
      <c r="L1018" s="45"/>
      <c r="M1018" s="45"/>
      <c r="N1018" s="45"/>
      <c r="O1018" s="45"/>
      <c r="P1018" s="45"/>
      <c r="Q1018" s="45"/>
      <c r="R1018" s="45"/>
      <c r="S1018" s="45"/>
      <c r="T1018" s="45"/>
      <c r="U1018" s="45"/>
    </row>
    <row r="1019">
      <c r="A1019" s="84" t="s">
        <v>11651</v>
      </c>
      <c r="B1019" s="45"/>
      <c r="C1019" s="84" t="s">
        <v>11652</v>
      </c>
      <c r="D1019" s="45"/>
      <c r="E1019" s="84" t="s">
        <v>8480</v>
      </c>
      <c r="F1019" s="84" t="s">
        <v>5300</v>
      </c>
      <c r="G1019" s="85" t="s">
        <v>96</v>
      </c>
      <c r="H1019" s="87">
        <v>1.494E-4</v>
      </c>
      <c r="I1019" s="45"/>
      <c r="J1019" s="45"/>
      <c r="K1019" s="45"/>
      <c r="L1019" s="45"/>
      <c r="M1019" s="45"/>
      <c r="N1019" s="45"/>
      <c r="O1019" s="45"/>
      <c r="P1019" s="45"/>
      <c r="Q1019" s="45"/>
      <c r="R1019" s="45"/>
      <c r="S1019" s="45"/>
      <c r="T1019" s="45"/>
      <c r="U1019" s="45"/>
    </row>
    <row r="1020">
      <c r="A1020" s="84" t="s">
        <v>11653</v>
      </c>
      <c r="B1020" s="45"/>
      <c r="C1020" s="84" t="s">
        <v>11654</v>
      </c>
      <c r="D1020" s="45"/>
      <c r="E1020" s="84" t="s">
        <v>6110</v>
      </c>
      <c r="F1020" s="84" t="s">
        <v>6988</v>
      </c>
      <c r="G1020" s="85" t="s">
        <v>96</v>
      </c>
      <c r="H1020" s="87">
        <v>1.493E-4</v>
      </c>
      <c r="I1020" s="45"/>
      <c r="J1020" s="45"/>
      <c r="K1020" s="45"/>
      <c r="L1020" s="45"/>
      <c r="M1020" s="45"/>
      <c r="N1020" s="45"/>
      <c r="O1020" s="45"/>
      <c r="P1020" s="45"/>
      <c r="Q1020" s="45"/>
      <c r="R1020" s="45"/>
      <c r="S1020" s="45"/>
      <c r="T1020" s="45"/>
      <c r="U1020" s="45"/>
    </row>
    <row r="1021">
      <c r="A1021" s="84" t="s">
        <v>11655</v>
      </c>
      <c r="B1021" s="45"/>
      <c r="C1021" s="84" t="s">
        <v>11656</v>
      </c>
      <c r="D1021" s="45"/>
      <c r="E1021" s="84" t="s">
        <v>5218</v>
      </c>
      <c r="F1021" s="84" t="s">
        <v>5300</v>
      </c>
      <c r="G1021" s="85" t="s">
        <v>96</v>
      </c>
      <c r="H1021" s="87">
        <v>1.49E-4</v>
      </c>
      <c r="I1021" s="45"/>
      <c r="J1021" s="45"/>
      <c r="K1021" s="45"/>
      <c r="L1021" s="45"/>
      <c r="M1021" s="45"/>
      <c r="N1021" s="45"/>
      <c r="O1021" s="45"/>
      <c r="P1021" s="45"/>
      <c r="Q1021" s="45"/>
      <c r="R1021" s="45"/>
      <c r="S1021" s="45"/>
      <c r="T1021" s="45"/>
      <c r="U1021" s="45"/>
    </row>
    <row r="1022">
      <c r="A1022" s="84" t="s">
        <v>4651</v>
      </c>
      <c r="B1022" s="45"/>
      <c r="C1022" s="84" t="s">
        <v>9815</v>
      </c>
      <c r="D1022" s="45"/>
      <c r="E1022" s="84" t="s">
        <v>6798</v>
      </c>
      <c r="F1022" s="84" t="s">
        <v>5300</v>
      </c>
      <c r="G1022" s="85" t="s">
        <v>96</v>
      </c>
      <c r="H1022" s="87">
        <v>1.49E-4</v>
      </c>
      <c r="I1022" s="45"/>
      <c r="J1022" s="45"/>
      <c r="K1022" s="45"/>
      <c r="L1022" s="45"/>
      <c r="M1022" s="45"/>
      <c r="N1022" s="45"/>
      <c r="O1022" s="45"/>
      <c r="P1022" s="45"/>
      <c r="Q1022" s="45"/>
      <c r="R1022" s="45"/>
      <c r="S1022" s="45"/>
      <c r="T1022" s="45"/>
      <c r="U1022" s="45"/>
    </row>
    <row r="1023">
      <c r="A1023" s="84" t="s">
        <v>9784</v>
      </c>
      <c r="B1023" s="45"/>
      <c r="C1023" s="84" t="s">
        <v>9785</v>
      </c>
      <c r="D1023" s="45"/>
      <c r="E1023" s="84" t="s">
        <v>5961</v>
      </c>
      <c r="F1023" s="84" t="s">
        <v>5300</v>
      </c>
      <c r="G1023" s="85" t="s">
        <v>96</v>
      </c>
      <c r="H1023" s="87">
        <v>1.485E-4</v>
      </c>
      <c r="I1023" s="45"/>
      <c r="J1023" s="45"/>
      <c r="K1023" s="45"/>
      <c r="L1023" s="45"/>
      <c r="M1023" s="45"/>
      <c r="N1023" s="45"/>
      <c r="O1023" s="45"/>
      <c r="P1023" s="45"/>
      <c r="Q1023" s="45"/>
      <c r="R1023" s="45"/>
      <c r="S1023" s="45"/>
      <c r="T1023" s="45"/>
      <c r="U1023" s="45"/>
    </row>
    <row r="1024">
      <c r="A1024" s="84" t="s">
        <v>11657</v>
      </c>
      <c r="B1024" s="45"/>
      <c r="C1024" s="84" t="s">
        <v>11658</v>
      </c>
      <c r="D1024" s="45"/>
      <c r="E1024" s="84" t="s">
        <v>5650</v>
      </c>
      <c r="F1024" s="84" t="s">
        <v>5300</v>
      </c>
      <c r="G1024" s="85" t="s">
        <v>96</v>
      </c>
      <c r="H1024" s="87">
        <v>1.475E-4</v>
      </c>
      <c r="I1024" s="45"/>
      <c r="J1024" s="45"/>
      <c r="K1024" s="45"/>
      <c r="L1024" s="45"/>
      <c r="M1024" s="45"/>
      <c r="N1024" s="45"/>
      <c r="O1024" s="45"/>
      <c r="P1024" s="45"/>
      <c r="Q1024" s="45"/>
      <c r="R1024" s="45"/>
      <c r="S1024" s="45"/>
      <c r="T1024" s="45"/>
      <c r="U1024" s="45"/>
    </row>
    <row r="1025">
      <c r="A1025" s="84" t="s">
        <v>9861</v>
      </c>
      <c r="B1025" s="45"/>
      <c r="C1025" s="84" t="s">
        <v>9862</v>
      </c>
      <c r="D1025" s="45"/>
      <c r="E1025" s="84" t="s">
        <v>5271</v>
      </c>
      <c r="F1025" s="84" t="s">
        <v>8784</v>
      </c>
      <c r="G1025" s="85" t="s">
        <v>96</v>
      </c>
      <c r="H1025" s="87">
        <v>1.472E-4</v>
      </c>
      <c r="I1025" s="45"/>
      <c r="J1025" s="45"/>
      <c r="K1025" s="45"/>
      <c r="L1025" s="45"/>
      <c r="M1025" s="45"/>
      <c r="N1025" s="45"/>
      <c r="O1025" s="45"/>
      <c r="P1025" s="45"/>
      <c r="Q1025" s="45"/>
      <c r="R1025" s="45"/>
      <c r="S1025" s="45"/>
      <c r="T1025" s="45"/>
      <c r="U1025" s="45"/>
    </row>
    <row r="1026">
      <c r="A1026" s="84" t="s">
        <v>9902</v>
      </c>
      <c r="B1026" s="45"/>
      <c r="C1026" s="84" t="s">
        <v>9903</v>
      </c>
      <c r="D1026" s="45"/>
      <c r="E1026" s="84" t="s">
        <v>5650</v>
      </c>
      <c r="F1026" s="84" t="s">
        <v>8784</v>
      </c>
      <c r="G1026" s="85" t="s">
        <v>96</v>
      </c>
      <c r="H1026" s="87">
        <v>1.469E-4</v>
      </c>
      <c r="I1026" s="45"/>
      <c r="J1026" s="45"/>
      <c r="K1026" s="45"/>
      <c r="L1026" s="45"/>
      <c r="M1026" s="45"/>
      <c r="N1026" s="45"/>
      <c r="O1026" s="45"/>
      <c r="P1026" s="45"/>
      <c r="Q1026" s="45"/>
      <c r="R1026" s="45"/>
      <c r="S1026" s="45"/>
      <c r="T1026" s="45"/>
      <c r="U1026" s="45"/>
    </row>
    <row r="1027">
      <c r="A1027" s="84" t="s">
        <v>11659</v>
      </c>
      <c r="B1027" s="45"/>
      <c r="C1027" s="84" t="s">
        <v>11660</v>
      </c>
      <c r="D1027" s="45"/>
      <c r="E1027" s="84" t="s">
        <v>5390</v>
      </c>
      <c r="F1027" s="84" t="s">
        <v>4436</v>
      </c>
      <c r="G1027" s="85" t="s">
        <v>96</v>
      </c>
      <c r="H1027" s="87">
        <v>1.468E-4</v>
      </c>
      <c r="I1027" s="45"/>
      <c r="J1027" s="45"/>
      <c r="K1027" s="45"/>
      <c r="L1027" s="45"/>
      <c r="M1027" s="45"/>
      <c r="N1027" s="45"/>
      <c r="O1027" s="45"/>
      <c r="P1027" s="45"/>
      <c r="Q1027" s="45"/>
      <c r="R1027" s="45"/>
      <c r="S1027" s="45"/>
      <c r="T1027" s="45"/>
      <c r="U1027" s="45"/>
    </row>
    <row r="1028">
      <c r="A1028" s="84" t="s">
        <v>11661</v>
      </c>
      <c r="B1028" s="45"/>
      <c r="C1028" s="84" t="s">
        <v>11662</v>
      </c>
      <c r="D1028" s="45"/>
      <c r="E1028" s="84" t="s">
        <v>5215</v>
      </c>
      <c r="F1028" s="84" t="s">
        <v>5300</v>
      </c>
      <c r="G1028" s="85" t="s">
        <v>96</v>
      </c>
      <c r="H1028" s="87">
        <v>1.467E-4</v>
      </c>
      <c r="I1028" s="45"/>
      <c r="J1028" s="45"/>
      <c r="K1028" s="45"/>
      <c r="L1028" s="45"/>
      <c r="M1028" s="45"/>
      <c r="N1028" s="45"/>
      <c r="O1028" s="45"/>
      <c r="P1028" s="45"/>
      <c r="Q1028" s="45"/>
      <c r="R1028" s="45"/>
      <c r="S1028" s="45"/>
      <c r="T1028" s="45"/>
      <c r="U1028" s="45"/>
    </row>
    <row r="1029">
      <c r="A1029" s="84" t="s">
        <v>4659</v>
      </c>
      <c r="B1029" s="45"/>
      <c r="C1029" s="84" t="s">
        <v>9804</v>
      </c>
      <c r="D1029" s="45"/>
      <c r="E1029" s="84" t="s">
        <v>5218</v>
      </c>
      <c r="F1029" s="84" t="s">
        <v>5300</v>
      </c>
      <c r="G1029" s="85" t="s">
        <v>96</v>
      </c>
      <c r="H1029" s="87">
        <v>1.467E-4</v>
      </c>
      <c r="I1029" s="45"/>
      <c r="J1029" s="45"/>
      <c r="K1029" s="45"/>
      <c r="L1029" s="45"/>
      <c r="M1029" s="45"/>
      <c r="N1029" s="45"/>
      <c r="O1029" s="45"/>
      <c r="P1029" s="45"/>
      <c r="Q1029" s="45"/>
      <c r="R1029" s="45"/>
      <c r="S1029" s="45"/>
      <c r="T1029" s="45"/>
      <c r="U1029" s="45"/>
    </row>
    <row r="1030">
      <c r="A1030" s="84" t="s">
        <v>10080</v>
      </c>
      <c r="B1030" s="45"/>
      <c r="C1030" s="84" t="s">
        <v>10081</v>
      </c>
      <c r="D1030" s="45"/>
      <c r="E1030" s="84" t="s">
        <v>5348</v>
      </c>
      <c r="F1030" s="84" t="s">
        <v>5300</v>
      </c>
      <c r="G1030" s="85" t="s">
        <v>96</v>
      </c>
      <c r="H1030" s="87">
        <v>1.466E-4</v>
      </c>
      <c r="I1030" s="45"/>
      <c r="J1030" s="45"/>
      <c r="K1030" s="45"/>
      <c r="L1030" s="45"/>
      <c r="M1030" s="45"/>
      <c r="N1030" s="45"/>
      <c r="O1030" s="45"/>
      <c r="P1030" s="45"/>
      <c r="Q1030" s="45"/>
      <c r="R1030" s="45"/>
      <c r="S1030" s="45"/>
      <c r="T1030" s="45"/>
      <c r="U1030" s="45"/>
    </row>
    <row r="1031">
      <c r="A1031" s="84" t="s">
        <v>4641</v>
      </c>
      <c r="B1031" s="45"/>
      <c r="C1031" s="84" t="s">
        <v>9881</v>
      </c>
      <c r="D1031" s="45"/>
      <c r="E1031" s="84" t="s">
        <v>5264</v>
      </c>
      <c r="F1031" s="84" t="s">
        <v>5300</v>
      </c>
      <c r="G1031" s="85" t="s">
        <v>96</v>
      </c>
      <c r="H1031" s="87">
        <v>1.466E-4</v>
      </c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45"/>
      <c r="T1031" s="45"/>
      <c r="U1031" s="45"/>
    </row>
    <row r="1032">
      <c r="A1032" s="84" t="s">
        <v>9800</v>
      </c>
      <c r="B1032" s="45"/>
      <c r="C1032" s="84" t="s">
        <v>9801</v>
      </c>
      <c r="D1032" s="45"/>
      <c r="E1032" s="84" t="s">
        <v>5264</v>
      </c>
      <c r="F1032" s="84" t="s">
        <v>8759</v>
      </c>
      <c r="G1032" s="85" t="s">
        <v>96</v>
      </c>
      <c r="H1032" s="87">
        <v>1.464E-4</v>
      </c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45"/>
      <c r="T1032" s="45"/>
      <c r="U1032" s="45"/>
    </row>
    <row r="1033">
      <c r="A1033" s="84" t="s">
        <v>11663</v>
      </c>
      <c r="B1033" s="45"/>
      <c r="C1033" s="84" t="s">
        <v>11664</v>
      </c>
      <c r="D1033" s="45"/>
      <c r="E1033" s="84" t="s">
        <v>6191</v>
      </c>
      <c r="F1033" s="84" t="s">
        <v>8784</v>
      </c>
      <c r="G1033" s="85" t="s">
        <v>96</v>
      </c>
      <c r="H1033" s="87">
        <v>1.46E-4</v>
      </c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45"/>
      <c r="T1033" s="45"/>
      <c r="U1033" s="45"/>
    </row>
    <row r="1034">
      <c r="A1034" s="84" t="s">
        <v>4672</v>
      </c>
      <c r="B1034" s="45"/>
      <c r="C1034" s="84" t="s">
        <v>9880</v>
      </c>
      <c r="D1034" s="45"/>
      <c r="E1034" s="84" t="s">
        <v>5335</v>
      </c>
      <c r="F1034" s="84" t="s">
        <v>5300</v>
      </c>
      <c r="G1034" s="85" t="s">
        <v>96</v>
      </c>
      <c r="H1034" s="87">
        <v>1.458E-4</v>
      </c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45"/>
      <c r="T1034" s="45"/>
      <c r="U1034" s="45"/>
    </row>
    <row r="1035">
      <c r="A1035" s="84" t="s">
        <v>9859</v>
      </c>
      <c r="B1035" s="45"/>
      <c r="C1035" s="84" t="s">
        <v>9860</v>
      </c>
      <c r="D1035" s="45"/>
      <c r="E1035" s="84" t="s">
        <v>6630</v>
      </c>
      <c r="F1035" s="84" t="s">
        <v>5425</v>
      </c>
      <c r="G1035" s="85" t="s">
        <v>96</v>
      </c>
      <c r="H1035" s="87">
        <v>1.448E-4</v>
      </c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45"/>
      <c r="T1035" s="45"/>
      <c r="U1035" s="45"/>
    </row>
    <row r="1036">
      <c r="A1036" s="84" t="s">
        <v>9870</v>
      </c>
      <c r="B1036" s="45"/>
      <c r="C1036" s="84" t="s">
        <v>9871</v>
      </c>
      <c r="D1036" s="45"/>
      <c r="E1036" s="84" t="s">
        <v>5218</v>
      </c>
      <c r="F1036" s="84" t="s">
        <v>5268</v>
      </c>
      <c r="G1036" s="85" t="s">
        <v>96</v>
      </c>
      <c r="H1036" s="87">
        <v>1.447E-4</v>
      </c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45"/>
      <c r="T1036" s="45"/>
      <c r="U1036" s="45"/>
    </row>
    <row r="1037">
      <c r="A1037" s="84" t="s">
        <v>9748</v>
      </c>
      <c r="B1037" s="45"/>
      <c r="C1037" s="84" t="s">
        <v>9749</v>
      </c>
      <c r="D1037" s="45"/>
      <c r="E1037" s="84" t="s">
        <v>5296</v>
      </c>
      <c r="F1037" s="84" t="s">
        <v>9414</v>
      </c>
      <c r="G1037" s="85" t="s">
        <v>96</v>
      </c>
      <c r="H1037" s="87">
        <v>1.446E-4</v>
      </c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45"/>
      <c r="T1037" s="45"/>
      <c r="U1037" s="45"/>
    </row>
    <row r="1038">
      <c r="A1038" s="84" t="s">
        <v>9900</v>
      </c>
      <c r="B1038" s="45"/>
      <c r="C1038" s="84" t="s">
        <v>9901</v>
      </c>
      <c r="D1038" s="45"/>
      <c r="E1038" s="84" t="s">
        <v>5291</v>
      </c>
      <c r="F1038" s="84" t="s">
        <v>5941</v>
      </c>
      <c r="G1038" s="85" t="s">
        <v>96</v>
      </c>
      <c r="H1038" s="87">
        <v>1.44E-4</v>
      </c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45"/>
      <c r="T1038" s="45"/>
      <c r="U1038" s="45"/>
    </row>
    <row r="1039">
      <c r="A1039" s="84" t="s">
        <v>9827</v>
      </c>
      <c r="B1039" s="45"/>
      <c r="C1039" s="84" t="s">
        <v>9828</v>
      </c>
      <c r="D1039" s="45"/>
      <c r="E1039" s="84" t="s">
        <v>5288</v>
      </c>
      <c r="F1039" s="84" t="s">
        <v>5941</v>
      </c>
      <c r="G1039" s="85" t="s">
        <v>96</v>
      </c>
      <c r="H1039" s="87">
        <v>1.432E-4</v>
      </c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45"/>
      <c r="T1039" s="45"/>
      <c r="U1039" s="45"/>
    </row>
    <row r="1040">
      <c r="A1040" s="84" t="s">
        <v>9833</v>
      </c>
      <c r="B1040" s="45"/>
      <c r="C1040" s="84" t="s">
        <v>9834</v>
      </c>
      <c r="D1040" s="45"/>
      <c r="E1040" s="84" t="s">
        <v>5211</v>
      </c>
      <c r="F1040" s="84" t="s">
        <v>9021</v>
      </c>
      <c r="G1040" s="85" t="s">
        <v>96</v>
      </c>
      <c r="H1040" s="87">
        <v>1.425E-4</v>
      </c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45"/>
      <c r="T1040" s="45"/>
      <c r="U1040" s="45"/>
    </row>
    <row r="1041">
      <c r="A1041" s="84" t="s">
        <v>6880</v>
      </c>
      <c r="B1041" s="45"/>
      <c r="C1041" s="84" t="s">
        <v>11665</v>
      </c>
      <c r="D1041" s="45"/>
      <c r="E1041" s="84" t="s">
        <v>5434</v>
      </c>
      <c r="F1041" s="84" t="s">
        <v>8784</v>
      </c>
      <c r="G1041" s="85" t="s">
        <v>96</v>
      </c>
      <c r="H1041" s="87">
        <v>1.424E-4</v>
      </c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45"/>
      <c r="T1041" s="45"/>
      <c r="U1041" s="45"/>
    </row>
    <row r="1042">
      <c r="A1042" s="84" t="s">
        <v>11666</v>
      </c>
      <c r="B1042" s="45"/>
      <c r="C1042" s="84" t="s">
        <v>11667</v>
      </c>
      <c r="D1042" s="45"/>
      <c r="E1042" s="84" t="s">
        <v>6389</v>
      </c>
      <c r="F1042" s="84" t="s">
        <v>6210</v>
      </c>
      <c r="G1042" s="85" t="s">
        <v>96</v>
      </c>
      <c r="H1042" s="87">
        <v>1.419E-4</v>
      </c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45"/>
      <c r="T1042" s="45"/>
      <c r="U1042" s="45"/>
    </row>
    <row r="1043">
      <c r="A1043" s="84" t="s">
        <v>11668</v>
      </c>
      <c r="B1043" s="45"/>
      <c r="C1043" s="84" t="s">
        <v>11669</v>
      </c>
      <c r="D1043" s="45"/>
      <c r="E1043" s="84" t="s">
        <v>5246</v>
      </c>
      <c r="F1043" s="84" t="s">
        <v>8784</v>
      </c>
      <c r="G1043" s="85" t="s">
        <v>96</v>
      </c>
      <c r="H1043" s="87">
        <v>1.417E-4</v>
      </c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45"/>
      <c r="T1043" s="45"/>
      <c r="U1043" s="45"/>
    </row>
    <row r="1044">
      <c r="A1044" s="84" t="s">
        <v>9957</v>
      </c>
      <c r="B1044" s="45"/>
      <c r="C1044" s="84" t="s">
        <v>9958</v>
      </c>
      <c r="D1044" s="45"/>
      <c r="E1044" s="84" t="s">
        <v>9959</v>
      </c>
      <c r="F1044" s="84" t="s">
        <v>9021</v>
      </c>
      <c r="G1044" s="85" t="s">
        <v>96</v>
      </c>
      <c r="H1044" s="87">
        <v>1.415E-4</v>
      </c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45"/>
      <c r="T1044" s="45"/>
      <c r="U1044" s="45"/>
    </row>
    <row r="1045">
      <c r="A1045" s="84" t="s">
        <v>11670</v>
      </c>
      <c r="B1045" s="45"/>
      <c r="C1045" s="84" t="s">
        <v>11671</v>
      </c>
      <c r="D1045" s="45"/>
      <c r="E1045" s="84" t="s">
        <v>6389</v>
      </c>
      <c r="F1045" s="84" t="s">
        <v>5425</v>
      </c>
      <c r="G1045" s="85" t="s">
        <v>96</v>
      </c>
      <c r="H1045" s="87">
        <v>1.413E-4</v>
      </c>
      <c r="I1045" s="45"/>
      <c r="J1045" s="45"/>
      <c r="K1045" s="45"/>
      <c r="L1045" s="45"/>
      <c r="M1045" s="45"/>
      <c r="N1045" s="45"/>
      <c r="O1045" s="45"/>
      <c r="P1045" s="45"/>
      <c r="Q1045" s="45"/>
      <c r="R1045" s="45"/>
      <c r="S1045" s="45"/>
      <c r="T1045" s="45"/>
      <c r="U1045" s="45"/>
    </row>
    <row r="1046">
      <c r="A1046" s="84" t="s">
        <v>9853</v>
      </c>
      <c r="B1046" s="45"/>
      <c r="C1046" s="84" t="s">
        <v>9854</v>
      </c>
      <c r="D1046" s="45"/>
      <c r="E1046" s="84" t="s">
        <v>7236</v>
      </c>
      <c r="F1046" s="84" t="s">
        <v>8784</v>
      </c>
      <c r="G1046" s="85" t="s">
        <v>96</v>
      </c>
      <c r="H1046" s="87">
        <v>1.408E-4</v>
      </c>
      <c r="I1046" s="45"/>
      <c r="J1046" s="45"/>
      <c r="K1046" s="45"/>
      <c r="L1046" s="45"/>
      <c r="M1046" s="45"/>
      <c r="N1046" s="45"/>
      <c r="O1046" s="45"/>
      <c r="P1046" s="45"/>
      <c r="Q1046" s="45"/>
      <c r="R1046" s="45"/>
      <c r="S1046" s="45"/>
      <c r="T1046" s="45"/>
      <c r="U1046" s="45"/>
    </row>
    <row r="1047">
      <c r="A1047" s="84" t="s">
        <v>9909</v>
      </c>
      <c r="B1047" s="45"/>
      <c r="C1047" s="84" t="s">
        <v>9910</v>
      </c>
      <c r="D1047" s="45"/>
      <c r="E1047" s="84" t="s">
        <v>5478</v>
      </c>
      <c r="F1047" s="84" t="s">
        <v>8767</v>
      </c>
      <c r="G1047" s="85" t="s">
        <v>96</v>
      </c>
      <c r="H1047" s="87">
        <v>1.404E-4</v>
      </c>
      <c r="I1047" s="45"/>
      <c r="J1047" s="45"/>
      <c r="K1047" s="45"/>
      <c r="L1047" s="45"/>
      <c r="M1047" s="45"/>
      <c r="N1047" s="45"/>
      <c r="O1047" s="45"/>
      <c r="P1047" s="45"/>
      <c r="Q1047" s="45"/>
      <c r="R1047" s="45"/>
      <c r="S1047" s="45"/>
      <c r="T1047" s="45"/>
      <c r="U1047" s="45"/>
    </row>
    <row r="1048">
      <c r="A1048" s="84" t="s">
        <v>4684</v>
      </c>
      <c r="B1048" s="45"/>
      <c r="C1048" s="84" t="s">
        <v>9890</v>
      </c>
      <c r="D1048" s="45"/>
      <c r="E1048" s="84" t="s">
        <v>6427</v>
      </c>
      <c r="F1048" s="84" t="s">
        <v>5300</v>
      </c>
      <c r="G1048" s="85" t="s">
        <v>96</v>
      </c>
      <c r="H1048" s="87">
        <v>1.403E-4</v>
      </c>
      <c r="I1048" s="45"/>
      <c r="J1048" s="45"/>
      <c r="K1048" s="45"/>
      <c r="L1048" s="45"/>
      <c r="M1048" s="45"/>
      <c r="N1048" s="45"/>
      <c r="O1048" s="45"/>
      <c r="P1048" s="45"/>
      <c r="Q1048" s="45"/>
      <c r="R1048" s="45"/>
      <c r="S1048" s="45"/>
      <c r="T1048" s="45"/>
      <c r="U1048" s="45"/>
    </row>
    <row r="1049">
      <c r="A1049" s="84" t="s">
        <v>9906</v>
      </c>
      <c r="B1049" s="45"/>
      <c r="C1049" s="84" t="s">
        <v>9907</v>
      </c>
      <c r="D1049" s="45"/>
      <c r="E1049" s="84" t="s">
        <v>5238</v>
      </c>
      <c r="F1049" s="84" t="s">
        <v>9908</v>
      </c>
      <c r="G1049" s="85" t="s">
        <v>96</v>
      </c>
      <c r="H1049" s="87">
        <v>1.403E-4</v>
      </c>
      <c r="I1049" s="45"/>
      <c r="J1049" s="45"/>
      <c r="K1049" s="45"/>
      <c r="L1049" s="45"/>
      <c r="M1049" s="45"/>
      <c r="N1049" s="45"/>
      <c r="O1049" s="45"/>
      <c r="P1049" s="45"/>
      <c r="Q1049" s="45"/>
      <c r="R1049" s="45"/>
      <c r="S1049" s="45"/>
      <c r="T1049" s="45"/>
      <c r="U1049" s="45"/>
    </row>
    <row r="1050">
      <c r="A1050" s="84" t="s">
        <v>4698</v>
      </c>
      <c r="B1050" s="45"/>
      <c r="C1050" s="84" t="s">
        <v>9766</v>
      </c>
      <c r="D1050" s="45"/>
      <c r="E1050" s="84" t="s">
        <v>5459</v>
      </c>
      <c r="F1050" s="84" t="s">
        <v>5300</v>
      </c>
      <c r="G1050" s="85" t="s">
        <v>96</v>
      </c>
      <c r="H1050" s="87">
        <v>1.402E-4</v>
      </c>
      <c r="I1050" s="45"/>
      <c r="J1050" s="45"/>
      <c r="K1050" s="45"/>
      <c r="L1050" s="45"/>
      <c r="M1050" s="45"/>
      <c r="N1050" s="45"/>
      <c r="O1050" s="45"/>
      <c r="P1050" s="45"/>
      <c r="Q1050" s="45"/>
      <c r="R1050" s="45"/>
      <c r="S1050" s="45"/>
      <c r="T1050" s="45"/>
      <c r="U1050" s="45"/>
    </row>
    <row r="1051">
      <c r="A1051" s="84" t="s">
        <v>11672</v>
      </c>
      <c r="B1051" s="45"/>
      <c r="C1051" s="84" t="s">
        <v>11673</v>
      </c>
      <c r="D1051" s="45"/>
      <c r="E1051" s="84" t="s">
        <v>6947</v>
      </c>
      <c r="F1051" s="84" t="s">
        <v>5300</v>
      </c>
      <c r="G1051" s="85" t="s">
        <v>96</v>
      </c>
      <c r="H1051" s="87">
        <v>1.4E-4</v>
      </c>
      <c r="I1051" s="45"/>
      <c r="J1051" s="45"/>
      <c r="K1051" s="45"/>
      <c r="L1051" s="45"/>
      <c r="M1051" s="45"/>
      <c r="N1051" s="45"/>
      <c r="O1051" s="45"/>
      <c r="P1051" s="45"/>
      <c r="Q1051" s="45"/>
      <c r="R1051" s="45"/>
      <c r="S1051" s="45"/>
      <c r="T1051" s="45"/>
      <c r="U1051" s="45"/>
    </row>
    <row r="1052">
      <c r="A1052" s="84" t="s">
        <v>9829</v>
      </c>
      <c r="B1052" s="45"/>
      <c r="C1052" s="84" t="s">
        <v>9830</v>
      </c>
      <c r="D1052" s="45"/>
      <c r="E1052" s="84" t="s">
        <v>5964</v>
      </c>
      <c r="F1052" s="84" t="s">
        <v>8784</v>
      </c>
      <c r="G1052" s="85" t="s">
        <v>96</v>
      </c>
      <c r="H1052" s="87">
        <v>1.397E-4</v>
      </c>
      <c r="I1052" s="45"/>
      <c r="J1052" s="45"/>
      <c r="K1052" s="45"/>
      <c r="L1052" s="45"/>
      <c r="M1052" s="45"/>
      <c r="N1052" s="45"/>
      <c r="O1052" s="45"/>
      <c r="P1052" s="45"/>
      <c r="Q1052" s="45"/>
      <c r="R1052" s="45"/>
      <c r="S1052" s="45"/>
      <c r="T1052" s="45"/>
      <c r="U1052" s="45"/>
    </row>
    <row r="1053">
      <c r="A1053" s="84" t="s">
        <v>11674</v>
      </c>
      <c r="B1053" s="45"/>
      <c r="C1053" s="84" t="s">
        <v>11675</v>
      </c>
      <c r="D1053" s="45"/>
      <c r="E1053" s="84" t="s">
        <v>5395</v>
      </c>
      <c r="F1053" s="84" t="s">
        <v>5747</v>
      </c>
      <c r="G1053" s="85" t="s">
        <v>96</v>
      </c>
      <c r="H1053" s="87">
        <v>1.39E-4</v>
      </c>
      <c r="I1053" s="45"/>
      <c r="J1053" s="45"/>
      <c r="K1053" s="45"/>
      <c r="L1053" s="45"/>
      <c r="M1053" s="45"/>
      <c r="N1053" s="45"/>
      <c r="O1053" s="45"/>
      <c r="P1053" s="45"/>
      <c r="Q1053" s="45"/>
      <c r="R1053" s="45"/>
      <c r="S1053" s="45"/>
      <c r="T1053" s="45"/>
      <c r="U1053" s="45"/>
    </row>
    <row r="1054">
      <c r="A1054" s="84" t="s">
        <v>9788</v>
      </c>
      <c r="B1054" s="45"/>
      <c r="C1054" s="84" t="s">
        <v>9789</v>
      </c>
      <c r="D1054" s="45"/>
      <c r="E1054" s="84" t="s">
        <v>5759</v>
      </c>
      <c r="F1054" s="84" t="s">
        <v>4095</v>
      </c>
      <c r="G1054" s="85" t="s">
        <v>96</v>
      </c>
      <c r="H1054" s="87">
        <v>1.39E-4</v>
      </c>
      <c r="I1054" s="45"/>
      <c r="J1054" s="45"/>
      <c r="K1054" s="45"/>
      <c r="L1054" s="45"/>
      <c r="M1054" s="45"/>
      <c r="N1054" s="45"/>
      <c r="O1054" s="45"/>
      <c r="P1054" s="45"/>
      <c r="Q1054" s="45"/>
      <c r="R1054" s="45"/>
      <c r="S1054" s="45"/>
      <c r="T1054" s="45"/>
      <c r="U1054" s="45"/>
    </row>
    <row r="1055">
      <c r="A1055" s="84" t="s">
        <v>11676</v>
      </c>
      <c r="B1055" s="45"/>
      <c r="C1055" s="84" t="s">
        <v>11677</v>
      </c>
      <c r="D1055" s="45"/>
      <c r="E1055" s="84" t="s">
        <v>6514</v>
      </c>
      <c r="F1055" s="84" t="s">
        <v>4095</v>
      </c>
      <c r="G1055" s="85" t="s">
        <v>96</v>
      </c>
      <c r="H1055" s="87">
        <v>1.39E-4</v>
      </c>
      <c r="I1055" s="45"/>
      <c r="J1055" s="45"/>
      <c r="K1055" s="45"/>
      <c r="L1055" s="45"/>
      <c r="M1055" s="45"/>
      <c r="N1055" s="45"/>
      <c r="O1055" s="45"/>
      <c r="P1055" s="45"/>
      <c r="Q1055" s="45"/>
      <c r="R1055" s="45"/>
      <c r="S1055" s="45"/>
      <c r="T1055" s="45"/>
      <c r="U1055" s="45"/>
    </row>
    <row r="1056">
      <c r="A1056" s="84" t="s">
        <v>6260</v>
      </c>
      <c r="B1056" s="45"/>
      <c r="C1056" s="84" t="s">
        <v>10286</v>
      </c>
      <c r="D1056" s="45"/>
      <c r="E1056" s="84" t="s">
        <v>5235</v>
      </c>
      <c r="F1056" s="84" t="s">
        <v>5836</v>
      </c>
      <c r="G1056" s="85" t="s">
        <v>96</v>
      </c>
      <c r="H1056" s="87">
        <v>1.384E-4</v>
      </c>
      <c r="I1056" s="45"/>
      <c r="J1056" s="45"/>
      <c r="K1056" s="45"/>
      <c r="L1056" s="45"/>
      <c r="M1056" s="45"/>
      <c r="N1056" s="45"/>
      <c r="O1056" s="45"/>
      <c r="P1056" s="45"/>
      <c r="Q1056" s="45"/>
      <c r="R1056" s="45"/>
      <c r="S1056" s="45"/>
      <c r="T1056" s="45"/>
      <c r="U1056" s="45"/>
    </row>
    <row r="1057">
      <c r="A1057" s="84" t="s">
        <v>11678</v>
      </c>
      <c r="B1057" s="45"/>
      <c r="C1057" s="84" t="s">
        <v>11679</v>
      </c>
      <c r="D1057" s="45"/>
      <c r="E1057" s="84" t="s">
        <v>5357</v>
      </c>
      <c r="F1057" s="84" t="s">
        <v>5300</v>
      </c>
      <c r="G1057" s="85" t="s">
        <v>96</v>
      </c>
      <c r="H1057" s="87">
        <v>1.382E-4</v>
      </c>
      <c r="I1057" s="45"/>
      <c r="J1057" s="45"/>
      <c r="K1057" s="45"/>
      <c r="L1057" s="45"/>
      <c r="M1057" s="45"/>
      <c r="N1057" s="45"/>
      <c r="O1057" s="45"/>
      <c r="P1057" s="45"/>
      <c r="Q1057" s="45"/>
      <c r="R1057" s="45"/>
      <c r="S1057" s="45"/>
      <c r="T1057" s="45"/>
      <c r="U1057" s="45"/>
    </row>
    <row r="1058">
      <c r="A1058" s="84" t="s">
        <v>11680</v>
      </c>
      <c r="B1058" s="45"/>
      <c r="C1058" s="84" t="s">
        <v>11681</v>
      </c>
      <c r="D1058" s="45"/>
      <c r="E1058" s="84" t="s">
        <v>5390</v>
      </c>
      <c r="F1058" s="84" t="s">
        <v>5747</v>
      </c>
      <c r="G1058" s="85" t="s">
        <v>96</v>
      </c>
      <c r="H1058" s="87">
        <v>1.378E-4</v>
      </c>
      <c r="I1058" s="45"/>
      <c r="J1058" s="45"/>
      <c r="K1058" s="45"/>
      <c r="L1058" s="45"/>
      <c r="M1058" s="45"/>
      <c r="N1058" s="45"/>
      <c r="O1058" s="45"/>
      <c r="P1058" s="45"/>
      <c r="Q1058" s="45"/>
      <c r="R1058" s="45"/>
      <c r="S1058" s="45"/>
      <c r="T1058" s="45"/>
      <c r="U1058" s="45"/>
    </row>
    <row r="1059">
      <c r="A1059" s="84" t="s">
        <v>7191</v>
      </c>
      <c r="B1059" s="45"/>
      <c r="C1059" s="84" t="s">
        <v>9924</v>
      </c>
      <c r="D1059" s="45"/>
      <c r="E1059" s="84" t="s">
        <v>7169</v>
      </c>
      <c r="F1059" s="84" t="s">
        <v>8784</v>
      </c>
      <c r="G1059" s="85" t="s">
        <v>96</v>
      </c>
      <c r="H1059" s="87">
        <v>1.376E-4</v>
      </c>
      <c r="I1059" s="45"/>
      <c r="J1059" s="45"/>
      <c r="K1059" s="45"/>
      <c r="L1059" s="45"/>
      <c r="M1059" s="45"/>
      <c r="N1059" s="45"/>
      <c r="O1059" s="45"/>
      <c r="P1059" s="45"/>
      <c r="Q1059" s="45"/>
      <c r="R1059" s="45"/>
      <c r="S1059" s="45"/>
      <c r="T1059" s="45"/>
      <c r="U1059" s="45"/>
    </row>
    <row r="1060">
      <c r="A1060" s="84" t="s">
        <v>4676</v>
      </c>
      <c r="B1060" s="45"/>
      <c r="C1060" s="84" t="s">
        <v>5669</v>
      </c>
      <c r="D1060" s="45"/>
      <c r="E1060" s="84" t="s">
        <v>5670</v>
      </c>
      <c r="F1060" s="84" t="s">
        <v>5300</v>
      </c>
      <c r="G1060" s="85" t="s">
        <v>96</v>
      </c>
      <c r="H1060" s="87">
        <v>1.374E-4</v>
      </c>
      <c r="I1060" s="45"/>
      <c r="J1060" s="45"/>
      <c r="K1060" s="45"/>
      <c r="L1060" s="45"/>
      <c r="M1060" s="45"/>
      <c r="N1060" s="45"/>
      <c r="O1060" s="45"/>
      <c r="P1060" s="45"/>
      <c r="Q1060" s="45"/>
      <c r="R1060" s="45"/>
      <c r="S1060" s="45"/>
      <c r="T1060" s="45"/>
      <c r="U1060" s="45"/>
    </row>
    <row r="1061">
      <c r="A1061" s="84" t="s">
        <v>9896</v>
      </c>
      <c r="B1061" s="45"/>
      <c r="C1061" s="84" t="s">
        <v>9897</v>
      </c>
      <c r="D1061" s="45"/>
      <c r="E1061" s="84" t="s">
        <v>5516</v>
      </c>
      <c r="F1061" s="84" t="s">
        <v>4095</v>
      </c>
      <c r="G1061" s="85" t="s">
        <v>96</v>
      </c>
      <c r="H1061" s="87">
        <v>1.369E-4</v>
      </c>
      <c r="I1061" s="45"/>
      <c r="J1061" s="45"/>
      <c r="K1061" s="45"/>
      <c r="L1061" s="45"/>
      <c r="M1061" s="45"/>
      <c r="N1061" s="45"/>
      <c r="O1061" s="45"/>
      <c r="P1061" s="45"/>
      <c r="Q1061" s="45"/>
      <c r="R1061" s="45"/>
      <c r="S1061" s="45"/>
      <c r="T1061" s="45"/>
      <c r="U1061" s="45"/>
    </row>
    <row r="1062">
      <c r="A1062" s="84" t="s">
        <v>9878</v>
      </c>
      <c r="B1062" s="45"/>
      <c r="C1062" s="84" t="s">
        <v>9879</v>
      </c>
      <c r="D1062" s="45"/>
      <c r="E1062" s="84" t="s">
        <v>5964</v>
      </c>
      <c r="F1062" s="84" t="s">
        <v>8784</v>
      </c>
      <c r="G1062" s="85" t="s">
        <v>96</v>
      </c>
      <c r="H1062" s="87">
        <v>1.367E-4</v>
      </c>
      <c r="I1062" s="45"/>
      <c r="J1062" s="45"/>
      <c r="K1062" s="45"/>
      <c r="L1062" s="45"/>
      <c r="M1062" s="45"/>
      <c r="N1062" s="45"/>
      <c r="O1062" s="45"/>
      <c r="P1062" s="45"/>
      <c r="Q1062" s="45"/>
      <c r="R1062" s="45"/>
      <c r="S1062" s="45"/>
      <c r="T1062" s="45"/>
      <c r="U1062" s="45"/>
    </row>
    <row r="1063">
      <c r="A1063" s="84" t="s">
        <v>9898</v>
      </c>
      <c r="B1063" s="45"/>
      <c r="C1063" s="84" t="s">
        <v>9899</v>
      </c>
      <c r="D1063" s="45"/>
      <c r="E1063" s="84" t="s">
        <v>5369</v>
      </c>
      <c r="F1063" s="84" t="s">
        <v>8784</v>
      </c>
      <c r="G1063" s="85" t="s">
        <v>96</v>
      </c>
      <c r="H1063" s="87">
        <v>1.365E-4</v>
      </c>
      <c r="I1063" s="45"/>
      <c r="J1063" s="45"/>
      <c r="K1063" s="45"/>
      <c r="L1063" s="45"/>
      <c r="M1063" s="45"/>
      <c r="N1063" s="45"/>
      <c r="O1063" s="45"/>
      <c r="P1063" s="45"/>
      <c r="Q1063" s="45"/>
      <c r="R1063" s="45"/>
      <c r="S1063" s="45"/>
      <c r="T1063" s="45"/>
      <c r="U1063" s="45"/>
    </row>
    <row r="1064">
      <c r="A1064" s="84" t="s">
        <v>10028</v>
      </c>
      <c r="B1064" s="45"/>
      <c r="C1064" s="84" t="s">
        <v>10029</v>
      </c>
      <c r="D1064" s="45"/>
      <c r="E1064" s="84" t="s">
        <v>5341</v>
      </c>
      <c r="F1064" s="84" t="s">
        <v>5941</v>
      </c>
      <c r="G1064" s="85" t="s">
        <v>96</v>
      </c>
      <c r="H1064" s="87">
        <v>1.354E-4</v>
      </c>
      <c r="I1064" s="45"/>
      <c r="J1064" s="45"/>
      <c r="K1064" s="45"/>
      <c r="L1064" s="45"/>
      <c r="M1064" s="45"/>
      <c r="N1064" s="45"/>
      <c r="O1064" s="45"/>
      <c r="P1064" s="45"/>
      <c r="Q1064" s="45"/>
      <c r="R1064" s="45"/>
      <c r="S1064" s="45"/>
      <c r="T1064" s="45"/>
      <c r="U1064" s="45"/>
    </row>
    <row r="1065">
      <c r="A1065" s="84" t="s">
        <v>4258</v>
      </c>
      <c r="B1065" s="45"/>
      <c r="C1065" s="84" t="s">
        <v>9983</v>
      </c>
      <c r="D1065" s="45"/>
      <c r="E1065" s="84" t="s">
        <v>5235</v>
      </c>
      <c r="F1065" s="84" t="s">
        <v>9299</v>
      </c>
      <c r="G1065" s="85" t="s">
        <v>96</v>
      </c>
      <c r="H1065" s="87">
        <v>1.352E-4</v>
      </c>
      <c r="I1065" s="45"/>
      <c r="J1065" s="45"/>
      <c r="K1065" s="45"/>
      <c r="L1065" s="45"/>
      <c r="M1065" s="45"/>
      <c r="N1065" s="45"/>
      <c r="O1065" s="45"/>
      <c r="P1065" s="45"/>
      <c r="Q1065" s="45"/>
      <c r="R1065" s="45"/>
      <c r="S1065" s="45"/>
      <c r="T1065" s="45"/>
      <c r="U1065" s="45"/>
    </row>
    <row r="1066">
      <c r="A1066" s="84" t="s">
        <v>9989</v>
      </c>
      <c r="B1066" s="45"/>
      <c r="C1066" s="84" t="s">
        <v>9990</v>
      </c>
      <c r="D1066" s="45"/>
      <c r="E1066" s="84" t="s">
        <v>5326</v>
      </c>
      <c r="F1066" s="84" t="s">
        <v>5425</v>
      </c>
      <c r="G1066" s="85" t="s">
        <v>96</v>
      </c>
      <c r="H1066" s="87">
        <v>1.347E-4</v>
      </c>
      <c r="I1066" s="45"/>
      <c r="J1066" s="45"/>
      <c r="K1066" s="45"/>
      <c r="L1066" s="45"/>
      <c r="M1066" s="45"/>
      <c r="N1066" s="45"/>
      <c r="O1066" s="45"/>
      <c r="P1066" s="45"/>
      <c r="Q1066" s="45"/>
      <c r="R1066" s="45"/>
      <c r="S1066" s="45"/>
      <c r="T1066" s="45"/>
      <c r="U1066" s="45"/>
    </row>
    <row r="1067">
      <c r="A1067" s="84" t="s">
        <v>9918</v>
      </c>
      <c r="B1067" s="45"/>
      <c r="C1067" s="84" t="s">
        <v>9919</v>
      </c>
      <c r="D1067" s="45"/>
      <c r="E1067" s="84" t="s">
        <v>5366</v>
      </c>
      <c r="F1067" s="84" t="s">
        <v>8784</v>
      </c>
      <c r="G1067" s="85" t="s">
        <v>96</v>
      </c>
      <c r="H1067" s="87">
        <v>1.346E-4</v>
      </c>
      <c r="I1067" s="45"/>
      <c r="J1067" s="45"/>
      <c r="K1067" s="45"/>
      <c r="L1067" s="45"/>
      <c r="M1067" s="45"/>
      <c r="N1067" s="45"/>
      <c r="O1067" s="45"/>
      <c r="P1067" s="45"/>
      <c r="Q1067" s="45"/>
      <c r="R1067" s="45"/>
      <c r="S1067" s="45"/>
      <c r="T1067" s="45"/>
      <c r="U1067" s="45"/>
    </row>
    <row r="1068">
      <c r="A1068" s="84" t="s">
        <v>9914</v>
      </c>
      <c r="B1068" s="45"/>
      <c r="C1068" s="84" t="s">
        <v>9915</v>
      </c>
      <c r="D1068" s="45"/>
      <c r="E1068" s="84" t="s">
        <v>5235</v>
      </c>
      <c r="F1068" s="84" t="s">
        <v>4153</v>
      </c>
      <c r="G1068" s="85" t="s">
        <v>96</v>
      </c>
      <c r="H1068" s="87">
        <v>1.343E-4</v>
      </c>
      <c r="I1068" s="45"/>
      <c r="J1068" s="45"/>
      <c r="K1068" s="45"/>
      <c r="L1068" s="45"/>
      <c r="M1068" s="45"/>
      <c r="N1068" s="45"/>
      <c r="O1068" s="45"/>
      <c r="P1068" s="45"/>
      <c r="Q1068" s="45"/>
      <c r="R1068" s="45"/>
      <c r="S1068" s="45"/>
      <c r="T1068" s="45"/>
      <c r="U1068" s="45"/>
    </row>
    <row r="1069">
      <c r="A1069" s="84" t="s">
        <v>9780</v>
      </c>
      <c r="B1069" s="45"/>
      <c r="C1069" s="84" t="s">
        <v>9781</v>
      </c>
      <c r="D1069" s="45"/>
      <c r="E1069" s="84" t="s">
        <v>6090</v>
      </c>
      <c r="F1069" s="84" t="s">
        <v>8784</v>
      </c>
      <c r="G1069" s="85" t="s">
        <v>96</v>
      </c>
      <c r="H1069" s="87">
        <v>1.339E-4</v>
      </c>
      <c r="I1069" s="45"/>
      <c r="J1069" s="45"/>
      <c r="K1069" s="45"/>
      <c r="L1069" s="45"/>
      <c r="M1069" s="45"/>
      <c r="N1069" s="45"/>
      <c r="O1069" s="45"/>
      <c r="P1069" s="45"/>
      <c r="Q1069" s="45"/>
      <c r="R1069" s="45"/>
      <c r="S1069" s="45"/>
      <c r="T1069" s="45"/>
      <c r="U1069" s="45"/>
    </row>
    <row r="1070">
      <c r="A1070" s="84" t="s">
        <v>11682</v>
      </c>
      <c r="B1070" s="45"/>
      <c r="C1070" s="84" t="s">
        <v>11683</v>
      </c>
      <c r="D1070" s="45"/>
      <c r="E1070" s="84" t="s">
        <v>5232</v>
      </c>
      <c r="F1070" s="84" t="s">
        <v>5836</v>
      </c>
      <c r="G1070" s="85" t="s">
        <v>96</v>
      </c>
      <c r="H1070" s="87">
        <v>1.334E-4</v>
      </c>
      <c r="I1070" s="45"/>
      <c r="J1070" s="45"/>
      <c r="K1070" s="45"/>
      <c r="L1070" s="45"/>
      <c r="M1070" s="45"/>
      <c r="N1070" s="45"/>
      <c r="O1070" s="45"/>
      <c r="P1070" s="45"/>
      <c r="Q1070" s="45"/>
      <c r="R1070" s="45"/>
      <c r="S1070" s="45"/>
      <c r="T1070" s="45"/>
      <c r="U1070" s="45"/>
    </row>
    <row r="1071">
      <c r="A1071" s="84" t="s">
        <v>9743</v>
      </c>
      <c r="B1071" s="45"/>
      <c r="C1071" s="84" t="s">
        <v>9744</v>
      </c>
      <c r="D1071" s="45"/>
      <c r="E1071" s="84" t="s">
        <v>5561</v>
      </c>
      <c r="F1071" s="84" t="s">
        <v>8784</v>
      </c>
      <c r="G1071" s="85" t="s">
        <v>96</v>
      </c>
      <c r="H1071" s="87">
        <v>1.333E-4</v>
      </c>
      <c r="I1071" s="45"/>
      <c r="J1071" s="45"/>
      <c r="K1071" s="45"/>
      <c r="L1071" s="45"/>
      <c r="M1071" s="45"/>
      <c r="N1071" s="45"/>
      <c r="O1071" s="45"/>
      <c r="P1071" s="45"/>
      <c r="Q1071" s="45"/>
      <c r="R1071" s="45"/>
      <c r="S1071" s="45"/>
      <c r="T1071" s="45"/>
      <c r="U1071" s="45"/>
    </row>
    <row r="1072">
      <c r="A1072" s="84" t="s">
        <v>9855</v>
      </c>
      <c r="B1072" s="45"/>
      <c r="C1072" s="84" t="s">
        <v>9856</v>
      </c>
      <c r="D1072" s="45"/>
      <c r="E1072" s="84" t="s">
        <v>5232</v>
      </c>
      <c r="F1072" s="84" t="s">
        <v>8784</v>
      </c>
      <c r="G1072" s="85" t="s">
        <v>96</v>
      </c>
      <c r="H1072" s="87">
        <v>1.33E-4</v>
      </c>
      <c r="I1072" s="45"/>
      <c r="J1072" s="45"/>
      <c r="K1072" s="45"/>
      <c r="L1072" s="45"/>
      <c r="M1072" s="45"/>
      <c r="N1072" s="45"/>
      <c r="O1072" s="45"/>
      <c r="P1072" s="45"/>
      <c r="Q1072" s="45"/>
      <c r="R1072" s="45"/>
      <c r="S1072" s="45"/>
      <c r="T1072" s="45"/>
      <c r="U1072" s="45"/>
    </row>
    <row r="1073">
      <c r="A1073" s="84" t="s">
        <v>4537</v>
      </c>
      <c r="B1073" s="45"/>
      <c r="C1073" s="84" t="s">
        <v>3001</v>
      </c>
      <c r="D1073" s="45"/>
      <c r="E1073" s="84" t="s">
        <v>5450</v>
      </c>
      <c r="F1073" s="84" t="s">
        <v>9021</v>
      </c>
      <c r="G1073" s="85" t="s">
        <v>96</v>
      </c>
      <c r="H1073" s="87">
        <v>1.328E-4</v>
      </c>
      <c r="I1073" s="45"/>
      <c r="J1073" s="45"/>
      <c r="K1073" s="45"/>
      <c r="L1073" s="45"/>
      <c r="M1073" s="45"/>
      <c r="N1073" s="45"/>
      <c r="O1073" s="45"/>
      <c r="P1073" s="45"/>
      <c r="Q1073" s="45"/>
      <c r="R1073" s="45"/>
      <c r="S1073" s="45"/>
      <c r="T1073" s="45"/>
      <c r="U1073" s="45"/>
    </row>
    <row r="1074">
      <c r="A1074" s="84" t="s">
        <v>11684</v>
      </c>
      <c r="B1074" s="45"/>
      <c r="C1074" s="84" t="s">
        <v>11685</v>
      </c>
      <c r="D1074" s="45"/>
      <c r="E1074" s="84" t="s">
        <v>5390</v>
      </c>
      <c r="F1074" s="84" t="s">
        <v>5747</v>
      </c>
      <c r="G1074" s="85" t="s">
        <v>96</v>
      </c>
      <c r="H1074" s="87">
        <v>1.32E-4</v>
      </c>
      <c r="I1074" s="45"/>
      <c r="J1074" s="45"/>
      <c r="K1074" s="45"/>
      <c r="L1074" s="45"/>
      <c r="M1074" s="45"/>
      <c r="N1074" s="45"/>
      <c r="O1074" s="45"/>
      <c r="P1074" s="45"/>
      <c r="Q1074" s="45"/>
      <c r="R1074" s="45"/>
      <c r="S1074" s="45"/>
      <c r="T1074" s="45"/>
      <c r="U1074" s="45"/>
    </row>
    <row r="1075">
      <c r="A1075" s="84" t="s">
        <v>11686</v>
      </c>
      <c r="B1075" s="45"/>
      <c r="C1075" s="84" t="s">
        <v>11687</v>
      </c>
      <c r="D1075" s="45"/>
      <c r="E1075" s="84" t="s">
        <v>6191</v>
      </c>
      <c r="F1075" s="84" t="s">
        <v>6220</v>
      </c>
      <c r="G1075" s="85" t="s">
        <v>96</v>
      </c>
      <c r="H1075" s="87">
        <v>1.315E-4</v>
      </c>
      <c r="I1075" s="45"/>
      <c r="J1075" s="45"/>
      <c r="K1075" s="45"/>
      <c r="L1075" s="45"/>
      <c r="M1075" s="45"/>
      <c r="N1075" s="45"/>
      <c r="O1075" s="45"/>
      <c r="P1075" s="45"/>
      <c r="Q1075" s="45"/>
      <c r="R1075" s="45"/>
      <c r="S1075" s="45"/>
      <c r="T1075" s="45"/>
      <c r="U1075" s="45"/>
    </row>
    <row r="1076">
      <c r="A1076" s="84" t="s">
        <v>9704</v>
      </c>
      <c r="B1076" s="45"/>
      <c r="C1076" s="84" t="s">
        <v>9705</v>
      </c>
      <c r="D1076" s="45"/>
      <c r="E1076" s="84" t="s">
        <v>5296</v>
      </c>
      <c r="F1076" s="84" t="s">
        <v>4357</v>
      </c>
      <c r="G1076" s="85" t="s">
        <v>96</v>
      </c>
      <c r="H1076" s="87">
        <v>1.31E-4</v>
      </c>
      <c r="I1076" s="45"/>
      <c r="J1076" s="45"/>
      <c r="K1076" s="45"/>
      <c r="L1076" s="45"/>
      <c r="M1076" s="45"/>
      <c r="N1076" s="45"/>
      <c r="O1076" s="45"/>
      <c r="P1076" s="45"/>
      <c r="Q1076" s="45"/>
      <c r="R1076" s="45"/>
      <c r="S1076" s="45"/>
      <c r="T1076" s="45"/>
      <c r="U1076" s="45"/>
    </row>
    <row r="1077">
      <c r="A1077" s="84" t="s">
        <v>10104</v>
      </c>
      <c r="B1077" s="45"/>
      <c r="C1077" s="84" t="s">
        <v>10105</v>
      </c>
      <c r="D1077" s="45"/>
      <c r="E1077" s="84" t="s">
        <v>5309</v>
      </c>
      <c r="F1077" s="84" t="s">
        <v>5941</v>
      </c>
      <c r="G1077" s="85" t="s">
        <v>96</v>
      </c>
      <c r="H1077" s="87">
        <v>1.306E-4</v>
      </c>
      <c r="I1077" s="45"/>
      <c r="J1077" s="45"/>
      <c r="K1077" s="45"/>
      <c r="L1077" s="45"/>
      <c r="M1077" s="45"/>
      <c r="N1077" s="45"/>
      <c r="O1077" s="45"/>
      <c r="P1077" s="45"/>
      <c r="Q1077" s="45"/>
      <c r="R1077" s="45"/>
      <c r="S1077" s="45"/>
      <c r="T1077" s="45"/>
      <c r="U1077" s="45"/>
    </row>
    <row r="1078">
      <c r="A1078" s="84" t="s">
        <v>11688</v>
      </c>
      <c r="B1078" s="45"/>
      <c r="C1078" s="84" t="s">
        <v>11689</v>
      </c>
      <c r="D1078" s="45"/>
      <c r="E1078" s="84" t="s">
        <v>5609</v>
      </c>
      <c r="F1078" s="84" t="s">
        <v>5300</v>
      </c>
      <c r="G1078" s="85" t="s">
        <v>96</v>
      </c>
      <c r="H1078" s="87">
        <v>1.306E-4</v>
      </c>
      <c r="I1078" s="45"/>
      <c r="J1078" s="45"/>
      <c r="K1078" s="45"/>
      <c r="L1078" s="45"/>
      <c r="M1078" s="45"/>
      <c r="N1078" s="45"/>
      <c r="O1078" s="45"/>
      <c r="P1078" s="45"/>
      <c r="Q1078" s="45"/>
      <c r="R1078" s="45"/>
      <c r="S1078" s="45"/>
      <c r="T1078" s="45"/>
      <c r="U1078" s="45"/>
    </row>
    <row r="1079">
      <c r="A1079" s="84" t="s">
        <v>10401</v>
      </c>
      <c r="B1079" s="45"/>
      <c r="C1079" s="84" t="s">
        <v>10402</v>
      </c>
      <c r="D1079" s="45"/>
      <c r="E1079" s="84" t="s">
        <v>5450</v>
      </c>
      <c r="F1079" s="84" t="s">
        <v>5300</v>
      </c>
      <c r="G1079" s="85" t="s">
        <v>96</v>
      </c>
      <c r="H1079" s="87">
        <v>1.304E-4</v>
      </c>
      <c r="I1079" s="45"/>
      <c r="J1079" s="45"/>
      <c r="K1079" s="45"/>
      <c r="L1079" s="45"/>
      <c r="M1079" s="45"/>
      <c r="N1079" s="45"/>
      <c r="O1079" s="45"/>
      <c r="P1079" s="45"/>
      <c r="Q1079" s="45"/>
      <c r="R1079" s="45"/>
      <c r="S1079" s="45"/>
      <c r="T1079" s="45"/>
      <c r="U1079" s="45"/>
    </row>
    <row r="1080">
      <c r="A1080" s="84" t="s">
        <v>9891</v>
      </c>
      <c r="B1080" s="45"/>
      <c r="C1080" s="84" t="s">
        <v>9892</v>
      </c>
      <c r="D1080" s="45"/>
      <c r="E1080" s="84" t="s">
        <v>6947</v>
      </c>
      <c r="F1080" s="84" t="s">
        <v>4095</v>
      </c>
      <c r="G1080" s="85" t="s">
        <v>96</v>
      </c>
      <c r="H1080" s="87">
        <v>1.298E-4</v>
      </c>
      <c r="I1080" s="45"/>
      <c r="J1080" s="45"/>
      <c r="K1080" s="45"/>
      <c r="L1080" s="45"/>
      <c r="M1080" s="45"/>
      <c r="N1080" s="45"/>
      <c r="O1080" s="45"/>
      <c r="P1080" s="45"/>
      <c r="Q1080" s="45"/>
      <c r="R1080" s="45"/>
      <c r="S1080" s="45"/>
      <c r="T1080" s="45"/>
      <c r="U1080" s="45"/>
    </row>
    <row r="1081">
      <c r="A1081" s="84" t="s">
        <v>11690</v>
      </c>
      <c r="B1081" s="45"/>
      <c r="C1081" s="84" t="s">
        <v>11691</v>
      </c>
      <c r="D1081" s="45"/>
      <c r="E1081" s="84" t="s">
        <v>7248</v>
      </c>
      <c r="F1081" s="84" t="s">
        <v>6698</v>
      </c>
      <c r="G1081" s="85" t="s">
        <v>96</v>
      </c>
      <c r="H1081" s="87">
        <v>1.293E-4</v>
      </c>
      <c r="I1081" s="45"/>
      <c r="J1081" s="45"/>
      <c r="K1081" s="45"/>
      <c r="L1081" s="45"/>
      <c r="M1081" s="45"/>
      <c r="N1081" s="45"/>
      <c r="O1081" s="45"/>
      <c r="P1081" s="45"/>
      <c r="Q1081" s="45"/>
      <c r="R1081" s="45"/>
      <c r="S1081" s="45"/>
      <c r="T1081" s="45"/>
      <c r="U1081" s="45"/>
    </row>
    <row r="1082">
      <c r="A1082" s="84" t="s">
        <v>9884</v>
      </c>
      <c r="B1082" s="45"/>
      <c r="C1082" s="84" t="s">
        <v>9885</v>
      </c>
      <c r="D1082" s="45"/>
      <c r="E1082" s="84" t="s">
        <v>5326</v>
      </c>
      <c r="F1082" s="84" t="s">
        <v>8784</v>
      </c>
      <c r="G1082" s="85" t="s">
        <v>96</v>
      </c>
      <c r="H1082" s="87">
        <v>1.292E-4</v>
      </c>
      <c r="I1082" s="45"/>
      <c r="J1082" s="45"/>
      <c r="K1082" s="45"/>
      <c r="L1082" s="45"/>
      <c r="M1082" s="45"/>
      <c r="N1082" s="45"/>
      <c r="O1082" s="45"/>
      <c r="P1082" s="45"/>
      <c r="Q1082" s="45"/>
      <c r="R1082" s="45"/>
      <c r="S1082" s="45"/>
      <c r="T1082" s="45"/>
      <c r="U1082" s="45"/>
    </row>
    <row r="1083">
      <c r="A1083" s="84" t="s">
        <v>10020</v>
      </c>
      <c r="B1083" s="45"/>
      <c r="C1083" s="84" t="s">
        <v>10021</v>
      </c>
      <c r="D1083" s="45"/>
      <c r="E1083" s="84" t="s">
        <v>5229</v>
      </c>
      <c r="F1083" s="84" t="s">
        <v>8784</v>
      </c>
      <c r="G1083" s="85" t="s">
        <v>96</v>
      </c>
      <c r="H1083" s="87">
        <v>1.289E-4</v>
      </c>
      <c r="I1083" s="45"/>
      <c r="J1083" s="45"/>
      <c r="K1083" s="45"/>
      <c r="L1083" s="45"/>
      <c r="M1083" s="45"/>
      <c r="N1083" s="45"/>
      <c r="O1083" s="45"/>
      <c r="P1083" s="45"/>
      <c r="Q1083" s="45"/>
      <c r="R1083" s="45"/>
      <c r="S1083" s="45"/>
      <c r="T1083" s="45"/>
      <c r="U1083" s="45"/>
    </row>
    <row r="1084">
      <c r="A1084" s="84" t="s">
        <v>5292</v>
      </c>
      <c r="B1084" s="45"/>
      <c r="C1084" s="84" t="s">
        <v>11692</v>
      </c>
      <c r="D1084" s="45"/>
      <c r="E1084" s="84" t="s">
        <v>5271</v>
      </c>
      <c r="F1084" s="84" t="s">
        <v>5836</v>
      </c>
      <c r="G1084" s="85" t="s">
        <v>96</v>
      </c>
      <c r="H1084" s="87">
        <v>1.285E-4</v>
      </c>
      <c r="I1084" s="45"/>
      <c r="J1084" s="45"/>
      <c r="K1084" s="45"/>
      <c r="L1084" s="45"/>
      <c r="M1084" s="45"/>
      <c r="N1084" s="45"/>
      <c r="O1084" s="45"/>
      <c r="P1084" s="45"/>
      <c r="Q1084" s="45"/>
      <c r="R1084" s="45"/>
      <c r="S1084" s="45"/>
      <c r="T1084" s="45"/>
      <c r="U1084" s="45"/>
    </row>
    <row r="1085">
      <c r="A1085" s="84" t="s">
        <v>11693</v>
      </c>
      <c r="B1085" s="45"/>
      <c r="C1085" s="84" t="s">
        <v>11694</v>
      </c>
      <c r="D1085" s="45"/>
      <c r="E1085" s="84" t="s">
        <v>5276</v>
      </c>
      <c r="F1085" s="84" t="s">
        <v>5300</v>
      </c>
      <c r="G1085" s="85" t="s">
        <v>96</v>
      </c>
      <c r="H1085" s="87">
        <v>1.283E-4</v>
      </c>
      <c r="I1085" s="45"/>
      <c r="J1085" s="45"/>
      <c r="K1085" s="45"/>
      <c r="L1085" s="45"/>
      <c r="M1085" s="45"/>
      <c r="N1085" s="45"/>
      <c r="O1085" s="45"/>
      <c r="P1085" s="45"/>
      <c r="Q1085" s="45"/>
      <c r="R1085" s="45"/>
      <c r="S1085" s="45"/>
      <c r="T1085" s="45"/>
      <c r="U1085" s="45"/>
    </row>
    <row r="1086">
      <c r="A1086" s="84" t="s">
        <v>9938</v>
      </c>
      <c r="B1086" s="45"/>
      <c r="C1086" s="84" t="s">
        <v>9939</v>
      </c>
      <c r="D1086" s="45"/>
      <c r="E1086" s="84" t="s">
        <v>5238</v>
      </c>
      <c r="F1086" s="84" t="s">
        <v>5836</v>
      </c>
      <c r="G1086" s="85" t="s">
        <v>96</v>
      </c>
      <c r="H1086" s="87">
        <v>1.283E-4</v>
      </c>
      <c r="I1086" s="45"/>
      <c r="J1086" s="45"/>
      <c r="K1086" s="45"/>
      <c r="L1086" s="45"/>
      <c r="M1086" s="45"/>
      <c r="N1086" s="45"/>
      <c r="O1086" s="45"/>
      <c r="P1086" s="45"/>
      <c r="Q1086" s="45"/>
      <c r="R1086" s="45"/>
      <c r="S1086" s="45"/>
      <c r="T1086" s="45"/>
      <c r="U1086" s="45"/>
    </row>
    <row r="1087">
      <c r="A1087" s="84" t="s">
        <v>9912</v>
      </c>
      <c r="B1087" s="45"/>
      <c r="C1087" s="84" t="s">
        <v>9913</v>
      </c>
      <c r="D1087" s="45"/>
      <c r="E1087" s="84" t="s">
        <v>5561</v>
      </c>
      <c r="F1087" s="84" t="s">
        <v>8759</v>
      </c>
      <c r="G1087" s="85" t="s">
        <v>96</v>
      </c>
      <c r="H1087" s="87">
        <v>1.281E-4</v>
      </c>
      <c r="I1087" s="45"/>
      <c r="J1087" s="45"/>
      <c r="K1087" s="45"/>
      <c r="L1087" s="45"/>
      <c r="M1087" s="45"/>
      <c r="N1087" s="45"/>
      <c r="O1087" s="45"/>
      <c r="P1087" s="45"/>
      <c r="Q1087" s="45"/>
      <c r="R1087" s="45"/>
      <c r="S1087" s="45"/>
      <c r="T1087" s="45"/>
      <c r="U1087" s="45"/>
    </row>
    <row r="1088">
      <c r="A1088" s="84" t="s">
        <v>11695</v>
      </c>
      <c r="B1088" s="45"/>
      <c r="C1088" s="84" t="s">
        <v>11696</v>
      </c>
      <c r="D1088" s="45"/>
      <c r="E1088" s="84" t="s">
        <v>6759</v>
      </c>
      <c r="F1088" s="84" t="s">
        <v>5836</v>
      </c>
      <c r="G1088" s="85" t="s">
        <v>96</v>
      </c>
      <c r="H1088" s="87">
        <v>1.279E-4</v>
      </c>
      <c r="I1088" s="45"/>
      <c r="J1088" s="45"/>
      <c r="K1088" s="45"/>
      <c r="L1088" s="45"/>
      <c r="M1088" s="45"/>
      <c r="N1088" s="45"/>
      <c r="O1088" s="45"/>
      <c r="P1088" s="45"/>
      <c r="Q1088" s="45"/>
      <c r="R1088" s="45"/>
      <c r="S1088" s="45"/>
      <c r="T1088" s="45"/>
      <c r="U1088" s="45"/>
    </row>
    <row r="1089">
      <c r="A1089" s="84" t="s">
        <v>11697</v>
      </c>
      <c r="B1089" s="45"/>
      <c r="C1089" s="84" t="s">
        <v>11698</v>
      </c>
      <c r="D1089" s="45"/>
      <c r="E1089" s="84" t="s">
        <v>5215</v>
      </c>
      <c r="F1089" s="84" t="s">
        <v>5300</v>
      </c>
      <c r="G1089" s="85" t="s">
        <v>96</v>
      </c>
      <c r="H1089" s="87">
        <v>1.278E-4</v>
      </c>
      <c r="I1089" s="45"/>
      <c r="J1089" s="45"/>
      <c r="K1089" s="45"/>
      <c r="L1089" s="45"/>
      <c r="M1089" s="45"/>
      <c r="N1089" s="45"/>
      <c r="O1089" s="45"/>
      <c r="P1089" s="45"/>
      <c r="Q1089" s="45"/>
      <c r="R1089" s="45"/>
      <c r="S1089" s="45"/>
      <c r="T1089" s="45"/>
      <c r="U1089" s="45"/>
    </row>
    <row r="1090">
      <c r="A1090" s="84" t="s">
        <v>11699</v>
      </c>
      <c r="B1090" s="45"/>
      <c r="C1090" s="84" t="s">
        <v>11700</v>
      </c>
      <c r="D1090" s="45"/>
      <c r="E1090" s="84" t="s">
        <v>5759</v>
      </c>
      <c r="F1090" s="84" t="s">
        <v>5836</v>
      </c>
      <c r="G1090" s="85" t="s">
        <v>96</v>
      </c>
      <c r="H1090" s="87">
        <v>1.278E-4</v>
      </c>
      <c r="I1090" s="45"/>
      <c r="J1090" s="45"/>
      <c r="K1090" s="45"/>
      <c r="L1090" s="45"/>
      <c r="M1090" s="45"/>
      <c r="N1090" s="45"/>
      <c r="O1090" s="45"/>
      <c r="P1090" s="45"/>
      <c r="Q1090" s="45"/>
      <c r="R1090" s="45"/>
      <c r="S1090" s="45"/>
      <c r="T1090" s="45"/>
      <c r="U1090" s="45"/>
    </row>
    <row r="1091">
      <c r="A1091" s="84" t="s">
        <v>9904</v>
      </c>
      <c r="B1091" s="45"/>
      <c r="C1091" s="84" t="s">
        <v>9905</v>
      </c>
      <c r="D1091" s="45"/>
      <c r="E1091" s="84" t="s">
        <v>5434</v>
      </c>
      <c r="F1091" s="84" t="s">
        <v>8784</v>
      </c>
      <c r="G1091" s="85" t="s">
        <v>96</v>
      </c>
      <c r="H1091" s="87">
        <v>1.277E-4</v>
      </c>
      <c r="I1091" s="45"/>
      <c r="J1091" s="45"/>
      <c r="K1091" s="45"/>
      <c r="L1091" s="45"/>
      <c r="M1091" s="45"/>
      <c r="N1091" s="45"/>
      <c r="O1091" s="45"/>
      <c r="P1091" s="45"/>
      <c r="Q1091" s="45"/>
      <c r="R1091" s="45"/>
      <c r="S1091" s="45"/>
      <c r="T1091" s="45"/>
      <c r="U1091" s="45"/>
    </row>
    <row r="1092">
      <c r="A1092" s="84" t="s">
        <v>9872</v>
      </c>
      <c r="B1092" s="45"/>
      <c r="C1092" s="84" t="s">
        <v>9873</v>
      </c>
      <c r="D1092" s="45"/>
      <c r="E1092" s="84" t="s">
        <v>6338</v>
      </c>
      <c r="F1092" s="84" t="s">
        <v>8759</v>
      </c>
      <c r="G1092" s="85" t="s">
        <v>96</v>
      </c>
      <c r="H1092" s="87">
        <v>1.276E-4</v>
      </c>
      <c r="I1092" s="45"/>
      <c r="J1092" s="45"/>
      <c r="K1092" s="45"/>
      <c r="L1092" s="45"/>
      <c r="M1092" s="45"/>
      <c r="N1092" s="45"/>
      <c r="O1092" s="45"/>
      <c r="P1092" s="45"/>
      <c r="Q1092" s="45"/>
      <c r="R1092" s="45"/>
      <c r="S1092" s="45"/>
      <c r="T1092" s="45"/>
      <c r="U1092" s="45"/>
    </row>
    <row r="1093">
      <c r="A1093" s="84" t="s">
        <v>11701</v>
      </c>
      <c r="B1093" s="45"/>
      <c r="C1093" s="84" t="s">
        <v>11702</v>
      </c>
      <c r="D1093" s="45"/>
      <c r="E1093" s="84" t="s">
        <v>5404</v>
      </c>
      <c r="F1093" s="84" t="s">
        <v>5836</v>
      </c>
      <c r="G1093" s="85" t="s">
        <v>96</v>
      </c>
      <c r="H1093" s="87">
        <v>1.274E-4</v>
      </c>
      <c r="I1093" s="45"/>
      <c r="J1093" s="45"/>
      <c r="K1093" s="45"/>
      <c r="L1093" s="45"/>
      <c r="M1093" s="45"/>
      <c r="N1093" s="45"/>
      <c r="O1093" s="45"/>
      <c r="P1093" s="45"/>
      <c r="Q1093" s="45"/>
      <c r="R1093" s="45"/>
      <c r="S1093" s="45"/>
      <c r="T1093" s="45"/>
      <c r="U1093" s="45"/>
    </row>
    <row r="1094">
      <c r="A1094" s="84" t="s">
        <v>9757</v>
      </c>
      <c r="B1094" s="45"/>
      <c r="C1094" s="84" t="s">
        <v>9740</v>
      </c>
      <c r="D1094" s="45"/>
      <c r="E1094" s="84" t="s">
        <v>5513</v>
      </c>
      <c r="F1094" s="84" t="s">
        <v>4095</v>
      </c>
      <c r="G1094" s="85" t="s">
        <v>96</v>
      </c>
      <c r="H1094" s="87">
        <v>1.271E-4</v>
      </c>
      <c r="I1094" s="45"/>
      <c r="J1094" s="45"/>
      <c r="K1094" s="45"/>
      <c r="L1094" s="45"/>
      <c r="M1094" s="45"/>
      <c r="N1094" s="45"/>
      <c r="O1094" s="45"/>
      <c r="P1094" s="45"/>
      <c r="Q1094" s="45"/>
      <c r="R1094" s="45"/>
      <c r="S1094" s="45"/>
      <c r="T1094" s="45"/>
      <c r="U1094" s="45"/>
    </row>
    <row r="1095">
      <c r="A1095" s="84" t="s">
        <v>10119</v>
      </c>
      <c r="B1095" s="45"/>
      <c r="C1095" s="84" t="s">
        <v>10120</v>
      </c>
      <c r="D1095" s="45"/>
      <c r="E1095" s="84" t="s">
        <v>5961</v>
      </c>
      <c r="F1095" s="84" t="s">
        <v>8784</v>
      </c>
      <c r="G1095" s="85" t="s">
        <v>96</v>
      </c>
      <c r="H1095" s="87">
        <v>1.269E-4</v>
      </c>
      <c r="I1095" s="45"/>
      <c r="J1095" s="45"/>
      <c r="K1095" s="45"/>
      <c r="L1095" s="45"/>
      <c r="M1095" s="45"/>
      <c r="N1095" s="45"/>
      <c r="O1095" s="45"/>
      <c r="P1095" s="45"/>
      <c r="Q1095" s="45"/>
      <c r="R1095" s="45"/>
      <c r="S1095" s="45"/>
      <c r="T1095" s="45"/>
      <c r="U1095" s="45"/>
    </row>
    <row r="1096">
      <c r="A1096" s="84" t="s">
        <v>10060</v>
      </c>
      <c r="B1096" s="45"/>
      <c r="C1096" s="84" t="s">
        <v>10061</v>
      </c>
      <c r="D1096" s="45"/>
      <c r="E1096" s="84" t="s">
        <v>6338</v>
      </c>
      <c r="F1096" s="84" t="s">
        <v>8767</v>
      </c>
      <c r="G1096" s="85" t="s">
        <v>96</v>
      </c>
      <c r="H1096" s="87">
        <v>1.268E-4</v>
      </c>
      <c r="I1096" s="45"/>
      <c r="J1096" s="45"/>
      <c r="K1096" s="45"/>
      <c r="L1096" s="45"/>
      <c r="M1096" s="45"/>
      <c r="N1096" s="45"/>
      <c r="O1096" s="45"/>
      <c r="P1096" s="45"/>
      <c r="Q1096" s="45"/>
      <c r="R1096" s="45"/>
      <c r="S1096" s="45"/>
      <c r="T1096" s="45"/>
      <c r="U1096" s="45"/>
    </row>
    <row r="1097">
      <c r="A1097" s="84" t="s">
        <v>9876</v>
      </c>
      <c r="B1097" s="45"/>
      <c r="C1097" s="84" t="s">
        <v>9877</v>
      </c>
      <c r="D1097" s="45"/>
      <c r="E1097" s="84" t="s">
        <v>5670</v>
      </c>
      <c r="F1097" s="84" t="s">
        <v>5425</v>
      </c>
      <c r="G1097" s="85" t="s">
        <v>96</v>
      </c>
      <c r="H1097" s="87">
        <v>1.268E-4</v>
      </c>
      <c r="I1097" s="45"/>
      <c r="J1097" s="45"/>
      <c r="K1097" s="45"/>
      <c r="L1097" s="45"/>
      <c r="M1097" s="45"/>
      <c r="N1097" s="45"/>
      <c r="O1097" s="45"/>
      <c r="P1097" s="45"/>
      <c r="Q1097" s="45"/>
      <c r="R1097" s="45"/>
      <c r="S1097" s="45"/>
      <c r="T1097" s="45"/>
      <c r="U1097" s="45"/>
    </row>
    <row r="1098">
      <c r="A1098" s="84" t="s">
        <v>9888</v>
      </c>
      <c r="B1098" s="45"/>
      <c r="C1098" s="84" t="s">
        <v>9889</v>
      </c>
      <c r="D1098" s="45"/>
      <c r="E1098" s="84" t="s">
        <v>5589</v>
      </c>
      <c r="F1098" s="84" t="s">
        <v>9299</v>
      </c>
      <c r="G1098" s="85" t="s">
        <v>96</v>
      </c>
      <c r="H1098" s="87">
        <v>1.267E-4</v>
      </c>
      <c r="I1098" s="45"/>
      <c r="J1098" s="45"/>
      <c r="K1098" s="45"/>
      <c r="L1098" s="45"/>
      <c r="M1098" s="45"/>
      <c r="N1098" s="45"/>
      <c r="O1098" s="45"/>
      <c r="P1098" s="45"/>
      <c r="Q1098" s="45"/>
      <c r="R1098" s="45"/>
      <c r="S1098" s="45"/>
      <c r="T1098" s="45"/>
      <c r="U1098" s="45"/>
    </row>
    <row r="1099">
      <c r="A1099" s="84" t="s">
        <v>11703</v>
      </c>
      <c r="B1099" s="45"/>
      <c r="C1099" s="84" t="s">
        <v>11704</v>
      </c>
      <c r="D1099" s="45"/>
      <c r="E1099" s="84" t="s">
        <v>5450</v>
      </c>
      <c r="F1099" s="84" t="s">
        <v>5300</v>
      </c>
      <c r="G1099" s="85" t="s">
        <v>96</v>
      </c>
      <c r="H1099" s="87">
        <v>1.254E-4</v>
      </c>
      <c r="I1099" s="45"/>
      <c r="J1099" s="45"/>
      <c r="K1099" s="45"/>
      <c r="L1099" s="45"/>
      <c r="M1099" s="45"/>
      <c r="N1099" s="45"/>
      <c r="O1099" s="45"/>
      <c r="P1099" s="45"/>
      <c r="Q1099" s="45"/>
      <c r="R1099" s="45"/>
      <c r="S1099" s="45"/>
      <c r="T1099" s="45"/>
      <c r="U1099" s="45"/>
    </row>
    <row r="1100">
      <c r="A1100" s="84" t="s">
        <v>11705</v>
      </c>
      <c r="B1100" s="45"/>
      <c r="C1100" s="84" t="s">
        <v>11706</v>
      </c>
      <c r="D1100" s="45"/>
      <c r="E1100" s="84" t="s">
        <v>5351</v>
      </c>
      <c r="F1100" s="84" t="s">
        <v>6988</v>
      </c>
      <c r="G1100" s="85" t="s">
        <v>96</v>
      </c>
      <c r="H1100" s="87">
        <v>1.25E-4</v>
      </c>
      <c r="I1100" s="45"/>
      <c r="J1100" s="45"/>
      <c r="K1100" s="45"/>
      <c r="L1100" s="45"/>
      <c r="M1100" s="45"/>
      <c r="N1100" s="45"/>
      <c r="O1100" s="45"/>
      <c r="P1100" s="45"/>
      <c r="Q1100" s="45"/>
      <c r="R1100" s="45"/>
      <c r="S1100" s="45"/>
      <c r="T1100" s="45"/>
      <c r="U1100" s="45"/>
    </row>
    <row r="1101">
      <c r="A1101" s="84" t="s">
        <v>10056</v>
      </c>
      <c r="B1101" s="45"/>
      <c r="C1101" s="84" t="s">
        <v>10057</v>
      </c>
      <c r="D1101" s="45"/>
      <c r="E1101" s="84" t="s">
        <v>5335</v>
      </c>
      <c r="F1101" s="84" t="s">
        <v>6988</v>
      </c>
      <c r="G1101" s="85" t="s">
        <v>96</v>
      </c>
      <c r="H1101" s="87">
        <v>1.25E-4</v>
      </c>
      <c r="I1101" s="45"/>
      <c r="J1101" s="45"/>
      <c r="K1101" s="45"/>
      <c r="L1101" s="45"/>
      <c r="M1101" s="45"/>
      <c r="N1101" s="45"/>
      <c r="O1101" s="45"/>
      <c r="P1101" s="45"/>
      <c r="Q1101" s="45"/>
      <c r="R1101" s="45"/>
      <c r="S1101" s="45"/>
      <c r="T1101" s="45"/>
      <c r="U1101" s="45"/>
    </row>
    <row r="1102">
      <c r="A1102" s="84" t="s">
        <v>11707</v>
      </c>
      <c r="B1102" s="45"/>
      <c r="C1102" s="84" t="s">
        <v>11708</v>
      </c>
      <c r="D1102" s="45"/>
      <c r="E1102" s="84" t="s">
        <v>6931</v>
      </c>
      <c r="F1102" s="84" t="s">
        <v>8784</v>
      </c>
      <c r="G1102" s="85" t="s">
        <v>96</v>
      </c>
      <c r="H1102" s="87">
        <v>1.246E-4</v>
      </c>
      <c r="I1102" s="45"/>
      <c r="J1102" s="45"/>
      <c r="K1102" s="45"/>
      <c r="L1102" s="45"/>
      <c r="M1102" s="45"/>
      <c r="N1102" s="45"/>
      <c r="O1102" s="45"/>
      <c r="P1102" s="45"/>
      <c r="Q1102" s="45"/>
      <c r="R1102" s="45"/>
      <c r="S1102" s="45"/>
      <c r="T1102" s="45"/>
      <c r="U1102" s="45"/>
    </row>
    <row r="1103">
      <c r="A1103" s="84" t="s">
        <v>11709</v>
      </c>
      <c r="B1103" s="45"/>
      <c r="C1103" s="84" t="s">
        <v>11710</v>
      </c>
      <c r="D1103" s="45"/>
      <c r="E1103" s="84" t="s">
        <v>5264</v>
      </c>
      <c r="F1103" s="84" t="s">
        <v>5836</v>
      </c>
      <c r="G1103" s="85" t="s">
        <v>96</v>
      </c>
      <c r="H1103" s="87">
        <v>1.241E-4</v>
      </c>
      <c r="I1103" s="45"/>
      <c r="J1103" s="45"/>
      <c r="K1103" s="45"/>
      <c r="L1103" s="45"/>
      <c r="M1103" s="45"/>
      <c r="N1103" s="45"/>
      <c r="O1103" s="45"/>
      <c r="P1103" s="45"/>
      <c r="Q1103" s="45"/>
      <c r="R1103" s="45"/>
      <c r="S1103" s="45"/>
      <c r="T1103" s="45"/>
      <c r="U1103" s="45"/>
    </row>
    <row r="1104">
      <c r="A1104" s="84" t="s">
        <v>10003</v>
      </c>
      <c r="B1104" s="45"/>
      <c r="C1104" s="84" t="s">
        <v>10004</v>
      </c>
      <c r="D1104" s="45"/>
      <c r="E1104" s="84" t="s">
        <v>5525</v>
      </c>
      <c r="F1104" s="84" t="s">
        <v>9299</v>
      </c>
      <c r="G1104" s="85" t="s">
        <v>96</v>
      </c>
      <c r="H1104" s="87">
        <v>1.241E-4</v>
      </c>
      <c r="I1104" s="45"/>
      <c r="J1104" s="45"/>
      <c r="K1104" s="45"/>
      <c r="L1104" s="45"/>
      <c r="M1104" s="45"/>
      <c r="N1104" s="45"/>
      <c r="O1104" s="45"/>
      <c r="P1104" s="45"/>
      <c r="Q1104" s="45"/>
      <c r="R1104" s="45"/>
      <c r="S1104" s="45"/>
      <c r="T1104" s="45"/>
      <c r="U1104" s="45"/>
    </row>
    <row r="1105">
      <c r="A1105" s="84" t="s">
        <v>9920</v>
      </c>
      <c r="B1105" s="45"/>
      <c r="C1105" s="84" t="s">
        <v>9921</v>
      </c>
      <c r="D1105" s="45"/>
      <c r="E1105" s="84" t="s">
        <v>7611</v>
      </c>
      <c r="F1105" s="84" t="s">
        <v>8784</v>
      </c>
      <c r="G1105" s="85" t="s">
        <v>96</v>
      </c>
      <c r="H1105" s="87">
        <v>1.241E-4</v>
      </c>
      <c r="I1105" s="45"/>
      <c r="J1105" s="45"/>
      <c r="K1105" s="45"/>
      <c r="L1105" s="45"/>
      <c r="M1105" s="45"/>
      <c r="N1105" s="45"/>
      <c r="O1105" s="45"/>
      <c r="P1105" s="45"/>
      <c r="Q1105" s="45"/>
      <c r="R1105" s="45"/>
      <c r="S1105" s="45"/>
      <c r="T1105" s="45"/>
      <c r="U1105" s="45"/>
    </row>
    <row r="1106">
      <c r="A1106" s="84" t="s">
        <v>9916</v>
      </c>
      <c r="B1106" s="45"/>
      <c r="C1106" s="84" t="s">
        <v>9917</v>
      </c>
      <c r="D1106" s="45"/>
      <c r="E1106" s="84" t="s">
        <v>5271</v>
      </c>
      <c r="F1106" s="84" t="s">
        <v>9414</v>
      </c>
      <c r="G1106" s="85" t="s">
        <v>96</v>
      </c>
      <c r="H1106" s="87">
        <v>1.234E-4</v>
      </c>
      <c r="I1106" s="45"/>
      <c r="J1106" s="45"/>
      <c r="K1106" s="45"/>
      <c r="L1106" s="45"/>
      <c r="M1106" s="45"/>
      <c r="N1106" s="45"/>
      <c r="O1106" s="45"/>
      <c r="P1106" s="45"/>
      <c r="Q1106" s="45"/>
      <c r="R1106" s="45"/>
      <c r="S1106" s="45"/>
      <c r="T1106" s="45"/>
      <c r="U1106" s="45"/>
    </row>
    <row r="1107">
      <c r="A1107" s="84" t="s">
        <v>4674</v>
      </c>
      <c r="B1107" s="45"/>
      <c r="C1107" s="84" t="s">
        <v>9982</v>
      </c>
      <c r="D1107" s="45"/>
      <c r="E1107" s="84" t="s">
        <v>5261</v>
      </c>
      <c r="F1107" s="84" t="s">
        <v>5300</v>
      </c>
      <c r="G1107" s="85" t="s">
        <v>96</v>
      </c>
      <c r="H1107" s="87">
        <v>1.23E-4</v>
      </c>
      <c r="I1107" s="45"/>
      <c r="J1107" s="45"/>
      <c r="K1107" s="45"/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</row>
    <row r="1108">
      <c r="A1108" s="84" t="s">
        <v>10036</v>
      </c>
      <c r="B1108" s="45"/>
      <c r="C1108" s="84" t="s">
        <v>10037</v>
      </c>
      <c r="D1108" s="45"/>
      <c r="E1108" s="84" t="s">
        <v>5369</v>
      </c>
      <c r="F1108" s="84" t="s">
        <v>6220</v>
      </c>
      <c r="G1108" s="85" t="s">
        <v>96</v>
      </c>
      <c r="H1108" s="87">
        <v>1.229E-4</v>
      </c>
      <c r="I1108" s="45"/>
      <c r="J1108" s="45"/>
      <c r="K1108" s="45"/>
      <c r="L1108" s="45"/>
      <c r="M1108" s="45"/>
      <c r="N1108" s="45"/>
      <c r="O1108" s="45"/>
      <c r="P1108" s="45"/>
      <c r="Q1108" s="45"/>
      <c r="R1108" s="45"/>
      <c r="S1108" s="45"/>
      <c r="T1108" s="45"/>
      <c r="U1108" s="45"/>
    </row>
    <row r="1109">
      <c r="A1109" s="84" t="s">
        <v>10436</v>
      </c>
      <c r="B1109" s="45"/>
      <c r="C1109" s="84" t="s">
        <v>9928</v>
      </c>
      <c r="D1109" s="45"/>
      <c r="E1109" s="84" t="s">
        <v>5450</v>
      </c>
      <c r="F1109" s="84" t="s">
        <v>9021</v>
      </c>
      <c r="G1109" s="85" t="s">
        <v>96</v>
      </c>
      <c r="H1109" s="87">
        <v>1.224E-4</v>
      </c>
      <c r="I1109" s="45"/>
      <c r="J1109" s="45"/>
      <c r="K1109" s="45"/>
      <c r="L1109" s="45"/>
      <c r="M1109" s="45"/>
      <c r="N1109" s="45"/>
      <c r="O1109" s="45"/>
      <c r="P1109" s="45"/>
      <c r="Q1109" s="45"/>
      <c r="R1109" s="45"/>
      <c r="S1109" s="45"/>
      <c r="T1109" s="45"/>
      <c r="U1109" s="45"/>
    </row>
    <row r="1110">
      <c r="A1110" s="84" t="s">
        <v>9953</v>
      </c>
      <c r="B1110" s="45"/>
      <c r="C1110" s="84" t="s">
        <v>9954</v>
      </c>
      <c r="D1110" s="45"/>
      <c r="E1110" s="84" t="s">
        <v>5215</v>
      </c>
      <c r="F1110" s="84" t="s">
        <v>6988</v>
      </c>
      <c r="G1110" s="85" t="s">
        <v>96</v>
      </c>
      <c r="H1110" s="87">
        <v>1.224E-4</v>
      </c>
      <c r="I1110" s="45"/>
      <c r="J1110" s="45"/>
      <c r="K1110" s="45"/>
      <c r="L1110" s="45"/>
      <c r="M1110" s="45"/>
      <c r="N1110" s="45"/>
      <c r="O1110" s="45"/>
      <c r="P1110" s="45"/>
      <c r="Q1110" s="45"/>
      <c r="R1110" s="45"/>
      <c r="S1110" s="45"/>
      <c r="T1110" s="45"/>
      <c r="U1110" s="45"/>
    </row>
    <row r="1111">
      <c r="A1111" s="84" t="s">
        <v>9894</v>
      </c>
      <c r="B1111" s="45"/>
      <c r="C1111" s="84" t="s">
        <v>9895</v>
      </c>
      <c r="D1111" s="45"/>
      <c r="E1111" s="84" t="s">
        <v>5369</v>
      </c>
      <c r="F1111" s="84" t="s">
        <v>8784</v>
      </c>
      <c r="G1111" s="85" t="s">
        <v>96</v>
      </c>
      <c r="H1111" s="87">
        <v>1.221E-4</v>
      </c>
      <c r="I1111" s="45"/>
      <c r="J1111" s="45"/>
      <c r="K1111" s="45"/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</row>
    <row r="1112">
      <c r="A1112" s="84" t="s">
        <v>9966</v>
      </c>
      <c r="B1112" s="45"/>
      <c r="C1112" s="84" t="s">
        <v>3348</v>
      </c>
      <c r="D1112" s="45"/>
      <c r="E1112" s="84" t="s">
        <v>6729</v>
      </c>
      <c r="F1112" s="84" t="s">
        <v>9021</v>
      </c>
      <c r="G1112" s="85" t="s">
        <v>96</v>
      </c>
      <c r="H1112" s="87">
        <v>1.22E-4</v>
      </c>
      <c r="I1112" s="45"/>
      <c r="J1112" s="45"/>
      <c r="K1112" s="45"/>
      <c r="L1112" s="45"/>
      <c r="M1112" s="45"/>
      <c r="N1112" s="45"/>
      <c r="O1112" s="45"/>
      <c r="P1112" s="45"/>
      <c r="Q1112" s="45"/>
      <c r="R1112" s="45"/>
      <c r="S1112" s="45"/>
      <c r="T1112" s="45"/>
      <c r="U1112" s="45"/>
    </row>
    <row r="1113">
      <c r="A1113" s="84" t="s">
        <v>11711</v>
      </c>
      <c r="B1113" s="45"/>
      <c r="C1113" s="84" t="s">
        <v>11712</v>
      </c>
      <c r="D1113" s="45"/>
      <c r="E1113" s="84" t="s">
        <v>5276</v>
      </c>
      <c r="F1113" s="84" t="s">
        <v>9513</v>
      </c>
      <c r="G1113" s="85" t="s">
        <v>96</v>
      </c>
      <c r="H1113" s="87">
        <v>1.22E-4</v>
      </c>
      <c r="I1113" s="45"/>
      <c r="J1113" s="45"/>
      <c r="K1113" s="45"/>
      <c r="L1113" s="45"/>
      <c r="M1113" s="45"/>
      <c r="N1113" s="45"/>
      <c r="O1113" s="45"/>
      <c r="P1113" s="45"/>
      <c r="Q1113" s="45"/>
      <c r="R1113" s="45"/>
      <c r="S1113" s="45"/>
      <c r="T1113" s="45"/>
      <c r="U1113" s="45"/>
    </row>
    <row r="1114">
      <c r="A1114" s="84" t="s">
        <v>9985</v>
      </c>
      <c r="B1114" s="45"/>
      <c r="C1114" s="84" t="s">
        <v>9986</v>
      </c>
      <c r="D1114" s="45"/>
      <c r="E1114" s="84" t="s">
        <v>5715</v>
      </c>
      <c r="F1114" s="84" t="s">
        <v>8784</v>
      </c>
      <c r="G1114" s="85" t="s">
        <v>96</v>
      </c>
      <c r="H1114" s="87">
        <v>1.213E-4</v>
      </c>
      <c r="I1114" s="45"/>
      <c r="J1114" s="45"/>
      <c r="K1114" s="45"/>
      <c r="L1114" s="45"/>
      <c r="M1114" s="45"/>
      <c r="N1114" s="45"/>
      <c r="O1114" s="45"/>
      <c r="P1114" s="45"/>
      <c r="Q1114" s="45"/>
      <c r="R1114" s="45"/>
      <c r="S1114" s="45"/>
      <c r="T1114" s="45"/>
      <c r="U1114" s="45"/>
    </row>
    <row r="1115">
      <c r="A1115" s="84" t="s">
        <v>9933</v>
      </c>
      <c r="B1115" s="45"/>
      <c r="C1115" s="84" t="s">
        <v>9934</v>
      </c>
      <c r="D1115" s="45"/>
      <c r="E1115" s="84" t="s">
        <v>5238</v>
      </c>
      <c r="F1115" s="84" t="s">
        <v>5425</v>
      </c>
      <c r="G1115" s="85" t="s">
        <v>96</v>
      </c>
      <c r="H1115" s="87">
        <v>1.212E-4</v>
      </c>
      <c r="I1115" s="45"/>
      <c r="J1115" s="45"/>
      <c r="K1115" s="45"/>
      <c r="L1115" s="45"/>
      <c r="M1115" s="45"/>
      <c r="N1115" s="45"/>
      <c r="O1115" s="45"/>
      <c r="P1115" s="45"/>
      <c r="Q1115" s="45"/>
      <c r="R1115" s="45"/>
      <c r="S1115" s="45"/>
      <c r="T1115" s="45"/>
      <c r="U1115" s="45"/>
    </row>
    <row r="1116">
      <c r="A1116" s="84" t="s">
        <v>9995</v>
      </c>
      <c r="B1116" s="45"/>
      <c r="C1116" s="84" t="s">
        <v>9996</v>
      </c>
      <c r="D1116" s="45"/>
      <c r="E1116" s="84" t="s">
        <v>5855</v>
      </c>
      <c r="F1116" s="84" t="s">
        <v>8784</v>
      </c>
      <c r="G1116" s="85" t="s">
        <v>96</v>
      </c>
      <c r="H1116" s="87">
        <v>1.208E-4</v>
      </c>
      <c r="I1116" s="45"/>
      <c r="J1116" s="45"/>
      <c r="K1116" s="45"/>
      <c r="L1116" s="45"/>
      <c r="M1116" s="45"/>
      <c r="N1116" s="45"/>
      <c r="O1116" s="45"/>
      <c r="P1116" s="45"/>
      <c r="Q1116" s="45"/>
      <c r="R1116" s="45"/>
      <c r="S1116" s="45"/>
      <c r="T1116" s="45"/>
      <c r="U1116" s="45"/>
    </row>
    <row r="1117">
      <c r="A1117" s="84" t="s">
        <v>10032</v>
      </c>
      <c r="B1117" s="45"/>
      <c r="C1117" s="84" t="s">
        <v>10033</v>
      </c>
      <c r="D1117" s="45"/>
      <c r="E1117" s="84" t="s">
        <v>5434</v>
      </c>
      <c r="F1117" s="84" t="s">
        <v>8759</v>
      </c>
      <c r="G1117" s="85" t="s">
        <v>96</v>
      </c>
      <c r="H1117" s="87">
        <v>1.205E-4</v>
      </c>
      <c r="I1117" s="45"/>
      <c r="J1117" s="45"/>
      <c r="K1117" s="45"/>
      <c r="L1117" s="45"/>
      <c r="M1117" s="45"/>
      <c r="N1117" s="45"/>
      <c r="O1117" s="45"/>
      <c r="P1117" s="45"/>
      <c r="Q1117" s="45"/>
      <c r="R1117" s="45"/>
      <c r="S1117" s="45"/>
      <c r="T1117" s="45"/>
      <c r="U1117" s="45"/>
    </row>
    <row r="1118">
      <c r="A1118" s="84" t="s">
        <v>11713</v>
      </c>
      <c r="B1118" s="45"/>
      <c r="C1118" s="84" t="s">
        <v>11714</v>
      </c>
      <c r="D1118" s="45"/>
      <c r="E1118" s="84" t="s">
        <v>6191</v>
      </c>
      <c r="F1118" s="84" t="s">
        <v>4436</v>
      </c>
      <c r="G1118" s="85" t="s">
        <v>96</v>
      </c>
      <c r="H1118" s="87">
        <v>1.203E-4</v>
      </c>
      <c r="I1118" s="45"/>
      <c r="J1118" s="45"/>
      <c r="K1118" s="45"/>
      <c r="L1118" s="45"/>
      <c r="M1118" s="45"/>
      <c r="N1118" s="45"/>
      <c r="O1118" s="45"/>
      <c r="P1118" s="45"/>
      <c r="Q1118" s="45"/>
      <c r="R1118" s="45"/>
      <c r="S1118" s="45"/>
      <c r="T1118" s="45"/>
      <c r="U1118" s="45"/>
    </row>
    <row r="1119">
      <c r="A1119" s="84" t="s">
        <v>10086</v>
      </c>
      <c r="B1119" s="45"/>
      <c r="C1119" s="84" t="s">
        <v>10087</v>
      </c>
      <c r="D1119" s="45"/>
      <c r="E1119" s="84" t="s">
        <v>5369</v>
      </c>
      <c r="F1119" s="84" t="s">
        <v>5747</v>
      </c>
      <c r="G1119" s="85" t="s">
        <v>96</v>
      </c>
      <c r="H1119" s="87">
        <v>1.201E-4</v>
      </c>
      <c r="I1119" s="45"/>
      <c r="J1119" s="45"/>
      <c r="K1119" s="45"/>
      <c r="L1119" s="45"/>
      <c r="M1119" s="45"/>
      <c r="N1119" s="45"/>
      <c r="O1119" s="45"/>
      <c r="P1119" s="45"/>
      <c r="Q1119" s="45"/>
      <c r="R1119" s="45"/>
      <c r="S1119" s="45"/>
      <c r="T1119" s="45"/>
      <c r="U1119" s="45"/>
    </row>
    <row r="1120">
      <c r="A1120" s="84" t="s">
        <v>9972</v>
      </c>
      <c r="B1120" s="45"/>
      <c r="C1120" s="84" t="s">
        <v>9973</v>
      </c>
      <c r="D1120" s="45"/>
      <c r="E1120" s="84" t="s">
        <v>6327</v>
      </c>
      <c r="F1120" s="84" t="s">
        <v>4153</v>
      </c>
      <c r="G1120" s="85" t="s">
        <v>96</v>
      </c>
      <c r="H1120" s="87">
        <v>1.196E-4</v>
      </c>
      <c r="I1120" s="45"/>
      <c r="J1120" s="45"/>
      <c r="K1120" s="45"/>
      <c r="L1120" s="45"/>
      <c r="M1120" s="45"/>
      <c r="N1120" s="45"/>
      <c r="O1120" s="45"/>
      <c r="P1120" s="45"/>
      <c r="Q1120" s="45"/>
      <c r="R1120" s="45"/>
      <c r="S1120" s="45"/>
      <c r="T1120" s="45"/>
      <c r="U1120" s="45"/>
    </row>
    <row r="1121">
      <c r="A1121" s="84" t="s">
        <v>10014</v>
      </c>
      <c r="B1121" s="45"/>
      <c r="C1121" s="84" t="s">
        <v>10015</v>
      </c>
      <c r="D1121" s="45"/>
      <c r="E1121" s="84" t="s">
        <v>6130</v>
      </c>
      <c r="F1121" s="84" t="s">
        <v>8784</v>
      </c>
      <c r="G1121" s="85" t="s">
        <v>96</v>
      </c>
      <c r="H1121" s="87">
        <v>1.195E-4</v>
      </c>
      <c r="I1121" s="45"/>
      <c r="J1121" s="45"/>
      <c r="K1121" s="45"/>
      <c r="L1121" s="45"/>
      <c r="M1121" s="45"/>
      <c r="N1121" s="45"/>
      <c r="O1121" s="45"/>
      <c r="P1121" s="45"/>
      <c r="Q1121" s="45"/>
      <c r="R1121" s="45"/>
      <c r="S1121" s="45"/>
      <c r="T1121" s="45"/>
      <c r="U1121" s="45"/>
    </row>
    <row r="1122">
      <c r="A1122" s="84" t="s">
        <v>10836</v>
      </c>
      <c r="B1122" s="45"/>
      <c r="C1122" s="84" t="s">
        <v>9435</v>
      </c>
      <c r="D1122" s="45"/>
      <c r="E1122" s="84" t="s">
        <v>5422</v>
      </c>
      <c r="F1122" s="84" t="s">
        <v>9021</v>
      </c>
      <c r="G1122" s="85" t="s">
        <v>96</v>
      </c>
      <c r="H1122" s="87">
        <v>1.192E-4</v>
      </c>
      <c r="I1122" s="45"/>
      <c r="J1122" s="45"/>
      <c r="K1122" s="45"/>
      <c r="L1122" s="45"/>
      <c r="M1122" s="45"/>
      <c r="N1122" s="45"/>
      <c r="O1122" s="45"/>
      <c r="P1122" s="45"/>
      <c r="Q1122" s="45"/>
      <c r="R1122" s="45"/>
      <c r="S1122" s="45"/>
      <c r="T1122" s="45"/>
      <c r="U1122" s="45"/>
    </row>
    <row r="1123">
      <c r="A1123" s="84" t="s">
        <v>9997</v>
      </c>
      <c r="B1123" s="45"/>
      <c r="C1123" s="84" t="s">
        <v>9998</v>
      </c>
      <c r="D1123" s="45"/>
      <c r="E1123" s="84" t="s">
        <v>5561</v>
      </c>
      <c r="F1123" s="84" t="s">
        <v>8784</v>
      </c>
      <c r="G1123" s="85" t="s">
        <v>96</v>
      </c>
      <c r="H1123" s="87">
        <v>1.192E-4</v>
      </c>
      <c r="I1123" s="45"/>
      <c r="J1123" s="45"/>
      <c r="K1123" s="45"/>
      <c r="L1123" s="45"/>
      <c r="M1123" s="45"/>
      <c r="N1123" s="45"/>
      <c r="O1123" s="45"/>
      <c r="P1123" s="45"/>
      <c r="Q1123" s="45"/>
      <c r="R1123" s="45"/>
      <c r="S1123" s="45"/>
      <c r="T1123" s="45"/>
      <c r="U1123" s="45"/>
    </row>
    <row r="1124">
      <c r="A1124" s="84" t="s">
        <v>10064</v>
      </c>
      <c r="B1124" s="45"/>
      <c r="C1124" s="84" t="s">
        <v>10065</v>
      </c>
      <c r="D1124" s="45"/>
      <c r="E1124" s="84" t="s">
        <v>7611</v>
      </c>
      <c r="F1124" s="84" t="s">
        <v>8784</v>
      </c>
      <c r="G1124" s="85" t="s">
        <v>96</v>
      </c>
      <c r="H1124" s="87">
        <v>1.19E-4</v>
      </c>
      <c r="I1124" s="45"/>
      <c r="J1124" s="45"/>
      <c r="K1124" s="45"/>
      <c r="L1124" s="45"/>
      <c r="M1124" s="45"/>
      <c r="N1124" s="45"/>
      <c r="O1124" s="45"/>
      <c r="P1124" s="45"/>
      <c r="Q1124" s="45"/>
      <c r="R1124" s="45"/>
      <c r="S1124" s="45"/>
      <c r="T1124" s="45"/>
      <c r="U1124" s="45"/>
    </row>
    <row r="1125">
      <c r="A1125" s="84" t="s">
        <v>9943</v>
      </c>
      <c r="B1125" s="45"/>
      <c r="C1125" s="84" t="s">
        <v>9944</v>
      </c>
      <c r="D1125" s="45"/>
      <c r="E1125" s="84" t="s">
        <v>5276</v>
      </c>
      <c r="F1125" s="84" t="s">
        <v>5300</v>
      </c>
      <c r="G1125" s="85" t="s">
        <v>96</v>
      </c>
      <c r="H1125" s="87">
        <v>1.189E-4</v>
      </c>
      <c r="I1125" s="45"/>
      <c r="J1125" s="45"/>
      <c r="K1125" s="45"/>
      <c r="L1125" s="45"/>
      <c r="M1125" s="45"/>
      <c r="N1125" s="45"/>
      <c r="O1125" s="45"/>
      <c r="P1125" s="45"/>
      <c r="Q1125" s="45"/>
      <c r="R1125" s="45"/>
      <c r="S1125" s="45"/>
      <c r="T1125" s="45"/>
      <c r="U1125" s="45"/>
    </row>
    <row r="1126">
      <c r="A1126" s="84" t="s">
        <v>10007</v>
      </c>
      <c r="B1126" s="45"/>
      <c r="C1126" s="84" t="s">
        <v>10008</v>
      </c>
      <c r="D1126" s="45"/>
      <c r="E1126" s="84" t="s">
        <v>5561</v>
      </c>
      <c r="F1126" s="84" t="s">
        <v>5941</v>
      </c>
      <c r="G1126" s="85" t="s">
        <v>96</v>
      </c>
      <c r="H1126" s="87">
        <v>1.188E-4</v>
      </c>
      <c r="I1126" s="45"/>
      <c r="J1126" s="45"/>
      <c r="K1126" s="45"/>
      <c r="L1126" s="45"/>
      <c r="M1126" s="45"/>
      <c r="N1126" s="45"/>
      <c r="O1126" s="45"/>
      <c r="P1126" s="45"/>
      <c r="Q1126" s="45"/>
      <c r="R1126" s="45"/>
      <c r="S1126" s="45"/>
      <c r="T1126" s="45"/>
      <c r="U1126" s="45"/>
    </row>
    <row r="1127">
      <c r="A1127" s="84" t="s">
        <v>11715</v>
      </c>
      <c r="B1127" s="45"/>
      <c r="C1127" s="84" t="s">
        <v>11716</v>
      </c>
      <c r="D1127" s="45"/>
      <c r="E1127" s="84" t="s">
        <v>7611</v>
      </c>
      <c r="F1127" s="84" t="s">
        <v>5425</v>
      </c>
      <c r="G1127" s="85" t="s">
        <v>96</v>
      </c>
      <c r="H1127" s="87">
        <v>1.182E-4</v>
      </c>
      <c r="I1127" s="45"/>
      <c r="J1127" s="45"/>
      <c r="K1127" s="45"/>
      <c r="L1127" s="45"/>
      <c r="M1127" s="45"/>
      <c r="N1127" s="45"/>
      <c r="O1127" s="45"/>
      <c r="P1127" s="45"/>
      <c r="Q1127" s="45"/>
      <c r="R1127" s="45"/>
      <c r="S1127" s="45"/>
      <c r="T1127" s="45"/>
      <c r="U1127" s="45"/>
    </row>
    <row r="1128">
      <c r="A1128" s="84" t="s">
        <v>9993</v>
      </c>
      <c r="B1128" s="45"/>
      <c r="C1128" s="84" t="s">
        <v>9994</v>
      </c>
      <c r="D1128" s="45"/>
      <c r="E1128" s="84" t="s">
        <v>6130</v>
      </c>
      <c r="F1128" s="84" t="s">
        <v>4095</v>
      </c>
      <c r="G1128" s="85" t="s">
        <v>96</v>
      </c>
      <c r="H1128" s="87">
        <v>1.181E-4</v>
      </c>
      <c r="I1128" s="45"/>
      <c r="J1128" s="45"/>
      <c r="K1128" s="45"/>
      <c r="L1128" s="45"/>
      <c r="M1128" s="45"/>
      <c r="N1128" s="45"/>
      <c r="O1128" s="45"/>
      <c r="P1128" s="45"/>
      <c r="Q1128" s="45"/>
      <c r="R1128" s="45"/>
      <c r="S1128" s="45"/>
      <c r="T1128" s="45"/>
      <c r="U1128" s="45"/>
    </row>
    <row r="1129">
      <c r="A1129" s="84" t="s">
        <v>10102</v>
      </c>
      <c r="B1129" s="45"/>
      <c r="C1129" s="84" t="s">
        <v>10103</v>
      </c>
      <c r="D1129" s="45"/>
      <c r="E1129" s="84" t="s">
        <v>5229</v>
      </c>
      <c r="F1129" s="84" t="s">
        <v>6988</v>
      </c>
      <c r="G1129" s="85" t="s">
        <v>96</v>
      </c>
      <c r="H1129" s="87">
        <v>1.174E-4</v>
      </c>
      <c r="I1129" s="45"/>
      <c r="J1129" s="45"/>
      <c r="K1129" s="45"/>
      <c r="L1129" s="45"/>
      <c r="M1129" s="45"/>
      <c r="N1129" s="45"/>
      <c r="O1129" s="45"/>
      <c r="P1129" s="45"/>
      <c r="Q1129" s="45"/>
      <c r="R1129" s="45"/>
      <c r="S1129" s="45"/>
      <c r="T1129" s="45"/>
      <c r="U1129" s="45"/>
    </row>
    <row r="1130">
      <c r="A1130" s="84" t="s">
        <v>11717</v>
      </c>
      <c r="B1130" s="45"/>
      <c r="C1130" s="84" t="s">
        <v>11718</v>
      </c>
      <c r="D1130" s="45"/>
      <c r="E1130" s="84" t="s">
        <v>5377</v>
      </c>
      <c r="F1130" s="84" t="s">
        <v>8784</v>
      </c>
      <c r="G1130" s="85" t="s">
        <v>96</v>
      </c>
      <c r="H1130" s="87">
        <v>1.173E-4</v>
      </c>
      <c r="I1130" s="45"/>
      <c r="J1130" s="45"/>
      <c r="K1130" s="45"/>
      <c r="L1130" s="45"/>
      <c r="M1130" s="45"/>
      <c r="N1130" s="45"/>
      <c r="O1130" s="45"/>
      <c r="P1130" s="45"/>
      <c r="Q1130" s="45"/>
      <c r="R1130" s="45"/>
      <c r="S1130" s="45"/>
      <c r="T1130" s="45"/>
      <c r="U1130" s="45"/>
    </row>
    <row r="1131">
      <c r="A1131" s="84" t="s">
        <v>9929</v>
      </c>
      <c r="B1131" s="45"/>
      <c r="C1131" s="84" t="s">
        <v>9930</v>
      </c>
      <c r="D1131" s="45"/>
      <c r="E1131" s="84" t="s">
        <v>5218</v>
      </c>
      <c r="F1131" s="84" t="s">
        <v>8784</v>
      </c>
      <c r="G1131" s="85" t="s">
        <v>96</v>
      </c>
      <c r="H1131" s="87">
        <v>1.169E-4</v>
      </c>
      <c r="I1131" s="45"/>
      <c r="J1131" s="45"/>
      <c r="K1131" s="45"/>
      <c r="L1131" s="45"/>
      <c r="M1131" s="45"/>
      <c r="N1131" s="45"/>
      <c r="O1131" s="45"/>
      <c r="P1131" s="45"/>
      <c r="Q1131" s="45"/>
      <c r="R1131" s="45"/>
      <c r="S1131" s="45"/>
      <c r="T1131" s="45"/>
      <c r="U1131" s="45"/>
    </row>
    <row r="1132">
      <c r="A1132" s="84" t="s">
        <v>11719</v>
      </c>
      <c r="B1132" s="45"/>
      <c r="C1132" s="84" t="s">
        <v>11720</v>
      </c>
      <c r="D1132" s="45"/>
      <c r="E1132" s="84" t="s">
        <v>5211</v>
      </c>
      <c r="F1132" s="84" t="s">
        <v>5836</v>
      </c>
      <c r="G1132" s="85" t="s">
        <v>96</v>
      </c>
      <c r="H1132" s="87">
        <v>1.167E-4</v>
      </c>
      <c r="I1132" s="45"/>
      <c r="J1132" s="45"/>
      <c r="K1132" s="45"/>
      <c r="L1132" s="45"/>
      <c r="M1132" s="45"/>
      <c r="N1132" s="45"/>
      <c r="O1132" s="45"/>
      <c r="P1132" s="45"/>
      <c r="Q1132" s="45"/>
      <c r="R1132" s="45"/>
      <c r="S1132" s="45"/>
      <c r="T1132" s="45"/>
      <c r="U1132" s="45"/>
    </row>
    <row r="1133">
      <c r="A1133" s="84" t="s">
        <v>11721</v>
      </c>
      <c r="B1133" s="45"/>
      <c r="C1133" s="84" t="s">
        <v>11722</v>
      </c>
      <c r="D1133" s="45"/>
      <c r="E1133" s="84" t="s">
        <v>5989</v>
      </c>
      <c r="F1133" s="84" t="s">
        <v>9908</v>
      </c>
      <c r="G1133" s="85" t="s">
        <v>96</v>
      </c>
      <c r="H1133" s="87">
        <v>1.166E-4</v>
      </c>
      <c r="I1133" s="45"/>
      <c r="J1133" s="45"/>
      <c r="K1133" s="45"/>
      <c r="L1133" s="45"/>
      <c r="M1133" s="45"/>
      <c r="N1133" s="45"/>
      <c r="O1133" s="45"/>
      <c r="P1133" s="45"/>
      <c r="Q1133" s="45"/>
      <c r="R1133" s="45"/>
      <c r="S1133" s="45"/>
      <c r="T1133" s="45"/>
      <c r="U1133" s="45"/>
    </row>
    <row r="1134">
      <c r="A1134" s="84" t="s">
        <v>10022</v>
      </c>
      <c r="B1134" s="45"/>
      <c r="C1134" s="84" t="s">
        <v>10023</v>
      </c>
      <c r="D1134" s="45"/>
      <c r="E1134" s="84" t="s">
        <v>5215</v>
      </c>
      <c r="F1134" s="84" t="s">
        <v>9513</v>
      </c>
      <c r="G1134" s="85" t="s">
        <v>96</v>
      </c>
      <c r="H1134" s="87">
        <v>1.165E-4</v>
      </c>
      <c r="I1134" s="45"/>
      <c r="J1134" s="45"/>
      <c r="K1134" s="45"/>
      <c r="L1134" s="45"/>
      <c r="M1134" s="45"/>
      <c r="N1134" s="45"/>
      <c r="O1134" s="45"/>
      <c r="P1134" s="45"/>
      <c r="Q1134" s="45"/>
      <c r="R1134" s="45"/>
      <c r="S1134" s="45"/>
      <c r="T1134" s="45"/>
      <c r="U1134" s="45"/>
    </row>
    <row r="1135">
      <c r="A1135" s="84" t="s">
        <v>5546</v>
      </c>
      <c r="B1135" s="45"/>
      <c r="C1135" s="84" t="s">
        <v>5547</v>
      </c>
      <c r="D1135" s="45"/>
      <c r="E1135" s="84" t="s">
        <v>5241</v>
      </c>
      <c r="F1135" s="84" t="s">
        <v>5277</v>
      </c>
      <c r="G1135" s="85" t="s">
        <v>96</v>
      </c>
      <c r="H1135" s="87">
        <v>1.161E-4</v>
      </c>
      <c r="I1135" s="45"/>
      <c r="J1135" s="45"/>
      <c r="K1135" s="45"/>
      <c r="L1135" s="45"/>
      <c r="M1135" s="45"/>
      <c r="N1135" s="45"/>
      <c r="O1135" s="45"/>
      <c r="P1135" s="45"/>
      <c r="Q1135" s="45"/>
      <c r="R1135" s="45"/>
      <c r="S1135" s="45"/>
      <c r="T1135" s="45"/>
      <c r="U1135" s="45"/>
    </row>
    <row r="1136">
      <c r="A1136" s="84" t="s">
        <v>5768</v>
      </c>
      <c r="B1136" s="45"/>
      <c r="C1136" s="84" t="s">
        <v>11723</v>
      </c>
      <c r="D1136" s="45"/>
      <c r="E1136" s="84" t="s">
        <v>6191</v>
      </c>
      <c r="F1136" s="84" t="s">
        <v>4436</v>
      </c>
      <c r="G1136" s="85" t="s">
        <v>96</v>
      </c>
      <c r="H1136" s="87">
        <v>1.16E-4</v>
      </c>
      <c r="I1136" s="45"/>
      <c r="J1136" s="45"/>
      <c r="K1136" s="45"/>
      <c r="L1136" s="45"/>
      <c r="M1136" s="45"/>
      <c r="N1136" s="45"/>
      <c r="O1136" s="45"/>
      <c r="P1136" s="45"/>
      <c r="Q1136" s="45"/>
      <c r="R1136" s="45"/>
      <c r="S1136" s="45"/>
      <c r="T1136" s="45"/>
      <c r="U1136" s="45"/>
    </row>
    <row r="1137">
      <c r="A1137" s="84" t="s">
        <v>5745</v>
      </c>
      <c r="B1137" s="45"/>
      <c r="C1137" s="84" t="s">
        <v>5746</v>
      </c>
      <c r="D1137" s="45"/>
      <c r="E1137" s="84" t="s">
        <v>5291</v>
      </c>
      <c r="F1137" s="84" t="s">
        <v>5747</v>
      </c>
      <c r="G1137" s="85" t="s">
        <v>96</v>
      </c>
      <c r="H1137" s="87">
        <v>1.156E-4</v>
      </c>
      <c r="I1137" s="45"/>
      <c r="J1137" s="45"/>
      <c r="K1137" s="45"/>
      <c r="L1137" s="45"/>
      <c r="M1137" s="45"/>
      <c r="N1137" s="45"/>
      <c r="O1137" s="45"/>
      <c r="P1137" s="45"/>
      <c r="Q1137" s="45"/>
      <c r="R1137" s="45"/>
      <c r="S1137" s="45"/>
      <c r="T1137" s="45"/>
      <c r="U1137" s="45"/>
    </row>
    <row r="1138">
      <c r="A1138" s="84" t="s">
        <v>11724</v>
      </c>
      <c r="B1138" s="45"/>
      <c r="C1138" s="84" t="s">
        <v>11725</v>
      </c>
      <c r="D1138" s="45"/>
      <c r="E1138" s="84" t="s">
        <v>7471</v>
      </c>
      <c r="F1138" s="84" t="s">
        <v>5836</v>
      </c>
      <c r="G1138" s="85" t="s">
        <v>96</v>
      </c>
      <c r="H1138" s="87">
        <v>1.156E-4</v>
      </c>
      <c r="I1138" s="45"/>
      <c r="J1138" s="45"/>
      <c r="K1138" s="45"/>
      <c r="L1138" s="45"/>
      <c r="M1138" s="45"/>
      <c r="N1138" s="45"/>
      <c r="O1138" s="45"/>
      <c r="P1138" s="45"/>
      <c r="Q1138" s="45"/>
      <c r="R1138" s="45"/>
      <c r="S1138" s="45"/>
      <c r="T1138" s="45"/>
      <c r="U1138" s="45"/>
    </row>
    <row r="1139">
      <c r="A1139" s="84" t="s">
        <v>11726</v>
      </c>
      <c r="B1139" s="45"/>
      <c r="C1139" s="84" t="s">
        <v>11727</v>
      </c>
      <c r="D1139" s="45"/>
      <c r="E1139" s="84" t="s">
        <v>5448</v>
      </c>
      <c r="F1139" s="84" t="s">
        <v>5300</v>
      </c>
      <c r="G1139" s="85" t="s">
        <v>96</v>
      </c>
      <c r="H1139" s="87">
        <v>1.152E-4</v>
      </c>
      <c r="I1139" s="45"/>
      <c r="J1139" s="45"/>
      <c r="K1139" s="45"/>
      <c r="L1139" s="45"/>
      <c r="M1139" s="45"/>
      <c r="N1139" s="45"/>
      <c r="O1139" s="45"/>
      <c r="P1139" s="45"/>
      <c r="Q1139" s="45"/>
      <c r="R1139" s="45"/>
      <c r="S1139" s="45"/>
      <c r="T1139" s="45"/>
      <c r="U1139" s="45"/>
    </row>
    <row r="1140">
      <c r="A1140" s="84" t="s">
        <v>11728</v>
      </c>
      <c r="B1140" s="45"/>
      <c r="C1140" s="84" t="s">
        <v>11729</v>
      </c>
      <c r="D1140" s="45"/>
      <c r="E1140" s="84" t="s">
        <v>5276</v>
      </c>
      <c r="F1140" s="84" t="s">
        <v>5836</v>
      </c>
      <c r="G1140" s="85" t="s">
        <v>96</v>
      </c>
      <c r="H1140" s="87">
        <v>1.152E-4</v>
      </c>
      <c r="I1140" s="45"/>
      <c r="J1140" s="45"/>
      <c r="K1140" s="45"/>
      <c r="L1140" s="45"/>
      <c r="M1140" s="45"/>
      <c r="N1140" s="45"/>
      <c r="O1140" s="45"/>
      <c r="P1140" s="45"/>
      <c r="Q1140" s="45"/>
      <c r="R1140" s="45"/>
      <c r="S1140" s="45"/>
      <c r="T1140" s="45"/>
      <c r="U1140" s="45"/>
    </row>
    <row r="1141">
      <c r="A1141" s="84" t="s">
        <v>9964</v>
      </c>
      <c r="B1141" s="45"/>
      <c r="C1141" s="84" t="s">
        <v>9965</v>
      </c>
      <c r="D1141" s="45"/>
      <c r="E1141" s="84" t="s">
        <v>5450</v>
      </c>
      <c r="F1141" s="84" t="s">
        <v>5425</v>
      </c>
      <c r="G1141" s="85" t="s">
        <v>96</v>
      </c>
      <c r="H1141" s="87">
        <v>1.152E-4</v>
      </c>
      <c r="I1141" s="45"/>
      <c r="J1141" s="45"/>
      <c r="K1141" s="45"/>
      <c r="L1141" s="45"/>
      <c r="M1141" s="45"/>
      <c r="N1141" s="45"/>
      <c r="O1141" s="45"/>
      <c r="P1141" s="45"/>
      <c r="Q1141" s="45"/>
      <c r="R1141" s="45"/>
      <c r="S1141" s="45"/>
      <c r="T1141" s="45"/>
      <c r="U1141" s="45"/>
    </row>
    <row r="1142">
      <c r="A1142" s="84" t="s">
        <v>9543</v>
      </c>
      <c r="B1142" s="45"/>
      <c r="C1142" s="84" t="s">
        <v>8780</v>
      </c>
      <c r="D1142" s="45"/>
      <c r="E1142" s="84" t="s">
        <v>5218</v>
      </c>
      <c r="F1142" s="84" t="s">
        <v>8759</v>
      </c>
      <c r="G1142" s="85" t="s">
        <v>96</v>
      </c>
      <c r="H1142" s="87">
        <v>1.151E-4</v>
      </c>
      <c r="I1142" s="45"/>
      <c r="J1142" s="45"/>
      <c r="K1142" s="45"/>
      <c r="L1142" s="45"/>
      <c r="M1142" s="45"/>
      <c r="N1142" s="45"/>
      <c r="O1142" s="45"/>
      <c r="P1142" s="45"/>
      <c r="Q1142" s="45"/>
      <c r="R1142" s="45"/>
      <c r="S1142" s="45"/>
      <c r="T1142" s="45"/>
      <c r="U1142" s="45"/>
    </row>
    <row r="1143">
      <c r="A1143" s="84" t="s">
        <v>11730</v>
      </c>
      <c r="B1143" s="45"/>
      <c r="C1143" s="84" t="s">
        <v>11731</v>
      </c>
      <c r="D1143" s="45"/>
      <c r="E1143" s="84" t="s">
        <v>5422</v>
      </c>
      <c r="F1143" s="84" t="s">
        <v>4153</v>
      </c>
      <c r="G1143" s="85" t="s">
        <v>96</v>
      </c>
      <c r="H1143" s="87">
        <v>1.149E-4</v>
      </c>
      <c r="I1143" s="45"/>
      <c r="J1143" s="45"/>
      <c r="K1143" s="45"/>
      <c r="L1143" s="45"/>
      <c r="M1143" s="45"/>
      <c r="N1143" s="45"/>
      <c r="O1143" s="45"/>
      <c r="P1143" s="45"/>
      <c r="Q1143" s="45"/>
      <c r="R1143" s="45"/>
      <c r="S1143" s="45"/>
      <c r="T1143" s="45"/>
      <c r="U1143" s="45"/>
    </row>
    <row r="1144">
      <c r="A1144" s="84" t="s">
        <v>4708</v>
      </c>
      <c r="B1144" s="45"/>
      <c r="C1144" s="84" t="s">
        <v>11732</v>
      </c>
      <c r="D1144" s="45"/>
      <c r="E1144" s="84" t="s">
        <v>5264</v>
      </c>
      <c r="F1144" s="84" t="s">
        <v>5300</v>
      </c>
      <c r="G1144" s="85" t="s">
        <v>96</v>
      </c>
      <c r="H1144" s="87">
        <v>1.143E-4</v>
      </c>
      <c r="I1144" s="45"/>
      <c r="J1144" s="45"/>
      <c r="K1144" s="45"/>
      <c r="L1144" s="45"/>
      <c r="M1144" s="45"/>
      <c r="N1144" s="45"/>
      <c r="O1144" s="45"/>
      <c r="P1144" s="45"/>
      <c r="Q1144" s="45"/>
      <c r="R1144" s="45"/>
      <c r="S1144" s="45"/>
      <c r="T1144" s="45"/>
      <c r="U1144" s="45"/>
    </row>
    <row r="1145">
      <c r="A1145" s="84" t="s">
        <v>9935</v>
      </c>
      <c r="B1145" s="45"/>
      <c r="C1145" s="84" t="s">
        <v>9936</v>
      </c>
      <c r="D1145" s="45"/>
      <c r="E1145" s="84" t="s">
        <v>9937</v>
      </c>
      <c r="F1145" s="84" t="s">
        <v>8784</v>
      </c>
      <c r="G1145" s="85" t="s">
        <v>96</v>
      </c>
      <c r="H1145" s="87">
        <v>1.14E-4</v>
      </c>
      <c r="I1145" s="45"/>
      <c r="J1145" s="45"/>
      <c r="K1145" s="45"/>
      <c r="L1145" s="45"/>
      <c r="M1145" s="45"/>
      <c r="N1145" s="45"/>
      <c r="O1145" s="45"/>
      <c r="P1145" s="45"/>
      <c r="Q1145" s="45"/>
      <c r="R1145" s="45"/>
      <c r="S1145" s="45"/>
      <c r="T1145" s="45"/>
      <c r="U1145" s="45"/>
    </row>
    <row r="1146">
      <c r="A1146" s="84" t="s">
        <v>9978</v>
      </c>
      <c r="B1146" s="45"/>
      <c r="C1146" s="84" t="s">
        <v>9979</v>
      </c>
      <c r="D1146" s="45"/>
      <c r="E1146" s="84" t="s">
        <v>5238</v>
      </c>
      <c r="F1146" s="84" t="s">
        <v>5425</v>
      </c>
      <c r="G1146" s="85" t="s">
        <v>96</v>
      </c>
      <c r="H1146" s="87">
        <v>1.14E-4</v>
      </c>
      <c r="I1146" s="45"/>
      <c r="J1146" s="45"/>
      <c r="K1146" s="45"/>
      <c r="L1146" s="45"/>
      <c r="M1146" s="45"/>
      <c r="N1146" s="45"/>
      <c r="O1146" s="45"/>
      <c r="P1146" s="45"/>
      <c r="Q1146" s="45"/>
      <c r="R1146" s="45"/>
      <c r="S1146" s="45"/>
      <c r="T1146" s="45"/>
      <c r="U1146" s="45"/>
    </row>
    <row r="1147">
      <c r="A1147" s="84" t="s">
        <v>4700</v>
      </c>
      <c r="B1147" s="45"/>
      <c r="C1147" s="84" t="s">
        <v>9940</v>
      </c>
      <c r="D1147" s="45"/>
      <c r="E1147" s="84" t="s">
        <v>6115</v>
      </c>
      <c r="F1147" s="84" t="s">
        <v>5300</v>
      </c>
      <c r="G1147" s="85" t="s">
        <v>96</v>
      </c>
      <c r="H1147" s="87">
        <v>1.137E-4</v>
      </c>
      <c r="I1147" s="45"/>
      <c r="J1147" s="45"/>
      <c r="K1147" s="45"/>
      <c r="L1147" s="45"/>
      <c r="M1147" s="45"/>
      <c r="N1147" s="45"/>
      <c r="O1147" s="45"/>
      <c r="P1147" s="45"/>
      <c r="Q1147" s="45"/>
      <c r="R1147" s="45"/>
      <c r="S1147" s="45"/>
      <c r="T1147" s="45"/>
      <c r="U1147" s="45"/>
    </row>
    <row r="1148">
      <c r="A1148" s="84" t="s">
        <v>11733</v>
      </c>
      <c r="B1148" s="45"/>
      <c r="C1148" s="84" t="s">
        <v>11734</v>
      </c>
      <c r="D1148" s="45"/>
      <c r="E1148" s="84" t="s">
        <v>5382</v>
      </c>
      <c r="F1148" s="84" t="s">
        <v>5836</v>
      </c>
      <c r="G1148" s="85" t="s">
        <v>96</v>
      </c>
      <c r="H1148" s="87">
        <v>1.137E-4</v>
      </c>
      <c r="I1148" s="45"/>
      <c r="J1148" s="45"/>
      <c r="K1148" s="45"/>
      <c r="L1148" s="45"/>
      <c r="M1148" s="45"/>
      <c r="N1148" s="45"/>
      <c r="O1148" s="45"/>
      <c r="P1148" s="45"/>
      <c r="Q1148" s="45"/>
      <c r="R1148" s="45"/>
      <c r="S1148" s="45"/>
      <c r="T1148" s="45"/>
      <c r="U1148" s="45"/>
    </row>
    <row r="1149">
      <c r="A1149" s="84" t="s">
        <v>11735</v>
      </c>
      <c r="B1149" s="45"/>
      <c r="C1149" s="84" t="s">
        <v>3119</v>
      </c>
      <c r="D1149" s="45"/>
      <c r="E1149" s="84" t="s">
        <v>5989</v>
      </c>
      <c r="F1149" s="84" t="s">
        <v>9617</v>
      </c>
      <c r="G1149" s="85" t="s">
        <v>96</v>
      </c>
      <c r="H1149" s="87">
        <v>1.136E-4</v>
      </c>
      <c r="I1149" s="45"/>
      <c r="J1149" s="45"/>
      <c r="K1149" s="45"/>
      <c r="L1149" s="45"/>
      <c r="M1149" s="45"/>
      <c r="N1149" s="45"/>
      <c r="O1149" s="45"/>
      <c r="P1149" s="45"/>
      <c r="Q1149" s="45"/>
      <c r="R1149" s="45"/>
      <c r="S1149" s="45"/>
      <c r="T1149" s="45"/>
      <c r="U1149" s="45"/>
    </row>
    <row r="1150">
      <c r="A1150" s="84" t="s">
        <v>6517</v>
      </c>
      <c r="B1150" s="45"/>
      <c r="C1150" s="84" t="s">
        <v>11736</v>
      </c>
      <c r="D1150" s="45"/>
      <c r="E1150" s="84" t="s">
        <v>5390</v>
      </c>
      <c r="F1150" s="84" t="s">
        <v>8784</v>
      </c>
      <c r="G1150" s="85" t="s">
        <v>96</v>
      </c>
      <c r="H1150" s="87">
        <v>1.133E-4</v>
      </c>
      <c r="I1150" s="45"/>
      <c r="J1150" s="45"/>
      <c r="K1150" s="45"/>
      <c r="L1150" s="45"/>
      <c r="M1150" s="45"/>
      <c r="N1150" s="45"/>
      <c r="O1150" s="45"/>
      <c r="P1150" s="45"/>
      <c r="Q1150" s="45"/>
      <c r="R1150" s="45"/>
      <c r="S1150" s="45"/>
      <c r="T1150" s="45"/>
      <c r="U1150" s="45"/>
    </row>
    <row r="1151">
      <c r="A1151" s="84" t="s">
        <v>5336</v>
      </c>
      <c r="B1151" s="45"/>
      <c r="C1151" s="84" t="s">
        <v>9949</v>
      </c>
      <c r="D1151" s="45"/>
      <c r="E1151" s="84" t="s">
        <v>5366</v>
      </c>
      <c r="F1151" s="84" t="s">
        <v>5747</v>
      </c>
      <c r="G1151" s="85" t="s">
        <v>96</v>
      </c>
      <c r="H1151" s="87">
        <v>1.133E-4</v>
      </c>
      <c r="I1151" s="45"/>
      <c r="J1151" s="45"/>
      <c r="K1151" s="45"/>
      <c r="L1151" s="45"/>
      <c r="M1151" s="45"/>
      <c r="N1151" s="45"/>
      <c r="O1151" s="45"/>
      <c r="P1151" s="45"/>
      <c r="Q1151" s="45"/>
      <c r="R1151" s="45"/>
      <c r="S1151" s="45"/>
      <c r="T1151" s="45"/>
      <c r="U1151" s="45"/>
    </row>
    <row r="1152">
      <c r="A1152" s="84" t="s">
        <v>6896</v>
      </c>
      <c r="B1152" s="45"/>
      <c r="C1152" s="84" t="s">
        <v>9969</v>
      </c>
      <c r="D1152" s="45"/>
      <c r="E1152" s="84" t="s">
        <v>6266</v>
      </c>
      <c r="F1152" s="84" t="s">
        <v>5747</v>
      </c>
      <c r="G1152" s="85" t="s">
        <v>96</v>
      </c>
      <c r="H1152" s="87">
        <v>1.131E-4</v>
      </c>
      <c r="I1152" s="45"/>
      <c r="J1152" s="45"/>
      <c r="K1152" s="45"/>
      <c r="L1152" s="45"/>
      <c r="M1152" s="45"/>
      <c r="N1152" s="45"/>
      <c r="O1152" s="45"/>
      <c r="P1152" s="45"/>
      <c r="Q1152" s="45"/>
      <c r="R1152" s="45"/>
      <c r="S1152" s="45"/>
      <c r="T1152" s="45"/>
      <c r="U1152" s="45"/>
    </row>
    <row r="1153">
      <c r="A1153" s="84" t="s">
        <v>11737</v>
      </c>
      <c r="B1153" s="45"/>
      <c r="C1153" s="84" t="s">
        <v>11738</v>
      </c>
      <c r="D1153" s="45"/>
      <c r="E1153" s="84" t="s">
        <v>5335</v>
      </c>
      <c r="F1153" s="84" t="s">
        <v>8759</v>
      </c>
      <c r="G1153" s="85" t="s">
        <v>96</v>
      </c>
      <c r="H1153" s="87">
        <v>1.131E-4</v>
      </c>
      <c r="I1153" s="45"/>
      <c r="J1153" s="45"/>
      <c r="K1153" s="45"/>
      <c r="L1153" s="45"/>
      <c r="M1153" s="45"/>
      <c r="N1153" s="45"/>
      <c r="O1153" s="45"/>
      <c r="P1153" s="45"/>
      <c r="Q1153" s="45"/>
      <c r="R1153" s="45"/>
      <c r="S1153" s="45"/>
      <c r="T1153" s="45"/>
      <c r="U1153" s="45"/>
    </row>
    <row r="1154">
      <c r="A1154" s="84" t="s">
        <v>9947</v>
      </c>
      <c r="B1154" s="45"/>
      <c r="C1154" s="84" t="s">
        <v>9948</v>
      </c>
      <c r="D1154" s="45"/>
      <c r="E1154" s="84" t="s">
        <v>5513</v>
      </c>
      <c r="F1154" s="84" t="s">
        <v>8784</v>
      </c>
      <c r="G1154" s="85" t="s">
        <v>96</v>
      </c>
      <c r="H1154" s="87">
        <v>1.129E-4</v>
      </c>
      <c r="I1154" s="45"/>
      <c r="J1154" s="45"/>
      <c r="K1154" s="45"/>
      <c r="L1154" s="45"/>
      <c r="M1154" s="45"/>
      <c r="N1154" s="45"/>
      <c r="O1154" s="45"/>
      <c r="P1154" s="45"/>
      <c r="Q1154" s="45"/>
      <c r="R1154" s="45"/>
      <c r="S1154" s="45"/>
      <c r="T1154" s="45"/>
      <c r="U1154" s="45"/>
    </row>
    <row r="1155">
      <c r="A1155" s="84" t="s">
        <v>9951</v>
      </c>
      <c r="B1155" s="45"/>
      <c r="C1155" s="84" t="s">
        <v>9952</v>
      </c>
      <c r="D1155" s="45"/>
      <c r="E1155" s="84" t="s">
        <v>7476</v>
      </c>
      <c r="F1155" s="84" t="s">
        <v>5425</v>
      </c>
      <c r="G1155" s="85" t="s">
        <v>96</v>
      </c>
      <c r="H1155" s="87">
        <v>1.126E-4</v>
      </c>
      <c r="I1155" s="45"/>
      <c r="J1155" s="45"/>
      <c r="K1155" s="45"/>
      <c r="L1155" s="45"/>
      <c r="M1155" s="45"/>
      <c r="N1155" s="45"/>
      <c r="O1155" s="45"/>
      <c r="P1155" s="45"/>
      <c r="Q1155" s="45"/>
      <c r="R1155" s="45"/>
      <c r="S1155" s="45"/>
      <c r="T1155" s="45"/>
      <c r="U1155" s="45"/>
    </row>
    <row r="1156">
      <c r="A1156" s="84" t="s">
        <v>9999</v>
      </c>
      <c r="B1156" s="45"/>
      <c r="C1156" s="84" t="s">
        <v>10000</v>
      </c>
      <c r="D1156" s="45"/>
      <c r="E1156" s="84" t="s">
        <v>5276</v>
      </c>
      <c r="F1156" s="84" t="s">
        <v>8784</v>
      </c>
      <c r="G1156" s="85" t="s">
        <v>96</v>
      </c>
      <c r="H1156" s="87">
        <v>1.126E-4</v>
      </c>
      <c r="I1156" s="45"/>
      <c r="J1156" s="45"/>
      <c r="K1156" s="45"/>
      <c r="L1156" s="45"/>
      <c r="M1156" s="45"/>
      <c r="N1156" s="45"/>
      <c r="O1156" s="45"/>
      <c r="P1156" s="45"/>
      <c r="Q1156" s="45"/>
      <c r="R1156" s="45"/>
      <c r="S1156" s="45"/>
      <c r="T1156" s="45"/>
      <c r="U1156" s="45"/>
    </row>
    <row r="1157">
      <c r="A1157" s="84" t="s">
        <v>9941</v>
      </c>
      <c r="B1157" s="45"/>
      <c r="C1157" s="84" t="s">
        <v>9942</v>
      </c>
      <c r="D1157" s="45"/>
      <c r="E1157" s="84" t="s">
        <v>5229</v>
      </c>
      <c r="F1157" s="84" t="s">
        <v>5941</v>
      </c>
      <c r="G1157" s="85" t="s">
        <v>96</v>
      </c>
      <c r="H1157" s="87">
        <v>1.124E-4</v>
      </c>
      <c r="I1157" s="45"/>
      <c r="J1157" s="45"/>
      <c r="K1157" s="45"/>
      <c r="L1157" s="45"/>
      <c r="M1157" s="45"/>
      <c r="N1157" s="45"/>
      <c r="O1157" s="45"/>
      <c r="P1157" s="45"/>
      <c r="Q1157" s="45"/>
      <c r="R1157" s="45"/>
      <c r="S1157" s="45"/>
      <c r="T1157" s="45"/>
      <c r="U1157" s="45"/>
    </row>
    <row r="1158">
      <c r="A1158" s="84" t="s">
        <v>4516</v>
      </c>
      <c r="B1158" s="45"/>
      <c r="C1158" s="84" t="s">
        <v>11739</v>
      </c>
      <c r="D1158" s="45"/>
      <c r="E1158" s="84" t="s">
        <v>5258</v>
      </c>
      <c r="F1158" s="84" t="s">
        <v>5836</v>
      </c>
      <c r="G1158" s="85" t="s">
        <v>96</v>
      </c>
      <c r="H1158" s="87">
        <v>1.123E-4</v>
      </c>
      <c r="I1158" s="45"/>
      <c r="J1158" s="45"/>
      <c r="K1158" s="45"/>
      <c r="L1158" s="45"/>
      <c r="M1158" s="45"/>
      <c r="N1158" s="45"/>
      <c r="O1158" s="45"/>
      <c r="P1158" s="45"/>
      <c r="Q1158" s="45"/>
      <c r="R1158" s="45"/>
      <c r="S1158" s="45"/>
      <c r="T1158" s="45"/>
      <c r="U1158" s="45"/>
    </row>
    <row r="1159">
      <c r="A1159" s="84" t="s">
        <v>11740</v>
      </c>
      <c r="B1159" s="45"/>
      <c r="C1159" s="84" t="s">
        <v>11741</v>
      </c>
      <c r="D1159" s="45"/>
      <c r="E1159" s="84" t="s">
        <v>5229</v>
      </c>
      <c r="F1159" s="84" t="s">
        <v>5836</v>
      </c>
      <c r="G1159" s="85" t="s">
        <v>96</v>
      </c>
      <c r="H1159" s="87">
        <v>1.122E-4</v>
      </c>
      <c r="I1159" s="45"/>
      <c r="J1159" s="45"/>
      <c r="K1159" s="45"/>
      <c r="L1159" s="45"/>
      <c r="M1159" s="45"/>
      <c r="N1159" s="45"/>
      <c r="O1159" s="45"/>
      <c r="P1159" s="45"/>
      <c r="Q1159" s="45"/>
      <c r="R1159" s="45"/>
      <c r="S1159" s="45"/>
      <c r="T1159" s="45"/>
      <c r="U1159" s="45"/>
    </row>
    <row r="1160">
      <c r="A1160" s="84" t="s">
        <v>11742</v>
      </c>
      <c r="B1160" s="45"/>
      <c r="C1160" s="84" t="s">
        <v>11743</v>
      </c>
      <c r="D1160" s="45"/>
      <c r="E1160" s="84" t="s">
        <v>8951</v>
      </c>
      <c r="F1160" s="84" t="s">
        <v>5300</v>
      </c>
      <c r="G1160" s="85" t="s">
        <v>96</v>
      </c>
      <c r="H1160" s="87">
        <v>1.12E-4</v>
      </c>
      <c r="I1160" s="45"/>
      <c r="J1160" s="45"/>
      <c r="K1160" s="45"/>
      <c r="L1160" s="45"/>
      <c r="M1160" s="45"/>
      <c r="N1160" s="45"/>
      <c r="O1160" s="45"/>
      <c r="P1160" s="45"/>
      <c r="Q1160" s="45"/>
      <c r="R1160" s="45"/>
      <c r="S1160" s="45"/>
      <c r="T1160" s="45"/>
      <c r="U1160" s="45"/>
    </row>
    <row r="1161">
      <c r="A1161" s="84" t="s">
        <v>11744</v>
      </c>
      <c r="B1161" s="45"/>
      <c r="C1161" s="84" t="s">
        <v>11745</v>
      </c>
      <c r="D1161" s="45"/>
      <c r="E1161" s="84" t="s">
        <v>6012</v>
      </c>
      <c r="F1161" s="84" t="s">
        <v>9414</v>
      </c>
      <c r="G1161" s="85" t="s">
        <v>96</v>
      </c>
      <c r="H1161" s="87">
        <v>1.116E-4</v>
      </c>
      <c r="I1161" s="45"/>
      <c r="J1161" s="45"/>
      <c r="K1161" s="45"/>
      <c r="L1161" s="45"/>
      <c r="M1161" s="45"/>
      <c r="N1161" s="45"/>
      <c r="O1161" s="45"/>
      <c r="P1161" s="45"/>
      <c r="Q1161" s="45"/>
      <c r="R1161" s="45"/>
      <c r="S1161" s="45"/>
      <c r="T1161" s="45"/>
      <c r="U1161" s="45"/>
    </row>
    <row r="1162">
      <c r="A1162" s="84" t="s">
        <v>10113</v>
      </c>
      <c r="B1162" s="45"/>
      <c r="C1162" s="84" t="s">
        <v>10114</v>
      </c>
      <c r="D1162" s="45"/>
      <c r="E1162" s="84" t="s">
        <v>5735</v>
      </c>
      <c r="F1162" s="84" t="s">
        <v>5425</v>
      </c>
      <c r="G1162" s="85" t="s">
        <v>96</v>
      </c>
      <c r="H1162" s="87">
        <v>1.116E-4</v>
      </c>
      <c r="I1162" s="45"/>
      <c r="J1162" s="45"/>
      <c r="K1162" s="45"/>
      <c r="L1162" s="45"/>
      <c r="M1162" s="45"/>
      <c r="N1162" s="45"/>
      <c r="O1162" s="45"/>
      <c r="P1162" s="45"/>
      <c r="Q1162" s="45"/>
      <c r="R1162" s="45"/>
      <c r="S1162" s="45"/>
      <c r="T1162" s="45"/>
      <c r="U1162" s="45"/>
    </row>
    <row r="1163">
      <c r="A1163" s="84" t="s">
        <v>9556</v>
      </c>
      <c r="B1163" s="45"/>
      <c r="C1163" s="84" t="s">
        <v>9557</v>
      </c>
      <c r="D1163" s="45"/>
      <c r="E1163" s="84" t="s">
        <v>6130</v>
      </c>
      <c r="F1163" s="84" t="s">
        <v>8759</v>
      </c>
      <c r="G1163" s="85" t="s">
        <v>96</v>
      </c>
      <c r="H1163" s="87">
        <v>1.113E-4</v>
      </c>
      <c r="I1163" s="45"/>
      <c r="J1163" s="45"/>
      <c r="K1163" s="45"/>
      <c r="L1163" s="45"/>
      <c r="M1163" s="45"/>
      <c r="N1163" s="45"/>
      <c r="O1163" s="45"/>
      <c r="P1163" s="45"/>
      <c r="Q1163" s="45"/>
      <c r="R1163" s="45"/>
      <c r="S1163" s="45"/>
      <c r="T1163" s="45"/>
      <c r="U1163" s="45"/>
    </row>
    <row r="1164">
      <c r="A1164" s="84" t="s">
        <v>10095</v>
      </c>
      <c r="B1164" s="45"/>
      <c r="C1164" s="84" t="s">
        <v>10096</v>
      </c>
      <c r="D1164" s="45"/>
      <c r="E1164" s="84" t="s">
        <v>5341</v>
      </c>
      <c r="F1164" s="84" t="s">
        <v>8784</v>
      </c>
      <c r="G1164" s="85" t="s">
        <v>96</v>
      </c>
      <c r="H1164" s="87">
        <v>1.111E-4</v>
      </c>
      <c r="I1164" s="45"/>
      <c r="J1164" s="45"/>
      <c r="K1164" s="45"/>
      <c r="L1164" s="45"/>
      <c r="M1164" s="45"/>
      <c r="N1164" s="45"/>
      <c r="O1164" s="45"/>
      <c r="P1164" s="45"/>
      <c r="Q1164" s="45"/>
      <c r="R1164" s="45"/>
      <c r="S1164" s="45"/>
      <c r="T1164" s="45"/>
      <c r="U1164" s="45"/>
    </row>
    <row r="1165">
      <c r="A1165" s="84" t="s">
        <v>10106</v>
      </c>
      <c r="B1165" s="45"/>
      <c r="C1165" s="84" t="s">
        <v>10107</v>
      </c>
      <c r="D1165" s="45"/>
      <c r="E1165" s="84" t="s">
        <v>6040</v>
      </c>
      <c r="F1165" s="84" t="s">
        <v>8759</v>
      </c>
      <c r="G1165" s="85" t="s">
        <v>96</v>
      </c>
      <c r="H1165" s="87">
        <v>1.103E-4</v>
      </c>
      <c r="I1165" s="45"/>
      <c r="J1165" s="45"/>
      <c r="K1165" s="45"/>
      <c r="L1165" s="45"/>
      <c r="M1165" s="45"/>
      <c r="N1165" s="45"/>
      <c r="O1165" s="45"/>
      <c r="P1165" s="45"/>
      <c r="Q1165" s="45"/>
      <c r="R1165" s="45"/>
      <c r="S1165" s="45"/>
      <c r="T1165" s="45"/>
      <c r="U1165" s="45"/>
    </row>
    <row r="1166">
      <c r="A1166" s="84" t="s">
        <v>9974</v>
      </c>
      <c r="B1166" s="45"/>
      <c r="C1166" s="84" t="s">
        <v>9975</v>
      </c>
      <c r="D1166" s="45"/>
      <c r="E1166" s="84" t="s">
        <v>5450</v>
      </c>
      <c r="F1166" s="84" t="s">
        <v>5425</v>
      </c>
      <c r="G1166" s="85" t="s">
        <v>96</v>
      </c>
      <c r="H1166" s="87">
        <v>1.096E-4</v>
      </c>
      <c r="I1166" s="45"/>
      <c r="J1166" s="45"/>
      <c r="K1166" s="45"/>
      <c r="L1166" s="45"/>
      <c r="M1166" s="45"/>
      <c r="N1166" s="45"/>
      <c r="O1166" s="45"/>
      <c r="P1166" s="45"/>
      <c r="Q1166" s="45"/>
      <c r="R1166" s="45"/>
      <c r="S1166" s="45"/>
      <c r="T1166" s="45"/>
      <c r="U1166" s="45"/>
    </row>
    <row r="1167">
      <c r="A1167" s="84" t="s">
        <v>11746</v>
      </c>
      <c r="B1167" s="45"/>
      <c r="C1167" s="84" t="s">
        <v>11747</v>
      </c>
      <c r="D1167" s="45"/>
      <c r="E1167" s="84" t="s">
        <v>7181</v>
      </c>
      <c r="F1167" s="84" t="s">
        <v>4153</v>
      </c>
      <c r="G1167" s="85" t="s">
        <v>96</v>
      </c>
      <c r="H1167" s="87">
        <v>1.094E-4</v>
      </c>
      <c r="I1167" s="45"/>
      <c r="J1167" s="45"/>
      <c r="K1167" s="45"/>
      <c r="L1167" s="45"/>
      <c r="M1167" s="45"/>
      <c r="N1167" s="45"/>
      <c r="O1167" s="45"/>
      <c r="P1167" s="45"/>
      <c r="Q1167" s="45"/>
      <c r="R1167" s="45"/>
      <c r="S1167" s="45"/>
      <c r="T1167" s="45"/>
      <c r="U1167" s="45"/>
    </row>
    <row r="1168">
      <c r="A1168" s="84" t="s">
        <v>11748</v>
      </c>
      <c r="B1168" s="45"/>
      <c r="C1168" s="84" t="s">
        <v>11749</v>
      </c>
      <c r="D1168" s="45"/>
      <c r="E1168" s="84" t="s">
        <v>5348</v>
      </c>
      <c r="F1168" s="84" t="s">
        <v>5836</v>
      </c>
      <c r="G1168" s="85" t="s">
        <v>96</v>
      </c>
      <c r="H1168" s="87">
        <v>1.09E-4</v>
      </c>
      <c r="I1168" s="45"/>
      <c r="J1168" s="45"/>
      <c r="K1168" s="45"/>
      <c r="L1168" s="45"/>
      <c r="M1168" s="45"/>
      <c r="N1168" s="45"/>
      <c r="O1168" s="45"/>
      <c r="P1168" s="45"/>
      <c r="Q1168" s="45"/>
      <c r="R1168" s="45"/>
      <c r="S1168" s="45"/>
      <c r="T1168" s="45"/>
      <c r="U1168" s="45"/>
    </row>
    <row r="1169">
      <c r="A1169" s="84" t="s">
        <v>10044</v>
      </c>
      <c r="B1169" s="45"/>
      <c r="C1169" s="84" t="s">
        <v>10045</v>
      </c>
      <c r="D1169" s="45"/>
      <c r="E1169" s="84" t="s">
        <v>5309</v>
      </c>
      <c r="F1169" s="84" t="s">
        <v>4095</v>
      </c>
      <c r="G1169" s="85" t="s">
        <v>96</v>
      </c>
      <c r="H1169" s="87">
        <v>1.086E-4</v>
      </c>
      <c r="I1169" s="45"/>
      <c r="J1169" s="45"/>
      <c r="K1169" s="45"/>
      <c r="L1169" s="45"/>
      <c r="M1169" s="45"/>
      <c r="N1169" s="45"/>
      <c r="O1169" s="45"/>
      <c r="P1169" s="45"/>
      <c r="Q1169" s="45"/>
      <c r="R1169" s="45"/>
      <c r="S1169" s="45"/>
      <c r="T1169" s="45"/>
      <c r="U1169" s="45"/>
    </row>
    <row r="1170">
      <c r="A1170" s="84" t="s">
        <v>10147</v>
      </c>
      <c r="B1170" s="45"/>
      <c r="C1170" s="84" t="s">
        <v>10148</v>
      </c>
      <c r="D1170" s="45"/>
      <c r="E1170" s="84" t="s">
        <v>9937</v>
      </c>
      <c r="F1170" s="84" t="s">
        <v>8784</v>
      </c>
      <c r="G1170" s="85" t="s">
        <v>96</v>
      </c>
      <c r="H1170" s="87">
        <v>1.078E-4</v>
      </c>
      <c r="I1170" s="45"/>
      <c r="J1170" s="45"/>
      <c r="K1170" s="45"/>
      <c r="L1170" s="45"/>
      <c r="M1170" s="45"/>
      <c r="N1170" s="45"/>
      <c r="O1170" s="45"/>
      <c r="P1170" s="45"/>
      <c r="Q1170" s="45"/>
      <c r="R1170" s="45"/>
      <c r="S1170" s="45"/>
      <c r="T1170" s="45"/>
      <c r="U1170" s="45"/>
    </row>
    <row r="1171">
      <c r="A1171" s="84" t="s">
        <v>11750</v>
      </c>
      <c r="B1171" s="45"/>
      <c r="C1171" s="84" t="s">
        <v>11751</v>
      </c>
      <c r="D1171" s="45"/>
      <c r="E1171" s="84" t="s">
        <v>6191</v>
      </c>
      <c r="F1171" s="84" t="s">
        <v>8784</v>
      </c>
      <c r="G1171" s="85" t="s">
        <v>96</v>
      </c>
      <c r="H1171" s="87">
        <v>1.077E-4</v>
      </c>
      <c r="I1171" s="45"/>
      <c r="J1171" s="45"/>
      <c r="K1171" s="45"/>
      <c r="L1171" s="45"/>
      <c r="M1171" s="45"/>
      <c r="N1171" s="45"/>
      <c r="O1171" s="45"/>
      <c r="P1171" s="45"/>
      <c r="Q1171" s="45"/>
      <c r="R1171" s="45"/>
      <c r="S1171" s="45"/>
      <c r="T1171" s="45"/>
      <c r="U1171" s="45"/>
    </row>
    <row r="1172">
      <c r="A1172" s="84" t="s">
        <v>11752</v>
      </c>
      <c r="B1172" s="45"/>
      <c r="C1172" s="84" t="s">
        <v>11753</v>
      </c>
      <c r="D1172" s="45"/>
      <c r="E1172" s="84" t="s">
        <v>6191</v>
      </c>
      <c r="F1172" s="84" t="s">
        <v>4153</v>
      </c>
      <c r="G1172" s="85" t="s">
        <v>96</v>
      </c>
      <c r="H1172" s="87">
        <v>1.076E-4</v>
      </c>
      <c r="I1172" s="45"/>
      <c r="J1172" s="45"/>
      <c r="K1172" s="45"/>
      <c r="L1172" s="45"/>
      <c r="M1172" s="45"/>
      <c r="N1172" s="45"/>
      <c r="O1172" s="45"/>
      <c r="P1172" s="45"/>
      <c r="Q1172" s="45"/>
      <c r="R1172" s="45"/>
      <c r="S1172" s="45"/>
      <c r="T1172" s="45"/>
      <c r="U1172" s="45"/>
    </row>
    <row r="1173">
      <c r="A1173" s="84" t="s">
        <v>10072</v>
      </c>
      <c r="B1173" s="45"/>
      <c r="C1173" s="84" t="s">
        <v>10073</v>
      </c>
      <c r="D1173" s="45"/>
      <c r="E1173" s="84" t="s">
        <v>5459</v>
      </c>
      <c r="F1173" s="84" t="s">
        <v>5747</v>
      </c>
      <c r="G1173" s="85" t="s">
        <v>96</v>
      </c>
      <c r="H1173" s="87">
        <v>1.075E-4</v>
      </c>
      <c r="I1173" s="45"/>
      <c r="J1173" s="45"/>
      <c r="K1173" s="45"/>
      <c r="L1173" s="45"/>
      <c r="M1173" s="45"/>
      <c r="N1173" s="45"/>
      <c r="O1173" s="45"/>
      <c r="P1173" s="45"/>
      <c r="Q1173" s="45"/>
      <c r="R1173" s="45"/>
      <c r="S1173" s="45"/>
      <c r="T1173" s="45"/>
      <c r="U1173" s="45"/>
    </row>
    <row r="1174">
      <c r="A1174" s="84" t="s">
        <v>11754</v>
      </c>
      <c r="B1174" s="45"/>
      <c r="C1174" s="84" t="s">
        <v>11755</v>
      </c>
      <c r="D1174" s="45"/>
      <c r="E1174" s="84" t="s">
        <v>5390</v>
      </c>
      <c r="F1174" s="84" t="s">
        <v>8784</v>
      </c>
      <c r="G1174" s="85" t="s">
        <v>96</v>
      </c>
      <c r="H1174" s="87">
        <v>1.074E-4</v>
      </c>
      <c r="I1174" s="45"/>
      <c r="J1174" s="45"/>
      <c r="K1174" s="45"/>
      <c r="L1174" s="45"/>
      <c r="M1174" s="45"/>
      <c r="N1174" s="45"/>
      <c r="O1174" s="45"/>
      <c r="P1174" s="45"/>
      <c r="Q1174" s="45"/>
      <c r="R1174" s="45"/>
      <c r="S1174" s="45"/>
      <c r="T1174" s="45"/>
      <c r="U1174" s="45"/>
    </row>
    <row r="1175">
      <c r="A1175" s="84" t="s">
        <v>10058</v>
      </c>
      <c r="B1175" s="45"/>
      <c r="C1175" s="84" t="s">
        <v>10059</v>
      </c>
      <c r="D1175" s="45"/>
      <c r="E1175" s="84" t="s">
        <v>5434</v>
      </c>
      <c r="F1175" s="84" t="s">
        <v>9299</v>
      </c>
      <c r="G1175" s="85" t="s">
        <v>96</v>
      </c>
      <c r="H1175" s="87">
        <v>1.073E-4</v>
      </c>
      <c r="I1175" s="45"/>
      <c r="J1175" s="45"/>
      <c r="K1175" s="45"/>
      <c r="L1175" s="45"/>
      <c r="M1175" s="45"/>
      <c r="N1175" s="45"/>
      <c r="O1175" s="45"/>
      <c r="P1175" s="45"/>
      <c r="Q1175" s="45"/>
      <c r="R1175" s="45"/>
      <c r="S1175" s="45"/>
      <c r="T1175" s="45"/>
      <c r="U1175" s="45"/>
    </row>
    <row r="1176">
      <c r="A1176" s="84" t="s">
        <v>10038</v>
      </c>
      <c r="B1176" s="45"/>
      <c r="C1176" s="84" t="s">
        <v>10039</v>
      </c>
      <c r="D1176" s="45"/>
      <c r="E1176" s="84" t="s">
        <v>5249</v>
      </c>
      <c r="F1176" s="84" t="s">
        <v>5425</v>
      </c>
      <c r="G1176" s="85" t="s">
        <v>96</v>
      </c>
      <c r="H1176" s="87">
        <v>1.071E-4</v>
      </c>
      <c r="I1176" s="45"/>
      <c r="J1176" s="45"/>
      <c r="K1176" s="45"/>
      <c r="L1176" s="45"/>
      <c r="M1176" s="45"/>
      <c r="N1176" s="45"/>
      <c r="O1176" s="45"/>
      <c r="P1176" s="45"/>
      <c r="Q1176" s="45"/>
      <c r="R1176" s="45"/>
      <c r="S1176" s="45"/>
      <c r="T1176" s="45"/>
      <c r="U1176" s="45"/>
    </row>
    <row r="1177">
      <c r="A1177" s="84" t="s">
        <v>11756</v>
      </c>
      <c r="B1177" s="45"/>
      <c r="C1177" s="84" t="s">
        <v>11431</v>
      </c>
      <c r="D1177" s="45"/>
      <c r="E1177" s="84" t="s">
        <v>5288</v>
      </c>
      <c r="F1177" s="84" t="s">
        <v>5747</v>
      </c>
      <c r="G1177" s="85" t="s">
        <v>96</v>
      </c>
      <c r="H1177" s="87">
        <v>1.068E-4</v>
      </c>
      <c r="I1177" s="45"/>
      <c r="J1177" s="45"/>
      <c r="K1177" s="45"/>
      <c r="L1177" s="45"/>
      <c r="M1177" s="45"/>
      <c r="N1177" s="45"/>
      <c r="O1177" s="45"/>
      <c r="P1177" s="45"/>
      <c r="Q1177" s="45"/>
      <c r="R1177" s="45"/>
      <c r="S1177" s="45"/>
      <c r="T1177" s="45"/>
      <c r="U1177" s="45"/>
    </row>
    <row r="1178">
      <c r="A1178" s="84" t="s">
        <v>11757</v>
      </c>
      <c r="B1178" s="45"/>
      <c r="C1178" s="84" t="s">
        <v>11758</v>
      </c>
      <c r="D1178" s="45"/>
      <c r="E1178" s="84" t="s">
        <v>5338</v>
      </c>
      <c r="F1178" s="84" t="s">
        <v>5836</v>
      </c>
      <c r="G1178" s="85" t="s">
        <v>96</v>
      </c>
      <c r="H1178" s="87">
        <v>1.062E-4</v>
      </c>
      <c r="I1178" s="45"/>
      <c r="J1178" s="45"/>
      <c r="K1178" s="45"/>
      <c r="L1178" s="45"/>
      <c r="M1178" s="45"/>
      <c r="N1178" s="45"/>
      <c r="O1178" s="45"/>
      <c r="P1178" s="45"/>
      <c r="Q1178" s="45"/>
      <c r="R1178" s="45"/>
      <c r="S1178" s="45"/>
      <c r="T1178" s="45"/>
      <c r="U1178" s="45"/>
    </row>
    <row r="1179">
      <c r="A1179" s="84" t="s">
        <v>5655</v>
      </c>
      <c r="B1179" s="45"/>
      <c r="C1179" s="84" t="s">
        <v>5656</v>
      </c>
      <c r="D1179" s="45"/>
      <c r="E1179" s="84" t="s">
        <v>5235</v>
      </c>
      <c r="F1179" s="84" t="s">
        <v>5277</v>
      </c>
      <c r="G1179" s="85" t="s">
        <v>96</v>
      </c>
      <c r="H1179" s="87">
        <v>1.062E-4</v>
      </c>
      <c r="I1179" s="45"/>
      <c r="J1179" s="45"/>
      <c r="K1179" s="45"/>
      <c r="L1179" s="45"/>
      <c r="M1179" s="45"/>
      <c r="N1179" s="45"/>
      <c r="O1179" s="45"/>
      <c r="P1179" s="45"/>
      <c r="Q1179" s="45"/>
      <c r="R1179" s="45"/>
      <c r="S1179" s="45"/>
      <c r="T1179" s="45"/>
      <c r="U1179" s="45"/>
    </row>
    <row r="1180">
      <c r="A1180" s="84" t="s">
        <v>10066</v>
      </c>
      <c r="B1180" s="45"/>
      <c r="C1180" s="84" t="s">
        <v>10067</v>
      </c>
      <c r="D1180" s="45"/>
      <c r="E1180" s="84" t="s">
        <v>9189</v>
      </c>
      <c r="F1180" s="84" t="s">
        <v>5425</v>
      </c>
      <c r="G1180" s="85" t="s">
        <v>96</v>
      </c>
      <c r="H1180" s="87">
        <v>1.055E-4</v>
      </c>
      <c r="I1180" s="45"/>
      <c r="J1180" s="45"/>
      <c r="K1180" s="45"/>
      <c r="L1180" s="45"/>
      <c r="M1180" s="45"/>
      <c r="N1180" s="45"/>
      <c r="O1180" s="45"/>
      <c r="P1180" s="45"/>
      <c r="Q1180" s="45"/>
      <c r="R1180" s="45"/>
      <c r="S1180" s="45"/>
      <c r="T1180" s="45"/>
      <c r="U1180" s="45"/>
    </row>
    <row r="1181">
      <c r="A1181" s="84" t="s">
        <v>10082</v>
      </c>
      <c r="B1181" s="45"/>
      <c r="C1181" s="84" t="s">
        <v>10083</v>
      </c>
      <c r="D1181" s="45"/>
      <c r="E1181" s="84" t="s">
        <v>9189</v>
      </c>
      <c r="F1181" s="84" t="s">
        <v>5425</v>
      </c>
      <c r="G1181" s="85" t="s">
        <v>96</v>
      </c>
      <c r="H1181" s="87">
        <v>1.047E-4</v>
      </c>
      <c r="I1181" s="45"/>
      <c r="J1181" s="45"/>
      <c r="K1181" s="45"/>
      <c r="L1181" s="45"/>
      <c r="M1181" s="45"/>
      <c r="N1181" s="45"/>
      <c r="O1181" s="45"/>
      <c r="P1181" s="45"/>
      <c r="Q1181" s="45"/>
      <c r="R1181" s="45"/>
      <c r="S1181" s="45"/>
      <c r="T1181" s="45"/>
      <c r="U1181" s="45"/>
    </row>
    <row r="1182">
      <c r="A1182" s="84" t="s">
        <v>10179</v>
      </c>
      <c r="B1182" s="45"/>
      <c r="C1182" s="84" t="s">
        <v>10180</v>
      </c>
      <c r="D1182" s="45"/>
      <c r="E1182" s="84" t="s">
        <v>5374</v>
      </c>
      <c r="F1182" s="84" t="s">
        <v>8784</v>
      </c>
      <c r="G1182" s="85" t="s">
        <v>96</v>
      </c>
      <c r="H1182" s="87">
        <v>1.044E-4</v>
      </c>
      <c r="I1182" s="45"/>
      <c r="J1182" s="45"/>
      <c r="K1182" s="45"/>
      <c r="L1182" s="45"/>
      <c r="M1182" s="45"/>
      <c r="N1182" s="45"/>
      <c r="O1182" s="45"/>
      <c r="P1182" s="45"/>
      <c r="Q1182" s="45"/>
      <c r="R1182" s="45"/>
      <c r="S1182" s="45"/>
      <c r="T1182" s="45"/>
      <c r="U1182" s="45"/>
    </row>
    <row r="1183">
      <c r="A1183" s="84" t="s">
        <v>10109</v>
      </c>
      <c r="B1183" s="45"/>
      <c r="C1183" s="84" t="s">
        <v>10110</v>
      </c>
      <c r="D1183" s="45"/>
      <c r="E1183" s="84" t="s">
        <v>5450</v>
      </c>
      <c r="F1183" s="84" t="s">
        <v>5425</v>
      </c>
      <c r="G1183" s="85" t="s">
        <v>96</v>
      </c>
      <c r="H1183" s="87">
        <v>1.043E-4</v>
      </c>
      <c r="I1183" s="45"/>
      <c r="J1183" s="45"/>
      <c r="K1183" s="45"/>
      <c r="L1183" s="45"/>
      <c r="M1183" s="45"/>
      <c r="N1183" s="45"/>
      <c r="O1183" s="45"/>
      <c r="P1183" s="45"/>
      <c r="Q1183" s="45"/>
      <c r="R1183" s="45"/>
      <c r="S1183" s="45"/>
      <c r="T1183" s="45"/>
      <c r="U1183" s="45"/>
    </row>
    <row r="1184">
      <c r="A1184" s="84" t="s">
        <v>4381</v>
      </c>
      <c r="B1184" s="45"/>
      <c r="C1184" s="84" t="s">
        <v>9911</v>
      </c>
      <c r="D1184" s="45"/>
      <c r="E1184" s="84" t="s">
        <v>5309</v>
      </c>
      <c r="F1184" s="84" t="s">
        <v>5300</v>
      </c>
      <c r="G1184" s="85" t="s">
        <v>96</v>
      </c>
      <c r="H1184" s="87">
        <v>1.041E-4</v>
      </c>
      <c r="I1184" s="45"/>
      <c r="J1184" s="45"/>
      <c r="K1184" s="45"/>
      <c r="L1184" s="45"/>
      <c r="M1184" s="45"/>
      <c r="N1184" s="45"/>
      <c r="O1184" s="45"/>
      <c r="P1184" s="45"/>
      <c r="Q1184" s="45"/>
      <c r="R1184" s="45"/>
      <c r="S1184" s="45"/>
      <c r="T1184" s="45"/>
      <c r="U1184" s="45"/>
    </row>
    <row r="1185">
      <c r="A1185" s="84" t="s">
        <v>11759</v>
      </c>
      <c r="B1185" s="45"/>
      <c r="C1185" s="84" t="s">
        <v>11760</v>
      </c>
      <c r="D1185" s="45"/>
      <c r="E1185" s="84" t="s">
        <v>6389</v>
      </c>
      <c r="F1185" s="84" t="s">
        <v>9021</v>
      </c>
      <c r="G1185" s="85" t="s">
        <v>96</v>
      </c>
      <c r="H1185" s="87">
        <v>1.041E-4</v>
      </c>
      <c r="I1185" s="45"/>
      <c r="J1185" s="45"/>
      <c r="K1185" s="45"/>
      <c r="L1185" s="45"/>
      <c r="M1185" s="45"/>
      <c r="N1185" s="45"/>
      <c r="O1185" s="45"/>
      <c r="P1185" s="45"/>
      <c r="Q1185" s="45"/>
      <c r="R1185" s="45"/>
      <c r="S1185" s="45"/>
      <c r="T1185" s="45"/>
      <c r="U1185" s="45"/>
    </row>
    <row r="1186">
      <c r="A1186" s="84" t="s">
        <v>11761</v>
      </c>
      <c r="B1186" s="45"/>
      <c r="C1186" s="84" t="s">
        <v>11762</v>
      </c>
      <c r="D1186" s="45"/>
      <c r="E1186" s="84" t="s">
        <v>6249</v>
      </c>
      <c r="F1186" s="84" t="s">
        <v>8784</v>
      </c>
      <c r="G1186" s="85" t="s">
        <v>96</v>
      </c>
      <c r="H1186" s="87">
        <v>1.036E-4</v>
      </c>
      <c r="I1186" s="45"/>
      <c r="J1186" s="45"/>
      <c r="K1186" s="45"/>
      <c r="L1186" s="45"/>
      <c r="M1186" s="45"/>
      <c r="N1186" s="45"/>
      <c r="O1186" s="45"/>
      <c r="P1186" s="45"/>
      <c r="Q1186" s="45"/>
      <c r="R1186" s="45"/>
      <c r="S1186" s="45"/>
      <c r="T1186" s="45"/>
      <c r="U1186" s="45"/>
    </row>
    <row r="1187">
      <c r="A1187" s="84" t="s">
        <v>10171</v>
      </c>
      <c r="B1187" s="45"/>
      <c r="C1187" s="84" t="s">
        <v>10172</v>
      </c>
      <c r="D1187" s="45"/>
      <c r="E1187" s="84" t="s">
        <v>6012</v>
      </c>
      <c r="F1187" s="84" t="s">
        <v>8759</v>
      </c>
      <c r="G1187" s="85" t="s">
        <v>96</v>
      </c>
      <c r="H1187" s="87">
        <v>1.032E-4</v>
      </c>
      <c r="I1187" s="45"/>
      <c r="J1187" s="45"/>
      <c r="K1187" s="45"/>
      <c r="L1187" s="45"/>
      <c r="M1187" s="45"/>
      <c r="N1187" s="45"/>
      <c r="O1187" s="45"/>
      <c r="P1187" s="45"/>
      <c r="Q1187" s="45"/>
      <c r="R1187" s="45"/>
      <c r="S1187" s="45"/>
      <c r="T1187" s="45"/>
      <c r="U1187" s="45"/>
    </row>
    <row r="1188">
      <c r="A1188" s="84" t="s">
        <v>11763</v>
      </c>
      <c r="B1188" s="45"/>
      <c r="C1188" s="84" t="s">
        <v>11764</v>
      </c>
      <c r="D1188" s="45"/>
      <c r="E1188" s="84" t="s">
        <v>6472</v>
      </c>
      <c r="F1188" s="84" t="s">
        <v>9513</v>
      </c>
      <c r="G1188" s="85" t="s">
        <v>96</v>
      </c>
      <c r="H1188" s="87">
        <v>1.029E-4</v>
      </c>
      <c r="I1188" s="45"/>
      <c r="J1188" s="45"/>
      <c r="K1188" s="45"/>
      <c r="L1188" s="45"/>
      <c r="M1188" s="45"/>
      <c r="N1188" s="45"/>
      <c r="O1188" s="45"/>
      <c r="P1188" s="45"/>
      <c r="Q1188" s="45"/>
      <c r="R1188" s="45"/>
      <c r="S1188" s="45"/>
      <c r="T1188" s="45"/>
      <c r="U1188" s="45"/>
    </row>
    <row r="1189">
      <c r="A1189" s="84" t="s">
        <v>10068</v>
      </c>
      <c r="B1189" s="45"/>
      <c r="C1189" s="84" t="s">
        <v>10069</v>
      </c>
      <c r="D1189" s="45"/>
      <c r="E1189" s="84" t="s">
        <v>5215</v>
      </c>
      <c r="F1189" s="84" t="s">
        <v>9513</v>
      </c>
      <c r="G1189" s="85" t="s">
        <v>96</v>
      </c>
      <c r="H1189" s="87">
        <v>1.025E-4</v>
      </c>
      <c r="I1189" s="45"/>
      <c r="J1189" s="45"/>
      <c r="K1189" s="45"/>
      <c r="L1189" s="45"/>
      <c r="M1189" s="45"/>
      <c r="N1189" s="45"/>
      <c r="O1189" s="45"/>
      <c r="P1189" s="45"/>
      <c r="Q1189" s="45"/>
      <c r="R1189" s="45"/>
      <c r="S1189" s="45"/>
      <c r="T1189" s="45"/>
      <c r="U1189" s="45"/>
    </row>
    <row r="1190">
      <c r="A1190" s="84" t="s">
        <v>4696</v>
      </c>
      <c r="B1190" s="45"/>
      <c r="C1190" s="84" t="s">
        <v>11765</v>
      </c>
      <c r="D1190" s="45"/>
      <c r="E1190" s="84" t="s">
        <v>5450</v>
      </c>
      <c r="F1190" s="84" t="s">
        <v>6210</v>
      </c>
      <c r="G1190" s="85" t="s">
        <v>96</v>
      </c>
      <c r="H1190" s="87">
        <v>1.021E-4</v>
      </c>
      <c r="I1190" s="45"/>
      <c r="J1190" s="45"/>
      <c r="K1190" s="45"/>
      <c r="L1190" s="45"/>
      <c r="M1190" s="45"/>
      <c r="N1190" s="45"/>
      <c r="O1190" s="45"/>
      <c r="P1190" s="45"/>
      <c r="Q1190" s="45"/>
      <c r="R1190" s="45"/>
      <c r="S1190" s="45"/>
      <c r="T1190" s="45"/>
      <c r="U1190" s="45"/>
    </row>
    <row r="1191">
      <c r="A1191" s="84" t="s">
        <v>10407</v>
      </c>
      <c r="B1191" s="45"/>
      <c r="C1191" s="84" t="s">
        <v>10408</v>
      </c>
      <c r="D1191" s="45"/>
      <c r="E1191" s="84" t="s">
        <v>5271</v>
      </c>
      <c r="F1191" s="84" t="s">
        <v>4357</v>
      </c>
      <c r="G1191" s="85" t="s">
        <v>96</v>
      </c>
      <c r="H1191" s="87">
        <v>1.018E-4</v>
      </c>
      <c r="I1191" s="45"/>
      <c r="J1191" s="45"/>
      <c r="K1191" s="45"/>
      <c r="L1191" s="45"/>
      <c r="M1191" s="45"/>
      <c r="N1191" s="45"/>
      <c r="O1191" s="45"/>
      <c r="P1191" s="45"/>
      <c r="Q1191" s="45"/>
      <c r="R1191" s="45"/>
      <c r="S1191" s="45"/>
      <c r="T1191" s="45"/>
      <c r="U1191" s="45"/>
    </row>
    <row r="1192">
      <c r="A1192" s="84" t="s">
        <v>11766</v>
      </c>
      <c r="B1192" s="45"/>
      <c r="C1192" s="84" t="s">
        <v>11767</v>
      </c>
      <c r="D1192" s="45"/>
      <c r="E1192" s="84" t="s">
        <v>6238</v>
      </c>
      <c r="F1192" s="84" t="s">
        <v>9617</v>
      </c>
      <c r="G1192" s="85" t="s">
        <v>96</v>
      </c>
      <c r="H1192" s="87">
        <v>1.018E-4</v>
      </c>
      <c r="I1192" s="45"/>
      <c r="J1192" s="45"/>
      <c r="K1192" s="45"/>
      <c r="L1192" s="45"/>
      <c r="M1192" s="45"/>
      <c r="N1192" s="45"/>
      <c r="O1192" s="45"/>
      <c r="P1192" s="45"/>
      <c r="Q1192" s="45"/>
      <c r="R1192" s="45"/>
      <c r="S1192" s="45"/>
      <c r="T1192" s="45"/>
      <c r="U1192" s="45"/>
    </row>
    <row r="1193">
      <c r="A1193" s="84" t="s">
        <v>11768</v>
      </c>
      <c r="B1193" s="45"/>
      <c r="C1193" s="84" t="s">
        <v>11769</v>
      </c>
      <c r="D1193" s="45"/>
      <c r="E1193" s="84" t="s">
        <v>5288</v>
      </c>
      <c r="F1193" s="84" t="s">
        <v>5836</v>
      </c>
      <c r="G1193" s="85" t="s">
        <v>96</v>
      </c>
      <c r="H1193" s="87">
        <v>1.017E-4</v>
      </c>
      <c r="I1193" s="45"/>
      <c r="J1193" s="45"/>
      <c r="K1193" s="45"/>
      <c r="L1193" s="45"/>
      <c r="M1193" s="45"/>
      <c r="N1193" s="45"/>
      <c r="O1193" s="45"/>
      <c r="P1193" s="45"/>
      <c r="Q1193" s="45"/>
      <c r="R1193" s="45"/>
      <c r="S1193" s="45"/>
      <c r="T1193" s="45"/>
      <c r="U1193" s="45"/>
    </row>
    <row r="1194">
      <c r="A1194" s="84" t="s">
        <v>10024</v>
      </c>
      <c r="B1194" s="45"/>
      <c r="C1194" s="84" t="s">
        <v>10025</v>
      </c>
      <c r="D1194" s="45"/>
      <c r="E1194" s="84" t="s">
        <v>5369</v>
      </c>
      <c r="F1194" s="84" t="s">
        <v>8784</v>
      </c>
      <c r="G1194" s="85" t="s">
        <v>96</v>
      </c>
      <c r="H1194" s="87">
        <v>1.016E-4</v>
      </c>
      <c r="I1194" s="45"/>
      <c r="J1194" s="45"/>
      <c r="K1194" s="45"/>
      <c r="L1194" s="45"/>
      <c r="M1194" s="45"/>
      <c r="N1194" s="45"/>
      <c r="O1194" s="45"/>
      <c r="P1194" s="45"/>
      <c r="Q1194" s="45"/>
      <c r="R1194" s="45"/>
      <c r="S1194" s="45"/>
      <c r="T1194" s="45"/>
      <c r="U1194" s="45"/>
    </row>
    <row r="1195">
      <c r="A1195" s="84" t="s">
        <v>10121</v>
      </c>
      <c r="B1195" s="45"/>
      <c r="C1195" s="84" t="s">
        <v>10122</v>
      </c>
      <c r="D1195" s="45"/>
      <c r="E1195" s="84" t="s">
        <v>5283</v>
      </c>
      <c r="F1195" s="84" t="s">
        <v>5300</v>
      </c>
      <c r="G1195" s="85" t="s">
        <v>96</v>
      </c>
      <c r="H1195" s="87">
        <v>1.011E-4</v>
      </c>
      <c r="I1195" s="45"/>
      <c r="J1195" s="45"/>
      <c r="K1195" s="45"/>
      <c r="L1195" s="45"/>
      <c r="M1195" s="45"/>
      <c r="N1195" s="45"/>
      <c r="O1195" s="45"/>
      <c r="P1195" s="45"/>
      <c r="Q1195" s="45"/>
      <c r="R1195" s="45"/>
      <c r="S1195" s="45"/>
      <c r="T1195" s="45"/>
      <c r="U1195" s="45"/>
    </row>
    <row r="1196">
      <c r="A1196" s="84" t="s">
        <v>11770</v>
      </c>
      <c r="B1196" s="45"/>
      <c r="C1196" s="84" t="s">
        <v>11771</v>
      </c>
      <c r="D1196" s="45"/>
      <c r="E1196" s="84" t="s">
        <v>6249</v>
      </c>
      <c r="F1196" s="84" t="s">
        <v>5300</v>
      </c>
      <c r="G1196" s="85" t="s">
        <v>96</v>
      </c>
      <c r="H1196" s="87">
        <v>1.009E-4</v>
      </c>
      <c r="I1196" s="45"/>
      <c r="J1196" s="45"/>
      <c r="K1196" s="45"/>
      <c r="L1196" s="45"/>
      <c r="M1196" s="45"/>
      <c r="N1196" s="45"/>
      <c r="O1196" s="45"/>
      <c r="P1196" s="45"/>
      <c r="Q1196" s="45"/>
      <c r="R1196" s="45"/>
      <c r="S1196" s="45"/>
      <c r="T1196" s="45"/>
      <c r="U1196" s="45"/>
    </row>
    <row r="1197">
      <c r="A1197" s="84" t="s">
        <v>11772</v>
      </c>
      <c r="B1197" s="45"/>
      <c r="C1197" s="84" t="s">
        <v>11773</v>
      </c>
      <c r="D1197" s="45"/>
      <c r="E1197" s="84" t="s">
        <v>6238</v>
      </c>
      <c r="F1197" s="84" t="s">
        <v>5836</v>
      </c>
      <c r="G1197" s="85" t="s">
        <v>96</v>
      </c>
      <c r="H1197" s="87">
        <v>1.004E-4</v>
      </c>
      <c r="I1197" s="45"/>
      <c r="J1197" s="45"/>
      <c r="K1197" s="45"/>
      <c r="L1197" s="45"/>
      <c r="M1197" s="45"/>
      <c r="N1197" s="45"/>
      <c r="O1197" s="45"/>
      <c r="P1197" s="45"/>
      <c r="Q1197" s="45"/>
      <c r="R1197" s="45"/>
      <c r="S1197" s="45"/>
      <c r="T1197" s="45"/>
      <c r="U1197" s="45"/>
    </row>
    <row r="1198">
      <c r="A1198" s="84" t="s">
        <v>10373</v>
      </c>
      <c r="B1198" s="45"/>
      <c r="C1198" s="84" t="s">
        <v>9717</v>
      </c>
      <c r="D1198" s="45"/>
      <c r="E1198" s="84" t="s">
        <v>5756</v>
      </c>
      <c r="F1198" s="84" t="s">
        <v>8767</v>
      </c>
      <c r="G1198" s="85" t="s">
        <v>96</v>
      </c>
      <c r="H1198" s="87">
        <v>1.003E-4</v>
      </c>
      <c r="I1198" s="45"/>
      <c r="J1198" s="45"/>
      <c r="K1198" s="45"/>
      <c r="L1198" s="45"/>
      <c r="M1198" s="45"/>
      <c r="N1198" s="45"/>
      <c r="O1198" s="45"/>
      <c r="P1198" s="45"/>
      <c r="Q1198" s="45"/>
      <c r="R1198" s="45"/>
      <c r="S1198" s="45"/>
      <c r="T1198" s="45"/>
      <c r="U1198" s="45"/>
    </row>
    <row r="1199">
      <c r="A1199" s="84" t="s">
        <v>10144</v>
      </c>
      <c r="B1199" s="45"/>
      <c r="C1199" s="84" t="s">
        <v>10145</v>
      </c>
      <c r="D1199" s="45"/>
      <c r="E1199" s="84" t="s">
        <v>5235</v>
      </c>
      <c r="F1199" s="84" t="s">
        <v>9021</v>
      </c>
      <c r="G1199" s="85" t="s">
        <v>96</v>
      </c>
      <c r="H1199" s="87">
        <v>1.003E-4</v>
      </c>
      <c r="I1199" s="45"/>
      <c r="J1199" s="45"/>
      <c r="K1199" s="45"/>
      <c r="L1199" s="45"/>
      <c r="M1199" s="45"/>
      <c r="N1199" s="45"/>
      <c r="O1199" s="45"/>
      <c r="P1199" s="45"/>
      <c r="Q1199" s="45"/>
      <c r="R1199" s="45"/>
      <c r="S1199" s="45"/>
      <c r="T1199" s="45"/>
      <c r="U1199" s="45"/>
    </row>
    <row r="1200">
      <c r="A1200" s="84" t="s">
        <v>11774</v>
      </c>
      <c r="B1200" s="45"/>
      <c r="C1200" s="84" t="s">
        <v>11775</v>
      </c>
      <c r="D1200" s="45"/>
      <c r="E1200" s="84" t="s">
        <v>5855</v>
      </c>
      <c r="F1200" s="84" t="s">
        <v>8784</v>
      </c>
      <c r="G1200" s="85" t="s">
        <v>96</v>
      </c>
      <c r="H1200" s="87">
        <v>1.003E-4</v>
      </c>
      <c r="I1200" s="45"/>
      <c r="J1200" s="45"/>
      <c r="K1200" s="45"/>
      <c r="L1200" s="45"/>
      <c r="M1200" s="45"/>
      <c r="N1200" s="45"/>
      <c r="O1200" s="45"/>
      <c r="P1200" s="45"/>
      <c r="Q1200" s="45"/>
      <c r="R1200" s="45"/>
      <c r="S1200" s="45"/>
      <c r="T1200" s="45"/>
      <c r="U1200" s="45"/>
    </row>
    <row r="1201">
      <c r="A1201" s="84" t="s">
        <v>10078</v>
      </c>
      <c r="B1201" s="45"/>
      <c r="C1201" s="84" t="s">
        <v>10079</v>
      </c>
      <c r="D1201" s="45"/>
      <c r="E1201" s="84" t="s">
        <v>7251</v>
      </c>
      <c r="F1201" s="84" t="s">
        <v>8784</v>
      </c>
      <c r="G1201" s="85" t="s">
        <v>96</v>
      </c>
      <c r="H1201" s="87">
        <v>1.002E-4</v>
      </c>
      <c r="I1201" s="45"/>
      <c r="J1201" s="45"/>
      <c r="K1201" s="45"/>
      <c r="L1201" s="45"/>
      <c r="M1201" s="45"/>
      <c r="N1201" s="45"/>
      <c r="O1201" s="45"/>
      <c r="P1201" s="45"/>
      <c r="Q1201" s="45"/>
      <c r="R1201" s="45"/>
      <c r="S1201" s="45"/>
      <c r="T1201" s="45"/>
      <c r="U1201" s="45"/>
    </row>
    <row r="1202">
      <c r="A1202" s="84" t="s">
        <v>10187</v>
      </c>
      <c r="B1202" s="45"/>
      <c r="C1202" s="84" t="s">
        <v>10188</v>
      </c>
      <c r="D1202" s="45"/>
      <c r="E1202" s="84" t="s">
        <v>5366</v>
      </c>
      <c r="F1202" s="84" t="s">
        <v>8784</v>
      </c>
      <c r="G1202" s="85" t="s">
        <v>96</v>
      </c>
      <c r="H1202" s="87">
        <v>1.002E-4</v>
      </c>
      <c r="I1202" s="45"/>
      <c r="J1202" s="45"/>
      <c r="K1202" s="45"/>
      <c r="L1202" s="45"/>
      <c r="M1202" s="45"/>
      <c r="N1202" s="45"/>
      <c r="O1202" s="45"/>
      <c r="P1202" s="45"/>
      <c r="Q1202" s="45"/>
      <c r="R1202" s="45"/>
      <c r="S1202" s="45"/>
      <c r="T1202" s="45"/>
      <c r="U1202" s="45"/>
    </row>
    <row r="1203">
      <c r="A1203" s="84" t="s">
        <v>10062</v>
      </c>
      <c r="B1203" s="45"/>
      <c r="C1203" s="84" t="s">
        <v>10063</v>
      </c>
      <c r="D1203" s="45"/>
      <c r="E1203" s="84" t="s">
        <v>5291</v>
      </c>
      <c r="F1203" s="84" t="s">
        <v>5747</v>
      </c>
      <c r="G1203" s="85" t="s">
        <v>96</v>
      </c>
      <c r="H1203" s="87">
        <v>1.002E-4</v>
      </c>
      <c r="I1203" s="45"/>
      <c r="J1203" s="45"/>
      <c r="K1203" s="45"/>
      <c r="L1203" s="45"/>
      <c r="M1203" s="45"/>
      <c r="N1203" s="45"/>
      <c r="O1203" s="45"/>
      <c r="P1203" s="45"/>
      <c r="Q1203" s="45"/>
      <c r="R1203" s="45"/>
      <c r="S1203" s="45"/>
      <c r="T1203" s="45"/>
      <c r="U1203" s="45"/>
    </row>
    <row r="1204">
      <c r="A1204" s="84" t="s">
        <v>4704</v>
      </c>
      <c r="B1204" s="45"/>
      <c r="C1204" s="84" t="s">
        <v>10138</v>
      </c>
      <c r="D1204" s="45"/>
      <c r="E1204" s="84" t="s">
        <v>5316</v>
      </c>
      <c r="F1204" s="84" t="s">
        <v>5300</v>
      </c>
      <c r="G1204" s="85" t="s">
        <v>96</v>
      </c>
      <c r="H1204" s="87">
        <v>9.99E-5</v>
      </c>
      <c r="I1204" s="45"/>
      <c r="J1204" s="45"/>
      <c r="K1204" s="45"/>
      <c r="L1204" s="45"/>
      <c r="M1204" s="45"/>
      <c r="N1204" s="45"/>
      <c r="O1204" s="45"/>
      <c r="P1204" s="45"/>
      <c r="Q1204" s="45"/>
      <c r="R1204" s="45"/>
      <c r="S1204" s="45"/>
      <c r="T1204" s="45"/>
      <c r="U1204" s="45"/>
    </row>
    <row r="1205">
      <c r="A1205" s="84" t="s">
        <v>11776</v>
      </c>
      <c r="B1205" s="45"/>
      <c r="C1205" s="84" t="s">
        <v>11777</v>
      </c>
      <c r="D1205" s="45"/>
      <c r="E1205" s="84" t="s">
        <v>5276</v>
      </c>
      <c r="F1205" s="84" t="s">
        <v>5300</v>
      </c>
      <c r="G1205" s="85" t="s">
        <v>96</v>
      </c>
      <c r="H1205" s="87">
        <v>9.98E-5</v>
      </c>
      <c r="I1205" s="45"/>
      <c r="J1205" s="45"/>
      <c r="K1205" s="45"/>
      <c r="L1205" s="45"/>
      <c r="M1205" s="45"/>
      <c r="N1205" s="45"/>
      <c r="O1205" s="45"/>
      <c r="P1205" s="45"/>
      <c r="Q1205" s="45"/>
      <c r="R1205" s="45"/>
      <c r="S1205" s="45"/>
      <c r="T1205" s="45"/>
      <c r="U1205" s="45"/>
    </row>
    <row r="1206">
      <c r="A1206" s="84" t="s">
        <v>10238</v>
      </c>
      <c r="B1206" s="45"/>
      <c r="C1206" s="84" t="s">
        <v>10239</v>
      </c>
      <c r="D1206" s="45"/>
      <c r="E1206" s="84" t="s">
        <v>5238</v>
      </c>
      <c r="F1206" s="84" t="s">
        <v>4153</v>
      </c>
      <c r="G1206" s="85" t="s">
        <v>96</v>
      </c>
      <c r="H1206" s="87">
        <v>9.97E-5</v>
      </c>
      <c r="I1206" s="45"/>
      <c r="J1206" s="45"/>
      <c r="K1206" s="45"/>
      <c r="L1206" s="45"/>
      <c r="M1206" s="45"/>
      <c r="N1206" s="45"/>
      <c r="O1206" s="45"/>
      <c r="P1206" s="45"/>
      <c r="Q1206" s="45"/>
      <c r="R1206" s="45"/>
      <c r="S1206" s="45"/>
      <c r="T1206" s="45"/>
      <c r="U1206" s="45"/>
    </row>
    <row r="1207">
      <c r="A1207" s="84" t="s">
        <v>10277</v>
      </c>
      <c r="B1207" s="45"/>
      <c r="C1207" s="84" t="s">
        <v>10278</v>
      </c>
      <c r="D1207" s="45"/>
      <c r="E1207" s="84" t="s">
        <v>5276</v>
      </c>
      <c r="F1207" s="84" t="s">
        <v>8759</v>
      </c>
      <c r="G1207" s="85" t="s">
        <v>96</v>
      </c>
      <c r="H1207" s="87">
        <v>9.96E-5</v>
      </c>
      <c r="I1207" s="45"/>
      <c r="J1207" s="45"/>
      <c r="K1207" s="45"/>
      <c r="L1207" s="45"/>
      <c r="M1207" s="45"/>
      <c r="N1207" s="45"/>
      <c r="O1207" s="45"/>
      <c r="P1207" s="45"/>
      <c r="Q1207" s="45"/>
      <c r="R1207" s="45"/>
      <c r="S1207" s="45"/>
      <c r="T1207" s="45"/>
      <c r="U1207" s="45"/>
    </row>
    <row r="1208">
      <c r="A1208" s="84" t="s">
        <v>10211</v>
      </c>
      <c r="B1208" s="45"/>
      <c r="C1208" s="84" t="s">
        <v>10212</v>
      </c>
      <c r="D1208" s="45"/>
      <c r="E1208" s="84" t="s">
        <v>5369</v>
      </c>
      <c r="F1208" s="84" t="s">
        <v>8784</v>
      </c>
      <c r="G1208" s="85" t="s">
        <v>96</v>
      </c>
      <c r="H1208" s="87">
        <v>9.94E-5</v>
      </c>
      <c r="I1208" s="45"/>
      <c r="J1208" s="45"/>
      <c r="K1208" s="45"/>
      <c r="L1208" s="45"/>
      <c r="M1208" s="45"/>
      <c r="N1208" s="45"/>
      <c r="O1208" s="45"/>
      <c r="P1208" s="45"/>
      <c r="Q1208" s="45"/>
      <c r="R1208" s="45"/>
      <c r="S1208" s="45"/>
      <c r="T1208" s="45"/>
      <c r="U1208" s="45"/>
    </row>
    <row r="1209">
      <c r="A1209" s="84" t="s">
        <v>10018</v>
      </c>
      <c r="B1209" s="45"/>
      <c r="C1209" s="84" t="s">
        <v>10019</v>
      </c>
      <c r="D1209" s="45"/>
      <c r="E1209" s="84" t="s">
        <v>5550</v>
      </c>
      <c r="F1209" s="84" t="s">
        <v>5941</v>
      </c>
      <c r="G1209" s="85" t="s">
        <v>96</v>
      </c>
      <c r="H1209" s="87">
        <v>9.92E-5</v>
      </c>
      <c r="I1209" s="45"/>
      <c r="J1209" s="45"/>
      <c r="K1209" s="45"/>
      <c r="L1209" s="45"/>
      <c r="M1209" s="45"/>
      <c r="N1209" s="45"/>
      <c r="O1209" s="45"/>
      <c r="P1209" s="45"/>
      <c r="Q1209" s="45"/>
      <c r="R1209" s="45"/>
      <c r="S1209" s="45"/>
      <c r="T1209" s="45"/>
      <c r="U1209" s="45"/>
    </row>
    <row r="1210">
      <c r="A1210" s="84" t="s">
        <v>11778</v>
      </c>
      <c r="B1210" s="45"/>
      <c r="C1210" s="84" t="s">
        <v>11779</v>
      </c>
      <c r="D1210" s="45"/>
      <c r="E1210" s="84" t="s">
        <v>5261</v>
      </c>
      <c r="F1210" s="84" t="s">
        <v>5300</v>
      </c>
      <c r="G1210" s="85" t="s">
        <v>96</v>
      </c>
      <c r="H1210" s="87">
        <v>9.89E-5</v>
      </c>
      <c r="I1210" s="45"/>
      <c r="J1210" s="45"/>
      <c r="K1210" s="45"/>
      <c r="L1210" s="45"/>
      <c r="M1210" s="45"/>
      <c r="N1210" s="45"/>
      <c r="O1210" s="45"/>
      <c r="P1210" s="45"/>
      <c r="Q1210" s="45"/>
      <c r="R1210" s="45"/>
      <c r="S1210" s="45"/>
      <c r="T1210" s="45"/>
      <c r="U1210" s="45"/>
    </row>
    <row r="1211">
      <c r="A1211" s="84" t="s">
        <v>10215</v>
      </c>
      <c r="B1211" s="45"/>
      <c r="C1211" s="84" t="s">
        <v>10216</v>
      </c>
      <c r="D1211" s="45"/>
      <c r="E1211" s="84" t="s">
        <v>5390</v>
      </c>
      <c r="F1211" s="84" t="s">
        <v>9021</v>
      </c>
      <c r="G1211" s="85" t="s">
        <v>96</v>
      </c>
      <c r="H1211" s="87">
        <v>9.87E-5</v>
      </c>
      <c r="I1211" s="45"/>
      <c r="J1211" s="45"/>
      <c r="K1211" s="45"/>
      <c r="L1211" s="45"/>
      <c r="M1211" s="45"/>
      <c r="N1211" s="45"/>
      <c r="O1211" s="45"/>
      <c r="P1211" s="45"/>
      <c r="Q1211" s="45"/>
      <c r="R1211" s="45"/>
      <c r="S1211" s="45"/>
      <c r="T1211" s="45"/>
      <c r="U1211" s="45"/>
    </row>
    <row r="1212">
      <c r="A1212" s="84" t="s">
        <v>10195</v>
      </c>
      <c r="B1212" s="45"/>
      <c r="C1212" s="84" t="s">
        <v>10196</v>
      </c>
      <c r="D1212" s="45"/>
      <c r="E1212" s="84" t="s">
        <v>5404</v>
      </c>
      <c r="F1212" s="84" t="s">
        <v>5268</v>
      </c>
      <c r="G1212" s="85" t="s">
        <v>96</v>
      </c>
      <c r="H1212" s="87">
        <v>9.85E-5</v>
      </c>
      <c r="I1212" s="45"/>
      <c r="J1212" s="45"/>
      <c r="K1212" s="45"/>
      <c r="L1212" s="45"/>
      <c r="M1212" s="45"/>
      <c r="N1212" s="45"/>
      <c r="O1212" s="45"/>
      <c r="P1212" s="45"/>
      <c r="Q1212" s="45"/>
      <c r="R1212" s="45"/>
      <c r="S1212" s="45"/>
      <c r="T1212" s="45"/>
      <c r="U1212" s="45"/>
    </row>
    <row r="1213">
      <c r="A1213" s="84" t="s">
        <v>11780</v>
      </c>
      <c r="B1213" s="45"/>
      <c r="C1213" s="84" t="s">
        <v>11402</v>
      </c>
      <c r="D1213" s="45"/>
      <c r="E1213" s="84" t="s">
        <v>5978</v>
      </c>
      <c r="F1213" s="84" t="s">
        <v>4095</v>
      </c>
      <c r="G1213" s="85" t="s">
        <v>96</v>
      </c>
      <c r="H1213" s="87">
        <v>9.83E-5</v>
      </c>
      <c r="I1213" s="45"/>
      <c r="J1213" s="45"/>
      <c r="K1213" s="45"/>
      <c r="L1213" s="45"/>
      <c r="M1213" s="45"/>
      <c r="N1213" s="45"/>
      <c r="O1213" s="45"/>
      <c r="P1213" s="45"/>
      <c r="Q1213" s="45"/>
      <c r="R1213" s="45"/>
      <c r="S1213" s="45"/>
      <c r="T1213" s="45"/>
      <c r="U1213" s="45"/>
    </row>
    <row r="1214">
      <c r="A1214" s="84" t="s">
        <v>10243</v>
      </c>
      <c r="B1214" s="45"/>
      <c r="C1214" s="84" t="s">
        <v>10244</v>
      </c>
      <c r="D1214" s="45"/>
      <c r="E1214" s="84" t="s">
        <v>9189</v>
      </c>
      <c r="F1214" s="84" t="s">
        <v>8784</v>
      </c>
      <c r="G1214" s="85" t="s">
        <v>96</v>
      </c>
      <c r="H1214" s="87">
        <v>9.82E-5</v>
      </c>
      <c r="I1214" s="45"/>
      <c r="J1214" s="45"/>
      <c r="K1214" s="45"/>
      <c r="L1214" s="45"/>
      <c r="M1214" s="45"/>
      <c r="N1214" s="45"/>
      <c r="O1214" s="45"/>
      <c r="P1214" s="45"/>
      <c r="Q1214" s="45"/>
      <c r="R1214" s="45"/>
      <c r="S1214" s="45"/>
      <c r="T1214" s="45"/>
      <c r="U1214" s="45"/>
    </row>
    <row r="1215">
      <c r="A1215" s="84" t="s">
        <v>9833</v>
      </c>
      <c r="B1215" s="45"/>
      <c r="C1215" s="84" t="s">
        <v>11781</v>
      </c>
      <c r="D1215" s="45"/>
      <c r="E1215" s="84" t="s">
        <v>5241</v>
      </c>
      <c r="F1215" s="84" t="s">
        <v>5747</v>
      </c>
      <c r="G1215" s="85" t="s">
        <v>96</v>
      </c>
      <c r="H1215" s="87">
        <v>9.78E-5</v>
      </c>
      <c r="I1215" s="45"/>
      <c r="J1215" s="45"/>
      <c r="K1215" s="45"/>
      <c r="L1215" s="45"/>
      <c r="M1215" s="45"/>
      <c r="N1215" s="45"/>
      <c r="O1215" s="45"/>
      <c r="P1215" s="45"/>
      <c r="Q1215" s="45"/>
      <c r="R1215" s="45"/>
      <c r="S1215" s="45"/>
      <c r="T1215" s="45"/>
      <c r="U1215" s="45"/>
    </row>
    <row r="1216">
      <c r="A1216" s="84" t="s">
        <v>11782</v>
      </c>
      <c r="B1216" s="45"/>
      <c r="C1216" s="84" t="s">
        <v>11783</v>
      </c>
      <c r="D1216" s="45"/>
      <c r="E1216" s="84" t="s">
        <v>6115</v>
      </c>
      <c r="F1216" s="84" t="s">
        <v>5836</v>
      </c>
      <c r="G1216" s="85" t="s">
        <v>96</v>
      </c>
      <c r="H1216" s="87">
        <v>9.68E-5</v>
      </c>
      <c r="I1216" s="45"/>
      <c r="J1216" s="45"/>
      <c r="K1216" s="45"/>
      <c r="L1216" s="45"/>
      <c r="M1216" s="45"/>
      <c r="N1216" s="45"/>
      <c r="O1216" s="45"/>
      <c r="P1216" s="45"/>
      <c r="Q1216" s="45"/>
      <c r="R1216" s="45"/>
      <c r="S1216" s="45"/>
      <c r="T1216" s="45"/>
      <c r="U1216" s="45"/>
    </row>
    <row r="1217">
      <c r="A1217" s="84" t="s">
        <v>10177</v>
      </c>
      <c r="B1217" s="45"/>
      <c r="C1217" s="84" t="s">
        <v>10178</v>
      </c>
      <c r="D1217" s="45"/>
      <c r="E1217" s="84" t="s">
        <v>5366</v>
      </c>
      <c r="F1217" s="84" t="s">
        <v>5300</v>
      </c>
      <c r="G1217" s="85" t="s">
        <v>96</v>
      </c>
      <c r="H1217" s="87">
        <v>9.67E-5</v>
      </c>
      <c r="I1217" s="45"/>
      <c r="J1217" s="45"/>
      <c r="K1217" s="45"/>
      <c r="L1217" s="45"/>
      <c r="M1217" s="45"/>
      <c r="N1217" s="45"/>
      <c r="O1217" s="45"/>
      <c r="P1217" s="45"/>
      <c r="Q1217" s="45"/>
      <c r="R1217" s="45"/>
      <c r="S1217" s="45"/>
      <c r="T1217" s="45"/>
      <c r="U1217" s="45"/>
    </row>
    <row r="1218">
      <c r="A1218" s="84" t="s">
        <v>10046</v>
      </c>
      <c r="B1218" s="45"/>
      <c r="C1218" s="84" t="s">
        <v>10047</v>
      </c>
      <c r="D1218" s="45"/>
      <c r="E1218" s="84" t="s">
        <v>5218</v>
      </c>
      <c r="F1218" s="84" t="s">
        <v>4357</v>
      </c>
      <c r="G1218" s="85" t="s">
        <v>96</v>
      </c>
      <c r="H1218" s="87">
        <v>9.64E-5</v>
      </c>
      <c r="I1218" s="45"/>
      <c r="J1218" s="45"/>
      <c r="K1218" s="45"/>
      <c r="L1218" s="45"/>
      <c r="M1218" s="45"/>
      <c r="N1218" s="45"/>
      <c r="O1218" s="45"/>
      <c r="P1218" s="45"/>
      <c r="Q1218" s="45"/>
      <c r="R1218" s="45"/>
      <c r="S1218" s="45"/>
      <c r="T1218" s="45"/>
      <c r="U1218" s="45"/>
    </row>
    <row r="1219">
      <c r="A1219" s="84" t="s">
        <v>10159</v>
      </c>
      <c r="B1219" s="45"/>
      <c r="C1219" s="84" t="s">
        <v>10160</v>
      </c>
      <c r="D1219" s="45"/>
      <c r="E1219" s="84" t="s">
        <v>5271</v>
      </c>
      <c r="F1219" s="84" t="s">
        <v>5425</v>
      </c>
      <c r="G1219" s="85" t="s">
        <v>96</v>
      </c>
      <c r="H1219" s="87">
        <v>9.61E-5</v>
      </c>
      <c r="I1219" s="45"/>
      <c r="J1219" s="45"/>
      <c r="K1219" s="45"/>
      <c r="L1219" s="45"/>
      <c r="M1219" s="45"/>
      <c r="N1219" s="45"/>
      <c r="O1219" s="45"/>
      <c r="P1219" s="45"/>
      <c r="Q1219" s="45"/>
      <c r="R1219" s="45"/>
      <c r="S1219" s="45"/>
      <c r="T1219" s="45"/>
      <c r="U1219" s="45"/>
    </row>
    <row r="1220">
      <c r="A1220" s="84" t="s">
        <v>8795</v>
      </c>
      <c r="B1220" s="45"/>
      <c r="C1220" s="84" t="s">
        <v>10133</v>
      </c>
      <c r="D1220" s="45"/>
      <c r="E1220" s="84" t="s">
        <v>5434</v>
      </c>
      <c r="F1220" s="84" t="s">
        <v>5836</v>
      </c>
      <c r="G1220" s="85" t="s">
        <v>96</v>
      </c>
      <c r="H1220" s="87">
        <v>9.59E-5</v>
      </c>
      <c r="I1220" s="45"/>
      <c r="J1220" s="45"/>
      <c r="K1220" s="45"/>
      <c r="L1220" s="45"/>
      <c r="M1220" s="45"/>
      <c r="N1220" s="45"/>
      <c r="O1220" s="45"/>
      <c r="P1220" s="45"/>
      <c r="Q1220" s="45"/>
      <c r="R1220" s="45"/>
      <c r="S1220" s="45"/>
      <c r="T1220" s="45"/>
      <c r="U1220" s="45"/>
    </row>
    <row r="1221">
      <c r="A1221" s="84" t="s">
        <v>9960</v>
      </c>
      <c r="B1221" s="45"/>
      <c r="C1221" s="84" t="s">
        <v>9961</v>
      </c>
      <c r="D1221" s="45"/>
      <c r="E1221" s="84" t="s">
        <v>6172</v>
      </c>
      <c r="F1221" s="84" t="s">
        <v>8784</v>
      </c>
      <c r="G1221" s="85" t="s">
        <v>96</v>
      </c>
      <c r="H1221" s="87">
        <v>9.59E-5</v>
      </c>
      <c r="I1221" s="45"/>
      <c r="J1221" s="45"/>
      <c r="K1221" s="45"/>
      <c r="L1221" s="45"/>
      <c r="M1221" s="45"/>
      <c r="N1221" s="45"/>
      <c r="O1221" s="45"/>
      <c r="P1221" s="45"/>
      <c r="Q1221" s="45"/>
      <c r="R1221" s="45"/>
      <c r="S1221" s="45"/>
      <c r="T1221" s="45"/>
      <c r="U1221" s="45"/>
    </row>
    <row r="1222">
      <c r="A1222" s="84" t="s">
        <v>11784</v>
      </c>
      <c r="B1222" s="45"/>
      <c r="C1222" s="84" t="s">
        <v>11785</v>
      </c>
      <c r="D1222" s="45"/>
      <c r="E1222" s="84" t="s">
        <v>5276</v>
      </c>
      <c r="F1222" s="84" t="s">
        <v>5300</v>
      </c>
      <c r="G1222" s="85" t="s">
        <v>96</v>
      </c>
      <c r="H1222" s="87">
        <v>9.44E-5</v>
      </c>
      <c r="I1222" s="45"/>
      <c r="J1222" s="45"/>
      <c r="K1222" s="45"/>
      <c r="L1222" s="45"/>
      <c r="M1222" s="45"/>
      <c r="N1222" s="45"/>
      <c r="O1222" s="45"/>
      <c r="P1222" s="45"/>
      <c r="Q1222" s="45"/>
      <c r="R1222" s="45"/>
      <c r="S1222" s="45"/>
      <c r="T1222" s="45"/>
      <c r="U1222" s="45"/>
    </row>
    <row r="1223">
      <c r="A1223" s="84" t="s">
        <v>11786</v>
      </c>
      <c r="B1223" s="45"/>
      <c r="C1223" s="84" t="s">
        <v>11787</v>
      </c>
      <c r="D1223" s="45"/>
      <c r="E1223" s="84" t="s">
        <v>5326</v>
      </c>
      <c r="F1223" s="84" t="s">
        <v>9513</v>
      </c>
      <c r="G1223" s="85" t="s">
        <v>96</v>
      </c>
      <c r="H1223" s="87">
        <v>9.44E-5</v>
      </c>
      <c r="I1223" s="45"/>
      <c r="J1223" s="45"/>
      <c r="K1223" s="45"/>
      <c r="L1223" s="45"/>
      <c r="M1223" s="45"/>
      <c r="N1223" s="45"/>
      <c r="O1223" s="45"/>
      <c r="P1223" s="45"/>
      <c r="Q1223" s="45"/>
      <c r="R1223" s="45"/>
      <c r="S1223" s="45"/>
      <c r="T1223" s="45"/>
      <c r="U1223" s="45"/>
    </row>
    <row r="1224">
      <c r="A1224" s="84" t="s">
        <v>11788</v>
      </c>
      <c r="B1224" s="45"/>
      <c r="C1224" s="84" t="s">
        <v>11360</v>
      </c>
      <c r="D1224" s="45"/>
      <c r="E1224" s="84" t="s">
        <v>7169</v>
      </c>
      <c r="F1224" s="84" t="s">
        <v>9021</v>
      </c>
      <c r="G1224" s="85" t="s">
        <v>96</v>
      </c>
      <c r="H1224" s="87">
        <v>9.43E-5</v>
      </c>
      <c r="I1224" s="45"/>
      <c r="J1224" s="45"/>
      <c r="K1224" s="45"/>
      <c r="L1224" s="45"/>
      <c r="M1224" s="45"/>
      <c r="N1224" s="45"/>
      <c r="O1224" s="45"/>
      <c r="P1224" s="45"/>
      <c r="Q1224" s="45"/>
      <c r="R1224" s="45"/>
      <c r="S1224" s="45"/>
      <c r="T1224" s="45"/>
      <c r="U1224" s="45"/>
    </row>
    <row r="1225">
      <c r="A1225" s="84" t="s">
        <v>4714</v>
      </c>
      <c r="B1225" s="45"/>
      <c r="C1225" s="84" t="s">
        <v>10097</v>
      </c>
      <c r="D1225" s="45"/>
      <c r="E1225" s="84" t="s">
        <v>5267</v>
      </c>
      <c r="F1225" s="84" t="s">
        <v>5300</v>
      </c>
      <c r="G1225" s="85" t="s">
        <v>96</v>
      </c>
      <c r="H1225" s="87">
        <v>9.41E-5</v>
      </c>
      <c r="I1225" s="45"/>
      <c r="J1225" s="45"/>
      <c r="K1225" s="45"/>
      <c r="L1225" s="45"/>
      <c r="M1225" s="45"/>
      <c r="N1225" s="45"/>
      <c r="O1225" s="45"/>
      <c r="P1225" s="45"/>
      <c r="Q1225" s="45"/>
      <c r="R1225" s="45"/>
      <c r="S1225" s="45"/>
      <c r="T1225" s="45"/>
      <c r="U1225" s="45"/>
    </row>
    <row r="1226">
      <c r="A1226" s="84" t="s">
        <v>10084</v>
      </c>
      <c r="B1226" s="45"/>
      <c r="C1226" s="84" t="s">
        <v>10085</v>
      </c>
      <c r="D1226" s="45"/>
      <c r="E1226" s="84" t="s">
        <v>5434</v>
      </c>
      <c r="F1226" s="84" t="s">
        <v>8784</v>
      </c>
      <c r="G1226" s="85" t="s">
        <v>96</v>
      </c>
      <c r="H1226" s="87">
        <v>9.39E-5</v>
      </c>
      <c r="I1226" s="45"/>
      <c r="J1226" s="45"/>
      <c r="K1226" s="45"/>
      <c r="L1226" s="45"/>
      <c r="M1226" s="45"/>
      <c r="N1226" s="45"/>
      <c r="O1226" s="45"/>
      <c r="P1226" s="45"/>
      <c r="Q1226" s="45"/>
      <c r="R1226" s="45"/>
      <c r="S1226" s="45"/>
      <c r="T1226" s="45"/>
      <c r="U1226" s="45"/>
    </row>
    <row r="1227">
      <c r="A1227" s="84" t="s">
        <v>10139</v>
      </c>
      <c r="B1227" s="45"/>
      <c r="C1227" s="84" t="s">
        <v>10140</v>
      </c>
      <c r="D1227" s="45"/>
      <c r="E1227" s="84" t="s">
        <v>5218</v>
      </c>
      <c r="F1227" s="84" t="s">
        <v>8784</v>
      </c>
      <c r="G1227" s="85" t="s">
        <v>96</v>
      </c>
      <c r="H1227" s="87">
        <v>9.37E-5</v>
      </c>
      <c r="I1227" s="45"/>
      <c r="J1227" s="45"/>
      <c r="K1227" s="45"/>
      <c r="L1227" s="45"/>
      <c r="M1227" s="45"/>
      <c r="N1227" s="45"/>
      <c r="O1227" s="45"/>
      <c r="P1227" s="45"/>
      <c r="Q1227" s="45"/>
      <c r="R1227" s="45"/>
      <c r="S1227" s="45"/>
      <c r="T1227" s="45"/>
      <c r="U1227" s="45"/>
    </row>
    <row r="1228">
      <c r="A1228" s="84" t="s">
        <v>10074</v>
      </c>
      <c r="B1228" s="45"/>
      <c r="C1228" s="84" t="s">
        <v>10075</v>
      </c>
      <c r="D1228" s="45"/>
      <c r="E1228" s="84" t="s">
        <v>5366</v>
      </c>
      <c r="F1228" s="84" t="s">
        <v>8784</v>
      </c>
      <c r="G1228" s="85" t="s">
        <v>96</v>
      </c>
      <c r="H1228" s="87">
        <v>9.35E-5</v>
      </c>
      <c r="I1228" s="45"/>
      <c r="J1228" s="45"/>
      <c r="K1228" s="45"/>
      <c r="L1228" s="45"/>
      <c r="M1228" s="45"/>
      <c r="N1228" s="45"/>
      <c r="O1228" s="45"/>
      <c r="P1228" s="45"/>
      <c r="Q1228" s="45"/>
      <c r="R1228" s="45"/>
      <c r="S1228" s="45"/>
      <c r="T1228" s="45"/>
      <c r="U1228" s="45"/>
    </row>
    <row r="1229">
      <c r="A1229" s="84" t="s">
        <v>6260</v>
      </c>
      <c r="B1229" s="45"/>
      <c r="C1229" s="84" t="s">
        <v>10112</v>
      </c>
      <c r="D1229" s="45"/>
      <c r="E1229" s="84" t="s">
        <v>5456</v>
      </c>
      <c r="F1229" s="84" t="s">
        <v>5747</v>
      </c>
      <c r="G1229" s="85" t="s">
        <v>96</v>
      </c>
      <c r="H1229" s="87">
        <v>9.32E-5</v>
      </c>
      <c r="I1229" s="45"/>
      <c r="J1229" s="45"/>
      <c r="K1229" s="45"/>
      <c r="L1229" s="45"/>
      <c r="M1229" s="45"/>
      <c r="N1229" s="45"/>
      <c r="O1229" s="45"/>
      <c r="P1229" s="45"/>
      <c r="Q1229" s="45"/>
      <c r="R1229" s="45"/>
      <c r="S1229" s="45"/>
      <c r="T1229" s="45"/>
      <c r="U1229" s="45"/>
    </row>
    <row r="1230">
      <c r="A1230" s="84" t="s">
        <v>10088</v>
      </c>
      <c r="B1230" s="45"/>
      <c r="C1230" s="84" t="s">
        <v>10089</v>
      </c>
      <c r="D1230" s="45"/>
      <c r="E1230" s="84" t="s">
        <v>5445</v>
      </c>
      <c r="F1230" s="84" t="s">
        <v>4357</v>
      </c>
      <c r="G1230" s="85" t="s">
        <v>96</v>
      </c>
      <c r="H1230" s="87">
        <v>9.32E-5</v>
      </c>
      <c r="I1230" s="45"/>
      <c r="J1230" s="45"/>
      <c r="K1230" s="45"/>
      <c r="L1230" s="45"/>
      <c r="M1230" s="45"/>
      <c r="N1230" s="45"/>
      <c r="O1230" s="45"/>
      <c r="P1230" s="45"/>
      <c r="Q1230" s="45"/>
      <c r="R1230" s="45"/>
      <c r="S1230" s="45"/>
      <c r="T1230" s="45"/>
      <c r="U1230" s="45"/>
    </row>
    <row r="1231">
      <c r="A1231" s="84" t="s">
        <v>10306</v>
      </c>
      <c r="B1231" s="45"/>
      <c r="C1231" s="84" t="s">
        <v>10307</v>
      </c>
      <c r="D1231" s="45"/>
      <c r="E1231" s="84" t="s">
        <v>5229</v>
      </c>
      <c r="F1231" s="84" t="s">
        <v>8784</v>
      </c>
      <c r="G1231" s="85" t="s">
        <v>96</v>
      </c>
      <c r="H1231" s="87">
        <v>9.25E-5</v>
      </c>
      <c r="I1231" s="45"/>
      <c r="J1231" s="45"/>
      <c r="K1231" s="45"/>
      <c r="L1231" s="45"/>
      <c r="M1231" s="45"/>
      <c r="N1231" s="45"/>
      <c r="O1231" s="45"/>
      <c r="P1231" s="45"/>
      <c r="Q1231" s="45"/>
      <c r="R1231" s="45"/>
      <c r="S1231" s="45"/>
      <c r="T1231" s="45"/>
      <c r="U1231" s="45"/>
    </row>
    <row r="1232">
      <c r="A1232" s="84" t="s">
        <v>10042</v>
      </c>
      <c r="B1232" s="45"/>
      <c r="C1232" s="84" t="s">
        <v>10043</v>
      </c>
      <c r="D1232" s="45"/>
      <c r="E1232" s="84" t="s">
        <v>5561</v>
      </c>
      <c r="F1232" s="84" t="s">
        <v>4095</v>
      </c>
      <c r="G1232" s="85" t="s">
        <v>96</v>
      </c>
      <c r="H1232" s="87">
        <v>9.21E-5</v>
      </c>
      <c r="I1232" s="45"/>
      <c r="J1232" s="45"/>
      <c r="K1232" s="45"/>
      <c r="L1232" s="45"/>
      <c r="M1232" s="45"/>
      <c r="N1232" s="45"/>
      <c r="O1232" s="45"/>
      <c r="P1232" s="45"/>
      <c r="Q1232" s="45"/>
      <c r="R1232" s="45"/>
      <c r="S1232" s="45"/>
      <c r="T1232" s="45"/>
      <c r="U1232" s="45"/>
    </row>
    <row r="1233">
      <c r="A1233" s="84" t="s">
        <v>10129</v>
      </c>
      <c r="B1233" s="45"/>
      <c r="C1233" s="84" t="s">
        <v>10130</v>
      </c>
      <c r="D1233" s="45"/>
      <c r="E1233" s="84" t="s">
        <v>6130</v>
      </c>
      <c r="F1233" s="84" t="s">
        <v>8784</v>
      </c>
      <c r="G1233" s="85" t="s">
        <v>96</v>
      </c>
      <c r="H1233" s="87">
        <v>9.2E-5</v>
      </c>
      <c r="I1233" s="45"/>
      <c r="J1233" s="45"/>
      <c r="K1233" s="45"/>
      <c r="L1233" s="45"/>
      <c r="M1233" s="45"/>
      <c r="N1233" s="45"/>
      <c r="O1233" s="45"/>
      <c r="P1233" s="45"/>
      <c r="Q1233" s="45"/>
      <c r="R1233" s="45"/>
      <c r="S1233" s="45"/>
      <c r="T1233" s="45"/>
      <c r="U1233" s="45"/>
    </row>
    <row r="1234">
      <c r="A1234" s="84" t="s">
        <v>6051</v>
      </c>
      <c r="B1234" s="45"/>
      <c r="C1234" s="84" t="s">
        <v>10040</v>
      </c>
      <c r="D1234" s="45"/>
      <c r="E1234" s="84" t="s">
        <v>5434</v>
      </c>
      <c r="F1234" s="84" t="s">
        <v>8784</v>
      </c>
      <c r="G1234" s="85" t="s">
        <v>96</v>
      </c>
      <c r="H1234" s="87">
        <v>9.19E-5</v>
      </c>
      <c r="I1234" s="45"/>
      <c r="J1234" s="45"/>
      <c r="K1234" s="45"/>
      <c r="L1234" s="45"/>
      <c r="M1234" s="45"/>
      <c r="N1234" s="45"/>
      <c r="O1234" s="45"/>
      <c r="P1234" s="45"/>
      <c r="Q1234" s="45"/>
      <c r="R1234" s="45"/>
      <c r="S1234" s="45"/>
      <c r="T1234" s="45"/>
      <c r="U1234" s="45"/>
    </row>
    <row r="1235">
      <c r="A1235" s="84" t="s">
        <v>10275</v>
      </c>
      <c r="B1235" s="45"/>
      <c r="C1235" s="84" t="s">
        <v>10276</v>
      </c>
      <c r="D1235" s="45"/>
      <c r="E1235" s="84" t="s">
        <v>5326</v>
      </c>
      <c r="F1235" s="84" t="s">
        <v>4095</v>
      </c>
      <c r="G1235" s="85" t="s">
        <v>96</v>
      </c>
      <c r="H1235" s="87">
        <v>9.18E-5</v>
      </c>
      <c r="I1235" s="45"/>
      <c r="J1235" s="45"/>
      <c r="K1235" s="45"/>
      <c r="L1235" s="45"/>
      <c r="M1235" s="45"/>
      <c r="N1235" s="45"/>
      <c r="O1235" s="45"/>
      <c r="P1235" s="45"/>
      <c r="Q1235" s="45"/>
      <c r="R1235" s="45"/>
      <c r="S1235" s="45"/>
      <c r="T1235" s="45"/>
      <c r="U1235" s="45"/>
    </row>
    <row r="1236">
      <c r="A1236" s="84" t="s">
        <v>10034</v>
      </c>
      <c r="B1236" s="45"/>
      <c r="C1236" s="84" t="s">
        <v>10035</v>
      </c>
      <c r="D1236" s="45"/>
      <c r="E1236" s="84" t="s">
        <v>5215</v>
      </c>
      <c r="F1236" s="84" t="s">
        <v>5268</v>
      </c>
      <c r="G1236" s="85" t="s">
        <v>96</v>
      </c>
      <c r="H1236" s="87">
        <v>9.18E-5</v>
      </c>
      <c r="I1236" s="45"/>
      <c r="J1236" s="45"/>
      <c r="K1236" s="45"/>
      <c r="L1236" s="45"/>
      <c r="M1236" s="45"/>
      <c r="N1236" s="45"/>
      <c r="O1236" s="45"/>
      <c r="P1236" s="45"/>
      <c r="Q1236" s="45"/>
      <c r="R1236" s="45"/>
      <c r="S1236" s="45"/>
      <c r="T1236" s="45"/>
      <c r="U1236" s="45"/>
    </row>
    <row r="1237">
      <c r="A1237" s="84" t="s">
        <v>10398</v>
      </c>
      <c r="B1237" s="45"/>
      <c r="C1237" s="84" t="s">
        <v>10218</v>
      </c>
      <c r="D1237" s="45"/>
      <c r="E1237" s="84" t="s">
        <v>5459</v>
      </c>
      <c r="F1237" s="84" t="s">
        <v>5300</v>
      </c>
      <c r="G1237" s="85" t="s">
        <v>96</v>
      </c>
      <c r="H1237" s="87">
        <v>9.17E-5</v>
      </c>
      <c r="I1237" s="45"/>
      <c r="J1237" s="45"/>
      <c r="K1237" s="45"/>
      <c r="L1237" s="45"/>
      <c r="M1237" s="45"/>
      <c r="N1237" s="45"/>
      <c r="O1237" s="45"/>
      <c r="P1237" s="45"/>
      <c r="Q1237" s="45"/>
      <c r="R1237" s="45"/>
      <c r="S1237" s="45"/>
      <c r="T1237" s="45"/>
      <c r="U1237" s="45"/>
    </row>
    <row r="1238">
      <c r="A1238" s="84" t="s">
        <v>10193</v>
      </c>
      <c r="B1238" s="45"/>
      <c r="C1238" s="84" t="s">
        <v>10194</v>
      </c>
      <c r="D1238" s="45"/>
      <c r="E1238" s="84" t="s">
        <v>5650</v>
      </c>
      <c r="F1238" s="84" t="s">
        <v>8784</v>
      </c>
      <c r="G1238" s="85" t="s">
        <v>96</v>
      </c>
      <c r="H1238" s="87">
        <v>9.15E-5</v>
      </c>
      <c r="I1238" s="45"/>
      <c r="J1238" s="45"/>
      <c r="K1238" s="45"/>
      <c r="L1238" s="45"/>
      <c r="M1238" s="45"/>
      <c r="N1238" s="45"/>
      <c r="O1238" s="45"/>
      <c r="P1238" s="45"/>
      <c r="Q1238" s="45"/>
      <c r="R1238" s="45"/>
      <c r="S1238" s="45"/>
      <c r="T1238" s="45"/>
      <c r="U1238" s="45"/>
    </row>
    <row r="1239">
      <c r="A1239" s="84" t="s">
        <v>10149</v>
      </c>
      <c r="B1239" s="45"/>
      <c r="C1239" s="84" t="s">
        <v>10150</v>
      </c>
      <c r="D1239" s="45"/>
      <c r="E1239" s="84" t="s">
        <v>9189</v>
      </c>
      <c r="F1239" s="84" t="s">
        <v>5425</v>
      </c>
      <c r="G1239" s="85" t="s">
        <v>96</v>
      </c>
      <c r="H1239" s="87">
        <v>9.14E-5</v>
      </c>
      <c r="I1239" s="45"/>
      <c r="J1239" s="45"/>
      <c r="K1239" s="45"/>
      <c r="L1239" s="45"/>
      <c r="M1239" s="45"/>
      <c r="N1239" s="45"/>
      <c r="O1239" s="45"/>
      <c r="P1239" s="45"/>
      <c r="Q1239" s="45"/>
      <c r="R1239" s="45"/>
      <c r="S1239" s="45"/>
      <c r="T1239" s="45"/>
      <c r="U1239" s="45"/>
    </row>
    <row r="1240">
      <c r="A1240" s="84" t="s">
        <v>10167</v>
      </c>
      <c r="B1240" s="45"/>
      <c r="C1240" s="84" t="s">
        <v>10168</v>
      </c>
      <c r="D1240" s="45"/>
      <c r="E1240" s="84" t="s">
        <v>5516</v>
      </c>
      <c r="F1240" s="84" t="s">
        <v>5425</v>
      </c>
      <c r="G1240" s="85" t="s">
        <v>96</v>
      </c>
      <c r="H1240" s="87">
        <v>9.14E-5</v>
      </c>
      <c r="I1240" s="45"/>
      <c r="J1240" s="45"/>
      <c r="K1240" s="45"/>
      <c r="L1240" s="45"/>
      <c r="M1240" s="45"/>
      <c r="N1240" s="45"/>
      <c r="O1240" s="45"/>
      <c r="P1240" s="45"/>
      <c r="Q1240" s="45"/>
      <c r="R1240" s="45"/>
      <c r="S1240" s="45"/>
      <c r="T1240" s="45"/>
      <c r="U1240" s="45"/>
    </row>
    <row r="1241">
      <c r="A1241" s="84" t="s">
        <v>11789</v>
      </c>
      <c r="B1241" s="45"/>
      <c r="C1241" s="84" t="s">
        <v>11790</v>
      </c>
      <c r="D1241" s="45"/>
      <c r="E1241" s="84" t="s">
        <v>5759</v>
      </c>
      <c r="F1241" s="84" t="s">
        <v>5927</v>
      </c>
      <c r="G1241" s="85" t="s">
        <v>96</v>
      </c>
      <c r="H1241" s="87">
        <v>9.11E-5</v>
      </c>
      <c r="I1241" s="45"/>
      <c r="J1241" s="45"/>
      <c r="K1241" s="45"/>
      <c r="L1241" s="45"/>
      <c r="M1241" s="45"/>
      <c r="N1241" s="45"/>
      <c r="O1241" s="45"/>
      <c r="P1241" s="45"/>
      <c r="Q1241" s="45"/>
      <c r="R1241" s="45"/>
      <c r="S1241" s="45"/>
      <c r="T1241" s="45"/>
      <c r="U1241" s="45"/>
    </row>
    <row r="1242">
      <c r="A1242" s="84" t="s">
        <v>10325</v>
      </c>
      <c r="B1242" s="45"/>
      <c r="C1242" s="84" t="s">
        <v>10326</v>
      </c>
      <c r="D1242" s="45"/>
      <c r="E1242" s="84" t="s">
        <v>6238</v>
      </c>
      <c r="F1242" s="84" t="s">
        <v>4436</v>
      </c>
      <c r="G1242" s="85" t="s">
        <v>96</v>
      </c>
      <c r="H1242" s="87">
        <v>9.1E-5</v>
      </c>
      <c r="I1242" s="45"/>
      <c r="J1242" s="45"/>
      <c r="K1242" s="45"/>
      <c r="L1242" s="45"/>
      <c r="M1242" s="45"/>
      <c r="N1242" s="45"/>
      <c r="O1242" s="45"/>
      <c r="P1242" s="45"/>
      <c r="Q1242" s="45"/>
      <c r="R1242" s="45"/>
      <c r="S1242" s="45"/>
      <c r="T1242" s="45"/>
      <c r="U1242" s="45"/>
    </row>
    <row r="1243">
      <c r="A1243" s="84" t="s">
        <v>10115</v>
      </c>
      <c r="B1243" s="45"/>
      <c r="C1243" s="84" t="s">
        <v>10116</v>
      </c>
      <c r="D1243" s="45"/>
      <c r="E1243" s="84" t="s">
        <v>5249</v>
      </c>
      <c r="F1243" s="84" t="s">
        <v>8784</v>
      </c>
      <c r="G1243" s="85" t="s">
        <v>96</v>
      </c>
      <c r="H1243" s="87">
        <v>9.08E-5</v>
      </c>
      <c r="I1243" s="45"/>
      <c r="J1243" s="45"/>
      <c r="K1243" s="45"/>
      <c r="L1243" s="45"/>
      <c r="M1243" s="45"/>
      <c r="N1243" s="45"/>
      <c r="O1243" s="45"/>
      <c r="P1243" s="45"/>
      <c r="Q1243" s="45"/>
      <c r="R1243" s="45"/>
      <c r="S1243" s="45"/>
      <c r="T1243" s="45"/>
      <c r="U1243" s="45"/>
    </row>
    <row r="1244">
      <c r="A1244" s="84" t="s">
        <v>10052</v>
      </c>
      <c r="B1244" s="45"/>
      <c r="C1244" s="84" t="s">
        <v>10053</v>
      </c>
      <c r="D1244" s="45"/>
      <c r="E1244" s="84" t="s">
        <v>5341</v>
      </c>
      <c r="F1244" s="84" t="s">
        <v>8784</v>
      </c>
      <c r="G1244" s="85" t="s">
        <v>96</v>
      </c>
      <c r="H1244" s="87">
        <v>9.07E-5</v>
      </c>
      <c r="I1244" s="45"/>
      <c r="J1244" s="45"/>
      <c r="K1244" s="45"/>
      <c r="L1244" s="45"/>
      <c r="M1244" s="45"/>
      <c r="N1244" s="45"/>
      <c r="O1244" s="45"/>
      <c r="P1244" s="45"/>
      <c r="Q1244" s="45"/>
      <c r="R1244" s="45"/>
      <c r="S1244" s="45"/>
      <c r="T1244" s="45"/>
      <c r="U1244" s="45"/>
    </row>
    <row r="1245">
      <c r="A1245" s="84" t="s">
        <v>10204</v>
      </c>
      <c r="B1245" s="45"/>
      <c r="C1245" s="84" t="s">
        <v>10205</v>
      </c>
      <c r="D1245" s="45"/>
      <c r="E1245" s="84" t="s">
        <v>6868</v>
      </c>
      <c r="F1245" s="84" t="s">
        <v>4095</v>
      </c>
      <c r="G1245" s="85" t="s">
        <v>96</v>
      </c>
      <c r="H1245" s="87">
        <v>9.05E-5</v>
      </c>
      <c r="I1245" s="45"/>
      <c r="J1245" s="45"/>
      <c r="K1245" s="45"/>
      <c r="L1245" s="45"/>
      <c r="M1245" s="45"/>
      <c r="N1245" s="45"/>
      <c r="O1245" s="45"/>
      <c r="P1245" s="45"/>
      <c r="Q1245" s="45"/>
      <c r="R1245" s="45"/>
      <c r="S1245" s="45"/>
      <c r="T1245" s="45"/>
      <c r="U1245" s="45"/>
    </row>
    <row r="1246">
      <c r="A1246" s="84" t="s">
        <v>4502</v>
      </c>
      <c r="B1246" s="45"/>
      <c r="C1246" s="84" t="s">
        <v>10141</v>
      </c>
      <c r="D1246" s="45"/>
      <c r="E1246" s="84" t="s">
        <v>5309</v>
      </c>
      <c r="F1246" s="84" t="s">
        <v>5300</v>
      </c>
      <c r="G1246" s="85" t="s">
        <v>96</v>
      </c>
      <c r="H1246" s="87">
        <v>9.02E-5</v>
      </c>
      <c r="I1246" s="45"/>
      <c r="J1246" s="45"/>
      <c r="K1246" s="45"/>
      <c r="L1246" s="45"/>
      <c r="M1246" s="45"/>
      <c r="N1246" s="45"/>
      <c r="O1246" s="45"/>
      <c r="P1246" s="45"/>
      <c r="Q1246" s="45"/>
      <c r="R1246" s="45"/>
      <c r="S1246" s="45"/>
      <c r="T1246" s="45"/>
      <c r="U1246" s="45"/>
    </row>
    <row r="1247">
      <c r="A1247" s="84" t="s">
        <v>11791</v>
      </c>
      <c r="B1247" s="45"/>
      <c r="C1247" s="84" t="s">
        <v>11792</v>
      </c>
      <c r="D1247" s="45"/>
      <c r="E1247" s="84" t="s">
        <v>5407</v>
      </c>
      <c r="F1247" s="84" t="s">
        <v>8759</v>
      </c>
      <c r="G1247" s="85" t="s">
        <v>96</v>
      </c>
      <c r="H1247" s="87">
        <v>9.01E-5</v>
      </c>
      <c r="I1247" s="45"/>
      <c r="J1247" s="45"/>
      <c r="K1247" s="45"/>
      <c r="L1247" s="45"/>
      <c r="M1247" s="45"/>
      <c r="N1247" s="45"/>
      <c r="O1247" s="45"/>
      <c r="P1247" s="45"/>
      <c r="Q1247" s="45"/>
      <c r="R1247" s="45"/>
      <c r="S1247" s="45"/>
      <c r="T1247" s="45"/>
      <c r="U1247" s="45"/>
    </row>
    <row r="1248">
      <c r="A1248" s="84" t="s">
        <v>10165</v>
      </c>
      <c r="B1248" s="45"/>
      <c r="C1248" s="84" t="s">
        <v>10166</v>
      </c>
      <c r="D1248" s="45"/>
      <c r="E1248" s="84" t="s">
        <v>5215</v>
      </c>
      <c r="F1248" s="84" t="s">
        <v>8784</v>
      </c>
      <c r="G1248" s="85" t="s">
        <v>96</v>
      </c>
      <c r="H1248" s="87">
        <v>9.0E-5</v>
      </c>
      <c r="I1248" s="45"/>
      <c r="J1248" s="45"/>
      <c r="K1248" s="45"/>
      <c r="L1248" s="45"/>
      <c r="M1248" s="45"/>
      <c r="N1248" s="45"/>
      <c r="O1248" s="45"/>
      <c r="P1248" s="45"/>
      <c r="Q1248" s="45"/>
      <c r="R1248" s="45"/>
      <c r="S1248" s="45"/>
      <c r="T1248" s="45"/>
      <c r="U1248" s="45"/>
    </row>
    <row r="1249">
      <c r="A1249" s="84" t="s">
        <v>11793</v>
      </c>
      <c r="B1249" s="45"/>
      <c r="C1249" s="84" t="s">
        <v>11794</v>
      </c>
      <c r="D1249" s="45"/>
      <c r="E1249" s="84" t="s">
        <v>9221</v>
      </c>
      <c r="F1249" s="84" t="s">
        <v>8784</v>
      </c>
      <c r="G1249" s="85" t="s">
        <v>96</v>
      </c>
      <c r="H1249" s="87">
        <v>8.98E-5</v>
      </c>
      <c r="I1249" s="45"/>
      <c r="J1249" s="45"/>
      <c r="K1249" s="45"/>
      <c r="L1249" s="45"/>
      <c r="M1249" s="45"/>
      <c r="N1249" s="45"/>
      <c r="O1249" s="45"/>
      <c r="P1249" s="45"/>
      <c r="Q1249" s="45"/>
      <c r="R1249" s="45"/>
      <c r="S1249" s="45"/>
      <c r="T1249" s="45"/>
      <c r="U1249" s="45"/>
    </row>
    <row r="1250">
      <c r="A1250" s="84" t="s">
        <v>10267</v>
      </c>
      <c r="B1250" s="45"/>
      <c r="C1250" s="84" t="s">
        <v>10268</v>
      </c>
      <c r="D1250" s="45"/>
      <c r="E1250" s="84" t="s">
        <v>5366</v>
      </c>
      <c r="F1250" s="84" t="s">
        <v>8784</v>
      </c>
      <c r="G1250" s="85" t="s">
        <v>96</v>
      </c>
      <c r="H1250" s="87">
        <v>8.91E-5</v>
      </c>
      <c r="I1250" s="45"/>
      <c r="J1250" s="45"/>
      <c r="K1250" s="45"/>
      <c r="L1250" s="45"/>
      <c r="M1250" s="45"/>
      <c r="N1250" s="45"/>
      <c r="O1250" s="45"/>
      <c r="P1250" s="45"/>
      <c r="Q1250" s="45"/>
      <c r="R1250" s="45"/>
      <c r="S1250" s="45"/>
      <c r="T1250" s="45"/>
      <c r="U1250" s="45"/>
    </row>
    <row r="1251">
      <c r="A1251" s="84" t="s">
        <v>11795</v>
      </c>
      <c r="B1251" s="45"/>
      <c r="C1251" s="84" t="s">
        <v>11796</v>
      </c>
      <c r="D1251" s="45"/>
      <c r="E1251" s="84" t="s">
        <v>6157</v>
      </c>
      <c r="F1251" s="84" t="s">
        <v>5300</v>
      </c>
      <c r="G1251" s="85" t="s">
        <v>96</v>
      </c>
      <c r="H1251" s="87">
        <v>8.89E-5</v>
      </c>
      <c r="I1251" s="45"/>
      <c r="J1251" s="45"/>
      <c r="K1251" s="45"/>
      <c r="L1251" s="45"/>
      <c r="M1251" s="45"/>
      <c r="N1251" s="45"/>
      <c r="O1251" s="45"/>
      <c r="P1251" s="45"/>
      <c r="Q1251" s="45"/>
      <c r="R1251" s="45"/>
      <c r="S1251" s="45"/>
      <c r="T1251" s="45"/>
      <c r="U1251" s="45"/>
    </row>
    <row r="1252">
      <c r="A1252" s="84" t="s">
        <v>4248</v>
      </c>
      <c r="B1252" s="45"/>
      <c r="C1252" s="84" t="s">
        <v>9893</v>
      </c>
      <c r="D1252" s="45"/>
      <c r="E1252" s="84" t="s">
        <v>5261</v>
      </c>
      <c r="F1252" s="84" t="s">
        <v>5425</v>
      </c>
      <c r="G1252" s="85" t="s">
        <v>96</v>
      </c>
      <c r="H1252" s="87">
        <v>8.87E-5</v>
      </c>
      <c r="I1252" s="45"/>
      <c r="J1252" s="45"/>
      <c r="K1252" s="45"/>
      <c r="L1252" s="45"/>
      <c r="M1252" s="45"/>
      <c r="N1252" s="45"/>
      <c r="O1252" s="45"/>
      <c r="P1252" s="45"/>
      <c r="Q1252" s="45"/>
      <c r="R1252" s="45"/>
      <c r="S1252" s="45"/>
      <c r="T1252" s="45"/>
      <c r="U1252" s="45"/>
    </row>
    <row r="1253">
      <c r="A1253" s="84" t="s">
        <v>10126</v>
      </c>
      <c r="B1253" s="45"/>
      <c r="C1253" s="84" t="s">
        <v>10127</v>
      </c>
      <c r="D1253" s="45"/>
      <c r="E1253" s="84" t="s">
        <v>5341</v>
      </c>
      <c r="F1253" s="84" t="s">
        <v>5747</v>
      </c>
      <c r="G1253" s="85" t="s">
        <v>96</v>
      </c>
      <c r="H1253" s="87">
        <v>8.84E-5</v>
      </c>
      <c r="I1253" s="45"/>
      <c r="J1253" s="45"/>
      <c r="K1253" s="45"/>
      <c r="L1253" s="45"/>
      <c r="M1253" s="45"/>
      <c r="N1253" s="45"/>
      <c r="O1253" s="45"/>
      <c r="P1253" s="45"/>
      <c r="Q1253" s="45"/>
      <c r="R1253" s="45"/>
      <c r="S1253" s="45"/>
      <c r="T1253" s="45"/>
      <c r="U1253" s="45"/>
    </row>
    <row r="1254">
      <c r="A1254" s="84" t="s">
        <v>10117</v>
      </c>
      <c r="B1254" s="45"/>
      <c r="C1254" s="84" t="s">
        <v>10118</v>
      </c>
      <c r="D1254" s="45"/>
      <c r="E1254" s="84" t="s">
        <v>5964</v>
      </c>
      <c r="F1254" s="84" t="s">
        <v>8784</v>
      </c>
      <c r="G1254" s="85" t="s">
        <v>96</v>
      </c>
      <c r="H1254" s="87">
        <v>8.82E-5</v>
      </c>
      <c r="I1254" s="45"/>
      <c r="J1254" s="45"/>
      <c r="K1254" s="45"/>
      <c r="L1254" s="45"/>
      <c r="M1254" s="45"/>
      <c r="N1254" s="45"/>
      <c r="O1254" s="45"/>
      <c r="P1254" s="45"/>
      <c r="Q1254" s="45"/>
      <c r="R1254" s="45"/>
      <c r="S1254" s="45"/>
      <c r="T1254" s="45"/>
      <c r="U1254" s="45"/>
    </row>
    <row r="1255">
      <c r="A1255" s="84" t="s">
        <v>10026</v>
      </c>
      <c r="B1255" s="45"/>
      <c r="C1255" s="84" t="s">
        <v>10027</v>
      </c>
      <c r="D1255" s="45"/>
      <c r="E1255" s="84" t="s">
        <v>5276</v>
      </c>
      <c r="F1255" s="84" t="s">
        <v>5300</v>
      </c>
      <c r="G1255" s="85" t="s">
        <v>96</v>
      </c>
      <c r="H1255" s="87">
        <v>8.76E-5</v>
      </c>
      <c r="I1255" s="45"/>
      <c r="J1255" s="45"/>
      <c r="K1255" s="45"/>
      <c r="L1255" s="45"/>
      <c r="M1255" s="45"/>
      <c r="N1255" s="45"/>
      <c r="O1255" s="45"/>
      <c r="P1255" s="45"/>
      <c r="Q1255" s="45"/>
      <c r="R1255" s="45"/>
      <c r="S1255" s="45"/>
      <c r="T1255" s="45"/>
      <c r="U1255" s="45"/>
    </row>
    <row r="1256">
      <c r="A1256" s="84" t="s">
        <v>10098</v>
      </c>
      <c r="B1256" s="45"/>
      <c r="C1256" s="84" t="s">
        <v>10099</v>
      </c>
      <c r="D1256" s="45"/>
      <c r="E1256" s="84" t="s">
        <v>5978</v>
      </c>
      <c r="F1256" s="84" t="s">
        <v>8784</v>
      </c>
      <c r="G1256" s="85" t="s">
        <v>96</v>
      </c>
      <c r="H1256" s="87">
        <v>8.73E-5</v>
      </c>
      <c r="I1256" s="45"/>
      <c r="J1256" s="45"/>
      <c r="K1256" s="45"/>
      <c r="L1256" s="45"/>
      <c r="M1256" s="45"/>
      <c r="N1256" s="45"/>
      <c r="O1256" s="45"/>
      <c r="P1256" s="45"/>
      <c r="Q1256" s="45"/>
      <c r="R1256" s="45"/>
      <c r="S1256" s="45"/>
      <c r="T1256" s="45"/>
      <c r="U1256" s="45"/>
    </row>
    <row r="1257">
      <c r="A1257" s="84" t="s">
        <v>11797</v>
      </c>
      <c r="B1257" s="45"/>
      <c r="C1257" s="84" t="s">
        <v>11798</v>
      </c>
      <c r="D1257" s="45"/>
      <c r="E1257" s="84" t="s">
        <v>6759</v>
      </c>
      <c r="F1257" s="84" t="s">
        <v>5747</v>
      </c>
      <c r="G1257" s="85" t="s">
        <v>96</v>
      </c>
      <c r="H1257" s="87">
        <v>8.71E-5</v>
      </c>
      <c r="I1257" s="45"/>
      <c r="J1257" s="45"/>
      <c r="K1257" s="45"/>
      <c r="L1257" s="45"/>
      <c r="M1257" s="45"/>
      <c r="N1257" s="45"/>
      <c r="O1257" s="45"/>
      <c r="P1257" s="45"/>
      <c r="Q1257" s="45"/>
      <c r="R1257" s="45"/>
      <c r="S1257" s="45"/>
      <c r="T1257" s="45"/>
      <c r="U1257" s="45"/>
    </row>
    <row r="1258">
      <c r="A1258" s="84" t="s">
        <v>10310</v>
      </c>
      <c r="B1258" s="45"/>
      <c r="C1258" s="84" t="s">
        <v>10311</v>
      </c>
      <c r="D1258" s="45"/>
      <c r="E1258" s="84" t="s">
        <v>5564</v>
      </c>
      <c r="F1258" s="84" t="s">
        <v>9414</v>
      </c>
      <c r="G1258" s="85" t="s">
        <v>96</v>
      </c>
      <c r="H1258" s="87">
        <v>8.69E-5</v>
      </c>
      <c r="I1258" s="45"/>
      <c r="J1258" s="45"/>
      <c r="K1258" s="45"/>
      <c r="L1258" s="45"/>
      <c r="M1258" s="45"/>
      <c r="N1258" s="45"/>
      <c r="O1258" s="45"/>
      <c r="P1258" s="45"/>
      <c r="Q1258" s="45"/>
      <c r="R1258" s="45"/>
      <c r="S1258" s="45"/>
      <c r="T1258" s="45"/>
      <c r="U1258" s="45"/>
    </row>
    <row r="1259">
      <c r="A1259" s="84" t="s">
        <v>5747</v>
      </c>
      <c r="B1259" s="45"/>
      <c r="C1259" s="84" t="s">
        <v>10247</v>
      </c>
      <c r="D1259" s="45"/>
      <c r="E1259" s="84" t="s">
        <v>5501</v>
      </c>
      <c r="F1259" s="84" t="s">
        <v>5747</v>
      </c>
      <c r="G1259" s="85" t="s">
        <v>96</v>
      </c>
      <c r="H1259" s="87">
        <v>8.62E-5</v>
      </c>
      <c r="I1259" s="45"/>
      <c r="J1259" s="45"/>
      <c r="K1259" s="45"/>
      <c r="L1259" s="45"/>
      <c r="M1259" s="45"/>
      <c r="N1259" s="45"/>
      <c r="O1259" s="45"/>
      <c r="P1259" s="45"/>
      <c r="Q1259" s="45"/>
      <c r="R1259" s="45"/>
      <c r="S1259" s="45"/>
      <c r="T1259" s="45"/>
      <c r="U1259" s="45"/>
    </row>
    <row r="1260">
      <c r="A1260" s="84" t="s">
        <v>10155</v>
      </c>
      <c r="B1260" s="45"/>
      <c r="C1260" s="84" t="s">
        <v>10156</v>
      </c>
      <c r="D1260" s="45"/>
      <c r="E1260" s="84" t="s">
        <v>5374</v>
      </c>
      <c r="F1260" s="84" t="s">
        <v>8784</v>
      </c>
      <c r="G1260" s="85" t="s">
        <v>96</v>
      </c>
      <c r="H1260" s="87">
        <v>8.59E-5</v>
      </c>
      <c r="I1260" s="45"/>
      <c r="J1260" s="45"/>
      <c r="K1260" s="45"/>
      <c r="L1260" s="45"/>
      <c r="M1260" s="45"/>
      <c r="N1260" s="45"/>
      <c r="O1260" s="45"/>
      <c r="P1260" s="45"/>
      <c r="Q1260" s="45"/>
      <c r="R1260" s="45"/>
      <c r="S1260" s="45"/>
      <c r="T1260" s="45"/>
      <c r="U1260" s="45"/>
    </row>
    <row r="1261">
      <c r="A1261" s="84" t="s">
        <v>10153</v>
      </c>
      <c r="B1261" s="45"/>
      <c r="C1261" s="84" t="s">
        <v>10154</v>
      </c>
      <c r="D1261" s="45"/>
      <c r="E1261" s="84" t="s">
        <v>5238</v>
      </c>
      <c r="F1261" s="84" t="s">
        <v>4095</v>
      </c>
      <c r="G1261" s="85" t="s">
        <v>96</v>
      </c>
      <c r="H1261" s="87">
        <v>8.58E-5</v>
      </c>
      <c r="I1261" s="45"/>
      <c r="J1261" s="45"/>
      <c r="K1261" s="45"/>
      <c r="L1261" s="45"/>
      <c r="M1261" s="45"/>
      <c r="N1261" s="45"/>
      <c r="O1261" s="45"/>
      <c r="P1261" s="45"/>
      <c r="Q1261" s="45"/>
      <c r="R1261" s="45"/>
      <c r="S1261" s="45"/>
      <c r="T1261" s="45"/>
      <c r="U1261" s="45"/>
    </row>
    <row r="1262">
      <c r="A1262" s="84" t="s">
        <v>9976</v>
      </c>
      <c r="B1262" s="45"/>
      <c r="C1262" s="84" t="s">
        <v>9977</v>
      </c>
      <c r="D1262" s="45"/>
      <c r="E1262" s="84" t="s">
        <v>5369</v>
      </c>
      <c r="F1262" s="84" t="s">
        <v>8784</v>
      </c>
      <c r="G1262" s="85" t="s">
        <v>96</v>
      </c>
      <c r="H1262" s="87">
        <v>8.54E-5</v>
      </c>
      <c r="I1262" s="45"/>
      <c r="J1262" s="45"/>
      <c r="K1262" s="45"/>
      <c r="L1262" s="45"/>
      <c r="M1262" s="45"/>
      <c r="N1262" s="45"/>
      <c r="O1262" s="45"/>
      <c r="P1262" s="45"/>
      <c r="Q1262" s="45"/>
      <c r="R1262" s="45"/>
      <c r="S1262" s="45"/>
      <c r="T1262" s="45"/>
      <c r="U1262" s="45"/>
    </row>
    <row r="1263">
      <c r="A1263" s="84" t="s">
        <v>10213</v>
      </c>
      <c r="B1263" s="45"/>
      <c r="C1263" s="84" t="s">
        <v>10214</v>
      </c>
      <c r="D1263" s="45"/>
      <c r="E1263" s="84" t="s">
        <v>9189</v>
      </c>
      <c r="F1263" s="84" t="s">
        <v>5425</v>
      </c>
      <c r="G1263" s="85" t="s">
        <v>96</v>
      </c>
      <c r="H1263" s="87">
        <v>8.52E-5</v>
      </c>
      <c r="I1263" s="45"/>
      <c r="J1263" s="45"/>
      <c r="K1263" s="45"/>
      <c r="L1263" s="45"/>
      <c r="M1263" s="45"/>
      <c r="N1263" s="45"/>
      <c r="O1263" s="45"/>
      <c r="P1263" s="45"/>
      <c r="Q1263" s="45"/>
      <c r="R1263" s="45"/>
      <c r="S1263" s="45"/>
      <c r="T1263" s="45"/>
      <c r="U1263" s="45"/>
    </row>
    <row r="1264">
      <c r="A1264" s="84" t="s">
        <v>10314</v>
      </c>
      <c r="B1264" s="45"/>
      <c r="C1264" s="84" t="s">
        <v>10315</v>
      </c>
      <c r="D1264" s="45"/>
      <c r="E1264" s="84" t="s">
        <v>5283</v>
      </c>
      <c r="F1264" s="84" t="s">
        <v>4095</v>
      </c>
      <c r="G1264" s="85" t="s">
        <v>96</v>
      </c>
      <c r="H1264" s="87">
        <v>8.52E-5</v>
      </c>
      <c r="I1264" s="45"/>
      <c r="J1264" s="45"/>
      <c r="K1264" s="45"/>
      <c r="L1264" s="45"/>
      <c r="M1264" s="45"/>
      <c r="N1264" s="45"/>
      <c r="O1264" s="45"/>
      <c r="P1264" s="45"/>
      <c r="Q1264" s="45"/>
      <c r="R1264" s="45"/>
      <c r="S1264" s="45"/>
      <c r="T1264" s="45"/>
      <c r="U1264" s="45"/>
    </row>
    <row r="1265">
      <c r="A1265" s="84" t="s">
        <v>10256</v>
      </c>
      <c r="B1265" s="45"/>
      <c r="C1265" s="84" t="s">
        <v>10257</v>
      </c>
      <c r="D1265" s="45"/>
      <c r="E1265" s="84" t="s">
        <v>6040</v>
      </c>
      <c r="F1265" s="84" t="s">
        <v>8784</v>
      </c>
      <c r="G1265" s="85" t="s">
        <v>96</v>
      </c>
      <c r="H1265" s="87">
        <v>8.51E-5</v>
      </c>
      <c r="I1265" s="45"/>
      <c r="J1265" s="45"/>
      <c r="K1265" s="45"/>
      <c r="L1265" s="45"/>
      <c r="M1265" s="45"/>
      <c r="N1265" s="45"/>
      <c r="O1265" s="45"/>
      <c r="P1265" s="45"/>
      <c r="Q1265" s="45"/>
      <c r="R1265" s="45"/>
      <c r="S1265" s="45"/>
      <c r="T1265" s="45"/>
      <c r="U1265" s="45"/>
    </row>
    <row r="1266">
      <c r="A1266" s="84" t="s">
        <v>10232</v>
      </c>
      <c r="B1266" s="45"/>
      <c r="C1266" s="84" t="s">
        <v>10233</v>
      </c>
      <c r="D1266" s="45"/>
      <c r="E1266" s="84" t="s">
        <v>5501</v>
      </c>
      <c r="F1266" s="84" t="s">
        <v>8784</v>
      </c>
      <c r="G1266" s="85" t="s">
        <v>96</v>
      </c>
      <c r="H1266" s="87">
        <v>8.5E-5</v>
      </c>
      <c r="I1266" s="45"/>
      <c r="J1266" s="45"/>
      <c r="K1266" s="45"/>
      <c r="L1266" s="45"/>
      <c r="M1266" s="45"/>
      <c r="N1266" s="45"/>
      <c r="O1266" s="45"/>
      <c r="P1266" s="45"/>
      <c r="Q1266" s="45"/>
      <c r="R1266" s="45"/>
      <c r="S1266" s="45"/>
      <c r="T1266" s="45"/>
      <c r="U1266" s="45"/>
    </row>
    <row r="1267">
      <c r="A1267" s="84" t="s">
        <v>10343</v>
      </c>
      <c r="B1267" s="45"/>
      <c r="C1267" s="84" t="s">
        <v>10344</v>
      </c>
      <c r="D1267" s="45"/>
      <c r="E1267" s="84" t="s">
        <v>5218</v>
      </c>
      <c r="F1267" s="84" t="s">
        <v>5747</v>
      </c>
      <c r="G1267" s="85" t="s">
        <v>96</v>
      </c>
      <c r="H1267" s="87">
        <v>8.48E-5</v>
      </c>
      <c r="I1267" s="45"/>
      <c r="J1267" s="45"/>
      <c r="K1267" s="45"/>
      <c r="L1267" s="45"/>
      <c r="M1267" s="45"/>
      <c r="N1267" s="45"/>
      <c r="O1267" s="45"/>
      <c r="P1267" s="45"/>
      <c r="Q1267" s="45"/>
      <c r="R1267" s="45"/>
      <c r="S1267" s="45"/>
      <c r="T1267" s="45"/>
      <c r="U1267" s="45"/>
    </row>
    <row r="1268">
      <c r="A1268" s="84" t="s">
        <v>11799</v>
      </c>
      <c r="B1268" s="45"/>
      <c r="C1268" s="84" t="s">
        <v>11800</v>
      </c>
      <c r="D1268" s="45"/>
      <c r="E1268" s="84" t="s">
        <v>9959</v>
      </c>
      <c r="F1268" s="84" t="s">
        <v>5836</v>
      </c>
      <c r="G1268" s="85" t="s">
        <v>96</v>
      </c>
      <c r="H1268" s="87">
        <v>8.45E-5</v>
      </c>
      <c r="I1268" s="45"/>
      <c r="J1268" s="45"/>
      <c r="K1268" s="45"/>
      <c r="L1268" s="45"/>
      <c r="M1268" s="45"/>
      <c r="N1268" s="45"/>
      <c r="O1268" s="45"/>
      <c r="P1268" s="45"/>
      <c r="Q1268" s="45"/>
      <c r="R1268" s="45"/>
      <c r="S1268" s="45"/>
      <c r="T1268" s="45"/>
      <c r="U1268" s="45"/>
    </row>
    <row r="1269">
      <c r="A1269" s="84" t="s">
        <v>11801</v>
      </c>
      <c r="B1269" s="45"/>
      <c r="C1269" s="84" t="s">
        <v>11802</v>
      </c>
      <c r="D1269" s="45"/>
      <c r="E1269" s="84" t="s">
        <v>6389</v>
      </c>
      <c r="F1269" s="84" t="s">
        <v>9021</v>
      </c>
      <c r="G1269" s="85" t="s">
        <v>96</v>
      </c>
      <c r="H1269" s="87">
        <v>8.42E-5</v>
      </c>
      <c r="I1269" s="45"/>
      <c r="J1269" s="45"/>
      <c r="K1269" s="45"/>
      <c r="L1269" s="45"/>
      <c r="M1269" s="45"/>
      <c r="N1269" s="45"/>
      <c r="O1269" s="45"/>
      <c r="P1269" s="45"/>
      <c r="Q1269" s="45"/>
      <c r="R1269" s="45"/>
      <c r="S1269" s="45"/>
      <c r="T1269" s="45"/>
      <c r="U1269" s="45"/>
    </row>
    <row r="1270">
      <c r="A1270" s="84" t="s">
        <v>10191</v>
      </c>
      <c r="B1270" s="45"/>
      <c r="C1270" s="84" t="s">
        <v>10192</v>
      </c>
      <c r="D1270" s="45"/>
      <c r="E1270" s="84" t="s">
        <v>5291</v>
      </c>
      <c r="F1270" s="84" t="s">
        <v>8784</v>
      </c>
      <c r="G1270" s="85" t="s">
        <v>96</v>
      </c>
      <c r="H1270" s="87">
        <v>8.41E-5</v>
      </c>
      <c r="I1270" s="45"/>
      <c r="J1270" s="45"/>
      <c r="K1270" s="45"/>
      <c r="L1270" s="45"/>
      <c r="M1270" s="45"/>
      <c r="N1270" s="45"/>
      <c r="O1270" s="45"/>
      <c r="P1270" s="45"/>
      <c r="Q1270" s="45"/>
      <c r="R1270" s="45"/>
      <c r="S1270" s="45"/>
      <c r="T1270" s="45"/>
      <c r="U1270" s="45"/>
    </row>
    <row r="1271">
      <c r="A1271" s="84" t="s">
        <v>4632</v>
      </c>
      <c r="B1271" s="45"/>
      <c r="C1271" s="84" t="s">
        <v>11803</v>
      </c>
      <c r="D1271" s="45"/>
      <c r="E1271" s="84" t="s">
        <v>5989</v>
      </c>
      <c r="F1271" s="84" t="s">
        <v>5836</v>
      </c>
      <c r="G1271" s="85" t="s">
        <v>96</v>
      </c>
      <c r="H1271" s="87">
        <v>8.41E-5</v>
      </c>
      <c r="I1271" s="45"/>
      <c r="J1271" s="45"/>
      <c r="K1271" s="45"/>
      <c r="L1271" s="45"/>
      <c r="M1271" s="45"/>
      <c r="N1271" s="45"/>
      <c r="O1271" s="45"/>
      <c r="P1271" s="45"/>
      <c r="Q1271" s="45"/>
      <c r="R1271" s="45"/>
      <c r="S1271" s="45"/>
      <c r="T1271" s="45"/>
      <c r="U1271" s="45"/>
    </row>
    <row r="1272">
      <c r="A1272" s="84" t="s">
        <v>11804</v>
      </c>
      <c r="B1272" s="45"/>
      <c r="C1272" s="84" t="s">
        <v>11805</v>
      </c>
      <c r="D1272" s="45"/>
      <c r="E1272" s="84" t="s">
        <v>5366</v>
      </c>
      <c r="F1272" s="84" t="s">
        <v>9513</v>
      </c>
      <c r="G1272" s="85" t="s">
        <v>96</v>
      </c>
      <c r="H1272" s="87">
        <v>8.37E-5</v>
      </c>
      <c r="I1272" s="45"/>
      <c r="J1272" s="45"/>
      <c r="K1272" s="45"/>
      <c r="L1272" s="45"/>
      <c r="M1272" s="45"/>
      <c r="N1272" s="45"/>
      <c r="O1272" s="45"/>
      <c r="P1272" s="45"/>
      <c r="Q1272" s="45"/>
      <c r="R1272" s="45"/>
      <c r="S1272" s="45"/>
      <c r="T1272" s="45"/>
      <c r="U1272" s="45"/>
    </row>
    <row r="1273">
      <c r="A1273" s="84" t="s">
        <v>10300</v>
      </c>
      <c r="B1273" s="45"/>
      <c r="C1273" s="84" t="s">
        <v>10301</v>
      </c>
      <c r="D1273" s="45"/>
      <c r="E1273" s="84" t="s">
        <v>9039</v>
      </c>
      <c r="F1273" s="84" t="s">
        <v>8784</v>
      </c>
      <c r="G1273" s="85" t="s">
        <v>96</v>
      </c>
      <c r="H1273" s="87">
        <v>8.1E-5</v>
      </c>
      <c r="I1273" s="45"/>
      <c r="J1273" s="45"/>
      <c r="K1273" s="45"/>
      <c r="L1273" s="45"/>
      <c r="M1273" s="45"/>
      <c r="N1273" s="45"/>
      <c r="O1273" s="45"/>
      <c r="P1273" s="45"/>
      <c r="Q1273" s="45"/>
      <c r="R1273" s="45"/>
      <c r="S1273" s="45"/>
      <c r="T1273" s="45"/>
      <c r="U1273" s="45"/>
    </row>
    <row r="1274">
      <c r="A1274" s="84" t="s">
        <v>11806</v>
      </c>
      <c r="B1274" s="45"/>
      <c r="C1274" s="84" t="s">
        <v>11807</v>
      </c>
      <c r="D1274" s="45"/>
      <c r="E1274" s="84" t="s">
        <v>5366</v>
      </c>
      <c r="F1274" s="84" t="s">
        <v>8784</v>
      </c>
      <c r="G1274" s="85" t="s">
        <v>96</v>
      </c>
      <c r="H1274" s="87">
        <v>8.04E-5</v>
      </c>
      <c r="I1274" s="45"/>
      <c r="J1274" s="45"/>
      <c r="K1274" s="45"/>
      <c r="L1274" s="45"/>
      <c r="M1274" s="45"/>
      <c r="N1274" s="45"/>
      <c r="O1274" s="45"/>
      <c r="P1274" s="45"/>
      <c r="Q1274" s="45"/>
      <c r="R1274" s="45"/>
      <c r="S1274" s="45"/>
      <c r="T1274" s="45"/>
      <c r="U1274" s="45"/>
    </row>
    <row r="1275">
      <c r="A1275" s="84" t="s">
        <v>11808</v>
      </c>
      <c r="B1275" s="45"/>
      <c r="C1275" s="84" t="s">
        <v>11809</v>
      </c>
      <c r="D1275" s="45"/>
      <c r="E1275" s="84" t="s">
        <v>5478</v>
      </c>
      <c r="F1275" s="84" t="s">
        <v>4436</v>
      </c>
      <c r="G1275" s="85" t="s">
        <v>96</v>
      </c>
      <c r="H1275" s="87">
        <v>8.01E-5</v>
      </c>
      <c r="I1275" s="45"/>
      <c r="J1275" s="45"/>
      <c r="K1275" s="45"/>
      <c r="L1275" s="45"/>
      <c r="M1275" s="45"/>
      <c r="N1275" s="45"/>
      <c r="O1275" s="45"/>
      <c r="P1275" s="45"/>
      <c r="Q1275" s="45"/>
      <c r="R1275" s="45"/>
      <c r="S1275" s="45"/>
      <c r="T1275" s="45"/>
      <c r="U1275" s="45"/>
    </row>
    <row r="1276">
      <c r="A1276" s="84" t="s">
        <v>11810</v>
      </c>
      <c r="B1276" s="45"/>
      <c r="C1276" s="84" t="s">
        <v>11811</v>
      </c>
      <c r="D1276" s="45"/>
      <c r="E1276" s="84" t="s">
        <v>6759</v>
      </c>
      <c r="F1276" s="84" t="s">
        <v>5941</v>
      </c>
      <c r="G1276" s="85" t="s">
        <v>96</v>
      </c>
      <c r="H1276" s="87">
        <v>7.97E-5</v>
      </c>
      <c r="I1276" s="45"/>
      <c r="J1276" s="45"/>
      <c r="K1276" s="45"/>
      <c r="L1276" s="45"/>
      <c r="M1276" s="45"/>
      <c r="N1276" s="45"/>
      <c r="O1276" s="45"/>
      <c r="P1276" s="45"/>
      <c r="Q1276" s="45"/>
      <c r="R1276" s="45"/>
      <c r="S1276" s="45"/>
      <c r="T1276" s="45"/>
      <c r="U1276" s="45"/>
    </row>
    <row r="1277">
      <c r="A1277" s="84" t="s">
        <v>10297</v>
      </c>
      <c r="B1277" s="45"/>
      <c r="C1277" s="84" t="s">
        <v>10298</v>
      </c>
      <c r="D1277" s="45"/>
      <c r="E1277" s="84" t="s">
        <v>6238</v>
      </c>
      <c r="F1277" s="84" t="s">
        <v>5277</v>
      </c>
      <c r="G1277" s="85" t="s">
        <v>96</v>
      </c>
      <c r="H1277" s="87">
        <v>7.95E-5</v>
      </c>
      <c r="I1277" s="45"/>
      <c r="J1277" s="45"/>
      <c r="K1277" s="45"/>
      <c r="L1277" s="45"/>
      <c r="M1277" s="45"/>
      <c r="N1277" s="45"/>
      <c r="O1277" s="45"/>
      <c r="P1277" s="45"/>
      <c r="Q1277" s="45"/>
      <c r="R1277" s="45"/>
      <c r="S1277" s="45"/>
      <c r="T1277" s="45"/>
      <c r="U1277" s="45"/>
    </row>
    <row r="1278">
      <c r="A1278" s="84" t="s">
        <v>11812</v>
      </c>
      <c r="B1278" s="45"/>
      <c r="C1278" s="84" t="s">
        <v>11813</v>
      </c>
      <c r="D1278" s="45"/>
      <c r="E1278" s="84" t="s">
        <v>6238</v>
      </c>
      <c r="F1278" s="84" t="s">
        <v>5836</v>
      </c>
      <c r="G1278" s="85" t="s">
        <v>96</v>
      </c>
      <c r="H1278" s="87">
        <v>7.94E-5</v>
      </c>
      <c r="I1278" s="45"/>
      <c r="J1278" s="45"/>
      <c r="K1278" s="45"/>
      <c r="L1278" s="45"/>
      <c r="M1278" s="45"/>
      <c r="N1278" s="45"/>
      <c r="O1278" s="45"/>
      <c r="P1278" s="45"/>
      <c r="Q1278" s="45"/>
      <c r="R1278" s="45"/>
      <c r="S1278" s="45"/>
      <c r="T1278" s="45"/>
      <c r="U1278" s="45"/>
    </row>
    <row r="1279">
      <c r="A1279" s="84" t="s">
        <v>10282</v>
      </c>
      <c r="B1279" s="45"/>
      <c r="C1279" s="84" t="s">
        <v>10283</v>
      </c>
      <c r="D1279" s="45"/>
      <c r="E1279" s="84" t="s">
        <v>5564</v>
      </c>
      <c r="F1279" s="84" t="s">
        <v>5941</v>
      </c>
      <c r="G1279" s="85" t="s">
        <v>96</v>
      </c>
      <c r="H1279" s="87">
        <v>7.94E-5</v>
      </c>
      <c r="I1279" s="45"/>
      <c r="J1279" s="45"/>
      <c r="K1279" s="45"/>
      <c r="L1279" s="45"/>
      <c r="M1279" s="45"/>
      <c r="N1279" s="45"/>
      <c r="O1279" s="45"/>
      <c r="P1279" s="45"/>
      <c r="Q1279" s="45"/>
      <c r="R1279" s="45"/>
      <c r="S1279" s="45"/>
      <c r="T1279" s="45"/>
      <c r="U1279" s="45"/>
    </row>
    <row r="1280">
      <c r="A1280" s="84" t="s">
        <v>11814</v>
      </c>
      <c r="B1280" s="45"/>
      <c r="C1280" s="84" t="s">
        <v>11815</v>
      </c>
      <c r="D1280" s="45"/>
      <c r="E1280" s="84" t="s">
        <v>5311</v>
      </c>
      <c r="F1280" s="84" t="s">
        <v>4436</v>
      </c>
      <c r="G1280" s="85" t="s">
        <v>96</v>
      </c>
      <c r="H1280" s="87">
        <v>7.91E-5</v>
      </c>
      <c r="I1280" s="45"/>
      <c r="J1280" s="45"/>
      <c r="K1280" s="45"/>
      <c r="L1280" s="45"/>
      <c r="M1280" s="45"/>
      <c r="N1280" s="45"/>
      <c r="O1280" s="45"/>
      <c r="P1280" s="45"/>
      <c r="Q1280" s="45"/>
      <c r="R1280" s="45"/>
      <c r="S1280" s="45"/>
      <c r="T1280" s="45"/>
      <c r="U1280" s="45"/>
    </row>
    <row r="1281">
      <c r="A1281" s="84" t="s">
        <v>10532</v>
      </c>
      <c r="B1281" s="45"/>
      <c r="C1281" s="84" t="s">
        <v>10533</v>
      </c>
      <c r="D1281" s="45"/>
      <c r="E1281" s="84" t="s">
        <v>5578</v>
      </c>
      <c r="F1281" s="84" t="s">
        <v>8784</v>
      </c>
      <c r="G1281" s="85" t="s">
        <v>96</v>
      </c>
      <c r="H1281" s="87">
        <v>7.91E-5</v>
      </c>
      <c r="I1281" s="45"/>
      <c r="J1281" s="45"/>
      <c r="K1281" s="45"/>
      <c r="L1281" s="45"/>
      <c r="M1281" s="45"/>
      <c r="N1281" s="45"/>
      <c r="O1281" s="45"/>
      <c r="P1281" s="45"/>
      <c r="Q1281" s="45"/>
      <c r="R1281" s="45"/>
      <c r="S1281" s="45"/>
      <c r="T1281" s="45"/>
      <c r="U1281" s="45"/>
    </row>
    <row r="1282">
      <c r="A1282" s="84" t="s">
        <v>10131</v>
      </c>
      <c r="B1282" s="45"/>
      <c r="C1282" s="84" t="s">
        <v>10132</v>
      </c>
      <c r="D1282" s="45"/>
      <c r="E1282" s="84" t="s">
        <v>5811</v>
      </c>
      <c r="F1282" s="84" t="s">
        <v>8784</v>
      </c>
      <c r="G1282" s="85" t="s">
        <v>96</v>
      </c>
      <c r="H1282" s="87">
        <v>7.89E-5</v>
      </c>
      <c r="I1282" s="45"/>
      <c r="J1282" s="45"/>
      <c r="K1282" s="45"/>
      <c r="L1282" s="45"/>
      <c r="M1282" s="45"/>
      <c r="N1282" s="45"/>
      <c r="O1282" s="45"/>
      <c r="P1282" s="45"/>
      <c r="Q1282" s="45"/>
      <c r="R1282" s="45"/>
      <c r="S1282" s="45"/>
      <c r="T1282" s="45"/>
      <c r="U1282" s="45"/>
    </row>
    <row r="1283">
      <c r="A1283" s="84" t="s">
        <v>11816</v>
      </c>
      <c r="B1283" s="45"/>
      <c r="C1283" s="84" t="s">
        <v>11817</v>
      </c>
      <c r="D1283" s="45"/>
      <c r="E1283" s="84" t="s">
        <v>5407</v>
      </c>
      <c r="F1283" s="84" t="s">
        <v>5300</v>
      </c>
      <c r="G1283" s="85" t="s">
        <v>96</v>
      </c>
      <c r="H1283" s="87">
        <v>7.89E-5</v>
      </c>
      <c r="I1283" s="45"/>
      <c r="J1283" s="45"/>
      <c r="K1283" s="45"/>
      <c r="L1283" s="45"/>
      <c r="M1283" s="45"/>
      <c r="N1283" s="45"/>
      <c r="O1283" s="45"/>
      <c r="P1283" s="45"/>
      <c r="Q1283" s="45"/>
      <c r="R1283" s="45"/>
      <c r="S1283" s="45"/>
      <c r="T1283" s="45"/>
      <c r="U1283" s="45"/>
    </row>
    <row r="1284">
      <c r="A1284" s="84" t="s">
        <v>10338</v>
      </c>
      <c r="B1284" s="45"/>
      <c r="C1284" s="84" t="s">
        <v>10339</v>
      </c>
      <c r="D1284" s="45"/>
      <c r="E1284" s="84" t="s">
        <v>5366</v>
      </c>
      <c r="F1284" s="84" t="s">
        <v>5425</v>
      </c>
      <c r="G1284" s="85" t="s">
        <v>96</v>
      </c>
      <c r="H1284" s="87">
        <v>7.88E-5</v>
      </c>
      <c r="I1284" s="45"/>
      <c r="J1284" s="45"/>
      <c r="K1284" s="45"/>
      <c r="L1284" s="45"/>
      <c r="M1284" s="45"/>
      <c r="N1284" s="45"/>
      <c r="O1284" s="45"/>
      <c r="P1284" s="45"/>
      <c r="Q1284" s="45"/>
      <c r="R1284" s="45"/>
      <c r="S1284" s="45"/>
      <c r="T1284" s="45"/>
      <c r="U1284" s="45"/>
    </row>
    <row r="1285">
      <c r="A1285" s="84" t="s">
        <v>11818</v>
      </c>
      <c r="B1285" s="45"/>
      <c r="C1285" s="84" t="s">
        <v>11819</v>
      </c>
      <c r="D1285" s="45"/>
      <c r="E1285" s="84" t="s">
        <v>5235</v>
      </c>
      <c r="F1285" s="84" t="s">
        <v>5927</v>
      </c>
      <c r="G1285" s="85" t="s">
        <v>96</v>
      </c>
      <c r="H1285" s="87">
        <v>7.87E-5</v>
      </c>
      <c r="I1285" s="45"/>
      <c r="J1285" s="45"/>
      <c r="K1285" s="45"/>
      <c r="L1285" s="45"/>
      <c r="M1285" s="45"/>
      <c r="N1285" s="45"/>
      <c r="O1285" s="45"/>
      <c r="P1285" s="45"/>
      <c r="Q1285" s="45"/>
      <c r="R1285" s="45"/>
      <c r="S1285" s="45"/>
      <c r="T1285" s="45"/>
      <c r="U1285" s="45"/>
    </row>
    <row r="1286">
      <c r="A1286" s="84" t="s">
        <v>10100</v>
      </c>
      <c r="B1286" s="45"/>
      <c r="C1286" s="84" t="s">
        <v>10101</v>
      </c>
      <c r="D1286" s="45"/>
      <c r="E1286" s="84" t="s">
        <v>5283</v>
      </c>
      <c r="F1286" s="84" t="s">
        <v>5747</v>
      </c>
      <c r="G1286" s="85" t="s">
        <v>96</v>
      </c>
      <c r="H1286" s="87">
        <v>7.87E-5</v>
      </c>
      <c r="I1286" s="45"/>
      <c r="J1286" s="45"/>
      <c r="K1286" s="45"/>
      <c r="L1286" s="45"/>
      <c r="M1286" s="45"/>
      <c r="N1286" s="45"/>
      <c r="O1286" s="45"/>
      <c r="P1286" s="45"/>
      <c r="Q1286" s="45"/>
      <c r="R1286" s="45"/>
      <c r="S1286" s="45"/>
      <c r="T1286" s="45"/>
      <c r="U1286" s="45"/>
    </row>
    <row r="1287">
      <c r="A1287" s="84" t="s">
        <v>10415</v>
      </c>
      <c r="B1287" s="45"/>
      <c r="C1287" s="84" t="s">
        <v>10416</v>
      </c>
      <c r="D1287" s="45"/>
      <c r="E1287" s="84" t="s">
        <v>5561</v>
      </c>
      <c r="F1287" s="84" t="s">
        <v>6220</v>
      </c>
      <c r="G1287" s="85" t="s">
        <v>96</v>
      </c>
      <c r="H1287" s="87">
        <v>7.86E-5</v>
      </c>
      <c r="I1287" s="45"/>
      <c r="J1287" s="45"/>
      <c r="K1287" s="45"/>
      <c r="L1287" s="45"/>
      <c r="M1287" s="45"/>
      <c r="N1287" s="45"/>
      <c r="O1287" s="45"/>
      <c r="P1287" s="45"/>
      <c r="Q1287" s="45"/>
      <c r="R1287" s="45"/>
      <c r="S1287" s="45"/>
      <c r="T1287" s="45"/>
      <c r="U1287" s="45"/>
    </row>
    <row r="1288">
      <c r="A1288" s="84" t="s">
        <v>11820</v>
      </c>
      <c r="B1288" s="45"/>
      <c r="C1288" s="84" t="s">
        <v>11821</v>
      </c>
      <c r="D1288" s="45"/>
      <c r="E1288" s="84" t="s">
        <v>5253</v>
      </c>
      <c r="F1288" s="84" t="s">
        <v>5941</v>
      </c>
      <c r="G1288" s="85" t="s">
        <v>96</v>
      </c>
      <c r="H1288" s="87">
        <v>7.83E-5</v>
      </c>
      <c r="I1288" s="45"/>
      <c r="J1288" s="45"/>
      <c r="K1288" s="45"/>
      <c r="L1288" s="45"/>
      <c r="M1288" s="45"/>
      <c r="N1288" s="45"/>
      <c r="O1288" s="45"/>
      <c r="P1288" s="45"/>
      <c r="Q1288" s="45"/>
      <c r="R1288" s="45"/>
      <c r="S1288" s="45"/>
      <c r="T1288" s="45"/>
      <c r="U1288" s="45"/>
    </row>
    <row r="1289">
      <c r="A1289" s="84" t="s">
        <v>10221</v>
      </c>
      <c r="B1289" s="45"/>
      <c r="C1289" s="84" t="s">
        <v>10222</v>
      </c>
      <c r="D1289" s="45"/>
      <c r="E1289" s="84" t="s">
        <v>5624</v>
      </c>
      <c r="F1289" s="84" t="s">
        <v>8784</v>
      </c>
      <c r="G1289" s="85" t="s">
        <v>96</v>
      </c>
      <c r="H1289" s="87">
        <v>7.81E-5</v>
      </c>
      <c r="I1289" s="45"/>
      <c r="J1289" s="45"/>
      <c r="K1289" s="45"/>
      <c r="L1289" s="45"/>
      <c r="M1289" s="45"/>
      <c r="N1289" s="45"/>
      <c r="O1289" s="45"/>
      <c r="P1289" s="45"/>
      <c r="Q1289" s="45"/>
      <c r="R1289" s="45"/>
      <c r="S1289" s="45"/>
      <c r="T1289" s="45"/>
      <c r="U1289" s="45"/>
    </row>
    <row r="1290">
      <c r="A1290" s="84" t="s">
        <v>10345</v>
      </c>
      <c r="B1290" s="45"/>
      <c r="C1290" s="84" t="s">
        <v>10346</v>
      </c>
      <c r="D1290" s="45"/>
      <c r="E1290" s="84" t="s">
        <v>5561</v>
      </c>
      <c r="F1290" s="84" t="s">
        <v>6220</v>
      </c>
      <c r="G1290" s="85" t="s">
        <v>96</v>
      </c>
      <c r="H1290" s="87">
        <v>7.75E-5</v>
      </c>
      <c r="I1290" s="45"/>
      <c r="J1290" s="45"/>
      <c r="K1290" s="45"/>
      <c r="L1290" s="45"/>
      <c r="M1290" s="45"/>
      <c r="N1290" s="45"/>
      <c r="O1290" s="45"/>
      <c r="P1290" s="45"/>
      <c r="Q1290" s="45"/>
      <c r="R1290" s="45"/>
      <c r="S1290" s="45"/>
      <c r="T1290" s="45"/>
      <c r="U1290" s="45"/>
    </row>
    <row r="1291">
      <c r="A1291" s="84" t="s">
        <v>10134</v>
      </c>
      <c r="B1291" s="45"/>
      <c r="C1291" s="84" t="s">
        <v>10135</v>
      </c>
      <c r="D1291" s="45"/>
      <c r="E1291" s="84" t="s">
        <v>5561</v>
      </c>
      <c r="F1291" s="84" t="s">
        <v>9021</v>
      </c>
      <c r="G1291" s="85" t="s">
        <v>96</v>
      </c>
      <c r="H1291" s="87">
        <v>7.72E-5</v>
      </c>
      <c r="I1291" s="45"/>
      <c r="J1291" s="45"/>
      <c r="K1291" s="45"/>
      <c r="L1291" s="45"/>
      <c r="M1291" s="45"/>
      <c r="N1291" s="45"/>
      <c r="O1291" s="45"/>
      <c r="P1291" s="45"/>
      <c r="Q1291" s="45"/>
      <c r="R1291" s="45"/>
      <c r="S1291" s="45"/>
      <c r="T1291" s="45"/>
      <c r="U1291" s="45"/>
    </row>
    <row r="1292">
      <c r="A1292" s="84" t="s">
        <v>10236</v>
      </c>
      <c r="B1292" s="45"/>
      <c r="C1292" s="84" t="s">
        <v>10237</v>
      </c>
      <c r="D1292" s="45"/>
      <c r="E1292" s="84" t="s">
        <v>5283</v>
      </c>
      <c r="F1292" s="84" t="s">
        <v>8784</v>
      </c>
      <c r="G1292" s="85" t="s">
        <v>96</v>
      </c>
      <c r="H1292" s="87">
        <v>7.72E-5</v>
      </c>
      <c r="I1292" s="45"/>
      <c r="J1292" s="45"/>
      <c r="K1292" s="45"/>
      <c r="L1292" s="45"/>
      <c r="M1292" s="45"/>
      <c r="N1292" s="45"/>
      <c r="O1292" s="45"/>
      <c r="P1292" s="45"/>
      <c r="Q1292" s="45"/>
      <c r="R1292" s="45"/>
      <c r="S1292" s="45"/>
      <c r="T1292" s="45"/>
      <c r="U1292" s="45"/>
    </row>
    <row r="1293">
      <c r="A1293" s="84" t="s">
        <v>10452</v>
      </c>
      <c r="B1293" s="45"/>
      <c r="C1293" s="84" t="s">
        <v>10453</v>
      </c>
      <c r="D1293" s="45"/>
      <c r="E1293" s="84" t="s">
        <v>10454</v>
      </c>
      <c r="F1293" s="84" t="s">
        <v>9414</v>
      </c>
      <c r="G1293" s="85" t="s">
        <v>96</v>
      </c>
      <c r="H1293" s="87">
        <v>7.7E-5</v>
      </c>
      <c r="I1293" s="45"/>
      <c r="J1293" s="45"/>
      <c r="K1293" s="45"/>
      <c r="L1293" s="45"/>
      <c r="M1293" s="45"/>
      <c r="N1293" s="45"/>
      <c r="O1293" s="45"/>
      <c r="P1293" s="45"/>
      <c r="Q1293" s="45"/>
      <c r="R1293" s="45"/>
      <c r="S1293" s="45"/>
      <c r="T1293" s="45"/>
      <c r="U1293" s="45"/>
    </row>
    <row r="1294">
      <c r="A1294" s="84" t="s">
        <v>10273</v>
      </c>
      <c r="B1294" s="45"/>
      <c r="C1294" s="84" t="s">
        <v>10274</v>
      </c>
      <c r="D1294" s="45"/>
      <c r="E1294" s="84" t="s">
        <v>5407</v>
      </c>
      <c r="F1294" s="84" t="s">
        <v>5300</v>
      </c>
      <c r="G1294" s="85" t="s">
        <v>96</v>
      </c>
      <c r="H1294" s="87">
        <v>7.69E-5</v>
      </c>
      <c r="I1294" s="45"/>
      <c r="J1294" s="45"/>
      <c r="K1294" s="45"/>
      <c r="L1294" s="45"/>
      <c r="M1294" s="45"/>
      <c r="N1294" s="45"/>
      <c r="O1294" s="45"/>
      <c r="P1294" s="45"/>
      <c r="Q1294" s="45"/>
      <c r="R1294" s="45"/>
      <c r="S1294" s="45"/>
      <c r="T1294" s="45"/>
      <c r="U1294" s="45"/>
    </row>
    <row r="1295">
      <c r="A1295" s="84" t="s">
        <v>4304</v>
      </c>
      <c r="B1295" s="45"/>
      <c r="C1295" s="84" t="s">
        <v>10324</v>
      </c>
      <c r="D1295" s="45"/>
      <c r="E1295" s="84" t="s">
        <v>5467</v>
      </c>
      <c r="F1295" s="84" t="s">
        <v>4357</v>
      </c>
      <c r="G1295" s="85" t="s">
        <v>96</v>
      </c>
      <c r="H1295" s="87">
        <v>7.68E-5</v>
      </c>
      <c r="I1295" s="45"/>
      <c r="J1295" s="45"/>
      <c r="K1295" s="45"/>
      <c r="L1295" s="45"/>
      <c r="M1295" s="45"/>
      <c r="N1295" s="45"/>
      <c r="O1295" s="45"/>
      <c r="P1295" s="45"/>
      <c r="Q1295" s="45"/>
      <c r="R1295" s="45"/>
      <c r="S1295" s="45"/>
      <c r="T1295" s="45"/>
      <c r="U1295" s="45"/>
    </row>
    <row r="1296">
      <c r="A1296" s="84" t="s">
        <v>4344</v>
      </c>
      <c r="B1296" s="45"/>
      <c r="C1296" s="84" t="s">
        <v>10548</v>
      </c>
      <c r="D1296" s="45"/>
      <c r="E1296" s="84" t="s">
        <v>5276</v>
      </c>
      <c r="F1296" s="84" t="s">
        <v>4095</v>
      </c>
      <c r="G1296" s="85" t="s">
        <v>96</v>
      </c>
      <c r="H1296" s="87">
        <v>7.59E-5</v>
      </c>
      <c r="I1296" s="45"/>
      <c r="J1296" s="45"/>
      <c r="K1296" s="45"/>
      <c r="L1296" s="45"/>
      <c r="M1296" s="45"/>
      <c r="N1296" s="45"/>
      <c r="O1296" s="45"/>
      <c r="P1296" s="45"/>
      <c r="Q1296" s="45"/>
      <c r="R1296" s="45"/>
      <c r="S1296" s="45"/>
      <c r="T1296" s="45"/>
      <c r="U1296" s="45"/>
    </row>
    <row r="1297">
      <c r="A1297" s="84" t="s">
        <v>10432</v>
      </c>
      <c r="B1297" s="45"/>
      <c r="C1297" s="84" t="s">
        <v>10433</v>
      </c>
      <c r="D1297" s="45"/>
      <c r="E1297" s="84" t="s">
        <v>5513</v>
      </c>
      <c r="F1297" s="84" t="s">
        <v>9021</v>
      </c>
      <c r="G1297" s="85" t="s">
        <v>96</v>
      </c>
      <c r="H1297" s="87">
        <v>7.59E-5</v>
      </c>
      <c r="I1297" s="45"/>
      <c r="J1297" s="45"/>
      <c r="K1297" s="45"/>
      <c r="L1297" s="45"/>
      <c r="M1297" s="45"/>
      <c r="N1297" s="45"/>
      <c r="O1297" s="45"/>
      <c r="P1297" s="45"/>
      <c r="Q1297" s="45"/>
      <c r="R1297" s="45"/>
      <c r="S1297" s="45"/>
      <c r="T1297" s="45"/>
      <c r="U1297" s="45"/>
    </row>
    <row r="1298">
      <c r="A1298" s="84" t="s">
        <v>10322</v>
      </c>
      <c r="B1298" s="45"/>
      <c r="C1298" s="84" t="s">
        <v>10323</v>
      </c>
      <c r="D1298" s="45"/>
      <c r="E1298" s="84" t="s">
        <v>5218</v>
      </c>
      <c r="F1298" s="84" t="s">
        <v>5425</v>
      </c>
      <c r="G1298" s="85" t="s">
        <v>96</v>
      </c>
      <c r="H1298" s="87">
        <v>7.59E-5</v>
      </c>
      <c r="I1298" s="45"/>
      <c r="J1298" s="45"/>
      <c r="K1298" s="45"/>
      <c r="L1298" s="45"/>
      <c r="M1298" s="45"/>
      <c r="N1298" s="45"/>
      <c r="O1298" s="45"/>
      <c r="P1298" s="45"/>
      <c r="Q1298" s="45"/>
      <c r="R1298" s="45"/>
      <c r="S1298" s="45"/>
      <c r="T1298" s="45"/>
      <c r="U1298" s="45"/>
    </row>
    <row r="1299">
      <c r="A1299" s="84" t="s">
        <v>10219</v>
      </c>
      <c r="B1299" s="45"/>
      <c r="C1299" s="84" t="s">
        <v>10220</v>
      </c>
      <c r="D1299" s="45"/>
      <c r="E1299" s="84" t="s">
        <v>5321</v>
      </c>
      <c r="F1299" s="84" t="s">
        <v>8784</v>
      </c>
      <c r="G1299" s="85" t="s">
        <v>96</v>
      </c>
      <c r="H1299" s="87">
        <v>7.58E-5</v>
      </c>
      <c r="I1299" s="45"/>
      <c r="J1299" s="45"/>
      <c r="K1299" s="45"/>
      <c r="L1299" s="45"/>
      <c r="M1299" s="45"/>
      <c r="N1299" s="45"/>
      <c r="O1299" s="45"/>
      <c r="P1299" s="45"/>
      <c r="Q1299" s="45"/>
      <c r="R1299" s="45"/>
      <c r="S1299" s="45"/>
      <c r="T1299" s="45"/>
      <c r="U1299" s="45"/>
    </row>
    <row r="1300">
      <c r="A1300" s="84" t="s">
        <v>10269</v>
      </c>
      <c r="B1300" s="45"/>
      <c r="C1300" s="84" t="s">
        <v>10270</v>
      </c>
      <c r="D1300" s="45"/>
      <c r="E1300" s="84" t="s">
        <v>6172</v>
      </c>
      <c r="F1300" s="84" t="s">
        <v>8784</v>
      </c>
      <c r="G1300" s="85" t="s">
        <v>96</v>
      </c>
      <c r="H1300" s="87">
        <v>7.56E-5</v>
      </c>
      <c r="I1300" s="45"/>
      <c r="J1300" s="45"/>
      <c r="K1300" s="45"/>
      <c r="L1300" s="45"/>
      <c r="M1300" s="45"/>
      <c r="N1300" s="45"/>
      <c r="O1300" s="45"/>
      <c r="P1300" s="45"/>
      <c r="Q1300" s="45"/>
      <c r="R1300" s="45"/>
      <c r="S1300" s="45"/>
      <c r="T1300" s="45"/>
      <c r="U1300" s="45"/>
    </row>
    <row r="1301">
      <c r="A1301" s="84" t="s">
        <v>10304</v>
      </c>
      <c r="B1301" s="45"/>
      <c r="C1301" s="84" t="s">
        <v>10305</v>
      </c>
      <c r="D1301" s="45"/>
      <c r="E1301" s="84" t="s">
        <v>5283</v>
      </c>
      <c r="F1301" s="84" t="s">
        <v>9021</v>
      </c>
      <c r="G1301" s="85" t="s">
        <v>96</v>
      </c>
      <c r="H1301" s="87">
        <v>7.53E-5</v>
      </c>
      <c r="I1301" s="45"/>
      <c r="J1301" s="45"/>
      <c r="K1301" s="45"/>
      <c r="L1301" s="45"/>
      <c r="M1301" s="45"/>
      <c r="N1301" s="45"/>
      <c r="O1301" s="45"/>
      <c r="P1301" s="45"/>
      <c r="Q1301" s="45"/>
      <c r="R1301" s="45"/>
      <c r="S1301" s="45"/>
      <c r="T1301" s="45"/>
      <c r="U1301" s="45"/>
    </row>
    <row r="1302">
      <c r="A1302" s="84" t="s">
        <v>10202</v>
      </c>
      <c r="B1302" s="45"/>
      <c r="C1302" s="84" t="s">
        <v>10203</v>
      </c>
      <c r="D1302" s="45"/>
      <c r="E1302" s="84" t="s">
        <v>5564</v>
      </c>
      <c r="F1302" s="84" t="s">
        <v>8784</v>
      </c>
      <c r="G1302" s="85" t="s">
        <v>96</v>
      </c>
      <c r="H1302" s="87">
        <v>7.5E-5</v>
      </c>
      <c r="I1302" s="45"/>
      <c r="J1302" s="45"/>
      <c r="K1302" s="45"/>
      <c r="L1302" s="45"/>
      <c r="M1302" s="45"/>
      <c r="N1302" s="45"/>
      <c r="O1302" s="45"/>
      <c r="P1302" s="45"/>
      <c r="Q1302" s="45"/>
      <c r="R1302" s="45"/>
      <c r="S1302" s="45"/>
      <c r="T1302" s="45"/>
      <c r="U1302" s="45"/>
    </row>
    <row r="1303">
      <c r="A1303" s="84" t="s">
        <v>11822</v>
      </c>
      <c r="B1303" s="45"/>
      <c r="C1303" s="84" t="s">
        <v>11823</v>
      </c>
      <c r="D1303" s="45"/>
      <c r="E1303" s="84" t="s">
        <v>6110</v>
      </c>
      <c r="F1303" s="84" t="s">
        <v>5927</v>
      </c>
      <c r="G1303" s="85" t="s">
        <v>96</v>
      </c>
      <c r="H1303" s="87">
        <v>7.5E-5</v>
      </c>
      <c r="I1303" s="45"/>
      <c r="J1303" s="45"/>
      <c r="K1303" s="45"/>
      <c r="L1303" s="45"/>
      <c r="M1303" s="45"/>
      <c r="N1303" s="45"/>
      <c r="O1303" s="45"/>
      <c r="P1303" s="45"/>
      <c r="Q1303" s="45"/>
      <c r="R1303" s="45"/>
      <c r="S1303" s="45"/>
      <c r="T1303" s="45"/>
      <c r="U1303" s="45"/>
    </row>
    <row r="1304">
      <c r="A1304" s="84" t="s">
        <v>10229</v>
      </c>
      <c r="B1304" s="45"/>
      <c r="C1304" s="84" t="s">
        <v>10230</v>
      </c>
      <c r="D1304" s="45"/>
      <c r="E1304" s="84" t="s">
        <v>10231</v>
      </c>
      <c r="F1304" s="84" t="s">
        <v>8784</v>
      </c>
      <c r="G1304" s="85" t="s">
        <v>96</v>
      </c>
      <c r="H1304" s="87">
        <v>7.5E-5</v>
      </c>
      <c r="I1304" s="45"/>
      <c r="J1304" s="45"/>
      <c r="K1304" s="45"/>
      <c r="L1304" s="45"/>
      <c r="M1304" s="45"/>
      <c r="N1304" s="45"/>
      <c r="O1304" s="45"/>
      <c r="P1304" s="45"/>
      <c r="Q1304" s="45"/>
      <c r="R1304" s="45"/>
      <c r="S1304" s="45"/>
      <c r="T1304" s="45"/>
      <c r="U1304" s="45"/>
    </row>
    <row r="1305">
      <c r="A1305" s="84" t="s">
        <v>11824</v>
      </c>
      <c r="B1305" s="45"/>
      <c r="C1305" s="84" t="s">
        <v>11825</v>
      </c>
      <c r="D1305" s="45"/>
      <c r="E1305" s="84" t="s">
        <v>5450</v>
      </c>
      <c r="F1305" s="84" t="s">
        <v>5836</v>
      </c>
      <c r="G1305" s="85" t="s">
        <v>96</v>
      </c>
      <c r="H1305" s="87">
        <v>7.47E-5</v>
      </c>
      <c r="I1305" s="45"/>
      <c r="J1305" s="45"/>
      <c r="K1305" s="45"/>
      <c r="L1305" s="45"/>
      <c r="M1305" s="45"/>
      <c r="N1305" s="45"/>
      <c r="O1305" s="45"/>
      <c r="P1305" s="45"/>
      <c r="Q1305" s="45"/>
      <c r="R1305" s="45"/>
      <c r="S1305" s="45"/>
      <c r="T1305" s="45"/>
      <c r="U1305" s="45"/>
    </row>
    <row r="1306">
      <c r="A1306" s="84" t="s">
        <v>10492</v>
      </c>
      <c r="B1306" s="45"/>
      <c r="C1306" s="84" t="s">
        <v>10493</v>
      </c>
      <c r="D1306" s="45"/>
      <c r="E1306" s="84" t="s">
        <v>6012</v>
      </c>
      <c r="F1306" s="84" t="s">
        <v>4095</v>
      </c>
      <c r="G1306" s="85" t="s">
        <v>96</v>
      </c>
      <c r="H1306" s="87">
        <v>7.46E-5</v>
      </c>
      <c r="I1306" s="45"/>
      <c r="J1306" s="45"/>
      <c r="K1306" s="45"/>
      <c r="L1306" s="45"/>
      <c r="M1306" s="45"/>
      <c r="N1306" s="45"/>
      <c r="O1306" s="45"/>
      <c r="P1306" s="45"/>
      <c r="Q1306" s="45"/>
      <c r="R1306" s="45"/>
      <c r="S1306" s="45"/>
      <c r="T1306" s="45"/>
      <c r="U1306" s="45"/>
    </row>
    <row r="1307">
      <c r="A1307" s="84" t="s">
        <v>11826</v>
      </c>
      <c r="B1307" s="45"/>
      <c r="C1307" s="84" t="s">
        <v>11827</v>
      </c>
      <c r="D1307" s="45"/>
      <c r="E1307" s="84" t="s">
        <v>7611</v>
      </c>
      <c r="F1307" s="84" t="s">
        <v>8784</v>
      </c>
      <c r="G1307" s="85" t="s">
        <v>96</v>
      </c>
      <c r="H1307" s="87">
        <v>7.44E-5</v>
      </c>
      <c r="I1307" s="45"/>
      <c r="J1307" s="45"/>
      <c r="K1307" s="45"/>
      <c r="L1307" s="45"/>
      <c r="M1307" s="45"/>
      <c r="N1307" s="45"/>
      <c r="O1307" s="45"/>
      <c r="P1307" s="45"/>
      <c r="Q1307" s="45"/>
      <c r="R1307" s="45"/>
      <c r="S1307" s="45"/>
      <c r="T1307" s="45"/>
      <c r="U1307" s="45"/>
    </row>
    <row r="1308">
      <c r="A1308" s="84" t="s">
        <v>10312</v>
      </c>
      <c r="B1308" s="45"/>
      <c r="C1308" s="84" t="s">
        <v>10313</v>
      </c>
      <c r="D1308" s="45"/>
      <c r="E1308" s="84" t="s">
        <v>5235</v>
      </c>
      <c r="F1308" s="84" t="s">
        <v>9021</v>
      </c>
      <c r="G1308" s="85" t="s">
        <v>96</v>
      </c>
      <c r="H1308" s="87">
        <v>7.41E-5</v>
      </c>
      <c r="I1308" s="45"/>
      <c r="J1308" s="45"/>
      <c r="K1308" s="45"/>
      <c r="L1308" s="45"/>
      <c r="M1308" s="45"/>
      <c r="N1308" s="45"/>
      <c r="O1308" s="45"/>
      <c r="P1308" s="45"/>
      <c r="Q1308" s="45"/>
      <c r="R1308" s="45"/>
      <c r="S1308" s="45"/>
      <c r="T1308" s="45"/>
      <c r="U1308" s="45"/>
    </row>
    <row r="1309">
      <c r="A1309" s="84" t="s">
        <v>10181</v>
      </c>
      <c r="B1309" s="45"/>
      <c r="C1309" s="84" t="s">
        <v>10182</v>
      </c>
      <c r="D1309" s="45"/>
      <c r="E1309" s="84" t="s">
        <v>6130</v>
      </c>
      <c r="F1309" s="84" t="s">
        <v>8784</v>
      </c>
      <c r="G1309" s="85" t="s">
        <v>96</v>
      </c>
      <c r="H1309" s="87">
        <v>7.39E-5</v>
      </c>
      <c r="I1309" s="45"/>
      <c r="J1309" s="45"/>
      <c r="K1309" s="45"/>
      <c r="L1309" s="45"/>
      <c r="M1309" s="45"/>
      <c r="N1309" s="45"/>
      <c r="O1309" s="45"/>
      <c r="P1309" s="45"/>
      <c r="Q1309" s="45"/>
      <c r="R1309" s="45"/>
      <c r="S1309" s="45"/>
      <c r="T1309" s="45"/>
      <c r="U1309" s="45"/>
    </row>
    <row r="1310">
      <c r="A1310" s="84" t="s">
        <v>10223</v>
      </c>
      <c r="B1310" s="45"/>
      <c r="C1310" s="84" t="s">
        <v>10224</v>
      </c>
      <c r="D1310" s="45"/>
      <c r="E1310" s="84" t="s">
        <v>5267</v>
      </c>
      <c r="F1310" s="84" t="s">
        <v>8784</v>
      </c>
      <c r="G1310" s="85" t="s">
        <v>96</v>
      </c>
      <c r="H1310" s="87">
        <v>7.39E-5</v>
      </c>
      <c r="I1310" s="45"/>
      <c r="J1310" s="45"/>
      <c r="K1310" s="45"/>
      <c r="L1310" s="45"/>
      <c r="M1310" s="45"/>
      <c r="N1310" s="45"/>
      <c r="O1310" s="45"/>
      <c r="P1310" s="45"/>
      <c r="Q1310" s="45"/>
      <c r="R1310" s="45"/>
      <c r="S1310" s="45"/>
      <c r="T1310" s="45"/>
      <c r="U1310" s="45"/>
    </row>
    <row r="1311">
      <c r="A1311" s="84" t="s">
        <v>10291</v>
      </c>
      <c r="B1311" s="45"/>
      <c r="C1311" s="84" t="s">
        <v>10292</v>
      </c>
      <c r="D1311" s="45"/>
      <c r="E1311" s="84" t="s">
        <v>5564</v>
      </c>
      <c r="F1311" s="84" t="s">
        <v>8784</v>
      </c>
      <c r="G1311" s="85" t="s">
        <v>96</v>
      </c>
      <c r="H1311" s="87">
        <v>7.36E-5</v>
      </c>
      <c r="I1311" s="45"/>
      <c r="J1311" s="45"/>
      <c r="K1311" s="45"/>
      <c r="L1311" s="45"/>
      <c r="M1311" s="45"/>
      <c r="N1311" s="45"/>
      <c r="O1311" s="45"/>
      <c r="P1311" s="45"/>
      <c r="Q1311" s="45"/>
      <c r="R1311" s="45"/>
      <c r="S1311" s="45"/>
      <c r="T1311" s="45"/>
      <c r="U1311" s="45"/>
    </row>
    <row r="1312">
      <c r="A1312" s="84" t="s">
        <v>10450</v>
      </c>
      <c r="B1312" s="45"/>
      <c r="C1312" s="84" t="s">
        <v>10451</v>
      </c>
      <c r="D1312" s="45"/>
      <c r="E1312" s="84" t="s">
        <v>5235</v>
      </c>
      <c r="F1312" s="84" t="s">
        <v>4357</v>
      </c>
      <c r="G1312" s="85" t="s">
        <v>96</v>
      </c>
      <c r="H1312" s="87">
        <v>7.35E-5</v>
      </c>
      <c r="I1312" s="45"/>
      <c r="J1312" s="45"/>
      <c r="K1312" s="45"/>
      <c r="L1312" s="45"/>
      <c r="M1312" s="45"/>
      <c r="N1312" s="45"/>
      <c r="O1312" s="45"/>
      <c r="P1312" s="45"/>
      <c r="Q1312" s="45"/>
      <c r="R1312" s="45"/>
      <c r="S1312" s="45"/>
      <c r="T1312" s="45"/>
      <c r="U1312" s="45"/>
    </row>
    <row r="1313">
      <c r="A1313" s="84" t="s">
        <v>10392</v>
      </c>
      <c r="B1313" s="45"/>
      <c r="C1313" s="84" t="s">
        <v>10393</v>
      </c>
      <c r="D1313" s="45"/>
      <c r="E1313" s="84" t="s">
        <v>8648</v>
      </c>
      <c r="F1313" s="84" t="s">
        <v>9021</v>
      </c>
      <c r="G1313" s="85" t="s">
        <v>96</v>
      </c>
      <c r="H1313" s="87">
        <v>7.35E-5</v>
      </c>
      <c r="I1313" s="45"/>
      <c r="J1313" s="45"/>
      <c r="K1313" s="45"/>
      <c r="L1313" s="45"/>
      <c r="M1313" s="45"/>
      <c r="N1313" s="45"/>
      <c r="O1313" s="45"/>
      <c r="P1313" s="45"/>
      <c r="Q1313" s="45"/>
      <c r="R1313" s="45"/>
      <c r="S1313" s="45"/>
      <c r="T1313" s="45"/>
      <c r="U1313" s="45"/>
    </row>
    <row r="1314">
      <c r="A1314" s="84" t="s">
        <v>10332</v>
      </c>
      <c r="B1314" s="45"/>
      <c r="C1314" s="84" t="s">
        <v>10333</v>
      </c>
      <c r="D1314" s="45"/>
      <c r="E1314" s="84" t="s">
        <v>5964</v>
      </c>
      <c r="F1314" s="84" t="s">
        <v>8784</v>
      </c>
      <c r="G1314" s="85" t="s">
        <v>96</v>
      </c>
      <c r="H1314" s="87">
        <v>7.33E-5</v>
      </c>
      <c r="I1314" s="45"/>
      <c r="J1314" s="45"/>
      <c r="K1314" s="45"/>
      <c r="L1314" s="45"/>
      <c r="M1314" s="45"/>
      <c r="N1314" s="45"/>
      <c r="O1314" s="45"/>
      <c r="P1314" s="45"/>
      <c r="Q1314" s="45"/>
      <c r="R1314" s="45"/>
      <c r="S1314" s="45"/>
      <c r="T1314" s="45"/>
      <c r="U1314" s="45"/>
    </row>
    <row r="1315">
      <c r="A1315" s="84" t="s">
        <v>10320</v>
      </c>
      <c r="B1315" s="45"/>
      <c r="C1315" s="84" t="s">
        <v>10321</v>
      </c>
      <c r="D1315" s="45"/>
      <c r="E1315" s="84" t="s">
        <v>5238</v>
      </c>
      <c r="F1315" s="84" t="s">
        <v>8784</v>
      </c>
      <c r="G1315" s="85" t="s">
        <v>96</v>
      </c>
      <c r="H1315" s="87">
        <v>7.3E-5</v>
      </c>
      <c r="I1315" s="45"/>
      <c r="J1315" s="45"/>
      <c r="K1315" s="45"/>
      <c r="L1315" s="45"/>
      <c r="M1315" s="45"/>
      <c r="N1315" s="45"/>
      <c r="O1315" s="45"/>
      <c r="P1315" s="45"/>
      <c r="Q1315" s="45"/>
      <c r="R1315" s="45"/>
      <c r="S1315" s="45"/>
      <c r="T1315" s="45"/>
      <c r="U1315" s="45"/>
    </row>
    <row r="1316">
      <c r="A1316" s="84" t="s">
        <v>11828</v>
      </c>
      <c r="B1316" s="45"/>
      <c r="C1316" s="84" t="s">
        <v>11829</v>
      </c>
      <c r="D1316" s="45"/>
      <c r="E1316" s="84" t="s">
        <v>5238</v>
      </c>
      <c r="F1316" s="84" t="s">
        <v>5836</v>
      </c>
      <c r="G1316" s="85" t="s">
        <v>96</v>
      </c>
      <c r="H1316" s="87">
        <v>7.27E-5</v>
      </c>
      <c r="I1316" s="45"/>
      <c r="J1316" s="45"/>
      <c r="K1316" s="45"/>
      <c r="L1316" s="45"/>
      <c r="M1316" s="45"/>
      <c r="N1316" s="45"/>
      <c r="O1316" s="45"/>
      <c r="P1316" s="45"/>
      <c r="Q1316" s="45"/>
      <c r="R1316" s="45"/>
      <c r="S1316" s="45"/>
      <c r="T1316" s="45"/>
      <c r="U1316" s="45"/>
    </row>
    <row r="1317">
      <c r="A1317" s="84" t="s">
        <v>10092</v>
      </c>
      <c r="B1317" s="45"/>
      <c r="C1317" s="84" t="s">
        <v>10093</v>
      </c>
      <c r="D1317" s="45"/>
      <c r="E1317" s="84" t="s">
        <v>5369</v>
      </c>
      <c r="F1317" s="84" t="s">
        <v>8784</v>
      </c>
      <c r="G1317" s="85" t="s">
        <v>96</v>
      </c>
      <c r="H1317" s="87">
        <v>7.22E-5</v>
      </c>
      <c r="I1317" s="45"/>
      <c r="J1317" s="45"/>
      <c r="K1317" s="45"/>
      <c r="L1317" s="45"/>
      <c r="M1317" s="45"/>
      <c r="N1317" s="45"/>
      <c r="O1317" s="45"/>
      <c r="P1317" s="45"/>
      <c r="Q1317" s="45"/>
      <c r="R1317" s="45"/>
      <c r="S1317" s="45"/>
      <c r="T1317" s="45"/>
      <c r="U1317" s="45"/>
    </row>
    <row r="1318">
      <c r="A1318" s="84" t="s">
        <v>4107</v>
      </c>
      <c r="B1318" s="45"/>
      <c r="C1318" s="84" t="s">
        <v>10146</v>
      </c>
      <c r="D1318" s="45"/>
      <c r="E1318" s="84" t="s">
        <v>5241</v>
      </c>
      <c r="F1318" s="84" t="s">
        <v>5747</v>
      </c>
      <c r="G1318" s="85" t="s">
        <v>96</v>
      </c>
      <c r="H1318" s="87">
        <v>7.18E-5</v>
      </c>
      <c r="I1318" s="45"/>
      <c r="J1318" s="45"/>
      <c r="K1318" s="45"/>
      <c r="L1318" s="45"/>
      <c r="M1318" s="45"/>
      <c r="N1318" s="45"/>
      <c r="O1318" s="45"/>
      <c r="P1318" s="45"/>
      <c r="Q1318" s="45"/>
      <c r="R1318" s="45"/>
      <c r="S1318" s="45"/>
      <c r="T1318" s="45"/>
      <c r="U1318" s="45"/>
    </row>
    <row r="1319">
      <c r="A1319" s="84" t="s">
        <v>11830</v>
      </c>
      <c r="B1319" s="45"/>
      <c r="C1319" s="84" t="s">
        <v>11831</v>
      </c>
      <c r="D1319" s="45"/>
      <c r="E1319" s="84" t="s">
        <v>5351</v>
      </c>
      <c r="F1319" s="84" t="s">
        <v>5747</v>
      </c>
      <c r="G1319" s="85" t="s">
        <v>96</v>
      </c>
      <c r="H1319" s="87">
        <v>7.17E-5</v>
      </c>
      <c r="I1319" s="45"/>
      <c r="J1319" s="45"/>
      <c r="K1319" s="45"/>
      <c r="L1319" s="45"/>
      <c r="M1319" s="45"/>
      <c r="N1319" s="45"/>
      <c r="O1319" s="45"/>
      <c r="P1319" s="45"/>
      <c r="Q1319" s="45"/>
      <c r="R1319" s="45"/>
      <c r="S1319" s="45"/>
      <c r="T1319" s="45"/>
      <c r="U1319" s="45"/>
    </row>
    <row r="1320">
      <c r="A1320" s="84" t="s">
        <v>10240</v>
      </c>
      <c r="B1320" s="45"/>
      <c r="C1320" s="84" t="s">
        <v>10241</v>
      </c>
      <c r="D1320" s="45"/>
      <c r="E1320" s="84" t="s">
        <v>5218</v>
      </c>
      <c r="F1320" s="84" t="s">
        <v>4153</v>
      </c>
      <c r="G1320" s="85" t="s">
        <v>96</v>
      </c>
      <c r="H1320" s="87">
        <v>7.16E-5</v>
      </c>
      <c r="I1320" s="45"/>
      <c r="J1320" s="45"/>
      <c r="K1320" s="45"/>
      <c r="L1320" s="45"/>
      <c r="M1320" s="45"/>
      <c r="N1320" s="45"/>
      <c r="O1320" s="45"/>
      <c r="P1320" s="45"/>
      <c r="Q1320" s="45"/>
      <c r="R1320" s="45"/>
      <c r="S1320" s="45"/>
      <c r="T1320" s="45"/>
      <c r="U1320" s="45"/>
    </row>
    <row r="1321">
      <c r="A1321" s="84" t="s">
        <v>10271</v>
      </c>
      <c r="B1321" s="45"/>
      <c r="C1321" s="84" t="s">
        <v>10272</v>
      </c>
      <c r="D1321" s="45"/>
      <c r="E1321" s="84" t="s">
        <v>5650</v>
      </c>
      <c r="F1321" s="84" t="s">
        <v>9513</v>
      </c>
      <c r="G1321" s="85" t="s">
        <v>96</v>
      </c>
      <c r="H1321" s="87">
        <v>7.15E-5</v>
      </c>
      <c r="I1321" s="45"/>
      <c r="J1321" s="45"/>
      <c r="K1321" s="45"/>
      <c r="L1321" s="45"/>
      <c r="M1321" s="45"/>
      <c r="N1321" s="45"/>
      <c r="O1321" s="45"/>
      <c r="P1321" s="45"/>
      <c r="Q1321" s="45"/>
      <c r="R1321" s="45"/>
      <c r="S1321" s="45"/>
      <c r="T1321" s="45"/>
      <c r="U1321" s="45"/>
    </row>
    <row r="1322">
      <c r="A1322" s="84" t="s">
        <v>10371</v>
      </c>
      <c r="B1322" s="45"/>
      <c r="C1322" s="84" t="s">
        <v>10372</v>
      </c>
      <c r="D1322" s="45"/>
      <c r="E1322" s="84" t="s">
        <v>5459</v>
      </c>
      <c r="F1322" s="84" t="s">
        <v>5300</v>
      </c>
      <c r="G1322" s="85" t="s">
        <v>96</v>
      </c>
      <c r="H1322" s="87">
        <v>7.1E-5</v>
      </c>
      <c r="I1322" s="45"/>
      <c r="J1322" s="45"/>
      <c r="K1322" s="45"/>
      <c r="L1322" s="45"/>
      <c r="M1322" s="45"/>
      <c r="N1322" s="45"/>
      <c r="O1322" s="45"/>
      <c r="P1322" s="45"/>
      <c r="Q1322" s="45"/>
      <c r="R1322" s="45"/>
      <c r="S1322" s="45"/>
      <c r="T1322" s="45"/>
      <c r="U1322" s="45"/>
    </row>
    <row r="1323">
      <c r="A1323" s="84" t="s">
        <v>5507</v>
      </c>
      <c r="B1323" s="45"/>
      <c r="C1323" s="84" t="s">
        <v>11832</v>
      </c>
      <c r="D1323" s="45"/>
      <c r="E1323" s="84" t="s">
        <v>6191</v>
      </c>
      <c r="F1323" s="84" t="s">
        <v>8759</v>
      </c>
      <c r="G1323" s="85" t="s">
        <v>96</v>
      </c>
      <c r="H1323" s="87">
        <v>7.09E-5</v>
      </c>
      <c r="I1323" s="45"/>
      <c r="J1323" s="45"/>
      <c r="K1323" s="45"/>
      <c r="L1323" s="45"/>
      <c r="M1323" s="45"/>
      <c r="N1323" s="45"/>
      <c r="O1323" s="45"/>
      <c r="P1323" s="45"/>
      <c r="Q1323" s="45"/>
      <c r="R1323" s="45"/>
      <c r="S1323" s="45"/>
      <c r="T1323" s="45"/>
      <c r="U1323" s="45"/>
    </row>
    <row r="1324">
      <c r="A1324" s="84" t="s">
        <v>10261</v>
      </c>
      <c r="B1324" s="45"/>
      <c r="C1324" s="84" t="s">
        <v>10262</v>
      </c>
      <c r="D1324" s="45"/>
      <c r="E1324" s="84" t="s">
        <v>5561</v>
      </c>
      <c r="F1324" s="84" t="s">
        <v>6210</v>
      </c>
      <c r="G1324" s="85" t="s">
        <v>96</v>
      </c>
      <c r="H1324" s="87">
        <v>7.09E-5</v>
      </c>
      <c r="I1324" s="45"/>
      <c r="J1324" s="45"/>
      <c r="K1324" s="45"/>
      <c r="L1324" s="45"/>
      <c r="M1324" s="45"/>
      <c r="N1324" s="45"/>
      <c r="O1324" s="45"/>
      <c r="P1324" s="45"/>
      <c r="Q1324" s="45"/>
      <c r="R1324" s="45"/>
      <c r="S1324" s="45"/>
      <c r="T1324" s="45"/>
      <c r="U1324" s="45"/>
    </row>
    <row r="1325">
      <c r="A1325" s="84" t="s">
        <v>11833</v>
      </c>
      <c r="B1325" s="45"/>
      <c r="C1325" s="84" t="s">
        <v>11834</v>
      </c>
      <c r="D1325" s="45"/>
      <c r="E1325" s="84" t="s">
        <v>5253</v>
      </c>
      <c r="F1325" s="84" t="s">
        <v>5747</v>
      </c>
      <c r="G1325" s="85" t="s">
        <v>96</v>
      </c>
      <c r="H1325" s="87">
        <v>7.07E-5</v>
      </c>
      <c r="I1325" s="45"/>
      <c r="J1325" s="45"/>
      <c r="K1325" s="45"/>
      <c r="L1325" s="45"/>
      <c r="M1325" s="45"/>
      <c r="N1325" s="45"/>
      <c r="O1325" s="45"/>
      <c r="P1325" s="45"/>
      <c r="Q1325" s="45"/>
      <c r="R1325" s="45"/>
      <c r="S1325" s="45"/>
      <c r="T1325" s="45"/>
      <c r="U1325" s="45"/>
    </row>
    <row r="1326">
      <c r="A1326" s="84" t="s">
        <v>11835</v>
      </c>
      <c r="B1326" s="45"/>
      <c r="C1326" s="84" t="s">
        <v>11836</v>
      </c>
      <c r="D1326" s="45"/>
      <c r="E1326" s="84" t="s">
        <v>5357</v>
      </c>
      <c r="F1326" s="84" t="s">
        <v>5836</v>
      </c>
      <c r="G1326" s="85" t="s">
        <v>96</v>
      </c>
      <c r="H1326" s="87">
        <v>7.05E-5</v>
      </c>
      <c r="I1326" s="45"/>
      <c r="J1326" s="45"/>
      <c r="K1326" s="45"/>
      <c r="L1326" s="45"/>
      <c r="M1326" s="45"/>
      <c r="N1326" s="45"/>
      <c r="O1326" s="45"/>
      <c r="P1326" s="45"/>
      <c r="Q1326" s="45"/>
      <c r="R1326" s="45"/>
      <c r="S1326" s="45"/>
      <c r="T1326" s="45"/>
      <c r="U1326" s="45"/>
    </row>
    <row r="1327">
      <c r="A1327" s="84" t="s">
        <v>11837</v>
      </c>
      <c r="B1327" s="45"/>
      <c r="C1327" s="84" t="s">
        <v>11838</v>
      </c>
      <c r="D1327" s="45"/>
      <c r="E1327" s="84" t="s">
        <v>6238</v>
      </c>
      <c r="F1327" s="84" t="s">
        <v>5836</v>
      </c>
      <c r="G1327" s="85" t="s">
        <v>96</v>
      </c>
      <c r="H1327" s="87">
        <v>7.05E-5</v>
      </c>
      <c r="I1327" s="45"/>
      <c r="J1327" s="45"/>
      <c r="K1327" s="45"/>
      <c r="L1327" s="45"/>
      <c r="M1327" s="45"/>
      <c r="N1327" s="45"/>
      <c r="O1327" s="45"/>
      <c r="P1327" s="45"/>
      <c r="Q1327" s="45"/>
      <c r="R1327" s="45"/>
      <c r="S1327" s="45"/>
      <c r="T1327" s="45"/>
      <c r="U1327" s="45"/>
    </row>
    <row r="1328">
      <c r="A1328" s="84" t="s">
        <v>10568</v>
      </c>
      <c r="B1328" s="45"/>
      <c r="C1328" s="84" t="s">
        <v>10569</v>
      </c>
      <c r="D1328" s="45"/>
      <c r="E1328" s="84" t="s">
        <v>6012</v>
      </c>
      <c r="F1328" s="84" t="s">
        <v>8784</v>
      </c>
      <c r="G1328" s="85" t="s">
        <v>96</v>
      </c>
      <c r="H1328" s="87">
        <v>7.04E-5</v>
      </c>
      <c r="I1328" s="45"/>
      <c r="J1328" s="45"/>
      <c r="K1328" s="45"/>
      <c r="L1328" s="45"/>
      <c r="M1328" s="45"/>
      <c r="N1328" s="45"/>
      <c r="O1328" s="45"/>
      <c r="P1328" s="45"/>
      <c r="Q1328" s="45"/>
      <c r="R1328" s="45"/>
      <c r="S1328" s="45"/>
      <c r="T1328" s="45"/>
      <c r="U1328" s="45"/>
    </row>
    <row r="1329">
      <c r="A1329" s="84" t="s">
        <v>10302</v>
      </c>
      <c r="B1329" s="45"/>
      <c r="C1329" s="84" t="s">
        <v>10303</v>
      </c>
      <c r="D1329" s="45"/>
      <c r="E1329" s="84" t="s">
        <v>6191</v>
      </c>
      <c r="F1329" s="84" t="s">
        <v>9414</v>
      </c>
      <c r="G1329" s="85" t="s">
        <v>96</v>
      </c>
      <c r="H1329" s="87">
        <v>7.04E-5</v>
      </c>
      <c r="I1329" s="45"/>
      <c r="J1329" s="45"/>
      <c r="K1329" s="45"/>
      <c r="L1329" s="45"/>
      <c r="M1329" s="45"/>
      <c r="N1329" s="45"/>
      <c r="O1329" s="45"/>
      <c r="P1329" s="45"/>
      <c r="Q1329" s="45"/>
      <c r="R1329" s="45"/>
      <c r="S1329" s="45"/>
      <c r="T1329" s="45"/>
      <c r="U1329" s="45"/>
    </row>
    <row r="1330">
      <c r="A1330" s="84" t="s">
        <v>10347</v>
      </c>
      <c r="B1330" s="45"/>
      <c r="C1330" s="84" t="s">
        <v>10348</v>
      </c>
      <c r="D1330" s="45"/>
      <c r="E1330" s="84" t="s">
        <v>7360</v>
      </c>
      <c r="F1330" s="84" t="s">
        <v>4095</v>
      </c>
      <c r="G1330" s="85" t="s">
        <v>96</v>
      </c>
      <c r="H1330" s="87">
        <v>7.04E-5</v>
      </c>
      <c r="I1330" s="45"/>
      <c r="J1330" s="45"/>
      <c r="K1330" s="45"/>
      <c r="L1330" s="45"/>
      <c r="M1330" s="45"/>
      <c r="N1330" s="45"/>
      <c r="O1330" s="45"/>
      <c r="P1330" s="45"/>
      <c r="Q1330" s="45"/>
      <c r="R1330" s="45"/>
      <c r="S1330" s="45"/>
      <c r="T1330" s="45"/>
      <c r="U1330" s="45"/>
    </row>
    <row r="1331">
      <c r="A1331" s="84" t="s">
        <v>11839</v>
      </c>
      <c r="B1331" s="45"/>
      <c r="C1331" s="84" t="s">
        <v>11840</v>
      </c>
      <c r="D1331" s="45"/>
      <c r="E1331" s="84" t="s">
        <v>5246</v>
      </c>
      <c r="F1331" s="84" t="s">
        <v>9617</v>
      </c>
      <c r="G1331" s="85" t="s">
        <v>96</v>
      </c>
      <c r="H1331" s="87">
        <v>6.98E-5</v>
      </c>
      <c r="I1331" s="45"/>
      <c r="J1331" s="45"/>
      <c r="K1331" s="45"/>
      <c r="L1331" s="45"/>
      <c r="M1331" s="45"/>
      <c r="N1331" s="45"/>
      <c r="O1331" s="45"/>
      <c r="P1331" s="45"/>
      <c r="Q1331" s="45"/>
      <c r="R1331" s="45"/>
      <c r="S1331" s="45"/>
      <c r="T1331" s="45"/>
      <c r="U1331" s="45"/>
    </row>
    <row r="1332">
      <c r="A1332" s="84" t="s">
        <v>10595</v>
      </c>
      <c r="B1332" s="45"/>
      <c r="C1332" s="84" t="s">
        <v>10574</v>
      </c>
      <c r="D1332" s="45"/>
      <c r="E1332" s="84" t="s">
        <v>6040</v>
      </c>
      <c r="F1332" s="84" t="s">
        <v>6220</v>
      </c>
      <c r="G1332" s="85" t="s">
        <v>96</v>
      </c>
      <c r="H1332" s="87">
        <v>6.95E-5</v>
      </c>
      <c r="I1332" s="45"/>
      <c r="J1332" s="45"/>
      <c r="K1332" s="45"/>
      <c r="L1332" s="45"/>
      <c r="M1332" s="45"/>
      <c r="N1332" s="45"/>
      <c r="O1332" s="45"/>
      <c r="P1332" s="45"/>
      <c r="Q1332" s="45"/>
      <c r="R1332" s="45"/>
      <c r="S1332" s="45"/>
      <c r="T1332" s="45"/>
      <c r="U1332" s="45"/>
    </row>
    <row r="1333">
      <c r="A1333" s="84" t="s">
        <v>11841</v>
      </c>
      <c r="B1333" s="45"/>
      <c r="C1333" s="84" t="s">
        <v>11842</v>
      </c>
      <c r="D1333" s="45"/>
      <c r="E1333" s="84" t="s">
        <v>5235</v>
      </c>
      <c r="F1333" s="84" t="s">
        <v>5836</v>
      </c>
      <c r="G1333" s="85" t="s">
        <v>96</v>
      </c>
      <c r="H1333" s="87">
        <v>6.94E-5</v>
      </c>
      <c r="I1333" s="45"/>
      <c r="J1333" s="45"/>
      <c r="K1333" s="45"/>
      <c r="L1333" s="45"/>
      <c r="M1333" s="45"/>
      <c r="N1333" s="45"/>
      <c r="O1333" s="45"/>
      <c r="P1333" s="45"/>
      <c r="Q1333" s="45"/>
      <c r="R1333" s="45"/>
      <c r="S1333" s="45"/>
      <c r="T1333" s="45"/>
      <c r="U1333" s="45"/>
    </row>
    <row r="1334">
      <c r="A1334" s="84" t="s">
        <v>10413</v>
      </c>
      <c r="B1334" s="45"/>
      <c r="C1334" s="84" t="s">
        <v>10414</v>
      </c>
      <c r="D1334" s="45"/>
      <c r="E1334" s="84" t="s">
        <v>5309</v>
      </c>
      <c r="F1334" s="84" t="s">
        <v>8784</v>
      </c>
      <c r="G1334" s="85" t="s">
        <v>96</v>
      </c>
      <c r="H1334" s="87">
        <v>6.92E-5</v>
      </c>
      <c r="I1334" s="45"/>
      <c r="J1334" s="45"/>
      <c r="K1334" s="45"/>
      <c r="L1334" s="45"/>
      <c r="M1334" s="45"/>
      <c r="N1334" s="45"/>
      <c r="O1334" s="45"/>
      <c r="P1334" s="45"/>
      <c r="Q1334" s="45"/>
      <c r="R1334" s="45"/>
      <c r="S1334" s="45"/>
      <c r="T1334" s="45"/>
      <c r="U1334" s="45"/>
    </row>
    <row r="1335">
      <c r="A1335" s="84" t="s">
        <v>10258</v>
      </c>
      <c r="B1335" s="45"/>
      <c r="C1335" s="84" t="s">
        <v>10259</v>
      </c>
      <c r="D1335" s="45"/>
      <c r="E1335" s="84" t="s">
        <v>5450</v>
      </c>
      <c r="F1335" s="84" t="s">
        <v>5425</v>
      </c>
      <c r="G1335" s="85" t="s">
        <v>96</v>
      </c>
      <c r="H1335" s="87">
        <v>6.89E-5</v>
      </c>
      <c r="I1335" s="45"/>
      <c r="J1335" s="45"/>
      <c r="K1335" s="45"/>
      <c r="L1335" s="45"/>
      <c r="M1335" s="45"/>
      <c r="N1335" s="45"/>
      <c r="O1335" s="45"/>
      <c r="P1335" s="45"/>
      <c r="Q1335" s="45"/>
      <c r="R1335" s="45"/>
      <c r="S1335" s="45"/>
      <c r="T1335" s="45"/>
      <c r="U1335" s="45"/>
    </row>
    <row r="1336">
      <c r="A1336" s="84" t="s">
        <v>11843</v>
      </c>
      <c r="B1336" s="45"/>
      <c r="C1336" s="84" t="s">
        <v>11844</v>
      </c>
      <c r="D1336" s="45"/>
      <c r="E1336" s="84" t="s">
        <v>5390</v>
      </c>
      <c r="F1336" s="84" t="s">
        <v>8784</v>
      </c>
      <c r="G1336" s="85" t="s">
        <v>96</v>
      </c>
      <c r="H1336" s="87">
        <v>6.89E-5</v>
      </c>
      <c r="I1336" s="45"/>
      <c r="J1336" s="45"/>
      <c r="K1336" s="45"/>
      <c r="L1336" s="45"/>
      <c r="M1336" s="45"/>
      <c r="N1336" s="45"/>
      <c r="O1336" s="45"/>
      <c r="P1336" s="45"/>
      <c r="Q1336" s="45"/>
      <c r="R1336" s="45"/>
      <c r="S1336" s="45"/>
      <c r="T1336" s="45"/>
      <c r="U1336" s="45"/>
    </row>
    <row r="1337">
      <c r="A1337" s="84" t="s">
        <v>10279</v>
      </c>
      <c r="B1337" s="45"/>
      <c r="C1337" s="84" t="s">
        <v>10280</v>
      </c>
      <c r="D1337" s="45"/>
      <c r="E1337" s="84" t="s">
        <v>5434</v>
      </c>
      <c r="F1337" s="84" t="s">
        <v>5927</v>
      </c>
      <c r="G1337" s="85" t="s">
        <v>96</v>
      </c>
      <c r="H1337" s="87">
        <v>6.85E-5</v>
      </c>
      <c r="I1337" s="45"/>
      <c r="J1337" s="45"/>
      <c r="K1337" s="45"/>
      <c r="L1337" s="45"/>
      <c r="M1337" s="45"/>
      <c r="N1337" s="45"/>
      <c r="O1337" s="45"/>
      <c r="P1337" s="45"/>
      <c r="Q1337" s="45"/>
      <c r="R1337" s="45"/>
      <c r="S1337" s="45"/>
      <c r="T1337" s="45"/>
      <c r="U1337" s="45"/>
    </row>
    <row r="1338">
      <c r="A1338" s="84" t="s">
        <v>11845</v>
      </c>
      <c r="B1338" s="45"/>
      <c r="C1338" s="84" t="s">
        <v>11846</v>
      </c>
      <c r="D1338" s="45"/>
      <c r="E1338" s="84" t="s">
        <v>6249</v>
      </c>
      <c r="F1338" s="84" t="s">
        <v>4436</v>
      </c>
      <c r="G1338" s="85" t="s">
        <v>96</v>
      </c>
      <c r="H1338" s="87">
        <v>6.79E-5</v>
      </c>
      <c r="I1338" s="45"/>
      <c r="J1338" s="45"/>
      <c r="K1338" s="45"/>
      <c r="L1338" s="45"/>
      <c r="M1338" s="45"/>
      <c r="N1338" s="45"/>
      <c r="O1338" s="45"/>
      <c r="P1338" s="45"/>
      <c r="Q1338" s="45"/>
      <c r="R1338" s="45"/>
      <c r="S1338" s="45"/>
      <c r="T1338" s="45"/>
      <c r="U1338" s="45"/>
    </row>
    <row r="1339">
      <c r="A1339" s="84" t="s">
        <v>10289</v>
      </c>
      <c r="B1339" s="45"/>
      <c r="C1339" s="84" t="s">
        <v>10290</v>
      </c>
      <c r="D1339" s="45"/>
      <c r="E1339" s="84" t="s">
        <v>5215</v>
      </c>
      <c r="F1339" s="84" t="s">
        <v>8784</v>
      </c>
      <c r="G1339" s="85" t="s">
        <v>96</v>
      </c>
      <c r="H1339" s="87">
        <v>6.73E-5</v>
      </c>
      <c r="I1339" s="45"/>
      <c r="J1339" s="45"/>
      <c r="K1339" s="45"/>
      <c r="L1339" s="45"/>
      <c r="M1339" s="45"/>
      <c r="N1339" s="45"/>
      <c r="O1339" s="45"/>
      <c r="P1339" s="45"/>
      <c r="Q1339" s="45"/>
      <c r="R1339" s="45"/>
      <c r="S1339" s="45"/>
      <c r="T1339" s="45"/>
      <c r="U1339" s="45"/>
    </row>
    <row r="1340">
      <c r="A1340" s="84" t="s">
        <v>10498</v>
      </c>
      <c r="B1340" s="45"/>
      <c r="C1340" s="84" t="s">
        <v>10499</v>
      </c>
      <c r="D1340" s="45"/>
      <c r="E1340" s="84" t="s">
        <v>5283</v>
      </c>
      <c r="F1340" s="84" t="s">
        <v>8767</v>
      </c>
      <c r="G1340" s="85" t="s">
        <v>96</v>
      </c>
      <c r="H1340" s="87">
        <v>6.7E-5</v>
      </c>
      <c r="I1340" s="45"/>
      <c r="J1340" s="45"/>
      <c r="K1340" s="45"/>
      <c r="L1340" s="45"/>
      <c r="M1340" s="45"/>
      <c r="N1340" s="45"/>
      <c r="O1340" s="45"/>
      <c r="P1340" s="45"/>
      <c r="Q1340" s="45"/>
      <c r="R1340" s="45"/>
      <c r="S1340" s="45"/>
      <c r="T1340" s="45"/>
      <c r="U1340" s="45"/>
    </row>
    <row r="1341">
      <c r="A1341" s="84" t="s">
        <v>6260</v>
      </c>
      <c r="B1341" s="45"/>
      <c r="C1341" s="84" t="s">
        <v>11263</v>
      </c>
      <c r="D1341" s="45"/>
      <c r="E1341" s="84" t="s">
        <v>6012</v>
      </c>
      <c r="F1341" s="84" t="s">
        <v>5747</v>
      </c>
      <c r="G1341" s="85" t="s">
        <v>96</v>
      </c>
      <c r="H1341" s="87">
        <v>6.7E-5</v>
      </c>
      <c r="I1341" s="45"/>
      <c r="J1341" s="45"/>
      <c r="K1341" s="45"/>
      <c r="L1341" s="45"/>
      <c r="M1341" s="45"/>
      <c r="N1341" s="45"/>
      <c r="O1341" s="45"/>
      <c r="P1341" s="45"/>
      <c r="Q1341" s="45"/>
      <c r="R1341" s="45"/>
      <c r="S1341" s="45"/>
      <c r="T1341" s="45"/>
      <c r="U1341" s="45"/>
    </row>
    <row r="1342">
      <c r="A1342" s="84" t="s">
        <v>10553</v>
      </c>
      <c r="B1342" s="45"/>
      <c r="C1342" s="84" t="s">
        <v>10554</v>
      </c>
      <c r="D1342" s="45"/>
      <c r="E1342" s="84" t="s">
        <v>5450</v>
      </c>
      <c r="F1342" s="84" t="s">
        <v>5747</v>
      </c>
      <c r="G1342" s="85" t="s">
        <v>96</v>
      </c>
      <c r="H1342" s="87">
        <v>6.68E-5</v>
      </c>
      <c r="I1342" s="45"/>
      <c r="J1342" s="45"/>
      <c r="K1342" s="45"/>
      <c r="L1342" s="45"/>
      <c r="M1342" s="45"/>
      <c r="N1342" s="45"/>
      <c r="O1342" s="45"/>
      <c r="P1342" s="45"/>
      <c r="Q1342" s="45"/>
      <c r="R1342" s="45"/>
      <c r="S1342" s="45"/>
      <c r="T1342" s="45"/>
      <c r="U1342" s="45"/>
    </row>
    <row r="1343">
      <c r="A1343" s="84" t="s">
        <v>11847</v>
      </c>
      <c r="B1343" s="45"/>
      <c r="C1343" s="84" t="s">
        <v>11848</v>
      </c>
      <c r="D1343" s="45"/>
      <c r="E1343" s="84" t="s">
        <v>6389</v>
      </c>
      <c r="F1343" s="84" t="s">
        <v>9299</v>
      </c>
      <c r="G1343" s="85" t="s">
        <v>96</v>
      </c>
      <c r="H1343" s="87">
        <v>6.65E-5</v>
      </c>
      <c r="I1343" s="45"/>
      <c r="J1343" s="45"/>
      <c r="K1343" s="45"/>
      <c r="L1343" s="45"/>
      <c r="M1343" s="45"/>
      <c r="N1343" s="45"/>
      <c r="O1343" s="45"/>
      <c r="P1343" s="45"/>
      <c r="Q1343" s="45"/>
      <c r="R1343" s="45"/>
      <c r="S1343" s="45"/>
      <c r="T1343" s="45"/>
      <c r="U1343" s="45"/>
    </row>
    <row r="1344">
      <c r="A1344" s="84" t="s">
        <v>9851</v>
      </c>
      <c r="B1344" s="45"/>
      <c r="C1344" s="84" t="s">
        <v>9852</v>
      </c>
      <c r="D1344" s="45"/>
      <c r="E1344" s="84" t="s">
        <v>6150</v>
      </c>
      <c r="F1344" s="84" t="s">
        <v>8759</v>
      </c>
      <c r="G1344" s="85" t="s">
        <v>96</v>
      </c>
      <c r="H1344" s="87">
        <v>6.64E-5</v>
      </c>
      <c r="I1344" s="45"/>
      <c r="J1344" s="45"/>
      <c r="K1344" s="45"/>
      <c r="L1344" s="45"/>
      <c r="M1344" s="45"/>
      <c r="N1344" s="45"/>
      <c r="O1344" s="45"/>
      <c r="P1344" s="45"/>
      <c r="Q1344" s="45"/>
      <c r="R1344" s="45"/>
      <c r="S1344" s="45"/>
      <c r="T1344" s="45"/>
      <c r="U1344" s="45"/>
    </row>
    <row r="1345">
      <c r="A1345" s="84" t="s">
        <v>10514</v>
      </c>
      <c r="B1345" s="45"/>
      <c r="C1345" s="84" t="s">
        <v>10515</v>
      </c>
      <c r="D1345" s="45"/>
      <c r="E1345" s="84" t="s">
        <v>5759</v>
      </c>
      <c r="F1345" s="84" t="s">
        <v>8784</v>
      </c>
      <c r="G1345" s="85" t="s">
        <v>96</v>
      </c>
      <c r="H1345" s="87">
        <v>6.63E-5</v>
      </c>
      <c r="I1345" s="45"/>
      <c r="J1345" s="45"/>
      <c r="K1345" s="45"/>
      <c r="L1345" s="45"/>
      <c r="M1345" s="45"/>
      <c r="N1345" s="45"/>
      <c r="O1345" s="45"/>
      <c r="P1345" s="45"/>
      <c r="Q1345" s="45"/>
      <c r="R1345" s="45"/>
      <c r="S1345" s="45"/>
      <c r="T1345" s="45"/>
      <c r="U1345" s="45"/>
    </row>
    <row r="1346">
      <c r="A1346" s="84" t="s">
        <v>10136</v>
      </c>
      <c r="B1346" s="45"/>
      <c r="C1346" s="84" t="s">
        <v>10137</v>
      </c>
      <c r="D1346" s="45"/>
      <c r="E1346" s="84" t="s">
        <v>5501</v>
      </c>
      <c r="F1346" s="84" t="s">
        <v>8784</v>
      </c>
      <c r="G1346" s="85" t="s">
        <v>96</v>
      </c>
      <c r="H1346" s="87">
        <v>6.62E-5</v>
      </c>
      <c r="I1346" s="45"/>
      <c r="J1346" s="45"/>
      <c r="K1346" s="45"/>
      <c r="L1346" s="45"/>
      <c r="M1346" s="45"/>
      <c r="N1346" s="45"/>
      <c r="O1346" s="45"/>
      <c r="P1346" s="45"/>
      <c r="Q1346" s="45"/>
      <c r="R1346" s="45"/>
      <c r="S1346" s="45"/>
      <c r="T1346" s="45"/>
      <c r="U1346" s="45"/>
    </row>
    <row r="1347">
      <c r="A1347" s="84" t="s">
        <v>10396</v>
      </c>
      <c r="B1347" s="45"/>
      <c r="C1347" s="84" t="s">
        <v>10397</v>
      </c>
      <c r="D1347" s="45"/>
      <c r="E1347" s="84" t="s">
        <v>5326</v>
      </c>
      <c r="F1347" s="84" t="s">
        <v>8784</v>
      </c>
      <c r="G1347" s="85" t="s">
        <v>96</v>
      </c>
      <c r="H1347" s="87">
        <v>6.61E-5</v>
      </c>
      <c r="I1347" s="45"/>
      <c r="J1347" s="45"/>
      <c r="K1347" s="45"/>
      <c r="L1347" s="45"/>
      <c r="M1347" s="45"/>
      <c r="N1347" s="45"/>
      <c r="O1347" s="45"/>
      <c r="P1347" s="45"/>
      <c r="Q1347" s="45"/>
      <c r="R1347" s="45"/>
      <c r="S1347" s="45"/>
      <c r="T1347" s="45"/>
      <c r="U1347" s="45"/>
    </row>
    <row r="1348">
      <c r="A1348" s="84" t="s">
        <v>10496</v>
      </c>
      <c r="B1348" s="45"/>
      <c r="C1348" s="84" t="s">
        <v>10497</v>
      </c>
      <c r="D1348" s="45"/>
      <c r="E1348" s="84" t="s">
        <v>5450</v>
      </c>
      <c r="F1348" s="84" t="s">
        <v>9414</v>
      </c>
      <c r="G1348" s="85" t="s">
        <v>96</v>
      </c>
      <c r="H1348" s="87">
        <v>6.57E-5</v>
      </c>
      <c r="I1348" s="45"/>
      <c r="J1348" s="45"/>
      <c r="K1348" s="45"/>
      <c r="L1348" s="45"/>
      <c r="M1348" s="45"/>
      <c r="N1348" s="45"/>
      <c r="O1348" s="45"/>
      <c r="P1348" s="45"/>
      <c r="Q1348" s="45"/>
      <c r="R1348" s="45"/>
      <c r="S1348" s="45"/>
      <c r="T1348" s="45"/>
      <c r="U1348" s="45"/>
    </row>
    <row r="1349">
      <c r="A1349" s="84" t="s">
        <v>10287</v>
      </c>
      <c r="B1349" s="45"/>
      <c r="C1349" s="84" t="s">
        <v>10288</v>
      </c>
      <c r="D1349" s="45"/>
      <c r="E1349" s="84" t="s">
        <v>5395</v>
      </c>
      <c r="F1349" s="84" t="s">
        <v>8784</v>
      </c>
      <c r="G1349" s="85" t="s">
        <v>96</v>
      </c>
      <c r="H1349" s="87">
        <v>6.57E-5</v>
      </c>
      <c r="I1349" s="45"/>
      <c r="J1349" s="45"/>
      <c r="K1349" s="45"/>
      <c r="L1349" s="45"/>
      <c r="M1349" s="45"/>
      <c r="N1349" s="45"/>
      <c r="O1349" s="45"/>
      <c r="P1349" s="45"/>
      <c r="Q1349" s="45"/>
      <c r="R1349" s="45"/>
      <c r="S1349" s="45"/>
      <c r="T1349" s="45"/>
      <c r="U1349" s="45"/>
    </row>
    <row r="1350">
      <c r="A1350" s="84" t="s">
        <v>10405</v>
      </c>
      <c r="B1350" s="45"/>
      <c r="C1350" s="84" t="s">
        <v>10406</v>
      </c>
      <c r="D1350" s="45"/>
      <c r="E1350" s="84" t="s">
        <v>5961</v>
      </c>
      <c r="F1350" s="84" t="s">
        <v>8784</v>
      </c>
      <c r="G1350" s="85" t="s">
        <v>96</v>
      </c>
      <c r="H1350" s="87">
        <v>6.51E-5</v>
      </c>
      <c r="I1350" s="45"/>
      <c r="J1350" s="45"/>
      <c r="K1350" s="45"/>
      <c r="L1350" s="45"/>
      <c r="M1350" s="45"/>
      <c r="N1350" s="45"/>
      <c r="O1350" s="45"/>
      <c r="P1350" s="45"/>
      <c r="Q1350" s="45"/>
      <c r="R1350" s="45"/>
      <c r="S1350" s="45"/>
      <c r="T1350" s="45"/>
      <c r="U1350" s="45"/>
    </row>
    <row r="1351">
      <c r="A1351" s="84" t="s">
        <v>11849</v>
      </c>
      <c r="B1351" s="45"/>
      <c r="C1351" s="84" t="s">
        <v>11850</v>
      </c>
      <c r="D1351" s="45"/>
      <c r="E1351" s="84" t="s">
        <v>6416</v>
      </c>
      <c r="F1351" s="84" t="s">
        <v>5836</v>
      </c>
      <c r="G1351" s="85" t="s">
        <v>96</v>
      </c>
      <c r="H1351" s="87">
        <v>6.5E-5</v>
      </c>
      <c r="I1351" s="45"/>
      <c r="J1351" s="45"/>
      <c r="K1351" s="45"/>
      <c r="L1351" s="45"/>
      <c r="M1351" s="45"/>
      <c r="N1351" s="45"/>
      <c r="O1351" s="45"/>
      <c r="P1351" s="45"/>
      <c r="Q1351" s="45"/>
      <c r="R1351" s="45"/>
      <c r="S1351" s="45"/>
      <c r="T1351" s="45"/>
      <c r="U1351" s="45"/>
    </row>
    <row r="1352">
      <c r="A1352" s="84" t="s">
        <v>11851</v>
      </c>
      <c r="B1352" s="45"/>
      <c r="C1352" s="84" t="s">
        <v>11852</v>
      </c>
      <c r="D1352" s="45"/>
      <c r="E1352" s="84" t="s">
        <v>5561</v>
      </c>
      <c r="F1352" s="84" t="s">
        <v>6220</v>
      </c>
      <c r="G1352" s="85" t="s">
        <v>96</v>
      </c>
      <c r="H1352" s="87">
        <v>6.49E-5</v>
      </c>
      <c r="I1352" s="45"/>
      <c r="J1352" s="45"/>
      <c r="K1352" s="45"/>
      <c r="L1352" s="45"/>
      <c r="M1352" s="45"/>
      <c r="N1352" s="45"/>
      <c r="O1352" s="45"/>
      <c r="P1352" s="45"/>
      <c r="Q1352" s="45"/>
      <c r="R1352" s="45"/>
      <c r="S1352" s="45"/>
      <c r="T1352" s="45"/>
      <c r="U1352" s="45"/>
    </row>
    <row r="1353">
      <c r="A1353" s="84" t="s">
        <v>4723</v>
      </c>
      <c r="B1353" s="45"/>
      <c r="C1353" s="84" t="s">
        <v>9555</v>
      </c>
      <c r="D1353" s="45"/>
      <c r="E1353" s="84" t="s">
        <v>5459</v>
      </c>
      <c r="F1353" s="84" t="s">
        <v>5300</v>
      </c>
      <c r="G1353" s="85" t="s">
        <v>96</v>
      </c>
      <c r="H1353" s="87">
        <v>6.47E-5</v>
      </c>
      <c r="I1353" s="45"/>
      <c r="J1353" s="45"/>
      <c r="K1353" s="45"/>
      <c r="L1353" s="45"/>
      <c r="M1353" s="45"/>
      <c r="N1353" s="45"/>
      <c r="O1353" s="45"/>
      <c r="P1353" s="45"/>
      <c r="Q1353" s="45"/>
      <c r="R1353" s="45"/>
      <c r="S1353" s="45"/>
      <c r="T1353" s="45"/>
      <c r="U1353" s="45"/>
    </row>
    <row r="1354">
      <c r="A1354" s="84" t="s">
        <v>6260</v>
      </c>
      <c r="B1354" s="45"/>
      <c r="C1354" s="84" t="s">
        <v>9059</v>
      </c>
      <c r="D1354" s="45"/>
      <c r="E1354" s="84" t="s">
        <v>6801</v>
      </c>
      <c r="F1354" s="84" t="s">
        <v>5747</v>
      </c>
      <c r="G1354" s="85" t="s">
        <v>96</v>
      </c>
      <c r="H1354" s="87">
        <v>6.45E-5</v>
      </c>
      <c r="I1354" s="45"/>
      <c r="J1354" s="45"/>
      <c r="K1354" s="45"/>
      <c r="L1354" s="45"/>
      <c r="M1354" s="45"/>
      <c r="N1354" s="45"/>
      <c r="O1354" s="45"/>
      <c r="P1354" s="45"/>
      <c r="Q1354" s="45"/>
      <c r="R1354" s="45"/>
      <c r="S1354" s="45"/>
      <c r="T1354" s="45"/>
      <c r="U1354" s="45"/>
    </row>
    <row r="1355">
      <c r="A1355" s="84" t="s">
        <v>11853</v>
      </c>
      <c r="B1355" s="45"/>
      <c r="C1355" s="84" t="s">
        <v>11854</v>
      </c>
      <c r="D1355" s="45"/>
      <c r="E1355" s="84" t="s">
        <v>5390</v>
      </c>
      <c r="F1355" s="84" t="s">
        <v>4436</v>
      </c>
      <c r="G1355" s="85" t="s">
        <v>96</v>
      </c>
      <c r="H1355" s="87">
        <v>6.44E-5</v>
      </c>
      <c r="I1355" s="45"/>
      <c r="J1355" s="45"/>
      <c r="K1355" s="45"/>
      <c r="L1355" s="45"/>
      <c r="M1355" s="45"/>
      <c r="N1355" s="45"/>
      <c r="O1355" s="45"/>
      <c r="P1355" s="45"/>
      <c r="Q1355" s="45"/>
      <c r="R1355" s="45"/>
      <c r="S1355" s="45"/>
      <c r="T1355" s="45"/>
      <c r="U1355" s="45"/>
    </row>
    <row r="1356">
      <c r="A1356" s="84" t="s">
        <v>10349</v>
      </c>
      <c r="B1356" s="45"/>
      <c r="C1356" s="84" t="s">
        <v>10350</v>
      </c>
      <c r="D1356" s="45"/>
      <c r="E1356" s="84" t="s">
        <v>5267</v>
      </c>
      <c r="F1356" s="84" t="s">
        <v>8784</v>
      </c>
      <c r="G1356" s="85" t="s">
        <v>96</v>
      </c>
      <c r="H1356" s="87">
        <v>6.43E-5</v>
      </c>
      <c r="I1356" s="45"/>
      <c r="J1356" s="45"/>
      <c r="K1356" s="45"/>
      <c r="L1356" s="45"/>
      <c r="M1356" s="45"/>
      <c r="N1356" s="45"/>
      <c r="O1356" s="45"/>
      <c r="P1356" s="45"/>
      <c r="Q1356" s="45"/>
      <c r="R1356" s="45"/>
      <c r="S1356" s="45"/>
      <c r="T1356" s="45"/>
      <c r="U1356" s="45"/>
    </row>
    <row r="1357">
      <c r="A1357" s="84" t="s">
        <v>10295</v>
      </c>
      <c r="B1357" s="45"/>
      <c r="C1357" s="84" t="s">
        <v>10296</v>
      </c>
      <c r="D1357" s="45"/>
      <c r="E1357" s="84" t="s">
        <v>5374</v>
      </c>
      <c r="F1357" s="84" t="s">
        <v>4095</v>
      </c>
      <c r="G1357" s="85" t="s">
        <v>96</v>
      </c>
      <c r="H1357" s="87">
        <v>6.43E-5</v>
      </c>
      <c r="I1357" s="45"/>
      <c r="J1357" s="45"/>
      <c r="K1357" s="45"/>
      <c r="L1357" s="45"/>
      <c r="M1357" s="45"/>
      <c r="N1357" s="45"/>
      <c r="O1357" s="45"/>
      <c r="P1357" s="45"/>
      <c r="Q1357" s="45"/>
      <c r="R1357" s="45"/>
      <c r="S1357" s="45"/>
      <c r="T1357" s="45"/>
      <c r="U1357" s="45"/>
    </row>
    <row r="1358">
      <c r="A1358" s="84" t="s">
        <v>10388</v>
      </c>
      <c r="B1358" s="45"/>
      <c r="C1358" s="84" t="s">
        <v>10389</v>
      </c>
      <c r="D1358" s="45"/>
      <c r="E1358" s="84" t="s">
        <v>5215</v>
      </c>
      <c r="F1358" s="84" t="s">
        <v>8784</v>
      </c>
      <c r="G1358" s="85" t="s">
        <v>96</v>
      </c>
      <c r="H1358" s="87">
        <v>6.42E-5</v>
      </c>
      <c r="I1358" s="45"/>
      <c r="J1358" s="45"/>
      <c r="K1358" s="45"/>
      <c r="L1358" s="45"/>
      <c r="M1358" s="45"/>
      <c r="N1358" s="45"/>
      <c r="O1358" s="45"/>
      <c r="P1358" s="45"/>
      <c r="Q1358" s="45"/>
      <c r="R1358" s="45"/>
      <c r="S1358" s="45"/>
      <c r="T1358" s="45"/>
      <c r="U1358" s="45"/>
    </row>
    <row r="1359">
      <c r="A1359" s="84" t="s">
        <v>10175</v>
      </c>
      <c r="B1359" s="45"/>
      <c r="C1359" s="84" t="s">
        <v>10176</v>
      </c>
      <c r="D1359" s="45"/>
      <c r="E1359" s="84" t="s">
        <v>6327</v>
      </c>
      <c r="F1359" s="84" t="s">
        <v>9021</v>
      </c>
      <c r="G1359" s="85" t="s">
        <v>96</v>
      </c>
      <c r="H1359" s="87">
        <v>6.38E-5</v>
      </c>
      <c r="I1359" s="45"/>
      <c r="J1359" s="45"/>
      <c r="K1359" s="45"/>
      <c r="L1359" s="45"/>
      <c r="M1359" s="45"/>
      <c r="N1359" s="45"/>
      <c r="O1359" s="45"/>
      <c r="P1359" s="45"/>
      <c r="Q1359" s="45"/>
      <c r="R1359" s="45"/>
      <c r="S1359" s="45"/>
      <c r="T1359" s="45"/>
      <c r="U1359" s="45"/>
    </row>
    <row r="1360">
      <c r="A1360" s="84" t="s">
        <v>10368</v>
      </c>
      <c r="B1360" s="45"/>
      <c r="C1360" s="84" t="s">
        <v>10369</v>
      </c>
      <c r="D1360" s="45"/>
      <c r="E1360" s="84" t="s">
        <v>5561</v>
      </c>
      <c r="F1360" s="84" t="s">
        <v>5927</v>
      </c>
      <c r="G1360" s="85" t="s">
        <v>96</v>
      </c>
      <c r="H1360" s="87">
        <v>6.38E-5</v>
      </c>
      <c r="I1360" s="45"/>
      <c r="J1360" s="45"/>
      <c r="K1360" s="45"/>
      <c r="L1360" s="45"/>
      <c r="M1360" s="45"/>
      <c r="N1360" s="45"/>
      <c r="O1360" s="45"/>
      <c r="P1360" s="45"/>
      <c r="Q1360" s="45"/>
      <c r="R1360" s="45"/>
      <c r="S1360" s="45"/>
      <c r="T1360" s="45"/>
      <c r="U1360" s="45"/>
    </row>
    <row r="1361">
      <c r="A1361" s="84" t="s">
        <v>10522</v>
      </c>
      <c r="B1361" s="45"/>
      <c r="C1361" s="84" t="s">
        <v>10523</v>
      </c>
      <c r="D1361" s="45"/>
      <c r="E1361" s="84" t="s">
        <v>5335</v>
      </c>
      <c r="F1361" s="84" t="s">
        <v>8784</v>
      </c>
      <c r="G1361" s="85" t="s">
        <v>96</v>
      </c>
      <c r="H1361" s="87">
        <v>6.37E-5</v>
      </c>
      <c r="I1361" s="45"/>
      <c r="J1361" s="45"/>
      <c r="K1361" s="45"/>
      <c r="L1361" s="45"/>
      <c r="M1361" s="45"/>
      <c r="N1361" s="45"/>
      <c r="O1361" s="45"/>
      <c r="P1361" s="45"/>
      <c r="Q1361" s="45"/>
      <c r="R1361" s="45"/>
      <c r="S1361" s="45"/>
      <c r="T1361" s="45"/>
      <c r="U1361" s="45"/>
    </row>
    <row r="1362">
      <c r="A1362" s="84" t="s">
        <v>10778</v>
      </c>
      <c r="B1362" s="45"/>
      <c r="C1362" s="84" t="s">
        <v>11855</v>
      </c>
      <c r="D1362" s="45"/>
      <c r="E1362" s="84" t="s">
        <v>5288</v>
      </c>
      <c r="F1362" s="84" t="s">
        <v>5425</v>
      </c>
      <c r="G1362" s="85" t="s">
        <v>96</v>
      </c>
      <c r="H1362" s="87">
        <v>6.34E-5</v>
      </c>
      <c r="I1362" s="45"/>
      <c r="J1362" s="45"/>
      <c r="K1362" s="45"/>
      <c r="L1362" s="45"/>
      <c r="M1362" s="45"/>
      <c r="N1362" s="45"/>
      <c r="O1362" s="45"/>
      <c r="P1362" s="45"/>
      <c r="Q1362" s="45"/>
      <c r="R1362" s="45"/>
      <c r="S1362" s="45"/>
      <c r="T1362" s="45"/>
      <c r="U1362" s="45"/>
    </row>
    <row r="1363">
      <c r="A1363" s="84" t="s">
        <v>9922</v>
      </c>
      <c r="B1363" s="45"/>
      <c r="C1363" s="84" t="s">
        <v>9923</v>
      </c>
      <c r="D1363" s="45"/>
      <c r="E1363" s="84" t="s">
        <v>5445</v>
      </c>
      <c r="F1363" s="84" t="s">
        <v>5425</v>
      </c>
      <c r="G1363" s="85" t="s">
        <v>96</v>
      </c>
      <c r="H1363" s="87">
        <v>6.33E-5</v>
      </c>
      <c r="I1363" s="45"/>
      <c r="J1363" s="45"/>
      <c r="K1363" s="45"/>
      <c r="L1363" s="45"/>
      <c r="M1363" s="45"/>
      <c r="N1363" s="45"/>
      <c r="O1363" s="45"/>
      <c r="P1363" s="45"/>
      <c r="Q1363" s="45"/>
      <c r="R1363" s="45"/>
      <c r="S1363" s="45"/>
      <c r="T1363" s="45"/>
      <c r="U1363" s="45"/>
    </row>
    <row r="1364">
      <c r="A1364" s="84" t="s">
        <v>5696</v>
      </c>
      <c r="B1364" s="45"/>
      <c r="C1364" s="84" t="s">
        <v>10260</v>
      </c>
      <c r="D1364" s="45"/>
      <c r="E1364" s="84" t="s">
        <v>5450</v>
      </c>
      <c r="F1364" s="84" t="s">
        <v>5425</v>
      </c>
      <c r="G1364" s="85" t="s">
        <v>96</v>
      </c>
      <c r="H1364" s="87">
        <v>6.24E-5</v>
      </c>
      <c r="I1364" s="45"/>
      <c r="J1364" s="45"/>
      <c r="K1364" s="45"/>
      <c r="L1364" s="45"/>
      <c r="M1364" s="45"/>
      <c r="N1364" s="45"/>
      <c r="O1364" s="45"/>
      <c r="P1364" s="45"/>
      <c r="Q1364" s="45"/>
      <c r="R1364" s="45"/>
      <c r="S1364" s="45"/>
      <c r="T1364" s="45"/>
      <c r="U1364" s="45"/>
    </row>
    <row r="1365">
      <c r="A1365" s="84" t="s">
        <v>10336</v>
      </c>
      <c r="B1365" s="45"/>
      <c r="C1365" s="84" t="s">
        <v>10337</v>
      </c>
      <c r="D1365" s="45"/>
      <c r="E1365" s="84" t="s">
        <v>5366</v>
      </c>
      <c r="F1365" s="84" t="s">
        <v>8759</v>
      </c>
      <c r="G1365" s="85" t="s">
        <v>96</v>
      </c>
      <c r="H1365" s="87">
        <v>6.22E-5</v>
      </c>
      <c r="I1365" s="45"/>
      <c r="J1365" s="45"/>
      <c r="K1365" s="45"/>
      <c r="L1365" s="45"/>
      <c r="M1365" s="45"/>
      <c r="N1365" s="45"/>
      <c r="O1365" s="45"/>
      <c r="P1365" s="45"/>
      <c r="Q1365" s="45"/>
      <c r="R1365" s="45"/>
      <c r="S1365" s="45"/>
      <c r="T1365" s="45"/>
      <c r="U1365" s="45"/>
    </row>
    <row r="1366">
      <c r="A1366" s="84" t="s">
        <v>10284</v>
      </c>
      <c r="B1366" s="45"/>
      <c r="C1366" s="84" t="s">
        <v>10285</v>
      </c>
      <c r="D1366" s="45"/>
      <c r="E1366" s="84" t="s">
        <v>7611</v>
      </c>
      <c r="F1366" s="84" t="s">
        <v>8784</v>
      </c>
      <c r="G1366" s="85" t="s">
        <v>96</v>
      </c>
      <c r="H1366" s="87">
        <v>6.18E-5</v>
      </c>
      <c r="I1366" s="45"/>
      <c r="J1366" s="45"/>
      <c r="K1366" s="45"/>
      <c r="L1366" s="45"/>
      <c r="M1366" s="45"/>
      <c r="N1366" s="45"/>
      <c r="O1366" s="45"/>
      <c r="P1366" s="45"/>
      <c r="Q1366" s="45"/>
      <c r="R1366" s="45"/>
      <c r="S1366" s="45"/>
      <c r="T1366" s="45"/>
      <c r="U1366" s="45"/>
    </row>
    <row r="1367">
      <c r="A1367" s="84" t="s">
        <v>11856</v>
      </c>
      <c r="B1367" s="45"/>
      <c r="C1367" s="84" t="s">
        <v>11857</v>
      </c>
      <c r="D1367" s="45"/>
      <c r="E1367" s="84" t="s">
        <v>5229</v>
      </c>
      <c r="F1367" s="84" t="s">
        <v>5927</v>
      </c>
      <c r="G1367" s="85" t="s">
        <v>96</v>
      </c>
      <c r="H1367" s="87">
        <v>6.15E-5</v>
      </c>
      <c r="I1367" s="45"/>
      <c r="J1367" s="45"/>
      <c r="K1367" s="45"/>
      <c r="L1367" s="45"/>
      <c r="M1367" s="45"/>
      <c r="N1367" s="45"/>
      <c r="O1367" s="45"/>
      <c r="P1367" s="45"/>
      <c r="Q1367" s="45"/>
      <c r="R1367" s="45"/>
      <c r="S1367" s="45"/>
      <c r="T1367" s="45"/>
      <c r="U1367" s="45"/>
    </row>
    <row r="1368">
      <c r="A1368" s="84" t="s">
        <v>11858</v>
      </c>
      <c r="B1368" s="45"/>
      <c r="C1368" s="84" t="s">
        <v>11859</v>
      </c>
      <c r="D1368" s="45"/>
      <c r="E1368" s="84" t="s">
        <v>5366</v>
      </c>
      <c r="F1368" s="84" t="s">
        <v>8784</v>
      </c>
      <c r="G1368" s="85" t="s">
        <v>96</v>
      </c>
      <c r="H1368" s="87">
        <v>6.11E-5</v>
      </c>
      <c r="I1368" s="45"/>
      <c r="J1368" s="45"/>
      <c r="K1368" s="45"/>
      <c r="L1368" s="45"/>
      <c r="M1368" s="45"/>
      <c r="N1368" s="45"/>
      <c r="O1368" s="45"/>
      <c r="P1368" s="45"/>
      <c r="Q1368" s="45"/>
      <c r="R1368" s="45"/>
      <c r="S1368" s="45"/>
      <c r="T1368" s="45"/>
      <c r="U1368" s="45"/>
    </row>
    <row r="1369">
      <c r="A1369" s="84" t="s">
        <v>10457</v>
      </c>
      <c r="B1369" s="45"/>
      <c r="C1369" s="84" t="s">
        <v>10458</v>
      </c>
      <c r="D1369" s="45"/>
      <c r="E1369" s="84" t="s">
        <v>5431</v>
      </c>
      <c r="F1369" s="84" t="s">
        <v>8784</v>
      </c>
      <c r="G1369" s="85" t="s">
        <v>96</v>
      </c>
      <c r="H1369" s="87">
        <v>6.07E-5</v>
      </c>
      <c r="I1369" s="45"/>
      <c r="J1369" s="45"/>
      <c r="K1369" s="45"/>
      <c r="L1369" s="45"/>
      <c r="M1369" s="45"/>
      <c r="N1369" s="45"/>
      <c r="O1369" s="45"/>
      <c r="P1369" s="45"/>
      <c r="Q1369" s="45"/>
      <c r="R1369" s="45"/>
      <c r="S1369" s="45"/>
      <c r="T1369" s="45"/>
      <c r="U1369" s="45"/>
    </row>
    <row r="1370">
      <c r="A1370" s="84" t="s">
        <v>10577</v>
      </c>
      <c r="B1370" s="45"/>
      <c r="C1370" s="84" t="s">
        <v>10578</v>
      </c>
      <c r="D1370" s="45"/>
      <c r="E1370" s="84" t="s">
        <v>5218</v>
      </c>
      <c r="F1370" s="84" t="s">
        <v>9021</v>
      </c>
      <c r="G1370" s="85" t="s">
        <v>96</v>
      </c>
      <c r="H1370" s="87">
        <v>6.04E-5</v>
      </c>
      <c r="I1370" s="45"/>
      <c r="J1370" s="45"/>
      <c r="K1370" s="45"/>
      <c r="L1370" s="45"/>
      <c r="M1370" s="45"/>
      <c r="N1370" s="45"/>
      <c r="O1370" s="45"/>
      <c r="P1370" s="45"/>
      <c r="Q1370" s="45"/>
      <c r="R1370" s="45"/>
      <c r="S1370" s="45"/>
      <c r="T1370" s="45"/>
      <c r="U1370" s="45"/>
    </row>
    <row r="1371">
      <c r="A1371" s="84" t="s">
        <v>10394</v>
      </c>
      <c r="B1371" s="45"/>
      <c r="C1371" s="84" t="s">
        <v>10395</v>
      </c>
      <c r="D1371" s="45"/>
      <c r="E1371" s="84" t="s">
        <v>5326</v>
      </c>
      <c r="F1371" s="84" t="s">
        <v>6988</v>
      </c>
      <c r="G1371" s="85" t="s">
        <v>96</v>
      </c>
      <c r="H1371" s="87">
        <v>6.03E-5</v>
      </c>
      <c r="I1371" s="45"/>
      <c r="J1371" s="45"/>
      <c r="K1371" s="45"/>
      <c r="L1371" s="45"/>
      <c r="M1371" s="45"/>
      <c r="N1371" s="45"/>
      <c r="O1371" s="45"/>
      <c r="P1371" s="45"/>
      <c r="Q1371" s="45"/>
      <c r="R1371" s="45"/>
      <c r="S1371" s="45"/>
      <c r="T1371" s="45"/>
      <c r="U1371" s="45"/>
    </row>
    <row r="1372">
      <c r="A1372" s="84" t="s">
        <v>10476</v>
      </c>
      <c r="B1372" s="45"/>
      <c r="C1372" s="84" t="s">
        <v>10477</v>
      </c>
      <c r="D1372" s="45"/>
      <c r="E1372" s="84" t="s">
        <v>5456</v>
      </c>
      <c r="F1372" s="84" t="s">
        <v>8784</v>
      </c>
      <c r="G1372" s="85" t="s">
        <v>96</v>
      </c>
      <c r="H1372" s="87">
        <v>6.01E-5</v>
      </c>
      <c r="I1372" s="45"/>
      <c r="J1372" s="45"/>
      <c r="K1372" s="45"/>
      <c r="L1372" s="45"/>
      <c r="M1372" s="45"/>
      <c r="N1372" s="45"/>
      <c r="O1372" s="45"/>
      <c r="P1372" s="45"/>
      <c r="Q1372" s="45"/>
      <c r="R1372" s="45"/>
      <c r="S1372" s="45"/>
      <c r="T1372" s="45"/>
      <c r="U1372" s="45"/>
    </row>
    <row r="1373">
      <c r="A1373" s="84" t="s">
        <v>11860</v>
      </c>
      <c r="B1373" s="45"/>
      <c r="C1373" s="84" t="s">
        <v>11861</v>
      </c>
      <c r="D1373" s="45"/>
      <c r="E1373" s="84" t="s">
        <v>5321</v>
      </c>
      <c r="F1373" s="84" t="s">
        <v>5836</v>
      </c>
      <c r="G1373" s="85" t="s">
        <v>96</v>
      </c>
      <c r="H1373" s="87">
        <v>5.97E-5</v>
      </c>
      <c r="I1373" s="45"/>
      <c r="J1373" s="45"/>
      <c r="K1373" s="45"/>
      <c r="L1373" s="45"/>
      <c r="M1373" s="45"/>
      <c r="N1373" s="45"/>
      <c r="O1373" s="45"/>
      <c r="P1373" s="45"/>
      <c r="Q1373" s="45"/>
      <c r="R1373" s="45"/>
      <c r="S1373" s="45"/>
      <c r="T1373" s="45"/>
      <c r="U1373" s="45"/>
    </row>
    <row r="1374">
      <c r="A1374" s="84" t="s">
        <v>11862</v>
      </c>
      <c r="B1374" s="45"/>
      <c r="C1374" s="84" t="s">
        <v>11863</v>
      </c>
      <c r="D1374" s="45"/>
      <c r="E1374" s="84" t="s">
        <v>6475</v>
      </c>
      <c r="F1374" s="84" t="s">
        <v>5836</v>
      </c>
      <c r="G1374" s="85" t="s">
        <v>96</v>
      </c>
      <c r="H1374" s="87">
        <v>5.95E-5</v>
      </c>
      <c r="I1374" s="45"/>
      <c r="J1374" s="45"/>
      <c r="K1374" s="45"/>
      <c r="L1374" s="45"/>
      <c r="M1374" s="45"/>
      <c r="N1374" s="45"/>
      <c r="O1374" s="45"/>
      <c r="P1374" s="45"/>
      <c r="Q1374" s="45"/>
      <c r="R1374" s="45"/>
      <c r="S1374" s="45"/>
      <c r="T1374" s="45"/>
      <c r="U1374" s="45"/>
    </row>
    <row r="1375">
      <c r="A1375" s="84" t="s">
        <v>11864</v>
      </c>
      <c r="B1375" s="45"/>
      <c r="C1375" s="84" t="s">
        <v>11865</v>
      </c>
      <c r="D1375" s="45"/>
      <c r="E1375" s="84" t="s">
        <v>5288</v>
      </c>
      <c r="F1375" s="84" t="s">
        <v>6210</v>
      </c>
      <c r="G1375" s="85" t="s">
        <v>96</v>
      </c>
      <c r="H1375" s="87">
        <v>5.93E-5</v>
      </c>
      <c r="I1375" s="45"/>
      <c r="J1375" s="45"/>
      <c r="K1375" s="45"/>
      <c r="L1375" s="45"/>
      <c r="M1375" s="45"/>
      <c r="N1375" s="45"/>
      <c r="O1375" s="45"/>
      <c r="P1375" s="45"/>
      <c r="Q1375" s="45"/>
      <c r="R1375" s="45"/>
      <c r="S1375" s="45"/>
      <c r="T1375" s="45"/>
      <c r="U1375" s="45"/>
    </row>
    <row r="1376">
      <c r="A1376" s="84" t="s">
        <v>11866</v>
      </c>
      <c r="B1376" s="45"/>
      <c r="C1376" s="84" t="s">
        <v>11867</v>
      </c>
      <c r="D1376" s="45"/>
      <c r="E1376" s="84" t="s">
        <v>5296</v>
      </c>
      <c r="F1376" s="84" t="s">
        <v>9021</v>
      </c>
      <c r="G1376" s="85" t="s">
        <v>96</v>
      </c>
      <c r="H1376" s="87">
        <v>5.9E-5</v>
      </c>
      <c r="I1376" s="45"/>
      <c r="J1376" s="45"/>
      <c r="K1376" s="45"/>
      <c r="L1376" s="45"/>
      <c r="M1376" s="45"/>
      <c r="N1376" s="45"/>
      <c r="O1376" s="45"/>
      <c r="P1376" s="45"/>
      <c r="Q1376" s="45"/>
      <c r="R1376" s="45"/>
      <c r="S1376" s="45"/>
      <c r="T1376" s="45"/>
      <c r="U1376" s="45"/>
    </row>
    <row r="1377">
      <c r="A1377" s="84" t="s">
        <v>10197</v>
      </c>
      <c r="B1377" s="45"/>
      <c r="C1377" s="84" t="s">
        <v>10198</v>
      </c>
      <c r="D1377" s="45"/>
      <c r="E1377" s="84" t="s">
        <v>6327</v>
      </c>
      <c r="F1377" s="84" t="s">
        <v>8784</v>
      </c>
      <c r="G1377" s="85" t="s">
        <v>96</v>
      </c>
      <c r="H1377" s="87">
        <v>5.87E-5</v>
      </c>
      <c r="I1377" s="45"/>
      <c r="J1377" s="45"/>
      <c r="K1377" s="45"/>
      <c r="L1377" s="45"/>
      <c r="M1377" s="45"/>
      <c r="N1377" s="45"/>
      <c r="O1377" s="45"/>
      <c r="P1377" s="45"/>
      <c r="Q1377" s="45"/>
      <c r="R1377" s="45"/>
      <c r="S1377" s="45"/>
      <c r="T1377" s="45"/>
      <c r="U1377" s="45"/>
    </row>
    <row r="1378">
      <c r="A1378" s="84" t="s">
        <v>10411</v>
      </c>
      <c r="B1378" s="45"/>
      <c r="C1378" s="84" t="s">
        <v>10412</v>
      </c>
      <c r="D1378" s="45"/>
      <c r="E1378" s="84" t="s">
        <v>5296</v>
      </c>
      <c r="F1378" s="84" t="s">
        <v>9021</v>
      </c>
      <c r="G1378" s="85" t="s">
        <v>96</v>
      </c>
      <c r="H1378" s="87">
        <v>5.8E-5</v>
      </c>
      <c r="I1378" s="45"/>
      <c r="J1378" s="45"/>
      <c r="K1378" s="45"/>
      <c r="L1378" s="45"/>
      <c r="M1378" s="45"/>
      <c r="N1378" s="45"/>
      <c r="O1378" s="45"/>
      <c r="P1378" s="45"/>
      <c r="Q1378" s="45"/>
      <c r="R1378" s="45"/>
      <c r="S1378" s="45"/>
      <c r="T1378" s="45"/>
      <c r="U1378" s="45"/>
    </row>
    <row r="1379">
      <c r="A1379" s="84" t="s">
        <v>10557</v>
      </c>
      <c r="B1379" s="45"/>
      <c r="C1379" s="84" t="s">
        <v>10558</v>
      </c>
      <c r="D1379" s="45"/>
      <c r="E1379" s="84" t="s">
        <v>5271</v>
      </c>
      <c r="F1379" s="84" t="s">
        <v>8784</v>
      </c>
      <c r="G1379" s="85" t="s">
        <v>96</v>
      </c>
      <c r="H1379" s="87">
        <v>5.79E-5</v>
      </c>
      <c r="I1379" s="45"/>
      <c r="J1379" s="45"/>
      <c r="K1379" s="45"/>
      <c r="L1379" s="45"/>
      <c r="M1379" s="45"/>
      <c r="N1379" s="45"/>
      <c r="O1379" s="45"/>
      <c r="P1379" s="45"/>
      <c r="Q1379" s="45"/>
      <c r="R1379" s="45"/>
      <c r="S1379" s="45"/>
      <c r="T1379" s="45"/>
      <c r="U1379" s="45"/>
    </row>
    <row r="1380">
      <c r="A1380" s="84" t="s">
        <v>10510</v>
      </c>
      <c r="B1380" s="45"/>
      <c r="C1380" s="84" t="s">
        <v>10511</v>
      </c>
      <c r="D1380" s="45"/>
      <c r="E1380" s="84" t="s">
        <v>9221</v>
      </c>
      <c r="F1380" s="84" t="s">
        <v>8784</v>
      </c>
      <c r="G1380" s="85" t="s">
        <v>96</v>
      </c>
      <c r="H1380" s="87">
        <v>5.76E-5</v>
      </c>
      <c r="I1380" s="45"/>
      <c r="J1380" s="45"/>
      <c r="K1380" s="45"/>
      <c r="L1380" s="45"/>
      <c r="M1380" s="45"/>
      <c r="N1380" s="45"/>
      <c r="O1380" s="45"/>
      <c r="P1380" s="45"/>
      <c r="Q1380" s="45"/>
      <c r="R1380" s="45"/>
      <c r="S1380" s="45"/>
      <c r="T1380" s="45"/>
      <c r="U1380" s="45"/>
    </row>
    <row r="1381">
      <c r="A1381" s="84" t="s">
        <v>10465</v>
      </c>
      <c r="B1381" s="45"/>
      <c r="C1381" s="84" t="s">
        <v>10466</v>
      </c>
      <c r="D1381" s="45"/>
      <c r="E1381" s="84" t="s">
        <v>5445</v>
      </c>
      <c r="F1381" s="84" t="s">
        <v>8784</v>
      </c>
      <c r="G1381" s="85" t="s">
        <v>96</v>
      </c>
      <c r="H1381" s="87">
        <v>5.73E-5</v>
      </c>
      <c r="I1381" s="45"/>
      <c r="J1381" s="45"/>
      <c r="K1381" s="45"/>
      <c r="L1381" s="45"/>
      <c r="M1381" s="45"/>
      <c r="N1381" s="45"/>
      <c r="O1381" s="45"/>
      <c r="P1381" s="45"/>
      <c r="Q1381" s="45"/>
      <c r="R1381" s="45"/>
      <c r="S1381" s="45"/>
      <c r="T1381" s="45"/>
      <c r="U1381" s="45"/>
    </row>
    <row r="1382">
      <c r="A1382" s="84" t="s">
        <v>11868</v>
      </c>
      <c r="B1382" s="45"/>
      <c r="C1382" s="84" t="s">
        <v>11869</v>
      </c>
      <c r="D1382" s="45"/>
      <c r="E1382" s="84" t="s">
        <v>5407</v>
      </c>
      <c r="F1382" s="84" t="s">
        <v>5300</v>
      </c>
      <c r="G1382" s="85" t="s">
        <v>96</v>
      </c>
      <c r="H1382" s="87">
        <v>5.68E-5</v>
      </c>
      <c r="I1382" s="45"/>
      <c r="J1382" s="45"/>
      <c r="K1382" s="45"/>
      <c r="L1382" s="45"/>
      <c r="M1382" s="45"/>
      <c r="N1382" s="45"/>
      <c r="O1382" s="45"/>
      <c r="P1382" s="45"/>
      <c r="Q1382" s="45"/>
      <c r="R1382" s="45"/>
      <c r="S1382" s="45"/>
      <c r="T1382" s="45"/>
      <c r="U1382" s="45"/>
    </row>
    <row r="1383">
      <c r="A1383" s="84" t="s">
        <v>10502</v>
      </c>
      <c r="B1383" s="45"/>
      <c r="C1383" s="84" t="s">
        <v>10503</v>
      </c>
      <c r="D1383" s="45"/>
      <c r="E1383" s="84" t="s">
        <v>6801</v>
      </c>
      <c r="F1383" s="84" t="s">
        <v>8784</v>
      </c>
      <c r="G1383" s="85" t="s">
        <v>96</v>
      </c>
      <c r="H1383" s="87">
        <v>5.67E-5</v>
      </c>
      <c r="I1383" s="45"/>
      <c r="J1383" s="45"/>
      <c r="K1383" s="45"/>
      <c r="L1383" s="45"/>
      <c r="M1383" s="45"/>
      <c r="N1383" s="45"/>
      <c r="O1383" s="45"/>
      <c r="P1383" s="45"/>
      <c r="Q1383" s="45"/>
      <c r="R1383" s="45"/>
      <c r="S1383" s="45"/>
      <c r="T1383" s="45"/>
      <c r="U1383" s="45"/>
    </row>
    <row r="1384">
      <c r="A1384" s="84" t="s">
        <v>10409</v>
      </c>
      <c r="B1384" s="45"/>
      <c r="C1384" s="84" t="s">
        <v>10410</v>
      </c>
      <c r="D1384" s="45"/>
      <c r="E1384" s="84" t="s">
        <v>5478</v>
      </c>
      <c r="F1384" s="84" t="s">
        <v>8759</v>
      </c>
      <c r="G1384" s="85" t="s">
        <v>96</v>
      </c>
      <c r="H1384" s="87">
        <v>5.66E-5</v>
      </c>
      <c r="I1384" s="45"/>
      <c r="J1384" s="45"/>
      <c r="K1384" s="45"/>
      <c r="L1384" s="45"/>
      <c r="M1384" s="45"/>
      <c r="N1384" s="45"/>
      <c r="O1384" s="45"/>
      <c r="P1384" s="45"/>
      <c r="Q1384" s="45"/>
      <c r="R1384" s="45"/>
      <c r="S1384" s="45"/>
      <c r="T1384" s="45"/>
      <c r="U1384" s="45"/>
    </row>
    <row r="1385">
      <c r="A1385" s="84" t="s">
        <v>10641</v>
      </c>
      <c r="B1385" s="45"/>
      <c r="C1385" s="84" t="s">
        <v>10642</v>
      </c>
      <c r="D1385" s="45"/>
      <c r="E1385" s="84" t="s">
        <v>5215</v>
      </c>
      <c r="F1385" s="84" t="s">
        <v>8759</v>
      </c>
      <c r="G1385" s="85" t="s">
        <v>96</v>
      </c>
      <c r="H1385" s="87">
        <v>5.65E-5</v>
      </c>
      <c r="I1385" s="45"/>
      <c r="J1385" s="45"/>
      <c r="K1385" s="45"/>
      <c r="L1385" s="45"/>
      <c r="M1385" s="45"/>
      <c r="N1385" s="45"/>
      <c r="O1385" s="45"/>
      <c r="P1385" s="45"/>
      <c r="Q1385" s="45"/>
      <c r="R1385" s="45"/>
      <c r="S1385" s="45"/>
      <c r="T1385" s="45"/>
      <c r="U1385" s="45"/>
    </row>
    <row r="1386">
      <c r="A1386" s="84" t="s">
        <v>11870</v>
      </c>
      <c r="B1386" s="45"/>
      <c r="C1386" s="84" t="s">
        <v>11871</v>
      </c>
      <c r="D1386" s="45"/>
      <c r="E1386" s="84" t="s">
        <v>5288</v>
      </c>
      <c r="F1386" s="84" t="s">
        <v>5836</v>
      </c>
      <c r="G1386" s="85" t="s">
        <v>96</v>
      </c>
      <c r="H1386" s="87">
        <v>5.61E-5</v>
      </c>
      <c r="I1386" s="45"/>
      <c r="J1386" s="45"/>
      <c r="K1386" s="45"/>
      <c r="L1386" s="45"/>
      <c r="M1386" s="45"/>
      <c r="N1386" s="45"/>
      <c r="O1386" s="45"/>
      <c r="P1386" s="45"/>
      <c r="Q1386" s="45"/>
      <c r="R1386" s="45"/>
      <c r="S1386" s="45"/>
      <c r="T1386" s="45"/>
      <c r="U1386" s="45"/>
    </row>
    <row r="1387">
      <c r="A1387" s="84" t="s">
        <v>10681</v>
      </c>
      <c r="B1387" s="45"/>
      <c r="C1387" s="84" t="s">
        <v>10682</v>
      </c>
      <c r="D1387" s="45"/>
      <c r="E1387" s="84" t="s">
        <v>6338</v>
      </c>
      <c r="F1387" s="84" t="s">
        <v>9299</v>
      </c>
      <c r="G1387" s="85" t="s">
        <v>96</v>
      </c>
      <c r="H1387" s="87">
        <v>5.61E-5</v>
      </c>
      <c r="I1387" s="45"/>
      <c r="J1387" s="45"/>
      <c r="K1387" s="45"/>
      <c r="L1387" s="45"/>
      <c r="M1387" s="45"/>
      <c r="N1387" s="45"/>
      <c r="O1387" s="45"/>
      <c r="P1387" s="45"/>
      <c r="Q1387" s="45"/>
      <c r="R1387" s="45"/>
      <c r="S1387" s="45"/>
      <c r="T1387" s="45"/>
      <c r="U1387" s="45"/>
    </row>
    <row r="1388">
      <c r="A1388" s="84" t="s">
        <v>6896</v>
      </c>
      <c r="B1388" s="45"/>
      <c r="C1388" s="84" t="s">
        <v>11872</v>
      </c>
      <c r="D1388" s="45"/>
      <c r="E1388" s="84" t="s">
        <v>5309</v>
      </c>
      <c r="F1388" s="84" t="s">
        <v>5836</v>
      </c>
      <c r="G1388" s="85" t="s">
        <v>96</v>
      </c>
      <c r="H1388" s="87">
        <v>5.55E-5</v>
      </c>
      <c r="I1388" s="45"/>
      <c r="J1388" s="45"/>
      <c r="K1388" s="45"/>
      <c r="L1388" s="45"/>
      <c r="M1388" s="45"/>
      <c r="N1388" s="45"/>
      <c r="O1388" s="45"/>
      <c r="P1388" s="45"/>
      <c r="Q1388" s="45"/>
      <c r="R1388" s="45"/>
      <c r="S1388" s="45"/>
      <c r="T1388" s="45"/>
      <c r="U1388" s="45"/>
    </row>
    <row r="1389">
      <c r="A1389" s="84" t="s">
        <v>10504</v>
      </c>
      <c r="B1389" s="45"/>
      <c r="C1389" s="84" t="s">
        <v>10505</v>
      </c>
      <c r="D1389" s="45"/>
      <c r="E1389" s="84" t="s">
        <v>6040</v>
      </c>
      <c r="F1389" s="84" t="s">
        <v>6988</v>
      </c>
      <c r="G1389" s="85" t="s">
        <v>96</v>
      </c>
      <c r="H1389" s="87">
        <v>5.55E-5</v>
      </c>
      <c r="I1389" s="45"/>
      <c r="J1389" s="45"/>
      <c r="K1389" s="45"/>
      <c r="L1389" s="45"/>
      <c r="M1389" s="45"/>
      <c r="N1389" s="45"/>
      <c r="O1389" s="45"/>
      <c r="P1389" s="45"/>
      <c r="Q1389" s="45"/>
      <c r="R1389" s="45"/>
      <c r="S1389" s="45"/>
      <c r="T1389" s="45"/>
      <c r="U1389" s="45"/>
    </row>
    <row r="1390">
      <c r="A1390" s="84" t="s">
        <v>10111</v>
      </c>
      <c r="B1390" s="45"/>
      <c r="C1390" s="84" t="s">
        <v>10112</v>
      </c>
      <c r="D1390" s="45"/>
      <c r="E1390" s="84" t="s">
        <v>5456</v>
      </c>
      <c r="F1390" s="84" t="s">
        <v>5747</v>
      </c>
      <c r="G1390" s="85" t="s">
        <v>96</v>
      </c>
      <c r="H1390" s="87">
        <v>5.54E-5</v>
      </c>
      <c r="I1390" s="45"/>
      <c r="J1390" s="45"/>
      <c r="K1390" s="45"/>
      <c r="L1390" s="45"/>
      <c r="M1390" s="45"/>
      <c r="N1390" s="45"/>
      <c r="O1390" s="45"/>
      <c r="P1390" s="45"/>
      <c r="Q1390" s="45"/>
      <c r="R1390" s="45"/>
      <c r="S1390" s="45"/>
      <c r="T1390" s="45"/>
      <c r="U1390" s="45"/>
    </row>
    <row r="1391">
      <c r="A1391" s="84" t="s">
        <v>11873</v>
      </c>
      <c r="B1391" s="45"/>
      <c r="C1391" s="84" t="s">
        <v>11874</v>
      </c>
      <c r="D1391" s="45"/>
      <c r="E1391" s="84" t="s">
        <v>5422</v>
      </c>
      <c r="F1391" s="84" t="s">
        <v>8784</v>
      </c>
      <c r="G1391" s="85" t="s">
        <v>96</v>
      </c>
      <c r="H1391" s="87">
        <v>5.52E-5</v>
      </c>
      <c r="I1391" s="45"/>
      <c r="J1391" s="45"/>
      <c r="K1391" s="45"/>
      <c r="L1391" s="45"/>
      <c r="M1391" s="45"/>
      <c r="N1391" s="45"/>
      <c r="O1391" s="45"/>
      <c r="P1391" s="45"/>
      <c r="Q1391" s="45"/>
      <c r="R1391" s="45"/>
      <c r="S1391" s="45"/>
      <c r="T1391" s="45"/>
      <c r="U1391" s="45"/>
    </row>
    <row r="1392">
      <c r="A1392" s="84" t="s">
        <v>10441</v>
      </c>
      <c r="B1392" s="45"/>
      <c r="C1392" s="84" t="s">
        <v>10442</v>
      </c>
      <c r="D1392" s="45"/>
      <c r="E1392" s="84" t="s">
        <v>5561</v>
      </c>
      <c r="F1392" s="84" t="s">
        <v>6220</v>
      </c>
      <c r="G1392" s="85" t="s">
        <v>96</v>
      </c>
      <c r="H1392" s="87">
        <v>5.52E-5</v>
      </c>
      <c r="I1392" s="45"/>
      <c r="J1392" s="45"/>
      <c r="K1392" s="45"/>
      <c r="L1392" s="45"/>
      <c r="M1392" s="45"/>
      <c r="N1392" s="45"/>
      <c r="O1392" s="45"/>
      <c r="P1392" s="45"/>
      <c r="Q1392" s="45"/>
      <c r="R1392" s="45"/>
      <c r="S1392" s="45"/>
      <c r="T1392" s="45"/>
      <c r="U1392" s="45"/>
    </row>
    <row r="1393">
      <c r="A1393" s="84" t="s">
        <v>10357</v>
      </c>
      <c r="B1393" s="45"/>
      <c r="C1393" s="84" t="s">
        <v>10358</v>
      </c>
      <c r="D1393" s="45"/>
      <c r="E1393" s="84" t="s">
        <v>5478</v>
      </c>
      <c r="F1393" s="84" t="s">
        <v>5329</v>
      </c>
      <c r="G1393" s="85" t="s">
        <v>96</v>
      </c>
      <c r="H1393" s="87">
        <v>5.51E-5</v>
      </c>
      <c r="I1393" s="45"/>
      <c r="J1393" s="45"/>
      <c r="K1393" s="45"/>
      <c r="L1393" s="45"/>
      <c r="M1393" s="45"/>
      <c r="N1393" s="45"/>
      <c r="O1393" s="45"/>
      <c r="P1393" s="45"/>
      <c r="Q1393" s="45"/>
      <c r="R1393" s="45"/>
      <c r="S1393" s="45"/>
      <c r="T1393" s="45"/>
      <c r="U1393" s="45"/>
    </row>
    <row r="1394">
      <c r="A1394" s="84" t="s">
        <v>10488</v>
      </c>
      <c r="B1394" s="45"/>
      <c r="C1394" s="84" t="s">
        <v>10489</v>
      </c>
      <c r="D1394" s="45"/>
      <c r="E1394" s="84" t="s">
        <v>5978</v>
      </c>
      <c r="F1394" s="84" t="s">
        <v>9021</v>
      </c>
      <c r="G1394" s="85" t="s">
        <v>96</v>
      </c>
      <c r="H1394" s="87">
        <v>5.49E-5</v>
      </c>
      <c r="I1394" s="45"/>
      <c r="J1394" s="45"/>
      <c r="K1394" s="45"/>
      <c r="L1394" s="45"/>
      <c r="M1394" s="45"/>
      <c r="N1394" s="45"/>
      <c r="O1394" s="45"/>
      <c r="P1394" s="45"/>
      <c r="Q1394" s="45"/>
      <c r="R1394" s="45"/>
      <c r="S1394" s="45"/>
      <c r="T1394" s="45"/>
      <c r="U1394" s="45"/>
    </row>
    <row r="1395">
      <c r="A1395" s="84" t="s">
        <v>10359</v>
      </c>
      <c r="B1395" s="45"/>
      <c r="C1395" s="84" t="s">
        <v>10360</v>
      </c>
      <c r="D1395" s="45"/>
      <c r="E1395" s="84" t="s">
        <v>5589</v>
      </c>
      <c r="F1395" s="84" t="s">
        <v>9299</v>
      </c>
      <c r="G1395" s="85" t="s">
        <v>96</v>
      </c>
      <c r="H1395" s="87">
        <v>5.48E-5</v>
      </c>
      <c r="I1395" s="45"/>
      <c r="J1395" s="45"/>
      <c r="K1395" s="45"/>
      <c r="L1395" s="45"/>
      <c r="M1395" s="45"/>
      <c r="N1395" s="45"/>
      <c r="O1395" s="45"/>
      <c r="P1395" s="45"/>
      <c r="Q1395" s="45"/>
      <c r="R1395" s="45"/>
      <c r="S1395" s="45"/>
      <c r="T1395" s="45"/>
      <c r="U1395" s="45"/>
    </row>
    <row r="1396">
      <c r="A1396" s="84" t="s">
        <v>10794</v>
      </c>
      <c r="B1396" s="45"/>
      <c r="C1396" s="84" t="s">
        <v>10795</v>
      </c>
      <c r="D1396" s="45"/>
      <c r="E1396" s="84" t="s">
        <v>5561</v>
      </c>
      <c r="F1396" s="84" t="s">
        <v>6220</v>
      </c>
      <c r="G1396" s="85" t="s">
        <v>96</v>
      </c>
      <c r="H1396" s="87">
        <v>5.47E-5</v>
      </c>
      <c r="I1396" s="45"/>
      <c r="J1396" s="45"/>
      <c r="K1396" s="45"/>
      <c r="L1396" s="45"/>
      <c r="M1396" s="45"/>
      <c r="N1396" s="45"/>
      <c r="O1396" s="45"/>
      <c r="P1396" s="45"/>
      <c r="Q1396" s="45"/>
      <c r="R1396" s="45"/>
      <c r="S1396" s="45"/>
      <c r="T1396" s="45"/>
      <c r="U1396" s="45"/>
    </row>
    <row r="1397">
      <c r="A1397" s="84" t="s">
        <v>10524</v>
      </c>
      <c r="B1397" s="45"/>
      <c r="C1397" s="84" t="s">
        <v>10525</v>
      </c>
      <c r="D1397" s="45"/>
      <c r="E1397" s="84" t="s">
        <v>5561</v>
      </c>
      <c r="F1397" s="84" t="s">
        <v>9021</v>
      </c>
      <c r="G1397" s="85" t="s">
        <v>96</v>
      </c>
      <c r="H1397" s="87">
        <v>5.44E-5</v>
      </c>
      <c r="I1397" s="45"/>
      <c r="J1397" s="45"/>
      <c r="K1397" s="45"/>
      <c r="L1397" s="45"/>
      <c r="M1397" s="45"/>
      <c r="N1397" s="45"/>
      <c r="O1397" s="45"/>
      <c r="P1397" s="45"/>
      <c r="Q1397" s="45"/>
      <c r="R1397" s="45"/>
      <c r="S1397" s="45"/>
      <c r="T1397" s="45"/>
      <c r="U1397" s="45"/>
    </row>
    <row r="1398">
      <c r="A1398" s="84" t="s">
        <v>10439</v>
      </c>
      <c r="B1398" s="45"/>
      <c r="C1398" s="84" t="s">
        <v>10440</v>
      </c>
      <c r="D1398" s="45"/>
      <c r="E1398" s="84" t="s">
        <v>5561</v>
      </c>
      <c r="F1398" s="84" t="s">
        <v>8784</v>
      </c>
      <c r="G1398" s="85" t="s">
        <v>96</v>
      </c>
      <c r="H1398" s="87">
        <v>5.41E-5</v>
      </c>
      <c r="I1398" s="45"/>
      <c r="J1398" s="45"/>
      <c r="K1398" s="45"/>
      <c r="L1398" s="45"/>
      <c r="M1398" s="45"/>
      <c r="N1398" s="45"/>
      <c r="O1398" s="45"/>
      <c r="P1398" s="45"/>
      <c r="Q1398" s="45"/>
      <c r="R1398" s="45"/>
      <c r="S1398" s="45"/>
      <c r="T1398" s="45"/>
      <c r="U1398" s="45"/>
    </row>
    <row r="1399">
      <c r="A1399" s="84" t="s">
        <v>10250</v>
      </c>
      <c r="B1399" s="45"/>
      <c r="C1399" s="84" t="s">
        <v>10251</v>
      </c>
      <c r="D1399" s="45"/>
      <c r="E1399" s="84" t="s">
        <v>5978</v>
      </c>
      <c r="F1399" s="84" t="s">
        <v>5300</v>
      </c>
      <c r="G1399" s="85" t="s">
        <v>96</v>
      </c>
      <c r="H1399" s="87">
        <v>5.4E-5</v>
      </c>
      <c r="I1399" s="45"/>
      <c r="J1399" s="45"/>
      <c r="K1399" s="45"/>
      <c r="L1399" s="45"/>
      <c r="M1399" s="45"/>
      <c r="N1399" s="45"/>
      <c r="O1399" s="45"/>
      <c r="P1399" s="45"/>
      <c r="Q1399" s="45"/>
      <c r="R1399" s="45"/>
      <c r="S1399" s="45"/>
      <c r="T1399" s="45"/>
      <c r="U1399" s="45"/>
    </row>
    <row r="1400">
      <c r="A1400" s="84" t="s">
        <v>10764</v>
      </c>
      <c r="B1400" s="45"/>
      <c r="C1400" s="84" t="s">
        <v>10765</v>
      </c>
      <c r="D1400" s="45"/>
      <c r="E1400" s="84" t="s">
        <v>5961</v>
      </c>
      <c r="F1400" s="84" t="s">
        <v>5941</v>
      </c>
      <c r="G1400" s="85" t="s">
        <v>96</v>
      </c>
      <c r="H1400" s="87">
        <v>5.4E-5</v>
      </c>
      <c r="I1400" s="45"/>
      <c r="J1400" s="45"/>
      <c r="K1400" s="45"/>
      <c r="L1400" s="45"/>
      <c r="M1400" s="45"/>
      <c r="N1400" s="45"/>
      <c r="O1400" s="45"/>
      <c r="P1400" s="45"/>
      <c r="Q1400" s="45"/>
      <c r="R1400" s="45"/>
      <c r="S1400" s="45"/>
      <c r="T1400" s="45"/>
      <c r="U1400" s="45"/>
    </row>
    <row r="1401">
      <c r="A1401" s="84" t="s">
        <v>10512</v>
      </c>
      <c r="B1401" s="45"/>
      <c r="C1401" s="84" t="s">
        <v>10513</v>
      </c>
      <c r="D1401" s="45"/>
      <c r="E1401" s="84" t="s">
        <v>5232</v>
      </c>
      <c r="F1401" s="84" t="s">
        <v>8784</v>
      </c>
      <c r="G1401" s="85" t="s">
        <v>96</v>
      </c>
      <c r="H1401" s="87">
        <v>5.36E-5</v>
      </c>
      <c r="I1401" s="45"/>
      <c r="J1401" s="45"/>
      <c r="K1401" s="45"/>
      <c r="L1401" s="45"/>
      <c r="M1401" s="45"/>
      <c r="N1401" s="45"/>
      <c r="O1401" s="45"/>
      <c r="P1401" s="45"/>
      <c r="Q1401" s="45"/>
      <c r="R1401" s="45"/>
      <c r="S1401" s="45"/>
      <c r="T1401" s="45"/>
      <c r="U1401" s="45"/>
    </row>
    <row r="1402">
      <c r="A1402" s="84" t="s">
        <v>11875</v>
      </c>
      <c r="B1402" s="45"/>
      <c r="C1402" s="84" t="s">
        <v>11876</v>
      </c>
      <c r="D1402" s="45"/>
      <c r="E1402" s="84" t="s">
        <v>5276</v>
      </c>
      <c r="F1402" s="84" t="s">
        <v>9513</v>
      </c>
      <c r="G1402" s="85" t="s">
        <v>96</v>
      </c>
      <c r="H1402" s="87">
        <v>5.33E-5</v>
      </c>
      <c r="I1402" s="45"/>
      <c r="J1402" s="45"/>
      <c r="K1402" s="45"/>
      <c r="L1402" s="45"/>
      <c r="M1402" s="45"/>
      <c r="N1402" s="45"/>
      <c r="O1402" s="45"/>
      <c r="P1402" s="45"/>
      <c r="Q1402" s="45"/>
      <c r="R1402" s="45"/>
      <c r="S1402" s="45"/>
      <c r="T1402" s="45"/>
      <c r="U1402" s="45"/>
    </row>
    <row r="1403">
      <c r="A1403" s="84" t="s">
        <v>10618</v>
      </c>
      <c r="B1403" s="45"/>
      <c r="C1403" s="84" t="s">
        <v>10619</v>
      </c>
      <c r="D1403" s="45"/>
      <c r="E1403" s="84" t="s">
        <v>5561</v>
      </c>
      <c r="F1403" s="84" t="s">
        <v>8784</v>
      </c>
      <c r="G1403" s="85" t="s">
        <v>96</v>
      </c>
      <c r="H1403" s="87">
        <v>5.33E-5</v>
      </c>
      <c r="I1403" s="45"/>
      <c r="J1403" s="45"/>
      <c r="K1403" s="45"/>
      <c r="L1403" s="45"/>
      <c r="M1403" s="45"/>
      <c r="N1403" s="45"/>
      <c r="O1403" s="45"/>
      <c r="P1403" s="45"/>
      <c r="Q1403" s="45"/>
      <c r="R1403" s="45"/>
      <c r="S1403" s="45"/>
      <c r="T1403" s="45"/>
      <c r="U1403" s="45"/>
    </row>
    <row r="1404">
      <c r="A1404" s="84" t="s">
        <v>10316</v>
      </c>
      <c r="B1404" s="45"/>
      <c r="C1404" s="84" t="s">
        <v>10317</v>
      </c>
      <c r="D1404" s="45"/>
      <c r="E1404" s="84" t="s">
        <v>5235</v>
      </c>
      <c r="F1404" s="84" t="s">
        <v>8784</v>
      </c>
      <c r="G1404" s="85" t="s">
        <v>96</v>
      </c>
      <c r="H1404" s="87">
        <v>5.33E-5</v>
      </c>
      <c r="I1404" s="45"/>
      <c r="J1404" s="45"/>
      <c r="K1404" s="45"/>
      <c r="L1404" s="45"/>
      <c r="M1404" s="45"/>
      <c r="N1404" s="45"/>
      <c r="O1404" s="45"/>
      <c r="P1404" s="45"/>
      <c r="Q1404" s="45"/>
      <c r="R1404" s="45"/>
      <c r="S1404" s="45"/>
      <c r="T1404" s="45"/>
      <c r="U1404" s="45"/>
    </row>
    <row r="1405">
      <c r="A1405" s="84" t="s">
        <v>10713</v>
      </c>
      <c r="B1405" s="45"/>
      <c r="C1405" s="84" t="s">
        <v>10438</v>
      </c>
      <c r="D1405" s="45"/>
      <c r="E1405" s="84" t="s">
        <v>5235</v>
      </c>
      <c r="F1405" s="84" t="s">
        <v>4357</v>
      </c>
      <c r="G1405" s="85" t="s">
        <v>96</v>
      </c>
      <c r="H1405" s="87">
        <v>5.32E-5</v>
      </c>
      <c r="I1405" s="45"/>
      <c r="J1405" s="45"/>
      <c r="K1405" s="45"/>
      <c r="L1405" s="45"/>
      <c r="M1405" s="45"/>
      <c r="N1405" s="45"/>
      <c r="O1405" s="45"/>
      <c r="P1405" s="45"/>
      <c r="Q1405" s="45"/>
      <c r="R1405" s="45"/>
      <c r="S1405" s="45"/>
      <c r="T1405" s="45"/>
      <c r="U1405" s="45"/>
    </row>
    <row r="1406">
      <c r="A1406" s="84" t="s">
        <v>6175</v>
      </c>
      <c r="B1406" s="45"/>
      <c r="C1406" s="84" t="s">
        <v>10427</v>
      </c>
      <c r="D1406" s="45"/>
      <c r="E1406" s="84" t="s">
        <v>5561</v>
      </c>
      <c r="F1406" s="84" t="s">
        <v>8784</v>
      </c>
      <c r="G1406" s="85" t="s">
        <v>96</v>
      </c>
      <c r="H1406" s="87">
        <v>5.32E-5</v>
      </c>
      <c r="I1406" s="45"/>
      <c r="J1406" s="45"/>
      <c r="K1406" s="45"/>
      <c r="L1406" s="45"/>
      <c r="M1406" s="45"/>
      <c r="N1406" s="45"/>
      <c r="O1406" s="45"/>
      <c r="P1406" s="45"/>
      <c r="Q1406" s="45"/>
      <c r="R1406" s="45"/>
      <c r="S1406" s="45"/>
      <c r="T1406" s="45"/>
      <c r="U1406" s="45"/>
    </row>
    <row r="1407">
      <c r="A1407" s="84" t="s">
        <v>10673</v>
      </c>
      <c r="B1407" s="45"/>
      <c r="C1407" s="84" t="s">
        <v>10674</v>
      </c>
      <c r="D1407" s="45"/>
      <c r="E1407" s="84" t="s">
        <v>5291</v>
      </c>
      <c r="F1407" s="84" t="s">
        <v>5941</v>
      </c>
      <c r="G1407" s="85" t="s">
        <v>96</v>
      </c>
      <c r="H1407" s="87">
        <v>5.3E-5</v>
      </c>
      <c r="I1407" s="45"/>
      <c r="J1407" s="45"/>
      <c r="K1407" s="45"/>
      <c r="L1407" s="45"/>
      <c r="M1407" s="45"/>
      <c r="N1407" s="45"/>
      <c r="O1407" s="45"/>
      <c r="P1407" s="45"/>
      <c r="Q1407" s="45"/>
      <c r="R1407" s="45"/>
      <c r="S1407" s="45"/>
      <c r="T1407" s="45"/>
      <c r="U1407" s="45"/>
    </row>
    <row r="1408">
      <c r="A1408" s="84" t="s">
        <v>10726</v>
      </c>
      <c r="B1408" s="45"/>
      <c r="C1408" s="84" t="s">
        <v>10727</v>
      </c>
      <c r="D1408" s="45"/>
      <c r="E1408" s="84" t="s">
        <v>5756</v>
      </c>
      <c r="F1408" s="84" t="s">
        <v>5927</v>
      </c>
      <c r="G1408" s="85" t="s">
        <v>96</v>
      </c>
      <c r="H1408" s="87">
        <v>5.26E-5</v>
      </c>
      <c r="I1408" s="45"/>
      <c r="J1408" s="45"/>
      <c r="K1408" s="45"/>
      <c r="L1408" s="45"/>
      <c r="M1408" s="45"/>
      <c r="N1408" s="45"/>
      <c r="O1408" s="45"/>
      <c r="P1408" s="45"/>
      <c r="Q1408" s="45"/>
      <c r="R1408" s="45"/>
      <c r="S1408" s="45"/>
      <c r="T1408" s="45"/>
      <c r="U1408" s="45"/>
    </row>
    <row r="1409">
      <c r="A1409" s="84" t="s">
        <v>10254</v>
      </c>
      <c r="B1409" s="45"/>
      <c r="C1409" s="84" t="s">
        <v>10255</v>
      </c>
      <c r="D1409" s="45"/>
      <c r="E1409" s="84" t="s">
        <v>5309</v>
      </c>
      <c r="F1409" s="84" t="s">
        <v>8784</v>
      </c>
      <c r="G1409" s="85" t="s">
        <v>96</v>
      </c>
      <c r="H1409" s="87">
        <v>5.25E-5</v>
      </c>
      <c r="I1409" s="45"/>
      <c r="J1409" s="45"/>
      <c r="K1409" s="45"/>
      <c r="L1409" s="45"/>
      <c r="M1409" s="45"/>
      <c r="N1409" s="45"/>
      <c r="O1409" s="45"/>
      <c r="P1409" s="45"/>
      <c r="Q1409" s="45"/>
      <c r="R1409" s="45"/>
      <c r="S1409" s="45"/>
      <c r="T1409" s="45"/>
      <c r="U1409" s="45"/>
    </row>
    <row r="1410">
      <c r="A1410" s="84" t="s">
        <v>10209</v>
      </c>
      <c r="B1410" s="45"/>
      <c r="C1410" s="84" t="s">
        <v>10210</v>
      </c>
      <c r="D1410" s="45"/>
      <c r="E1410" s="84" t="s">
        <v>5756</v>
      </c>
      <c r="F1410" s="84" t="s">
        <v>5941</v>
      </c>
      <c r="G1410" s="85" t="s">
        <v>96</v>
      </c>
      <c r="H1410" s="87">
        <v>5.22E-5</v>
      </c>
      <c r="I1410" s="45"/>
      <c r="J1410" s="45"/>
      <c r="K1410" s="45"/>
      <c r="L1410" s="45"/>
      <c r="M1410" s="45"/>
      <c r="N1410" s="45"/>
      <c r="O1410" s="45"/>
      <c r="P1410" s="45"/>
      <c r="Q1410" s="45"/>
      <c r="R1410" s="45"/>
      <c r="S1410" s="45"/>
      <c r="T1410" s="45"/>
      <c r="U1410" s="45"/>
    </row>
    <row r="1411">
      <c r="A1411" s="84" t="s">
        <v>10376</v>
      </c>
      <c r="B1411" s="45"/>
      <c r="C1411" s="84" t="s">
        <v>10377</v>
      </c>
      <c r="D1411" s="45"/>
      <c r="E1411" s="84" t="s">
        <v>6931</v>
      </c>
      <c r="F1411" s="84" t="s">
        <v>5927</v>
      </c>
      <c r="G1411" s="85" t="s">
        <v>96</v>
      </c>
      <c r="H1411" s="87">
        <v>5.18E-5</v>
      </c>
      <c r="I1411" s="45"/>
      <c r="J1411" s="45"/>
      <c r="K1411" s="45"/>
      <c r="L1411" s="45"/>
      <c r="M1411" s="45"/>
      <c r="N1411" s="45"/>
      <c r="O1411" s="45"/>
      <c r="P1411" s="45"/>
      <c r="Q1411" s="45"/>
      <c r="R1411" s="45"/>
      <c r="S1411" s="45"/>
      <c r="T1411" s="45"/>
      <c r="U1411" s="45"/>
    </row>
    <row r="1412">
      <c r="A1412" s="84" t="s">
        <v>10448</v>
      </c>
      <c r="B1412" s="45"/>
      <c r="C1412" s="84" t="s">
        <v>10449</v>
      </c>
      <c r="D1412" s="45"/>
      <c r="E1412" s="84" t="s">
        <v>5249</v>
      </c>
      <c r="F1412" s="84" t="s">
        <v>5425</v>
      </c>
      <c r="G1412" s="85" t="s">
        <v>96</v>
      </c>
      <c r="H1412" s="87">
        <v>5.16E-5</v>
      </c>
      <c r="I1412" s="45"/>
      <c r="J1412" s="45"/>
      <c r="K1412" s="45"/>
      <c r="L1412" s="45"/>
      <c r="M1412" s="45"/>
      <c r="N1412" s="45"/>
      <c r="O1412" s="45"/>
      <c r="P1412" s="45"/>
      <c r="Q1412" s="45"/>
      <c r="R1412" s="45"/>
      <c r="S1412" s="45"/>
      <c r="T1412" s="45"/>
      <c r="U1412" s="45"/>
    </row>
    <row r="1413">
      <c r="A1413" s="84" t="s">
        <v>10399</v>
      </c>
      <c r="B1413" s="45"/>
      <c r="C1413" s="84" t="s">
        <v>10400</v>
      </c>
      <c r="D1413" s="45"/>
      <c r="E1413" s="84" t="s">
        <v>5525</v>
      </c>
      <c r="F1413" s="84" t="s">
        <v>6988</v>
      </c>
      <c r="G1413" s="85" t="s">
        <v>96</v>
      </c>
      <c r="H1413" s="87">
        <v>5.15E-5</v>
      </c>
      <c r="I1413" s="45"/>
      <c r="J1413" s="45"/>
      <c r="K1413" s="45"/>
      <c r="L1413" s="45"/>
      <c r="M1413" s="45"/>
      <c r="N1413" s="45"/>
      <c r="O1413" s="45"/>
      <c r="P1413" s="45"/>
      <c r="Q1413" s="45"/>
      <c r="R1413" s="45"/>
      <c r="S1413" s="45"/>
      <c r="T1413" s="45"/>
      <c r="U1413" s="45"/>
    </row>
    <row r="1414">
      <c r="A1414" s="84" t="s">
        <v>10671</v>
      </c>
      <c r="B1414" s="45"/>
      <c r="C1414" s="84" t="s">
        <v>10672</v>
      </c>
      <c r="D1414" s="45"/>
      <c r="E1414" s="84" t="s">
        <v>6389</v>
      </c>
      <c r="F1414" s="84" t="s">
        <v>9021</v>
      </c>
      <c r="G1414" s="85" t="s">
        <v>96</v>
      </c>
      <c r="H1414" s="87">
        <v>5.13E-5</v>
      </c>
      <c r="I1414" s="45"/>
      <c r="J1414" s="45"/>
      <c r="K1414" s="45"/>
      <c r="L1414" s="45"/>
      <c r="M1414" s="45"/>
      <c r="N1414" s="45"/>
      <c r="O1414" s="45"/>
      <c r="P1414" s="45"/>
      <c r="Q1414" s="45"/>
      <c r="R1414" s="45"/>
      <c r="S1414" s="45"/>
      <c r="T1414" s="45"/>
      <c r="U1414" s="45"/>
    </row>
    <row r="1415">
      <c r="A1415" s="84" t="s">
        <v>10543</v>
      </c>
      <c r="B1415" s="45"/>
      <c r="C1415" s="84" t="s">
        <v>10544</v>
      </c>
      <c r="D1415" s="45"/>
      <c r="E1415" s="84" t="s">
        <v>5218</v>
      </c>
      <c r="F1415" s="84" t="s">
        <v>8784</v>
      </c>
      <c r="G1415" s="85" t="s">
        <v>96</v>
      </c>
      <c r="H1415" s="87">
        <v>5.08E-5</v>
      </c>
      <c r="I1415" s="45"/>
      <c r="J1415" s="45"/>
      <c r="K1415" s="45"/>
      <c r="L1415" s="45"/>
      <c r="M1415" s="45"/>
      <c r="N1415" s="45"/>
      <c r="O1415" s="45"/>
      <c r="P1415" s="45"/>
      <c r="Q1415" s="45"/>
      <c r="R1415" s="45"/>
      <c r="S1415" s="45"/>
      <c r="T1415" s="45"/>
      <c r="U1415" s="45"/>
    </row>
    <row r="1416">
      <c r="A1416" s="84" t="s">
        <v>10589</v>
      </c>
      <c r="B1416" s="45"/>
      <c r="C1416" s="84" t="s">
        <v>10590</v>
      </c>
      <c r="D1416" s="45"/>
      <c r="E1416" s="84" t="s">
        <v>6238</v>
      </c>
      <c r="F1416" s="84" t="s">
        <v>5277</v>
      </c>
      <c r="G1416" s="85" t="s">
        <v>96</v>
      </c>
      <c r="H1416" s="87">
        <v>5.06E-5</v>
      </c>
      <c r="I1416" s="45"/>
      <c r="J1416" s="45"/>
      <c r="K1416" s="45"/>
      <c r="L1416" s="45"/>
      <c r="M1416" s="45"/>
      <c r="N1416" s="45"/>
      <c r="O1416" s="45"/>
      <c r="P1416" s="45"/>
      <c r="Q1416" s="45"/>
      <c r="R1416" s="45"/>
      <c r="S1416" s="45"/>
      <c r="T1416" s="45"/>
      <c r="U1416" s="45"/>
    </row>
    <row r="1417">
      <c r="A1417" s="84" t="s">
        <v>11877</v>
      </c>
      <c r="B1417" s="45"/>
      <c r="C1417" s="84" t="s">
        <v>11878</v>
      </c>
      <c r="D1417" s="45"/>
      <c r="E1417" s="84" t="s">
        <v>5238</v>
      </c>
      <c r="F1417" s="84" t="s">
        <v>5300</v>
      </c>
      <c r="G1417" s="85" t="s">
        <v>96</v>
      </c>
      <c r="H1417" s="87">
        <v>5.05E-5</v>
      </c>
      <c r="I1417" s="45"/>
      <c r="J1417" s="45"/>
      <c r="K1417" s="45"/>
      <c r="L1417" s="45"/>
      <c r="M1417" s="45"/>
      <c r="N1417" s="45"/>
      <c r="O1417" s="45"/>
      <c r="P1417" s="45"/>
      <c r="Q1417" s="45"/>
      <c r="R1417" s="45"/>
      <c r="S1417" s="45"/>
      <c r="T1417" s="45"/>
      <c r="U1417" s="45"/>
    </row>
    <row r="1418">
      <c r="A1418" s="84" t="s">
        <v>9630</v>
      </c>
      <c r="B1418" s="45"/>
      <c r="C1418" s="84" t="s">
        <v>9631</v>
      </c>
      <c r="D1418" s="45"/>
      <c r="E1418" s="84" t="s">
        <v>5235</v>
      </c>
      <c r="F1418" s="84" t="s">
        <v>5836</v>
      </c>
      <c r="G1418" s="85" t="s">
        <v>96</v>
      </c>
      <c r="H1418" s="87">
        <v>5.01E-5</v>
      </c>
      <c r="I1418" s="45"/>
      <c r="J1418" s="45"/>
      <c r="K1418" s="45"/>
      <c r="L1418" s="45"/>
      <c r="M1418" s="45"/>
      <c r="N1418" s="45"/>
      <c r="O1418" s="45"/>
      <c r="P1418" s="45"/>
      <c r="Q1418" s="45"/>
      <c r="R1418" s="45"/>
      <c r="S1418" s="45"/>
      <c r="T1418" s="45"/>
      <c r="U1418" s="45"/>
    </row>
    <row r="1419">
      <c r="A1419" s="84" t="s">
        <v>10428</v>
      </c>
      <c r="B1419" s="45"/>
      <c r="C1419" s="84" t="s">
        <v>10429</v>
      </c>
      <c r="D1419" s="45"/>
      <c r="E1419" s="84" t="s">
        <v>5326</v>
      </c>
      <c r="F1419" s="84" t="s">
        <v>8784</v>
      </c>
      <c r="G1419" s="85" t="s">
        <v>96</v>
      </c>
      <c r="H1419" s="87">
        <v>5.0E-5</v>
      </c>
      <c r="I1419" s="45"/>
      <c r="J1419" s="45"/>
      <c r="K1419" s="45"/>
      <c r="L1419" s="45"/>
      <c r="M1419" s="45"/>
      <c r="N1419" s="45"/>
      <c r="O1419" s="45"/>
      <c r="P1419" s="45"/>
      <c r="Q1419" s="45"/>
      <c r="R1419" s="45"/>
      <c r="S1419" s="45"/>
      <c r="T1419" s="45"/>
      <c r="U1419" s="45"/>
    </row>
    <row r="1420">
      <c r="A1420" s="84" t="s">
        <v>11879</v>
      </c>
      <c r="B1420" s="45"/>
      <c r="C1420" s="84" t="s">
        <v>11880</v>
      </c>
      <c r="D1420" s="45"/>
      <c r="E1420" s="84" t="s">
        <v>5374</v>
      </c>
      <c r="F1420" s="84" t="s">
        <v>5329</v>
      </c>
      <c r="G1420" s="85" t="s">
        <v>96</v>
      </c>
      <c r="H1420" s="87">
        <v>5.0E-5</v>
      </c>
      <c r="I1420" s="45"/>
      <c r="J1420" s="45"/>
      <c r="K1420" s="45"/>
      <c r="L1420" s="45"/>
      <c r="M1420" s="45"/>
      <c r="N1420" s="45"/>
      <c r="O1420" s="45"/>
      <c r="P1420" s="45"/>
      <c r="Q1420" s="45"/>
      <c r="R1420" s="45"/>
      <c r="S1420" s="45"/>
      <c r="T1420" s="45"/>
      <c r="U1420" s="45"/>
    </row>
    <row r="1421">
      <c r="A1421" s="84" t="s">
        <v>10776</v>
      </c>
      <c r="B1421" s="45"/>
      <c r="C1421" s="84" t="s">
        <v>10777</v>
      </c>
      <c r="D1421" s="45"/>
      <c r="E1421" s="84" t="s">
        <v>5235</v>
      </c>
      <c r="F1421" s="84" t="s">
        <v>4095</v>
      </c>
      <c r="G1421" s="85" t="s">
        <v>96</v>
      </c>
      <c r="H1421" s="87">
        <v>4.97E-5</v>
      </c>
      <c r="I1421" s="45"/>
      <c r="J1421" s="45"/>
      <c r="K1421" s="45"/>
      <c r="L1421" s="45"/>
      <c r="M1421" s="45"/>
      <c r="N1421" s="45"/>
      <c r="O1421" s="45"/>
      <c r="P1421" s="45"/>
      <c r="Q1421" s="45"/>
      <c r="R1421" s="45"/>
      <c r="S1421" s="45"/>
      <c r="T1421" s="45"/>
      <c r="U1421" s="45"/>
    </row>
    <row r="1422">
      <c r="A1422" s="84" t="s">
        <v>10583</v>
      </c>
      <c r="B1422" s="45"/>
      <c r="C1422" s="84" t="s">
        <v>10584</v>
      </c>
      <c r="D1422" s="45"/>
      <c r="E1422" s="84" t="s">
        <v>5283</v>
      </c>
      <c r="F1422" s="84" t="s">
        <v>4357</v>
      </c>
      <c r="G1422" s="85" t="s">
        <v>96</v>
      </c>
      <c r="H1422" s="87">
        <v>4.91E-5</v>
      </c>
      <c r="I1422" s="45"/>
      <c r="J1422" s="45"/>
      <c r="K1422" s="45"/>
      <c r="L1422" s="45"/>
      <c r="M1422" s="45"/>
      <c r="N1422" s="45"/>
      <c r="O1422" s="45"/>
      <c r="P1422" s="45"/>
      <c r="Q1422" s="45"/>
      <c r="R1422" s="45"/>
      <c r="S1422" s="45"/>
      <c r="T1422" s="45"/>
      <c r="U1422" s="45"/>
    </row>
    <row r="1423">
      <c r="A1423" s="84" t="s">
        <v>11881</v>
      </c>
      <c r="B1423" s="45"/>
      <c r="C1423" s="84" t="s">
        <v>11882</v>
      </c>
      <c r="D1423" s="45"/>
      <c r="E1423" s="84" t="s">
        <v>5855</v>
      </c>
      <c r="F1423" s="84" t="s">
        <v>8784</v>
      </c>
      <c r="G1423" s="85" t="s">
        <v>96</v>
      </c>
      <c r="H1423" s="87">
        <v>4.84E-5</v>
      </c>
      <c r="I1423" s="45"/>
      <c r="J1423" s="45"/>
      <c r="K1423" s="45"/>
      <c r="L1423" s="45"/>
      <c r="M1423" s="45"/>
      <c r="N1423" s="45"/>
      <c r="O1423" s="45"/>
      <c r="P1423" s="45"/>
      <c r="Q1423" s="45"/>
      <c r="R1423" s="45"/>
      <c r="S1423" s="45"/>
      <c r="T1423" s="45"/>
      <c r="U1423" s="45"/>
    </row>
    <row r="1424">
      <c r="A1424" s="84" t="s">
        <v>10169</v>
      </c>
      <c r="B1424" s="45"/>
      <c r="C1424" s="84" t="s">
        <v>10170</v>
      </c>
      <c r="D1424" s="45"/>
      <c r="E1424" s="84" t="s">
        <v>6338</v>
      </c>
      <c r="F1424" s="84" t="s">
        <v>8759</v>
      </c>
      <c r="G1424" s="85" t="s">
        <v>96</v>
      </c>
      <c r="H1424" s="87">
        <v>4.83E-5</v>
      </c>
      <c r="I1424" s="45"/>
      <c r="J1424" s="45"/>
      <c r="K1424" s="45"/>
      <c r="L1424" s="45"/>
      <c r="M1424" s="45"/>
      <c r="N1424" s="45"/>
      <c r="O1424" s="45"/>
      <c r="P1424" s="45"/>
      <c r="Q1424" s="45"/>
      <c r="R1424" s="45"/>
      <c r="S1424" s="45"/>
      <c r="T1424" s="45"/>
      <c r="U1424" s="45"/>
    </row>
    <row r="1425">
      <c r="A1425" s="84" t="s">
        <v>10649</v>
      </c>
      <c r="B1425" s="45"/>
      <c r="C1425" s="84" t="s">
        <v>10650</v>
      </c>
      <c r="D1425" s="45"/>
      <c r="E1425" s="84" t="s">
        <v>5715</v>
      </c>
      <c r="F1425" s="84" t="s">
        <v>8784</v>
      </c>
      <c r="G1425" s="85" t="s">
        <v>96</v>
      </c>
      <c r="H1425" s="87">
        <v>4.82E-5</v>
      </c>
      <c r="I1425" s="45"/>
      <c r="J1425" s="45"/>
      <c r="K1425" s="45"/>
      <c r="L1425" s="45"/>
      <c r="M1425" s="45"/>
      <c r="N1425" s="45"/>
      <c r="O1425" s="45"/>
      <c r="P1425" s="45"/>
      <c r="Q1425" s="45"/>
      <c r="R1425" s="45"/>
      <c r="S1425" s="45"/>
      <c r="T1425" s="45"/>
      <c r="U1425" s="45"/>
    </row>
    <row r="1426">
      <c r="A1426" s="84" t="s">
        <v>10620</v>
      </c>
      <c r="B1426" s="45"/>
      <c r="C1426" s="84" t="s">
        <v>10621</v>
      </c>
      <c r="D1426" s="45"/>
      <c r="E1426" s="84" t="s">
        <v>5276</v>
      </c>
      <c r="F1426" s="84" t="s">
        <v>8784</v>
      </c>
      <c r="G1426" s="85" t="s">
        <v>96</v>
      </c>
      <c r="H1426" s="87">
        <v>4.75E-5</v>
      </c>
      <c r="I1426" s="45"/>
      <c r="J1426" s="45"/>
      <c r="K1426" s="45"/>
      <c r="L1426" s="45"/>
      <c r="M1426" s="45"/>
      <c r="N1426" s="45"/>
      <c r="O1426" s="45"/>
      <c r="P1426" s="45"/>
      <c r="Q1426" s="45"/>
      <c r="R1426" s="45"/>
      <c r="S1426" s="45"/>
      <c r="T1426" s="45"/>
      <c r="U1426" s="45"/>
    </row>
    <row r="1427">
      <c r="A1427" s="84" t="s">
        <v>10384</v>
      </c>
      <c r="B1427" s="45"/>
      <c r="C1427" s="84" t="s">
        <v>10385</v>
      </c>
      <c r="D1427" s="45"/>
      <c r="E1427" s="84" t="s">
        <v>5450</v>
      </c>
      <c r="F1427" s="84" t="s">
        <v>5836</v>
      </c>
      <c r="G1427" s="85" t="s">
        <v>96</v>
      </c>
      <c r="H1427" s="87">
        <v>4.68E-5</v>
      </c>
      <c r="I1427" s="45"/>
      <c r="J1427" s="45"/>
      <c r="K1427" s="45"/>
      <c r="L1427" s="45"/>
      <c r="M1427" s="45"/>
      <c r="N1427" s="45"/>
      <c r="O1427" s="45"/>
      <c r="P1427" s="45"/>
      <c r="Q1427" s="45"/>
      <c r="R1427" s="45"/>
      <c r="S1427" s="45"/>
      <c r="T1427" s="45"/>
      <c r="U1427" s="45"/>
    </row>
    <row r="1428">
      <c r="A1428" s="84" t="s">
        <v>6211</v>
      </c>
      <c r="B1428" s="45"/>
      <c r="C1428" s="84" t="s">
        <v>10206</v>
      </c>
      <c r="D1428" s="45"/>
      <c r="E1428" s="84" t="s">
        <v>5550</v>
      </c>
      <c r="F1428" s="84" t="s">
        <v>8784</v>
      </c>
      <c r="G1428" s="85" t="s">
        <v>96</v>
      </c>
      <c r="H1428" s="87">
        <v>4.65E-5</v>
      </c>
      <c r="I1428" s="45"/>
      <c r="J1428" s="45"/>
      <c r="K1428" s="45"/>
      <c r="L1428" s="45"/>
      <c r="M1428" s="45"/>
      <c r="N1428" s="45"/>
      <c r="O1428" s="45"/>
      <c r="P1428" s="45"/>
      <c r="Q1428" s="45"/>
      <c r="R1428" s="45"/>
      <c r="S1428" s="45"/>
      <c r="T1428" s="45"/>
      <c r="U1428" s="45"/>
    </row>
    <row r="1429">
      <c r="A1429" s="84" t="s">
        <v>10551</v>
      </c>
      <c r="B1429" s="45"/>
      <c r="C1429" s="84" t="s">
        <v>10552</v>
      </c>
      <c r="D1429" s="45"/>
      <c r="E1429" s="84" t="s">
        <v>5296</v>
      </c>
      <c r="F1429" s="84" t="s">
        <v>5747</v>
      </c>
      <c r="G1429" s="85" t="s">
        <v>96</v>
      </c>
      <c r="H1429" s="87">
        <v>4.65E-5</v>
      </c>
      <c r="I1429" s="45"/>
      <c r="J1429" s="45"/>
      <c r="K1429" s="45"/>
      <c r="L1429" s="45"/>
      <c r="M1429" s="45"/>
      <c r="N1429" s="45"/>
      <c r="O1429" s="45"/>
      <c r="P1429" s="45"/>
      <c r="Q1429" s="45"/>
      <c r="R1429" s="45"/>
      <c r="S1429" s="45"/>
      <c r="T1429" s="45"/>
      <c r="U1429" s="45"/>
    </row>
    <row r="1430">
      <c r="A1430" s="84" t="s">
        <v>10455</v>
      </c>
      <c r="B1430" s="45"/>
      <c r="C1430" s="84" t="s">
        <v>10456</v>
      </c>
      <c r="D1430" s="45"/>
      <c r="E1430" s="84" t="s">
        <v>5561</v>
      </c>
      <c r="F1430" s="84" t="s">
        <v>9513</v>
      </c>
      <c r="G1430" s="85" t="s">
        <v>96</v>
      </c>
      <c r="H1430" s="87">
        <v>4.54E-5</v>
      </c>
      <c r="I1430" s="45"/>
      <c r="J1430" s="45"/>
      <c r="K1430" s="45"/>
      <c r="L1430" s="45"/>
      <c r="M1430" s="45"/>
      <c r="N1430" s="45"/>
      <c r="O1430" s="45"/>
      <c r="P1430" s="45"/>
      <c r="Q1430" s="45"/>
      <c r="R1430" s="45"/>
      <c r="S1430" s="45"/>
      <c r="T1430" s="45"/>
      <c r="U1430" s="45"/>
    </row>
    <row r="1431">
      <c r="A1431" s="84" t="s">
        <v>10935</v>
      </c>
      <c r="B1431" s="45"/>
      <c r="C1431" s="84" t="s">
        <v>10936</v>
      </c>
      <c r="D1431" s="45"/>
      <c r="E1431" s="84" t="s">
        <v>5374</v>
      </c>
      <c r="F1431" s="84" t="s">
        <v>8784</v>
      </c>
      <c r="G1431" s="85" t="s">
        <v>96</v>
      </c>
      <c r="H1431" s="87">
        <v>4.44E-5</v>
      </c>
      <c r="I1431" s="45"/>
      <c r="J1431" s="45"/>
      <c r="K1431" s="45"/>
      <c r="L1431" s="45"/>
      <c r="M1431" s="45"/>
      <c r="N1431" s="45"/>
      <c r="O1431" s="45"/>
      <c r="P1431" s="45"/>
      <c r="Q1431" s="45"/>
      <c r="R1431" s="45"/>
      <c r="S1431" s="45"/>
      <c r="T1431" s="45"/>
      <c r="U1431" s="45"/>
    </row>
    <row r="1432">
      <c r="A1432" s="84" t="s">
        <v>11883</v>
      </c>
      <c r="B1432" s="45"/>
      <c r="C1432" s="84" t="s">
        <v>11884</v>
      </c>
      <c r="D1432" s="45"/>
      <c r="E1432" s="84" t="s">
        <v>5978</v>
      </c>
      <c r="F1432" s="84" t="s">
        <v>5941</v>
      </c>
      <c r="G1432" s="85" t="s">
        <v>96</v>
      </c>
      <c r="H1432" s="87">
        <v>4.3E-5</v>
      </c>
      <c r="I1432" s="45"/>
      <c r="J1432" s="45"/>
      <c r="K1432" s="45"/>
      <c r="L1432" s="45"/>
      <c r="M1432" s="45"/>
      <c r="N1432" s="45"/>
      <c r="O1432" s="45"/>
      <c r="P1432" s="45"/>
      <c r="Q1432" s="45"/>
      <c r="R1432" s="45"/>
      <c r="S1432" s="45"/>
      <c r="T1432" s="45"/>
      <c r="U1432" s="45"/>
    </row>
    <row r="1433">
      <c r="A1433" s="84" t="s">
        <v>11885</v>
      </c>
      <c r="B1433" s="45"/>
      <c r="C1433" s="84" t="s">
        <v>11886</v>
      </c>
      <c r="D1433" s="45"/>
      <c r="E1433" s="84" t="s">
        <v>5374</v>
      </c>
      <c r="F1433" s="84" t="s">
        <v>8784</v>
      </c>
      <c r="G1433" s="85" t="s">
        <v>96</v>
      </c>
      <c r="H1433" s="87">
        <v>4.29E-5</v>
      </c>
      <c r="I1433" s="45"/>
      <c r="J1433" s="45"/>
      <c r="K1433" s="45"/>
      <c r="L1433" s="45"/>
      <c r="M1433" s="45"/>
      <c r="N1433" s="45"/>
      <c r="O1433" s="45"/>
      <c r="P1433" s="45"/>
      <c r="Q1433" s="45"/>
      <c r="R1433" s="45"/>
      <c r="S1433" s="45"/>
      <c r="T1433" s="45"/>
      <c r="U1433" s="45"/>
    </row>
    <row r="1434">
      <c r="A1434" s="84" t="s">
        <v>9955</v>
      </c>
      <c r="B1434" s="45"/>
      <c r="C1434" s="84" t="s">
        <v>9956</v>
      </c>
      <c r="D1434" s="45"/>
      <c r="E1434" s="84" t="s">
        <v>5704</v>
      </c>
      <c r="F1434" s="84" t="s">
        <v>8784</v>
      </c>
      <c r="G1434" s="85" t="s">
        <v>96</v>
      </c>
      <c r="H1434" s="87">
        <v>4.26E-5</v>
      </c>
      <c r="I1434" s="45"/>
      <c r="J1434" s="45"/>
      <c r="K1434" s="45"/>
      <c r="L1434" s="45"/>
      <c r="M1434" s="45"/>
      <c r="N1434" s="45"/>
      <c r="O1434" s="45"/>
      <c r="P1434" s="45"/>
      <c r="Q1434" s="45"/>
      <c r="R1434" s="45"/>
      <c r="S1434" s="45"/>
      <c r="T1434" s="45"/>
      <c r="U1434" s="45"/>
    </row>
    <row r="1435">
      <c r="A1435" s="84" t="s">
        <v>10716</v>
      </c>
      <c r="B1435" s="45"/>
      <c r="C1435" s="84" t="s">
        <v>10717</v>
      </c>
      <c r="D1435" s="45"/>
      <c r="E1435" s="84" t="s">
        <v>9189</v>
      </c>
      <c r="F1435" s="84" t="s">
        <v>8784</v>
      </c>
      <c r="G1435" s="85" t="s">
        <v>96</v>
      </c>
      <c r="H1435" s="87">
        <v>4.23E-5</v>
      </c>
      <c r="I1435" s="45"/>
      <c r="J1435" s="45"/>
      <c r="K1435" s="45"/>
      <c r="L1435" s="45"/>
      <c r="M1435" s="45"/>
      <c r="N1435" s="45"/>
      <c r="O1435" s="45"/>
      <c r="P1435" s="45"/>
      <c r="Q1435" s="45"/>
      <c r="R1435" s="45"/>
      <c r="S1435" s="45"/>
      <c r="T1435" s="45"/>
      <c r="U1435" s="45"/>
    </row>
    <row r="1436">
      <c r="A1436" s="84" t="s">
        <v>10958</v>
      </c>
      <c r="B1436" s="45"/>
      <c r="C1436" s="84" t="s">
        <v>10959</v>
      </c>
      <c r="D1436" s="45"/>
      <c r="E1436" s="84" t="s">
        <v>5267</v>
      </c>
      <c r="F1436" s="84" t="s">
        <v>8767</v>
      </c>
      <c r="G1436" s="85" t="s">
        <v>96</v>
      </c>
      <c r="H1436" s="87">
        <v>4.21E-5</v>
      </c>
      <c r="I1436" s="45"/>
      <c r="J1436" s="45"/>
      <c r="K1436" s="45"/>
      <c r="L1436" s="45"/>
      <c r="M1436" s="45"/>
      <c r="N1436" s="45"/>
      <c r="O1436" s="45"/>
      <c r="P1436" s="45"/>
      <c r="Q1436" s="45"/>
      <c r="R1436" s="45"/>
      <c r="S1436" s="45"/>
      <c r="T1436" s="45"/>
      <c r="U1436" s="45"/>
    </row>
    <row r="1437">
      <c r="A1437" s="84" t="s">
        <v>10722</v>
      </c>
      <c r="B1437" s="45"/>
      <c r="C1437" s="84" t="s">
        <v>10723</v>
      </c>
      <c r="D1437" s="45"/>
      <c r="E1437" s="84" t="s">
        <v>5561</v>
      </c>
      <c r="F1437" s="84" t="s">
        <v>5941</v>
      </c>
      <c r="G1437" s="85" t="s">
        <v>96</v>
      </c>
      <c r="H1437" s="87">
        <v>4.2E-5</v>
      </c>
      <c r="I1437" s="45"/>
      <c r="J1437" s="45"/>
      <c r="K1437" s="45"/>
      <c r="L1437" s="45"/>
      <c r="M1437" s="45"/>
      <c r="N1437" s="45"/>
      <c r="O1437" s="45"/>
      <c r="P1437" s="45"/>
      <c r="Q1437" s="45"/>
      <c r="R1437" s="45"/>
      <c r="S1437" s="45"/>
      <c r="T1437" s="45"/>
      <c r="U1437" s="45"/>
    </row>
    <row r="1438">
      <c r="A1438" s="84" t="s">
        <v>6260</v>
      </c>
      <c r="B1438" s="45"/>
      <c r="C1438" s="84" t="s">
        <v>11431</v>
      </c>
      <c r="D1438" s="45"/>
      <c r="E1438" s="84" t="s">
        <v>5288</v>
      </c>
      <c r="F1438" s="84" t="s">
        <v>5747</v>
      </c>
      <c r="G1438" s="85" t="s">
        <v>96</v>
      </c>
      <c r="H1438" s="87">
        <v>4.19E-5</v>
      </c>
      <c r="I1438" s="45"/>
      <c r="J1438" s="45"/>
      <c r="K1438" s="45"/>
      <c r="L1438" s="45"/>
      <c r="M1438" s="45"/>
      <c r="N1438" s="45"/>
      <c r="O1438" s="45"/>
      <c r="P1438" s="45"/>
      <c r="Q1438" s="45"/>
      <c r="R1438" s="45"/>
      <c r="S1438" s="45"/>
      <c r="T1438" s="45"/>
      <c r="U1438" s="45"/>
    </row>
    <row r="1439">
      <c r="A1439" s="84" t="s">
        <v>6260</v>
      </c>
      <c r="B1439" s="45"/>
      <c r="C1439" s="84" t="s">
        <v>11887</v>
      </c>
      <c r="D1439" s="45"/>
      <c r="E1439" s="84" t="s">
        <v>5288</v>
      </c>
      <c r="F1439" s="84" t="s">
        <v>5747</v>
      </c>
      <c r="G1439" s="85" t="s">
        <v>96</v>
      </c>
      <c r="H1439" s="87">
        <v>4.15E-5</v>
      </c>
      <c r="I1439" s="45"/>
      <c r="J1439" s="45"/>
      <c r="K1439" s="45"/>
      <c r="L1439" s="45"/>
      <c r="M1439" s="45"/>
      <c r="N1439" s="45"/>
      <c r="O1439" s="45"/>
      <c r="P1439" s="45"/>
      <c r="Q1439" s="45"/>
      <c r="R1439" s="45"/>
      <c r="S1439" s="45"/>
      <c r="T1439" s="45"/>
      <c r="U1439" s="45"/>
    </row>
    <row r="1440">
      <c r="A1440" s="84" t="s">
        <v>10837</v>
      </c>
      <c r="B1440" s="45"/>
      <c r="C1440" s="84" t="s">
        <v>10838</v>
      </c>
      <c r="D1440" s="45"/>
      <c r="E1440" s="84" t="s">
        <v>5341</v>
      </c>
      <c r="F1440" s="84" t="s">
        <v>5747</v>
      </c>
      <c r="G1440" s="85" t="s">
        <v>96</v>
      </c>
      <c r="H1440" s="87">
        <v>4.13E-5</v>
      </c>
      <c r="I1440" s="45"/>
      <c r="J1440" s="45"/>
      <c r="K1440" s="45"/>
      <c r="L1440" s="45"/>
      <c r="M1440" s="45"/>
      <c r="N1440" s="45"/>
      <c r="O1440" s="45"/>
      <c r="P1440" s="45"/>
      <c r="Q1440" s="45"/>
      <c r="R1440" s="45"/>
      <c r="S1440" s="45"/>
      <c r="T1440" s="45"/>
      <c r="U1440" s="45"/>
    </row>
    <row r="1441">
      <c r="A1441" s="84" t="s">
        <v>11888</v>
      </c>
      <c r="B1441" s="45"/>
      <c r="C1441" s="84" t="s">
        <v>11889</v>
      </c>
      <c r="D1441" s="45"/>
      <c r="E1441" s="84" t="s">
        <v>5291</v>
      </c>
      <c r="F1441" s="84" t="s">
        <v>5836</v>
      </c>
      <c r="G1441" s="85" t="s">
        <v>96</v>
      </c>
      <c r="H1441" s="87">
        <v>4.13E-5</v>
      </c>
      <c r="I1441" s="45"/>
      <c r="J1441" s="45"/>
      <c r="K1441" s="45"/>
      <c r="L1441" s="45"/>
      <c r="M1441" s="45"/>
      <c r="N1441" s="45"/>
      <c r="O1441" s="45"/>
      <c r="P1441" s="45"/>
      <c r="Q1441" s="45"/>
      <c r="R1441" s="45"/>
      <c r="S1441" s="45"/>
      <c r="T1441" s="45"/>
      <c r="U1441" s="45"/>
    </row>
    <row r="1442">
      <c r="A1442" s="84" t="s">
        <v>10653</v>
      </c>
      <c r="B1442" s="45"/>
      <c r="C1442" s="84" t="s">
        <v>10654</v>
      </c>
      <c r="D1442" s="45"/>
      <c r="E1442" s="84" t="s">
        <v>5232</v>
      </c>
      <c r="F1442" s="84" t="s">
        <v>8784</v>
      </c>
      <c r="G1442" s="85" t="s">
        <v>96</v>
      </c>
      <c r="H1442" s="87">
        <v>4.1E-5</v>
      </c>
      <c r="I1442" s="45"/>
      <c r="J1442" s="45"/>
      <c r="K1442" s="45"/>
      <c r="L1442" s="45"/>
      <c r="M1442" s="45"/>
      <c r="N1442" s="45"/>
      <c r="O1442" s="45"/>
      <c r="P1442" s="45"/>
      <c r="Q1442" s="45"/>
      <c r="R1442" s="45"/>
      <c r="S1442" s="45"/>
      <c r="T1442" s="45"/>
      <c r="U1442" s="45"/>
    </row>
    <row r="1443">
      <c r="A1443" s="84" t="s">
        <v>10425</v>
      </c>
      <c r="B1443" s="45"/>
      <c r="C1443" s="84" t="s">
        <v>10426</v>
      </c>
      <c r="D1443" s="45"/>
      <c r="E1443" s="84" t="s">
        <v>5561</v>
      </c>
      <c r="F1443" s="84" t="s">
        <v>5941</v>
      </c>
      <c r="G1443" s="85" t="s">
        <v>96</v>
      </c>
      <c r="H1443" s="87">
        <v>4.04E-5</v>
      </c>
      <c r="I1443" s="45"/>
      <c r="J1443" s="45"/>
      <c r="K1443" s="45"/>
      <c r="L1443" s="45"/>
      <c r="M1443" s="45"/>
      <c r="N1443" s="45"/>
      <c r="O1443" s="45"/>
      <c r="P1443" s="45"/>
      <c r="Q1443" s="45"/>
      <c r="R1443" s="45"/>
      <c r="S1443" s="45"/>
      <c r="T1443" s="45"/>
      <c r="U1443" s="45"/>
    </row>
    <row r="1444">
      <c r="A1444" s="84" t="s">
        <v>10790</v>
      </c>
      <c r="B1444" s="45"/>
      <c r="C1444" s="84" t="s">
        <v>10791</v>
      </c>
      <c r="D1444" s="45"/>
      <c r="E1444" s="84" t="s">
        <v>5759</v>
      </c>
      <c r="F1444" s="84" t="s">
        <v>9299</v>
      </c>
      <c r="G1444" s="85" t="s">
        <v>96</v>
      </c>
      <c r="H1444" s="87">
        <v>3.95E-5</v>
      </c>
      <c r="I1444" s="45"/>
      <c r="J1444" s="45"/>
      <c r="K1444" s="45"/>
      <c r="L1444" s="45"/>
      <c r="M1444" s="45"/>
      <c r="N1444" s="45"/>
      <c r="O1444" s="45"/>
      <c r="P1444" s="45"/>
      <c r="Q1444" s="45"/>
      <c r="R1444" s="45"/>
      <c r="S1444" s="45"/>
      <c r="T1444" s="45"/>
      <c r="U1444" s="45"/>
    </row>
    <row r="1445">
      <c r="A1445" s="84" t="s">
        <v>11890</v>
      </c>
      <c r="B1445" s="45"/>
      <c r="C1445" s="84" t="s">
        <v>11891</v>
      </c>
      <c r="D1445" s="45"/>
      <c r="E1445" s="84" t="s">
        <v>5445</v>
      </c>
      <c r="F1445" s="84" t="s">
        <v>5836</v>
      </c>
      <c r="G1445" s="85" t="s">
        <v>96</v>
      </c>
      <c r="H1445" s="87">
        <v>3.93E-5</v>
      </c>
      <c r="I1445" s="45"/>
      <c r="J1445" s="45"/>
      <c r="K1445" s="45"/>
      <c r="L1445" s="45"/>
      <c r="M1445" s="45"/>
      <c r="N1445" s="45"/>
      <c r="O1445" s="45"/>
      <c r="P1445" s="45"/>
      <c r="Q1445" s="45"/>
      <c r="R1445" s="45"/>
      <c r="S1445" s="45"/>
      <c r="T1445" s="45"/>
      <c r="U1445" s="45"/>
    </row>
    <row r="1446">
      <c r="A1446" s="84" t="s">
        <v>10724</v>
      </c>
      <c r="B1446" s="45"/>
      <c r="C1446" s="84" t="s">
        <v>10725</v>
      </c>
      <c r="D1446" s="45"/>
      <c r="E1446" s="84" t="s">
        <v>5964</v>
      </c>
      <c r="F1446" s="84" t="s">
        <v>8784</v>
      </c>
      <c r="G1446" s="85" t="s">
        <v>96</v>
      </c>
      <c r="H1446" s="87">
        <v>3.77E-5</v>
      </c>
      <c r="I1446" s="45"/>
      <c r="J1446" s="45"/>
      <c r="K1446" s="45"/>
      <c r="L1446" s="45"/>
      <c r="M1446" s="45"/>
      <c r="N1446" s="45"/>
      <c r="O1446" s="45"/>
      <c r="P1446" s="45"/>
      <c r="Q1446" s="45"/>
      <c r="R1446" s="45"/>
      <c r="S1446" s="45"/>
      <c r="T1446" s="45"/>
      <c r="U1446" s="45"/>
    </row>
    <row r="1447">
      <c r="A1447" s="84" t="s">
        <v>10714</v>
      </c>
      <c r="B1447" s="45"/>
      <c r="C1447" s="84" t="s">
        <v>10715</v>
      </c>
      <c r="D1447" s="45"/>
      <c r="E1447" s="84" t="s">
        <v>6238</v>
      </c>
      <c r="F1447" s="84" t="s">
        <v>4436</v>
      </c>
      <c r="G1447" s="85" t="s">
        <v>96</v>
      </c>
      <c r="H1447" s="87">
        <v>3.74E-5</v>
      </c>
      <c r="I1447" s="45"/>
      <c r="J1447" s="45"/>
      <c r="K1447" s="45"/>
      <c r="L1447" s="45"/>
      <c r="M1447" s="45"/>
      <c r="N1447" s="45"/>
      <c r="O1447" s="45"/>
      <c r="P1447" s="45"/>
      <c r="Q1447" s="45"/>
      <c r="R1447" s="45"/>
      <c r="S1447" s="45"/>
      <c r="T1447" s="45"/>
      <c r="U1447" s="45"/>
    </row>
    <row r="1448">
      <c r="A1448" s="84" t="s">
        <v>11892</v>
      </c>
      <c r="B1448" s="45"/>
      <c r="C1448" s="84" t="s">
        <v>9952</v>
      </c>
      <c r="D1448" s="45"/>
      <c r="E1448" s="84" t="s">
        <v>7476</v>
      </c>
      <c r="F1448" s="84" t="s">
        <v>5425</v>
      </c>
      <c r="G1448" s="85" t="s">
        <v>96</v>
      </c>
      <c r="H1448" s="87">
        <v>3.55E-5</v>
      </c>
      <c r="I1448" s="45"/>
      <c r="J1448" s="45"/>
      <c r="K1448" s="45"/>
      <c r="L1448" s="45"/>
      <c r="M1448" s="45"/>
      <c r="N1448" s="45"/>
      <c r="O1448" s="45"/>
      <c r="P1448" s="45"/>
      <c r="Q1448" s="45"/>
      <c r="R1448" s="45"/>
      <c r="S1448" s="45"/>
      <c r="T1448" s="45"/>
      <c r="U1448" s="45"/>
    </row>
    <row r="1449">
      <c r="A1449" s="84" t="s">
        <v>10774</v>
      </c>
      <c r="B1449" s="45"/>
      <c r="C1449" s="84" t="s">
        <v>10775</v>
      </c>
      <c r="D1449" s="45"/>
      <c r="E1449" s="84" t="s">
        <v>5218</v>
      </c>
      <c r="F1449" s="84" t="s">
        <v>8784</v>
      </c>
      <c r="G1449" s="85" t="s">
        <v>96</v>
      </c>
      <c r="H1449" s="87">
        <v>3.32E-5</v>
      </c>
      <c r="I1449" s="45"/>
      <c r="J1449" s="45"/>
      <c r="K1449" s="45"/>
      <c r="L1449" s="45"/>
      <c r="M1449" s="45"/>
      <c r="N1449" s="45"/>
      <c r="O1449" s="45"/>
      <c r="P1449" s="45"/>
      <c r="Q1449" s="45"/>
      <c r="R1449" s="45"/>
      <c r="S1449" s="45"/>
      <c r="T1449" s="45"/>
      <c r="U1449" s="45"/>
    </row>
    <row r="1450">
      <c r="A1450" s="84" t="s">
        <v>10888</v>
      </c>
      <c r="B1450" s="45"/>
      <c r="C1450" s="84" t="s">
        <v>10889</v>
      </c>
      <c r="D1450" s="45"/>
      <c r="E1450" s="84" t="s">
        <v>5704</v>
      </c>
      <c r="F1450" s="84" t="s">
        <v>8784</v>
      </c>
      <c r="G1450" s="85" t="s">
        <v>96</v>
      </c>
      <c r="H1450" s="87">
        <v>3.24E-5</v>
      </c>
      <c r="I1450" s="45"/>
      <c r="J1450" s="45"/>
      <c r="K1450" s="45"/>
      <c r="L1450" s="45"/>
      <c r="M1450" s="45"/>
      <c r="N1450" s="45"/>
      <c r="O1450" s="45"/>
      <c r="P1450" s="45"/>
      <c r="Q1450" s="45"/>
      <c r="R1450" s="45"/>
      <c r="S1450" s="45"/>
      <c r="T1450" s="45"/>
      <c r="U1450" s="45"/>
    </row>
    <row r="1451">
      <c r="A1451" s="84" t="s">
        <v>11893</v>
      </c>
      <c r="B1451" s="45"/>
      <c r="C1451" s="84" t="s">
        <v>11894</v>
      </c>
      <c r="D1451" s="45"/>
      <c r="E1451" s="84" t="s">
        <v>5964</v>
      </c>
      <c r="F1451" s="84" t="s">
        <v>9021</v>
      </c>
      <c r="G1451" s="85" t="s">
        <v>96</v>
      </c>
      <c r="H1451" s="87">
        <v>3.18E-5</v>
      </c>
      <c r="I1451" s="45"/>
      <c r="J1451" s="45"/>
      <c r="K1451" s="45"/>
      <c r="L1451" s="45"/>
      <c r="M1451" s="45"/>
      <c r="N1451" s="45"/>
      <c r="O1451" s="45"/>
      <c r="P1451" s="45"/>
      <c r="Q1451" s="45"/>
      <c r="R1451" s="45"/>
      <c r="S1451" s="45"/>
      <c r="T1451" s="45"/>
      <c r="U1451" s="45"/>
    </row>
    <row r="1452">
      <c r="A1452" s="84" t="s">
        <v>6260</v>
      </c>
      <c r="B1452" s="45"/>
      <c r="C1452" s="84" t="s">
        <v>11043</v>
      </c>
      <c r="D1452" s="45"/>
      <c r="E1452" s="84" t="s">
        <v>5513</v>
      </c>
      <c r="F1452" s="84" t="s">
        <v>5747</v>
      </c>
      <c r="G1452" s="85" t="s">
        <v>96</v>
      </c>
      <c r="H1452" s="87">
        <v>3.03E-5</v>
      </c>
      <c r="I1452" s="45"/>
      <c r="J1452" s="45"/>
      <c r="K1452" s="45"/>
      <c r="L1452" s="45"/>
      <c r="M1452" s="45"/>
      <c r="N1452" s="45"/>
      <c r="O1452" s="45"/>
      <c r="P1452" s="45"/>
      <c r="Q1452" s="45"/>
      <c r="R1452" s="45"/>
      <c r="S1452" s="45"/>
      <c r="T1452" s="45"/>
      <c r="U1452" s="45"/>
    </row>
    <row r="1453">
      <c r="A1453" s="84" t="s">
        <v>11895</v>
      </c>
      <c r="B1453" s="45"/>
      <c r="C1453" s="84" t="s">
        <v>11896</v>
      </c>
      <c r="D1453" s="45"/>
      <c r="E1453" s="84" t="s">
        <v>5989</v>
      </c>
      <c r="F1453" s="84" t="s">
        <v>8784</v>
      </c>
      <c r="G1453" s="85" t="s">
        <v>96</v>
      </c>
      <c r="H1453" s="87">
        <v>2.86E-5</v>
      </c>
      <c r="I1453" s="45"/>
      <c r="J1453" s="45"/>
      <c r="K1453" s="45"/>
      <c r="L1453" s="45"/>
      <c r="M1453" s="45"/>
      <c r="N1453" s="45"/>
      <c r="O1453" s="45"/>
      <c r="P1453" s="45"/>
      <c r="Q1453" s="45"/>
      <c r="R1453" s="45"/>
      <c r="S1453" s="45"/>
      <c r="T1453" s="45"/>
      <c r="U1453" s="45"/>
    </row>
    <row r="1454">
      <c r="A1454" s="84" t="s">
        <v>6260</v>
      </c>
      <c r="B1454" s="45"/>
      <c r="C1454" s="84" t="s">
        <v>11193</v>
      </c>
      <c r="D1454" s="45"/>
      <c r="E1454" s="84" t="s">
        <v>5450</v>
      </c>
      <c r="F1454" s="84" t="s">
        <v>5747</v>
      </c>
      <c r="G1454" s="85" t="s">
        <v>96</v>
      </c>
      <c r="H1454" s="87">
        <v>2.64E-5</v>
      </c>
      <c r="I1454" s="45"/>
      <c r="J1454" s="45"/>
      <c r="K1454" s="45"/>
      <c r="L1454" s="45"/>
      <c r="M1454" s="45"/>
      <c r="N1454" s="45"/>
      <c r="O1454" s="45"/>
      <c r="P1454" s="45"/>
      <c r="Q1454" s="45"/>
      <c r="R1454" s="45"/>
      <c r="S1454" s="45"/>
      <c r="T1454" s="45"/>
      <c r="U1454" s="45"/>
    </row>
    <row r="1455">
      <c r="A1455" s="84" t="s">
        <v>11098</v>
      </c>
      <c r="B1455" s="45"/>
      <c r="C1455" s="84" t="s">
        <v>11099</v>
      </c>
      <c r="D1455" s="45"/>
      <c r="E1455" s="84" t="s">
        <v>5961</v>
      </c>
      <c r="F1455" s="84" t="s">
        <v>8784</v>
      </c>
      <c r="G1455" s="85" t="s">
        <v>96</v>
      </c>
      <c r="H1455" s="87">
        <v>2.54E-5</v>
      </c>
      <c r="I1455" s="45"/>
      <c r="J1455" s="45"/>
      <c r="K1455" s="45"/>
      <c r="L1455" s="45"/>
      <c r="M1455" s="45"/>
      <c r="N1455" s="45"/>
      <c r="O1455" s="45"/>
      <c r="P1455" s="45"/>
      <c r="Q1455" s="45"/>
      <c r="R1455" s="45"/>
      <c r="S1455" s="45"/>
      <c r="T1455" s="45"/>
      <c r="U1455" s="45"/>
    </row>
    <row r="1456">
      <c r="A1456" s="84" t="s">
        <v>5748</v>
      </c>
      <c r="B1456" s="45"/>
      <c r="C1456" s="84" t="s">
        <v>5749</v>
      </c>
      <c r="D1456" s="45"/>
      <c r="E1456" s="84" t="s">
        <v>5467</v>
      </c>
      <c r="F1456" s="84" t="s">
        <v>5277</v>
      </c>
      <c r="G1456" s="85" t="s">
        <v>96</v>
      </c>
      <c r="H1456" s="87">
        <v>2.26E-5</v>
      </c>
      <c r="I1456" s="45"/>
      <c r="J1456" s="45"/>
      <c r="K1456" s="45"/>
      <c r="L1456" s="45"/>
      <c r="M1456" s="45"/>
      <c r="N1456" s="45"/>
      <c r="O1456" s="45"/>
      <c r="P1456" s="45"/>
      <c r="Q1456" s="45"/>
      <c r="R1456" s="45"/>
      <c r="S1456" s="45"/>
      <c r="T1456" s="45"/>
      <c r="U1456" s="45"/>
    </row>
    <row r="1457">
      <c r="A1457" s="84" t="s">
        <v>9927</v>
      </c>
      <c r="B1457" s="45"/>
      <c r="C1457" s="84" t="s">
        <v>9928</v>
      </c>
      <c r="D1457" s="45"/>
      <c r="E1457" s="84" t="s">
        <v>5450</v>
      </c>
      <c r="F1457" s="84" t="s">
        <v>9021</v>
      </c>
      <c r="G1457" s="85" t="s">
        <v>96</v>
      </c>
      <c r="H1457" s="87">
        <v>1.86E-5</v>
      </c>
      <c r="I1457" s="45"/>
      <c r="J1457" s="45"/>
      <c r="K1457" s="45"/>
      <c r="L1457" s="45"/>
      <c r="M1457" s="45"/>
      <c r="N1457" s="45"/>
      <c r="O1457" s="45"/>
      <c r="P1457" s="45"/>
      <c r="Q1457" s="45"/>
      <c r="R1457" s="45"/>
      <c r="S1457" s="45"/>
      <c r="T1457" s="45"/>
      <c r="U1457" s="45"/>
    </row>
    <row r="1458">
      <c r="A1458" s="84" t="s">
        <v>6260</v>
      </c>
      <c r="B1458" s="45"/>
      <c r="C1458" s="84" t="s">
        <v>11043</v>
      </c>
      <c r="D1458" s="45"/>
      <c r="E1458" s="84" t="s">
        <v>5513</v>
      </c>
      <c r="F1458" s="84" t="s">
        <v>5747</v>
      </c>
      <c r="G1458" s="85" t="s">
        <v>96</v>
      </c>
      <c r="H1458" s="87">
        <v>1.6E-5</v>
      </c>
      <c r="I1458" s="45"/>
      <c r="J1458" s="45"/>
      <c r="K1458" s="45"/>
      <c r="L1458" s="45"/>
      <c r="M1458" s="45"/>
      <c r="N1458" s="45"/>
      <c r="O1458" s="45"/>
      <c r="P1458" s="45"/>
      <c r="Q1458" s="45"/>
      <c r="R1458" s="45"/>
      <c r="S1458" s="45"/>
      <c r="T1458" s="45"/>
      <c r="U1458" s="45"/>
    </row>
    <row r="1459">
      <c r="A1459" s="84" t="s">
        <v>6260</v>
      </c>
      <c r="B1459" s="45"/>
      <c r="C1459" s="84" t="s">
        <v>11897</v>
      </c>
      <c r="D1459" s="45"/>
      <c r="E1459" s="84" t="s">
        <v>5450</v>
      </c>
      <c r="F1459" s="84" t="s">
        <v>5747</v>
      </c>
      <c r="G1459" s="85" t="s">
        <v>96</v>
      </c>
      <c r="H1459" s="87">
        <v>1.1E-5</v>
      </c>
      <c r="I1459" s="45"/>
      <c r="J1459" s="45"/>
      <c r="K1459" s="45"/>
      <c r="L1459" s="45"/>
      <c r="M1459" s="45"/>
      <c r="N1459" s="45"/>
      <c r="O1459" s="45"/>
      <c r="P1459" s="45"/>
      <c r="Q1459" s="45"/>
      <c r="R1459" s="45"/>
      <c r="S1459" s="45"/>
      <c r="T1459" s="45"/>
      <c r="U1459" s="45"/>
    </row>
    <row r="1460">
      <c r="A1460" s="84" t="s">
        <v>4507</v>
      </c>
      <c r="B1460" s="45"/>
      <c r="C1460" s="84" t="s">
        <v>11014</v>
      </c>
      <c r="D1460" s="45"/>
      <c r="E1460" s="84" t="s">
        <v>5450</v>
      </c>
      <c r="F1460" s="84" t="s">
        <v>5747</v>
      </c>
      <c r="G1460" s="85" t="s">
        <v>96</v>
      </c>
      <c r="H1460" s="87">
        <v>9.3E-6</v>
      </c>
      <c r="I1460" s="45"/>
      <c r="J1460" s="45"/>
      <c r="K1460" s="45"/>
      <c r="L1460" s="45"/>
      <c r="M1460" s="45"/>
      <c r="N1460" s="45"/>
      <c r="O1460" s="45"/>
      <c r="P1460" s="45"/>
      <c r="Q1460" s="45"/>
      <c r="R1460" s="45"/>
      <c r="S1460" s="45"/>
      <c r="T1460" s="45"/>
      <c r="U1460" s="45"/>
    </row>
    <row r="1461">
      <c r="A1461" s="84" t="s">
        <v>6260</v>
      </c>
      <c r="B1461" s="45"/>
      <c r="C1461" s="84" t="s">
        <v>10112</v>
      </c>
      <c r="D1461" s="45"/>
      <c r="E1461" s="84" t="s">
        <v>5456</v>
      </c>
      <c r="F1461" s="84" t="s">
        <v>5747</v>
      </c>
      <c r="G1461" s="85" t="s">
        <v>96</v>
      </c>
      <c r="H1461" s="87">
        <v>4.3E-6</v>
      </c>
      <c r="I1461" s="45"/>
      <c r="J1461" s="45"/>
      <c r="K1461" s="45"/>
      <c r="L1461" s="45"/>
      <c r="M1461" s="45"/>
      <c r="N1461" s="45"/>
      <c r="O1461" s="45"/>
      <c r="P1461" s="45"/>
      <c r="Q1461" s="45"/>
      <c r="R1461" s="45"/>
      <c r="S1461" s="45"/>
      <c r="T1461" s="45"/>
      <c r="U1461" s="45"/>
    </row>
    <row r="1462">
      <c r="A1462" s="84" t="s">
        <v>6260</v>
      </c>
      <c r="B1462" s="45"/>
      <c r="C1462" s="84" t="s">
        <v>10112</v>
      </c>
      <c r="D1462" s="45"/>
      <c r="E1462" s="84" t="s">
        <v>5456</v>
      </c>
      <c r="F1462" s="84" t="s">
        <v>5747</v>
      </c>
      <c r="G1462" s="85" t="s">
        <v>96</v>
      </c>
      <c r="H1462" s="87">
        <v>4.2E-6</v>
      </c>
      <c r="I1462" s="45"/>
      <c r="J1462" s="45"/>
      <c r="K1462" s="45"/>
      <c r="L1462" s="45"/>
      <c r="M1462" s="45"/>
      <c r="N1462" s="45"/>
      <c r="O1462" s="45"/>
      <c r="P1462" s="45"/>
      <c r="Q1462" s="45"/>
      <c r="R1462" s="45"/>
      <c r="S1462" s="45"/>
      <c r="T1462" s="45"/>
      <c r="U1462" s="45"/>
    </row>
    <row r="1463">
      <c r="A1463" s="84" t="s">
        <v>6260</v>
      </c>
      <c r="B1463" s="45"/>
      <c r="C1463" s="84" t="s">
        <v>10112</v>
      </c>
      <c r="D1463" s="45"/>
      <c r="E1463" s="84" t="s">
        <v>5456</v>
      </c>
      <c r="F1463" s="84" t="s">
        <v>5747</v>
      </c>
      <c r="G1463" s="85" t="s">
        <v>96</v>
      </c>
      <c r="H1463" s="87">
        <v>3.7E-6</v>
      </c>
      <c r="I1463" s="45"/>
      <c r="J1463" s="45"/>
      <c r="K1463" s="45"/>
      <c r="L1463" s="45"/>
      <c r="M1463" s="45"/>
      <c r="N1463" s="45"/>
      <c r="O1463" s="45"/>
      <c r="P1463" s="45"/>
      <c r="Q1463" s="45"/>
      <c r="R1463" s="45"/>
      <c r="S1463" s="45"/>
      <c r="T1463" s="45"/>
      <c r="U1463" s="45"/>
    </row>
    <row r="1464">
      <c r="A1464" s="84" t="s">
        <v>6260</v>
      </c>
      <c r="B1464" s="45"/>
      <c r="C1464" s="84" t="s">
        <v>11200</v>
      </c>
      <c r="D1464" s="45"/>
      <c r="E1464" s="84" t="s">
        <v>5513</v>
      </c>
      <c r="F1464" s="84" t="s">
        <v>5747</v>
      </c>
      <c r="G1464" s="85" t="s">
        <v>96</v>
      </c>
      <c r="H1464" s="87">
        <v>3.1E-6</v>
      </c>
      <c r="I1464" s="45"/>
      <c r="J1464" s="45"/>
      <c r="K1464" s="45"/>
      <c r="L1464" s="45"/>
      <c r="M1464" s="45"/>
      <c r="N1464" s="45"/>
      <c r="O1464" s="45"/>
      <c r="P1464" s="45"/>
      <c r="Q1464" s="45"/>
      <c r="R1464" s="45"/>
      <c r="S1464" s="45"/>
      <c r="T1464" s="45"/>
      <c r="U1464" s="45"/>
    </row>
    <row r="1465">
      <c r="A1465" s="84" t="s">
        <v>11076</v>
      </c>
      <c r="B1465" s="45"/>
      <c r="C1465" s="84" t="s">
        <v>11043</v>
      </c>
      <c r="D1465" s="45"/>
      <c r="E1465" s="84" t="s">
        <v>5513</v>
      </c>
      <c r="F1465" s="84" t="s">
        <v>5747</v>
      </c>
      <c r="G1465" s="85" t="s">
        <v>96</v>
      </c>
      <c r="H1465" s="87">
        <v>1.9E-6</v>
      </c>
      <c r="I1465" s="45"/>
      <c r="J1465" s="45"/>
      <c r="K1465" s="45"/>
      <c r="L1465" s="45"/>
      <c r="M1465" s="45"/>
      <c r="N1465" s="45"/>
      <c r="O1465" s="45"/>
      <c r="P1465" s="45"/>
      <c r="Q1465" s="45"/>
      <c r="R1465" s="45"/>
      <c r="S1465" s="45"/>
      <c r="T1465" s="45"/>
      <c r="U1465" s="45"/>
    </row>
    <row r="1466">
      <c r="A1466" s="84" t="s">
        <v>4091</v>
      </c>
      <c r="B1466" s="45"/>
      <c r="C1466" s="84" t="s">
        <v>10370</v>
      </c>
      <c r="D1466" s="45"/>
      <c r="E1466" s="84" t="s">
        <v>5235</v>
      </c>
      <c r="F1466" s="84" t="s">
        <v>5836</v>
      </c>
      <c r="G1466" s="85" t="s">
        <v>96</v>
      </c>
      <c r="H1466" s="87">
        <v>1.8E-6</v>
      </c>
      <c r="I1466" s="45"/>
      <c r="J1466" s="45"/>
      <c r="K1466" s="45"/>
      <c r="L1466" s="45"/>
      <c r="M1466" s="45"/>
      <c r="N1466" s="45"/>
      <c r="O1466" s="45"/>
      <c r="P1466" s="45"/>
      <c r="Q1466" s="45"/>
      <c r="R1466" s="45"/>
      <c r="S1466" s="45"/>
      <c r="T1466" s="45"/>
      <c r="U1466" s="45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5" t="s">
        <v>80</v>
      </c>
      <c r="B1" s="35" t="s">
        <v>81</v>
      </c>
      <c r="C1" s="35" t="s">
        <v>82</v>
      </c>
      <c r="D1" s="35" t="s">
        <v>83</v>
      </c>
      <c r="E1" s="35" t="s">
        <v>84</v>
      </c>
      <c r="F1" s="35" t="s">
        <v>85</v>
      </c>
      <c r="G1" s="35" t="s">
        <v>86</v>
      </c>
      <c r="H1" s="37" t="s">
        <v>87</v>
      </c>
      <c r="I1" s="37" t="s">
        <v>88</v>
      </c>
      <c r="J1" s="37" t="s">
        <v>89</v>
      </c>
      <c r="K1" s="35" t="s">
        <v>90</v>
      </c>
    </row>
    <row r="3">
      <c r="C3" s="54" t="s">
        <v>3952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8.0"/>
    <col customWidth="1" min="2" max="2" width="5.5"/>
    <col customWidth="1" min="3" max="3" width="38.88"/>
    <col customWidth="1" min="4" max="4" width="8.0"/>
    <col customWidth="1" min="5" max="5" width="27.13"/>
    <col customWidth="1" min="6" max="6" width="10.5"/>
    <col customWidth="1" min="7" max="7" width="6.38"/>
    <col customWidth="1" min="8" max="8" width="7.63"/>
    <col customWidth="1" min="9" max="9" width="10.63"/>
    <col customWidth="1" min="10" max="10" width="12.88"/>
  </cols>
  <sheetData>
    <row r="1">
      <c r="A1" s="35" t="s">
        <v>80</v>
      </c>
      <c r="B1" s="35" t="s">
        <v>81</v>
      </c>
      <c r="C1" s="35" t="s">
        <v>82</v>
      </c>
      <c r="D1" s="35" t="s">
        <v>83</v>
      </c>
      <c r="E1" s="35" t="s">
        <v>84</v>
      </c>
      <c r="F1" s="35" t="s">
        <v>85</v>
      </c>
      <c r="G1" s="35" t="s">
        <v>86</v>
      </c>
      <c r="H1" s="37" t="s">
        <v>87</v>
      </c>
      <c r="I1" s="37" t="s">
        <v>88</v>
      </c>
      <c r="J1" s="37" t="s">
        <v>89</v>
      </c>
      <c r="K1" s="35" t="s">
        <v>90</v>
      </c>
    </row>
    <row r="2">
      <c r="A2" s="48" t="s">
        <v>3996</v>
      </c>
      <c r="B2" s="48"/>
      <c r="C2" s="64" t="s">
        <v>11898</v>
      </c>
      <c r="D2" s="48"/>
      <c r="E2" s="48" t="s">
        <v>11899</v>
      </c>
      <c r="F2" s="64" t="s">
        <v>622</v>
      </c>
      <c r="G2" s="60" t="s">
        <v>96</v>
      </c>
      <c r="H2" s="88">
        <v>5.33846</v>
      </c>
      <c r="I2" s="49" t="s">
        <v>11900</v>
      </c>
      <c r="J2" s="49" t="s">
        <v>11901</v>
      </c>
      <c r="K2" s="44"/>
      <c r="L2" s="44"/>
    </row>
    <row r="3">
      <c r="A3" s="48" t="s">
        <v>3998</v>
      </c>
      <c r="B3" s="48"/>
      <c r="C3" s="64" t="s">
        <v>11902</v>
      </c>
      <c r="D3" s="48"/>
      <c r="E3" s="48" t="s">
        <v>11903</v>
      </c>
      <c r="F3" s="64" t="s">
        <v>622</v>
      </c>
      <c r="G3" s="60" t="s">
        <v>96</v>
      </c>
      <c r="H3" s="88">
        <v>4.42328</v>
      </c>
      <c r="I3" s="49" t="s">
        <v>11904</v>
      </c>
      <c r="J3" s="49" t="s">
        <v>11905</v>
      </c>
      <c r="K3" s="44"/>
      <c r="L3" s="44"/>
    </row>
    <row r="4">
      <c r="A4" s="48" t="s">
        <v>3999</v>
      </c>
      <c r="B4" s="48"/>
      <c r="C4" s="64" t="s">
        <v>11906</v>
      </c>
      <c r="D4" s="48"/>
      <c r="E4" s="48" t="s">
        <v>11907</v>
      </c>
      <c r="F4" s="64" t="s">
        <v>622</v>
      </c>
      <c r="G4" s="60" t="s">
        <v>96</v>
      </c>
      <c r="H4" s="88">
        <v>2.12215</v>
      </c>
      <c r="I4" s="49" t="s">
        <v>11908</v>
      </c>
      <c r="J4" s="49" t="s">
        <v>11909</v>
      </c>
      <c r="K4" s="44"/>
      <c r="L4" s="44"/>
    </row>
    <row r="5">
      <c r="A5" s="48" t="s">
        <v>4001</v>
      </c>
      <c r="B5" s="48"/>
      <c r="C5" s="64" t="s">
        <v>11910</v>
      </c>
      <c r="D5" s="48"/>
      <c r="E5" s="48" t="s">
        <v>5650</v>
      </c>
      <c r="F5" s="64" t="s">
        <v>622</v>
      </c>
      <c r="G5" s="60" t="s">
        <v>96</v>
      </c>
      <c r="H5" s="88">
        <v>1.77937</v>
      </c>
      <c r="I5" s="49" t="s">
        <v>11911</v>
      </c>
      <c r="J5" s="49" t="s">
        <v>11912</v>
      </c>
      <c r="K5" s="44"/>
      <c r="L5" s="44"/>
    </row>
    <row r="6">
      <c r="A6" s="48" t="s">
        <v>4002</v>
      </c>
      <c r="B6" s="48"/>
      <c r="C6" s="64" t="s">
        <v>11913</v>
      </c>
      <c r="D6" s="48"/>
      <c r="E6" s="48" t="s">
        <v>11914</v>
      </c>
      <c r="F6" s="64" t="s">
        <v>622</v>
      </c>
      <c r="G6" s="60" t="s">
        <v>96</v>
      </c>
      <c r="H6" s="88">
        <v>1.37979</v>
      </c>
      <c r="I6" s="49" t="s">
        <v>11915</v>
      </c>
      <c r="J6" s="49" t="s">
        <v>11916</v>
      </c>
      <c r="K6" s="44"/>
      <c r="L6" s="44"/>
    </row>
    <row r="7">
      <c r="A7" s="48" t="s">
        <v>4008</v>
      </c>
      <c r="B7" s="48"/>
      <c r="C7" s="64" t="s">
        <v>11917</v>
      </c>
      <c r="D7" s="48"/>
      <c r="E7" s="48" t="s">
        <v>11914</v>
      </c>
      <c r="F7" s="64" t="s">
        <v>622</v>
      </c>
      <c r="G7" s="60" t="s">
        <v>96</v>
      </c>
      <c r="H7" s="88">
        <v>1.27674</v>
      </c>
      <c r="I7" s="49" t="s">
        <v>11918</v>
      </c>
      <c r="J7" s="49" t="s">
        <v>11919</v>
      </c>
      <c r="K7" s="44"/>
      <c r="L7" s="44"/>
    </row>
    <row r="8">
      <c r="A8" s="48" t="s">
        <v>4006</v>
      </c>
      <c r="B8" s="48"/>
      <c r="C8" s="64" t="s">
        <v>11920</v>
      </c>
      <c r="D8" s="48"/>
      <c r="E8" s="48" t="s">
        <v>11914</v>
      </c>
      <c r="F8" s="64" t="s">
        <v>622</v>
      </c>
      <c r="G8" s="60" t="s">
        <v>96</v>
      </c>
      <c r="H8" s="88">
        <v>1.11722</v>
      </c>
      <c r="I8" s="49" t="s">
        <v>11921</v>
      </c>
      <c r="J8" s="49" t="s">
        <v>11922</v>
      </c>
      <c r="K8" s="44"/>
      <c r="L8" s="44"/>
    </row>
    <row r="9">
      <c r="A9" s="48" t="s">
        <v>4005</v>
      </c>
      <c r="B9" s="48"/>
      <c r="C9" s="64" t="s">
        <v>11923</v>
      </c>
      <c r="D9" s="48"/>
      <c r="E9" s="48" t="s">
        <v>11924</v>
      </c>
      <c r="F9" s="64" t="s">
        <v>622</v>
      </c>
      <c r="G9" s="60" t="s">
        <v>96</v>
      </c>
      <c r="H9" s="88">
        <v>1.10949</v>
      </c>
      <c r="I9" s="49" t="s">
        <v>11925</v>
      </c>
      <c r="J9" s="49" t="s">
        <v>11926</v>
      </c>
      <c r="K9" s="44"/>
      <c r="L9" s="44"/>
    </row>
    <row r="10">
      <c r="A10" s="48" t="s">
        <v>4013</v>
      </c>
      <c r="B10" s="48"/>
      <c r="C10" s="64" t="s">
        <v>11927</v>
      </c>
      <c r="D10" s="48"/>
      <c r="E10" s="48" t="s">
        <v>11928</v>
      </c>
      <c r="F10" s="64" t="s">
        <v>622</v>
      </c>
      <c r="G10" s="60" t="s">
        <v>96</v>
      </c>
      <c r="H10" s="88">
        <v>0.86433</v>
      </c>
      <c r="I10" s="49" t="s">
        <v>11929</v>
      </c>
      <c r="J10" s="49" t="s">
        <v>11930</v>
      </c>
      <c r="K10" s="44"/>
      <c r="L10" s="44"/>
    </row>
    <row r="11">
      <c r="A11" s="48" t="s">
        <v>11215</v>
      </c>
      <c r="B11" s="48"/>
      <c r="C11" s="64" t="s">
        <v>11931</v>
      </c>
      <c r="D11" s="48"/>
      <c r="E11" s="48" t="s">
        <v>11932</v>
      </c>
      <c r="F11" s="64" t="s">
        <v>622</v>
      </c>
      <c r="G11" s="60" t="s">
        <v>96</v>
      </c>
      <c r="H11" s="88">
        <v>0.7969</v>
      </c>
      <c r="I11" s="49" t="s">
        <v>11933</v>
      </c>
      <c r="J11" s="49" t="s">
        <v>11934</v>
      </c>
      <c r="K11" s="44"/>
      <c r="L11" s="44"/>
    </row>
    <row r="12">
      <c r="A12" s="48" t="s">
        <v>4012</v>
      </c>
      <c r="B12" s="48"/>
      <c r="C12" s="64" t="s">
        <v>11935</v>
      </c>
      <c r="D12" s="48"/>
      <c r="E12" s="48" t="s">
        <v>11936</v>
      </c>
      <c r="F12" s="64" t="s">
        <v>622</v>
      </c>
      <c r="G12" s="60" t="s">
        <v>96</v>
      </c>
      <c r="H12" s="88">
        <v>0.79037</v>
      </c>
      <c r="I12" s="49" t="s">
        <v>11937</v>
      </c>
      <c r="J12" s="49" t="s">
        <v>11938</v>
      </c>
      <c r="K12" s="44"/>
      <c r="L12" s="44"/>
    </row>
    <row r="13">
      <c r="A13" s="48" t="s">
        <v>4018</v>
      </c>
      <c r="B13" s="48"/>
      <c r="C13" s="48" t="s">
        <v>11218</v>
      </c>
      <c r="D13" s="48"/>
      <c r="E13" s="48" t="s">
        <v>5218</v>
      </c>
      <c r="F13" s="64" t="s">
        <v>622</v>
      </c>
      <c r="G13" s="60" t="s">
        <v>96</v>
      </c>
      <c r="H13" s="88">
        <v>0.76618</v>
      </c>
      <c r="I13" s="49" t="s">
        <v>11939</v>
      </c>
      <c r="J13" s="49" t="s">
        <v>11940</v>
      </c>
      <c r="K13" s="44"/>
      <c r="L13" s="44"/>
    </row>
    <row r="14">
      <c r="A14" s="48" t="s">
        <v>4017</v>
      </c>
      <c r="B14" s="48"/>
      <c r="C14" s="64" t="s">
        <v>11941</v>
      </c>
      <c r="D14" s="48"/>
      <c r="E14" s="48" t="s">
        <v>11942</v>
      </c>
      <c r="F14" s="64" t="s">
        <v>622</v>
      </c>
      <c r="G14" s="60" t="s">
        <v>96</v>
      </c>
      <c r="H14" s="88">
        <v>0.75743</v>
      </c>
      <c r="I14" s="49" t="s">
        <v>11943</v>
      </c>
      <c r="J14" s="49" t="s">
        <v>11944</v>
      </c>
      <c r="K14" s="44"/>
      <c r="L14" s="44"/>
    </row>
    <row r="15">
      <c r="A15" s="48" t="s">
        <v>4019</v>
      </c>
      <c r="B15" s="48"/>
      <c r="C15" s="64" t="s">
        <v>11945</v>
      </c>
      <c r="D15" s="48"/>
      <c r="E15" s="48" t="s">
        <v>11946</v>
      </c>
      <c r="F15" s="64" t="s">
        <v>622</v>
      </c>
      <c r="G15" s="60" t="s">
        <v>96</v>
      </c>
      <c r="H15" s="88">
        <v>0.68536</v>
      </c>
      <c r="I15" s="49" t="s">
        <v>11947</v>
      </c>
      <c r="J15" s="49" t="s">
        <v>11948</v>
      </c>
      <c r="K15" s="44"/>
      <c r="L15" s="44"/>
    </row>
    <row r="16">
      <c r="A16" s="48" t="s">
        <v>4015</v>
      </c>
      <c r="B16" s="48"/>
      <c r="C16" s="64" t="s">
        <v>11949</v>
      </c>
      <c r="D16" s="48"/>
      <c r="E16" s="48" t="s">
        <v>5218</v>
      </c>
      <c r="F16" s="64" t="s">
        <v>622</v>
      </c>
      <c r="G16" s="60" t="s">
        <v>96</v>
      </c>
      <c r="H16" s="88">
        <v>0.66205</v>
      </c>
      <c r="I16" s="49" t="s">
        <v>11950</v>
      </c>
      <c r="J16" s="49" t="s">
        <v>11951</v>
      </c>
      <c r="K16" s="44"/>
      <c r="L16" s="44"/>
    </row>
    <row r="17">
      <c r="A17" s="48" t="s">
        <v>4023</v>
      </c>
      <c r="B17" s="48"/>
      <c r="C17" s="64" t="s">
        <v>11952</v>
      </c>
      <c r="D17" s="48"/>
      <c r="E17" s="48" t="s">
        <v>5650</v>
      </c>
      <c r="F17" s="64" t="s">
        <v>622</v>
      </c>
      <c r="G17" s="60" t="s">
        <v>96</v>
      </c>
      <c r="H17" s="88">
        <v>0.64024</v>
      </c>
      <c r="I17" s="49" t="s">
        <v>11953</v>
      </c>
      <c r="J17" s="49" t="s">
        <v>11954</v>
      </c>
      <c r="K17" s="44"/>
      <c r="L17" s="44"/>
    </row>
    <row r="18">
      <c r="A18" s="48" t="s">
        <v>4021</v>
      </c>
      <c r="B18" s="48"/>
      <c r="C18" s="64" t="s">
        <v>11955</v>
      </c>
      <c r="D18" s="48"/>
      <c r="E18" s="48" t="s">
        <v>11956</v>
      </c>
      <c r="F18" s="64" t="s">
        <v>622</v>
      </c>
      <c r="G18" s="60" t="s">
        <v>96</v>
      </c>
      <c r="H18" s="88">
        <v>0.6335</v>
      </c>
      <c r="I18" s="49" t="s">
        <v>11957</v>
      </c>
      <c r="J18" s="49" t="s">
        <v>11958</v>
      </c>
      <c r="K18" s="44"/>
      <c r="L18" s="44"/>
    </row>
    <row r="19">
      <c r="A19" s="48" t="s">
        <v>8757</v>
      </c>
      <c r="B19" s="48"/>
      <c r="C19" s="48" t="s">
        <v>8758</v>
      </c>
      <c r="D19" s="48"/>
      <c r="E19" s="48" t="s">
        <v>11959</v>
      </c>
      <c r="F19" s="64" t="s">
        <v>645</v>
      </c>
      <c r="G19" s="60" t="s">
        <v>96</v>
      </c>
      <c r="H19" s="88">
        <v>0.61612</v>
      </c>
      <c r="I19" s="49" t="s">
        <v>11960</v>
      </c>
      <c r="J19" s="49" t="s">
        <v>11961</v>
      </c>
      <c r="K19" s="44"/>
      <c r="L19" s="44"/>
    </row>
    <row r="20">
      <c r="A20" s="48" t="s">
        <v>4024</v>
      </c>
      <c r="B20" s="48"/>
      <c r="C20" s="64" t="s">
        <v>11962</v>
      </c>
      <c r="D20" s="48"/>
      <c r="E20" s="48" t="s">
        <v>11946</v>
      </c>
      <c r="F20" s="64" t="s">
        <v>622</v>
      </c>
      <c r="G20" s="60" t="s">
        <v>96</v>
      </c>
      <c r="H20" s="88">
        <v>0.59326</v>
      </c>
      <c r="I20" s="49" t="s">
        <v>11963</v>
      </c>
      <c r="J20" s="49" t="s">
        <v>11964</v>
      </c>
      <c r="K20" s="44"/>
      <c r="L20" s="44"/>
    </row>
    <row r="21">
      <c r="A21" s="48" t="s">
        <v>8760</v>
      </c>
      <c r="B21" s="48"/>
      <c r="C21" s="48" t="s">
        <v>8761</v>
      </c>
      <c r="D21" s="48"/>
      <c r="E21" s="48" t="s">
        <v>11965</v>
      </c>
      <c r="F21" s="64" t="s">
        <v>668</v>
      </c>
      <c r="G21" s="60" t="s">
        <v>96</v>
      </c>
      <c r="H21" s="88">
        <v>0.55042</v>
      </c>
      <c r="I21" s="49" t="s">
        <v>11966</v>
      </c>
      <c r="J21" s="49" t="s">
        <v>11967</v>
      </c>
      <c r="K21" s="44"/>
      <c r="L21" s="44"/>
    </row>
    <row r="22">
      <c r="A22" s="48" t="s">
        <v>4026</v>
      </c>
      <c r="B22" s="48"/>
      <c r="C22" s="64" t="s">
        <v>11968</v>
      </c>
      <c r="D22" s="48"/>
      <c r="E22" s="48" t="s">
        <v>11969</v>
      </c>
      <c r="F22" s="64" t="s">
        <v>622</v>
      </c>
      <c r="G22" s="60" t="s">
        <v>96</v>
      </c>
      <c r="H22" s="88">
        <v>0.54624</v>
      </c>
      <c r="I22" s="49" t="s">
        <v>11970</v>
      </c>
      <c r="J22" s="49" t="s">
        <v>11971</v>
      </c>
      <c r="K22" s="44"/>
      <c r="L22" s="44"/>
    </row>
    <row r="23">
      <c r="A23" s="48" t="s">
        <v>4030</v>
      </c>
      <c r="B23" s="48"/>
      <c r="C23" s="64" t="s">
        <v>11972</v>
      </c>
      <c r="D23" s="48"/>
      <c r="E23" s="48" t="s">
        <v>5218</v>
      </c>
      <c r="F23" s="64" t="s">
        <v>622</v>
      </c>
      <c r="G23" s="60" t="s">
        <v>96</v>
      </c>
      <c r="H23" s="88">
        <v>0.53462</v>
      </c>
      <c r="I23" s="49" t="s">
        <v>11973</v>
      </c>
      <c r="J23" s="49" t="s">
        <v>11974</v>
      </c>
      <c r="K23" s="44"/>
      <c r="L23" s="44"/>
    </row>
    <row r="24">
      <c r="A24" s="48" t="s">
        <v>4028</v>
      </c>
      <c r="B24" s="48"/>
      <c r="C24" s="64" t="s">
        <v>11975</v>
      </c>
      <c r="D24" s="48"/>
      <c r="E24" s="48" t="s">
        <v>11936</v>
      </c>
      <c r="F24" s="64" t="s">
        <v>622</v>
      </c>
      <c r="G24" s="60" t="s">
        <v>96</v>
      </c>
      <c r="H24" s="88">
        <v>0.51572</v>
      </c>
      <c r="I24" s="49" t="s">
        <v>11976</v>
      </c>
      <c r="J24" s="49" t="s">
        <v>11977</v>
      </c>
      <c r="K24" s="44"/>
      <c r="L24" s="44"/>
    </row>
    <row r="25">
      <c r="A25" s="48" t="s">
        <v>8765</v>
      </c>
      <c r="B25" s="48"/>
      <c r="C25" s="48" t="s">
        <v>11978</v>
      </c>
      <c r="D25" s="48"/>
      <c r="E25" s="48" t="s">
        <v>5218</v>
      </c>
      <c r="F25" s="64" t="s">
        <v>883</v>
      </c>
      <c r="G25" s="60" t="s">
        <v>96</v>
      </c>
      <c r="H25" s="88">
        <v>0.50507</v>
      </c>
      <c r="I25" s="49" t="s">
        <v>11979</v>
      </c>
      <c r="J25" s="49" t="s">
        <v>11980</v>
      </c>
      <c r="K25" s="44"/>
      <c r="L25" s="44"/>
    </row>
    <row r="26">
      <c r="A26" s="48" t="s">
        <v>4032</v>
      </c>
      <c r="B26" s="48"/>
      <c r="C26" s="64" t="s">
        <v>11981</v>
      </c>
      <c r="D26" s="48"/>
      <c r="E26" s="48" t="s">
        <v>11982</v>
      </c>
      <c r="F26" s="64" t="s">
        <v>622</v>
      </c>
      <c r="G26" s="60" t="s">
        <v>96</v>
      </c>
      <c r="H26" s="88">
        <v>0.47891</v>
      </c>
      <c r="I26" s="49" t="s">
        <v>11983</v>
      </c>
      <c r="J26" s="49" t="s">
        <v>11984</v>
      </c>
      <c r="K26" s="44"/>
      <c r="L26" s="44"/>
    </row>
    <row r="27">
      <c r="A27" s="48" t="s">
        <v>61</v>
      </c>
      <c r="B27" s="48"/>
      <c r="C27" s="64" t="s">
        <v>11985</v>
      </c>
      <c r="D27" s="48"/>
      <c r="E27" s="48" t="s">
        <v>11982</v>
      </c>
      <c r="F27" s="64" t="s">
        <v>622</v>
      </c>
      <c r="G27" s="60" t="s">
        <v>96</v>
      </c>
      <c r="H27" s="88">
        <v>0.46533</v>
      </c>
      <c r="I27" s="49" t="s">
        <v>11986</v>
      </c>
      <c r="J27" s="49" t="s">
        <v>11987</v>
      </c>
      <c r="K27" s="44"/>
      <c r="L27" s="44"/>
    </row>
    <row r="28">
      <c r="A28" s="48" t="s">
        <v>4029</v>
      </c>
      <c r="B28" s="48"/>
      <c r="C28" s="64" t="s">
        <v>11988</v>
      </c>
      <c r="D28" s="48"/>
      <c r="E28" s="48" t="s">
        <v>5478</v>
      </c>
      <c r="F28" s="64" t="s">
        <v>622</v>
      </c>
      <c r="G28" s="60" t="s">
        <v>96</v>
      </c>
      <c r="H28" s="88">
        <v>0.46376</v>
      </c>
      <c r="I28" s="49" t="s">
        <v>11989</v>
      </c>
      <c r="J28" s="49" t="s">
        <v>11990</v>
      </c>
      <c r="K28" s="44"/>
      <c r="L28" s="44"/>
    </row>
    <row r="29">
      <c r="A29" s="48" t="s">
        <v>11220</v>
      </c>
      <c r="B29" s="48"/>
      <c r="C29" s="48" t="s">
        <v>11221</v>
      </c>
      <c r="D29" s="48"/>
      <c r="E29" s="48" t="s">
        <v>11991</v>
      </c>
      <c r="F29" s="64" t="s">
        <v>639</v>
      </c>
      <c r="G29" s="60" t="s">
        <v>96</v>
      </c>
      <c r="H29" s="88">
        <v>0.45708</v>
      </c>
      <c r="I29" s="49" t="s">
        <v>11992</v>
      </c>
      <c r="J29" s="49" t="s">
        <v>11993</v>
      </c>
      <c r="K29" s="44"/>
      <c r="L29" s="44"/>
    </row>
    <row r="30">
      <c r="A30" s="48" t="s">
        <v>4031</v>
      </c>
      <c r="B30" s="48"/>
      <c r="C30" s="64" t="s">
        <v>11994</v>
      </c>
      <c r="D30" s="48"/>
      <c r="E30" s="48" t="s">
        <v>11995</v>
      </c>
      <c r="F30" s="64" t="s">
        <v>622</v>
      </c>
      <c r="G30" s="60" t="s">
        <v>96</v>
      </c>
      <c r="H30" s="88">
        <v>0.4321</v>
      </c>
      <c r="I30" s="49" t="s">
        <v>11996</v>
      </c>
      <c r="J30" s="49" t="s">
        <v>11997</v>
      </c>
      <c r="K30" s="44"/>
      <c r="L30" s="44"/>
    </row>
    <row r="31">
      <c r="A31" s="48" t="s">
        <v>8777</v>
      </c>
      <c r="B31" s="48"/>
      <c r="C31" s="48" t="s">
        <v>8778</v>
      </c>
      <c r="D31" s="48"/>
      <c r="E31" s="48" t="s">
        <v>5218</v>
      </c>
      <c r="F31" s="64" t="s">
        <v>11998</v>
      </c>
      <c r="G31" s="60" t="s">
        <v>96</v>
      </c>
      <c r="H31" s="88">
        <v>0.42802</v>
      </c>
      <c r="I31" s="49" t="s">
        <v>11999</v>
      </c>
      <c r="J31" s="49" t="s">
        <v>12000</v>
      </c>
      <c r="K31" s="44"/>
      <c r="L31" s="44"/>
    </row>
    <row r="32">
      <c r="A32" s="48" t="s">
        <v>8779</v>
      </c>
      <c r="B32" s="48"/>
      <c r="C32" s="48" t="s">
        <v>8780</v>
      </c>
      <c r="D32" s="48"/>
      <c r="E32" s="48" t="s">
        <v>5218</v>
      </c>
      <c r="F32" s="64" t="s">
        <v>645</v>
      </c>
      <c r="G32" s="60" t="s">
        <v>96</v>
      </c>
      <c r="H32" s="88">
        <v>0.42678</v>
      </c>
      <c r="I32" s="49" t="s">
        <v>12001</v>
      </c>
      <c r="J32" s="49" t="s">
        <v>12002</v>
      </c>
      <c r="K32" s="44"/>
      <c r="L32" s="44"/>
    </row>
    <row r="33">
      <c r="A33" s="48" t="s">
        <v>4037</v>
      </c>
      <c r="B33" s="48"/>
      <c r="C33" s="64" t="s">
        <v>12003</v>
      </c>
      <c r="D33" s="48"/>
      <c r="E33" s="48" t="s">
        <v>12004</v>
      </c>
      <c r="F33" s="64" t="s">
        <v>622</v>
      </c>
      <c r="G33" s="60" t="s">
        <v>96</v>
      </c>
      <c r="H33" s="88">
        <v>0.42671</v>
      </c>
      <c r="I33" s="49" t="s">
        <v>12005</v>
      </c>
      <c r="J33" s="49" t="s">
        <v>12006</v>
      </c>
      <c r="K33" s="44"/>
      <c r="L33" s="44"/>
    </row>
    <row r="34">
      <c r="A34" s="48" t="s">
        <v>4033</v>
      </c>
      <c r="B34" s="48"/>
      <c r="C34" s="64" t="s">
        <v>12007</v>
      </c>
      <c r="D34" s="48"/>
      <c r="E34" s="48" t="s">
        <v>11995</v>
      </c>
      <c r="F34" s="64" t="s">
        <v>622</v>
      </c>
      <c r="G34" s="60" t="s">
        <v>96</v>
      </c>
      <c r="H34" s="88">
        <v>0.41194</v>
      </c>
      <c r="I34" s="49" t="s">
        <v>12008</v>
      </c>
      <c r="J34" s="49" t="s">
        <v>12009</v>
      </c>
      <c r="K34" s="44"/>
      <c r="L34" s="44"/>
    </row>
    <row r="35">
      <c r="A35" s="48" t="s">
        <v>4047</v>
      </c>
      <c r="B35" s="48"/>
      <c r="C35" s="64" t="s">
        <v>12010</v>
      </c>
      <c r="D35" s="48"/>
      <c r="E35" s="48" t="s">
        <v>5218</v>
      </c>
      <c r="F35" s="64" t="s">
        <v>622</v>
      </c>
      <c r="G35" s="60" t="s">
        <v>96</v>
      </c>
      <c r="H35" s="88">
        <v>0.40831</v>
      </c>
      <c r="I35" s="49" t="s">
        <v>12011</v>
      </c>
      <c r="J35" s="49" t="s">
        <v>12012</v>
      </c>
      <c r="K35" s="44"/>
      <c r="L35" s="44"/>
    </row>
    <row r="36">
      <c r="A36" s="48" t="s">
        <v>4039</v>
      </c>
      <c r="B36" s="48"/>
      <c r="C36" s="64" t="s">
        <v>12013</v>
      </c>
      <c r="D36" s="48"/>
      <c r="E36" s="48" t="s">
        <v>12014</v>
      </c>
      <c r="F36" s="64" t="s">
        <v>622</v>
      </c>
      <c r="G36" s="60" t="s">
        <v>96</v>
      </c>
      <c r="H36" s="88">
        <v>0.39526</v>
      </c>
      <c r="I36" s="49" t="s">
        <v>12015</v>
      </c>
      <c r="J36" s="49" t="s">
        <v>12016</v>
      </c>
      <c r="K36" s="44"/>
      <c r="L36" s="44"/>
    </row>
    <row r="37">
      <c r="A37" s="48" t="s">
        <v>4035</v>
      </c>
      <c r="B37" s="48"/>
      <c r="C37" s="64" t="s">
        <v>12017</v>
      </c>
      <c r="D37" s="48"/>
      <c r="E37" s="48" t="s">
        <v>12018</v>
      </c>
      <c r="F37" s="64" t="s">
        <v>622</v>
      </c>
      <c r="G37" s="60" t="s">
        <v>96</v>
      </c>
      <c r="H37" s="88">
        <v>0.38862</v>
      </c>
      <c r="I37" s="49" t="s">
        <v>12019</v>
      </c>
      <c r="J37" s="49" t="s">
        <v>12020</v>
      </c>
      <c r="K37" s="44"/>
      <c r="L37" s="44"/>
    </row>
    <row r="38">
      <c r="A38" s="48" t="s">
        <v>4041</v>
      </c>
      <c r="B38" s="48"/>
      <c r="C38" s="64" t="s">
        <v>12021</v>
      </c>
      <c r="D38" s="48"/>
      <c r="E38" s="48" t="s">
        <v>11942</v>
      </c>
      <c r="F38" s="64" t="s">
        <v>622</v>
      </c>
      <c r="G38" s="60" t="s">
        <v>96</v>
      </c>
      <c r="H38" s="88">
        <v>0.38106</v>
      </c>
      <c r="I38" s="49" t="s">
        <v>12022</v>
      </c>
      <c r="J38" s="49" t="s">
        <v>12023</v>
      </c>
      <c r="K38" s="44"/>
      <c r="L38" s="44"/>
    </row>
    <row r="39">
      <c r="A39" s="48" t="s">
        <v>4038</v>
      </c>
      <c r="B39" s="48"/>
      <c r="C39" s="64" t="s">
        <v>12024</v>
      </c>
      <c r="D39" s="48"/>
      <c r="E39" s="48" t="s">
        <v>12025</v>
      </c>
      <c r="F39" s="64" t="s">
        <v>622</v>
      </c>
      <c r="G39" s="60" t="s">
        <v>96</v>
      </c>
      <c r="H39" s="88">
        <v>0.37507</v>
      </c>
      <c r="I39" s="49" t="s">
        <v>12026</v>
      </c>
      <c r="J39" s="49" t="s">
        <v>12027</v>
      </c>
      <c r="K39" s="44"/>
      <c r="L39" s="44"/>
    </row>
    <row r="40">
      <c r="A40" s="48" t="s">
        <v>8775</v>
      </c>
      <c r="B40" s="48"/>
      <c r="C40" s="48" t="s">
        <v>8776</v>
      </c>
      <c r="D40" s="48"/>
      <c r="E40" s="48" t="s">
        <v>5218</v>
      </c>
      <c r="F40" s="64" t="s">
        <v>645</v>
      </c>
      <c r="G40" s="60" t="s">
        <v>96</v>
      </c>
      <c r="H40" s="88">
        <v>0.37255</v>
      </c>
      <c r="I40" s="49" t="s">
        <v>12028</v>
      </c>
      <c r="J40" s="49" t="s">
        <v>12029</v>
      </c>
      <c r="K40" s="44"/>
      <c r="L40" s="44"/>
    </row>
    <row r="41">
      <c r="A41" s="48" t="s">
        <v>4042</v>
      </c>
      <c r="B41" s="48"/>
      <c r="C41" s="48" t="s">
        <v>12030</v>
      </c>
      <c r="D41" s="48"/>
      <c r="E41" s="48" t="s">
        <v>12031</v>
      </c>
      <c r="F41" s="64" t="s">
        <v>622</v>
      </c>
      <c r="G41" s="60" t="s">
        <v>96</v>
      </c>
      <c r="H41" s="88">
        <v>0.36859</v>
      </c>
      <c r="I41" s="49" t="s">
        <v>12032</v>
      </c>
      <c r="J41" s="49" t="s">
        <v>12033</v>
      </c>
      <c r="K41" s="44"/>
      <c r="L41" s="44"/>
    </row>
    <row r="42">
      <c r="A42" s="48" t="s">
        <v>4034</v>
      </c>
      <c r="B42" s="48"/>
      <c r="C42" s="64" t="s">
        <v>12034</v>
      </c>
      <c r="D42" s="48"/>
      <c r="E42" s="48" t="s">
        <v>12004</v>
      </c>
      <c r="F42" s="64" t="s">
        <v>622</v>
      </c>
      <c r="G42" s="60" t="s">
        <v>96</v>
      </c>
      <c r="H42" s="88">
        <v>0.36688</v>
      </c>
      <c r="I42" s="49" t="s">
        <v>12035</v>
      </c>
      <c r="J42" s="49" t="s">
        <v>12036</v>
      </c>
      <c r="K42" s="44"/>
      <c r="L42" s="44"/>
    </row>
    <row r="43">
      <c r="A43" s="48" t="s">
        <v>4051</v>
      </c>
      <c r="B43" s="48"/>
      <c r="C43" s="64" t="s">
        <v>12037</v>
      </c>
      <c r="D43" s="48"/>
      <c r="E43" s="48" t="s">
        <v>5650</v>
      </c>
      <c r="F43" s="64" t="s">
        <v>622</v>
      </c>
      <c r="G43" s="60" t="s">
        <v>96</v>
      </c>
      <c r="H43" s="88">
        <v>0.36346</v>
      </c>
      <c r="I43" s="49" t="s">
        <v>12038</v>
      </c>
      <c r="J43" s="49" t="s">
        <v>12039</v>
      </c>
      <c r="K43" s="44"/>
      <c r="L43" s="44"/>
    </row>
    <row r="44">
      <c r="A44" s="48" t="s">
        <v>11223</v>
      </c>
      <c r="B44" s="48"/>
      <c r="C44" s="48" t="s">
        <v>11224</v>
      </c>
      <c r="D44" s="48"/>
      <c r="E44" s="48" t="s">
        <v>11936</v>
      </c>
      <c r="F44" s="64" t="s">
        <v>11998</v>
      </c>
      <c r="G44" s="60" t="s">
        <v>96</v>
      </c>
      <c r="H44" s="88">
        <v>0.35916</v>
      </c>
      <c r="I44" s="49" t="s">
        <v>12040</v>
      </c>
      <c r="J44" s="49" t="s">
        <v>12041</v>
      </c>
      <c r="K44" s="44"/>
      <c r="L44" s="44"/>
    </row>
    <row r="45">
      <c r="A45" s="48" t="s">
        <v>4050</v>
      </c>
      <c r="B45" s="48"/>
      <c r="C45" s="64" t="s">
        <v>12042</v>
      </c>
      <c r="D45" s="48"/>
      <c r="E45" s="48" t="s">
        <v>12043</v>
      </c>
      <c r="F45" s="64" t="s">
        <v>622</v>
      </c>
      <c r="G45" s="60" t="s">
        <v>96</v>
      </c>
      <c r="H45" s="88">
        <v>0.33681</v>
      </c>
      <c r="I45" s="49" t="s">
        <v>12044</v>
      </c>
      <c r="J45" s="49" t="s">
        <v>12045</v>
      </c>
      <c r="K45" s="44"/>
      <c r="L45" s="44"/>
    </row>
    <row r="46">
      <c r="A46" s="48" t="s">
        <v>4048</v>
      </c>
      <c r="B46" s="48"/>
      <c r="C46" s="48" t="s">
        <v>8786</v>
      </c>
      <c r="D46" s="48"/>
      <c r="E46" s="48" t="s">
        <v>12046</v>
      </c>
      <c r="F46" s="64" t="s">
        <v>622</v>
      </c>
      <c r="G46" s="60" t="s">
        <v>96</v>
      </c>
      <c r="H46" s="88">
        <v>0.33656</v>
      </c>
      <c r="I46" s="49" t="s">
        <v>12047</v>
      </c>
      <c r="J46" s="49" t="s">
        <v>12048</v>
      </c>
      <c r="K46" s="44"/>
      <c r="L46" s="44"/>
    </row>
    <row r="47">
      <c r="A47" s="48" t="s">
        <v>4046</v>
      </c>
      <c r="B47" s="48"/>
      <c r="C47" s="48" t="s">
        <v>8788</v>
      </c>
      <c r="D47" s="48"/>
      <c r="E47" s="48" t="s">
        <v>12049</v>
      </c>
      <c r="F47" s="64" t="s">
        <v>622</v>
      </c>
      <c r="G47" s="60" t="s">
        <v>96</v>
      </c>
      <c r="H47" s="88">
        <v>0.33087</v>
      </c>
      <c r="I47" s="49" t="s">
        <v>12050</v>
      </c>
      <c r="J47" s="49" t="s">
        <v>12051</v>
      </c>
      <c r="K47" s="44"/>
      <c r="L47" s="44"/>
    </row>
    <row r="48">
      <c r="A48" s="48" t="s">
        <v>4049</v>
      </c>
      <c r="B48" s="48"/>
      <c r="C48" s="64" t="s">
        <v>12052</v>
      </c>
      <c r="D48" s="48"/>
      <c r="E48" s="48" t="s">
        <v>11903</v>
      </c>
      <c r="F48" s="64" t="s">
        <v>622</v>
      </c>
      <c r="G48" s="60" t="s">
        <v>96</v>
      </c>
      <c r="H48" s="88">
        <v>0.32773</v>
      </c>
      <c r="I48" s="49" t="s">
        <v>12053</v>
      </c>
      <c r="J48" s="49" t="s">
        <v>12054</v>
      </c>
      <c r="K48" s="44"/>
      <c r="L48" s="44"/>
    </row>
    <row r="49">
      <c r="A49" s="48" t="s">
        <v>4044</v>
      </c>
      <c r="B49" s="48"/>
      <c r="C49" s="64" t="s">
        <v>12055</v>
      </c>
      <c r="D49" s="48"/>
      <c r="E49" s="48" t="s">
        <v>12056</v>
      </c>
      <c r="F49" s="64" t="s">
        <v>622</v>
      </c>
      <c r="G49" s="60" t="s">
        <v>96</v>
      </c>
      <c r="H49" s="88">
        <v>0.31535</v>
      </c>
      <c r="I49" s="49" t="s">
        <v>12057</v>
      </c>
      <c r="J49" s="49" t="s">
        <v>12058</v>
      </c>
      <c r="K49" s="44"/>
      <c r="L49" s="44"/>
    </row>
    <row r="50">
      <c r="A50" s="48" t="s">
        <v>4058</v>
      </c>
      <c r="B50" s="48"/>
      <c r="C50" s="64" t="s">
        <v>12059</v>
      </c>
      <c r="D50" s="48"/>
      <c r="E50" s="48" t="s">
        <v>12043</v>
      </c>
      <c r="F50" s="64" t="s">
        <v>622</v>
      </c>
      <c r="G50" s="60" t="s">
        <v>96</v>
      </c>
      <c r="H50" s="88">
        <v>0.30672</v>
      </c>
      <c r="I50" s="49" t="s">
        <v>12060</v>
      </c>
      <c r="J50" s="49" t="s">
        <v>12061</v>
      </c>
      <c r="K50" s="44"/>
      <c r="L50" s="44"/>
    </row>
    <row r="51">
      <c r="A51" s="48" t="s">
        <v>4052</v>
      </c>
      <c r="B51" s="48"/>
      <c r="C51" s="64" t="s">
        <v>12062</v>
      </c>
      <c r="D51" s="48"/>
      <c r="E51" s="48" t="s">
        <v>12025</v>
      </c>
      <c r="F51" s="64" t="s">
        <v>622</v>
      </c>
      <c r="G51" s="60" t="s">
        <v>96</v>
      </c>
      <c r="H51" s="88">
        <v>0.30365</v>
      </c>
      <c r="I51" s="49" t="s">
        <v>12063</v>
      </c>
      <c r="J51" s="49" t="s">
        <v>12064</v>
      </c>
      <c r="K51" s="44"/>
      <c r="L51" s="44"/>
    </row>
    <row r="52">
      <c r="A52" s="48" t="s">
        <v>4061</v>
      </c>
      <c r="B52" s="48"/>
      <c r="C52" s="64" t="s">
        <v>12065</v>
      </c>
      <c r="D52" s="48"/>
      <c r="E52" s="48" t="s">
        <v>5650</v>
      </c>
      <c r="F52" s="64" t="s">
        <v>622</v>
      </c>
      <c r="G52" s="60" t="s">
        <v>96</v>
      </c>
      <c r="H52" s="88">
        <v>0.30162</v>
      </c>
      <c r="I52" s="49" t="s">
        <v>12066</v>
      </c>
      <c r="J52" s="49" t="s">
        <v>12067</v>
      </c>
      <c r="K52" s="44"/>
      <c r="L52" s="44"/>
    </row>
    <row r="53">
      <c r="A53" s="48" t="s">
        <v>4053</v>
      </c>
      <c r="B53" s="48"/>
      <c r="C53" s="64" t="s">
        <v>12068</v>
      </c>
      <c r="D53" s="48"/>
      <c r="E53" s="48" t="s">
        <v>11942</v>
      </c>
      <c r="F53" s="64" t="s">
        <v>622</v>
      </c>
      <c r="G53" s="60" t="s">
        <v>96</v>
      </c>
      <c r="H53" s="88">
        <v>0.28642</v>
      </c>
      <c r="I53" s="49" t="s">
        <v>12069</v>
      </c>
      <c r="J53" s="49" t="s">
        <v>12070</v>
      </c>
      <c r="K53" s="44"/>
      <c r="L53" s="44"/>
    </row>
    <row r="54">
      <c r="A54" s="48" t="s">
        <v>4067</v>
      </c>
      <c r="B54" s="48"/>
      <c r="C54" s="64" t="s">
        <v>12071</v>
      </c>
      <c r="D54" s="48"/>
      <c r="E54" s="48" t="s">
        <v>12072</v>
      </c>
      <c r="F54" s="64" t="s">
        <v>622</v>
      </c>
      <c r="G54" s="60" t="s">
        <v>96</v>
      </c>
      <c r="H54" s="88">
        <v>0.28455</v>
      </c>
      <c r="I54" s="49" t="s">
        <v>12073</v>
      </c>
      <c r="J54" s="49" t="s">
        <v>12074</v>
      </c>
      <c r="K54" s="44"/>
      <c r="L54" s="44"/>
    </row>
    <row r="55">
      <c r="A55" s="48" t="s">
        <v>11226</v>
      </c>
      <c r="B55" s="48"/>
      <c r="C55" s="48" t="s">
        <v>11227</v>
      </c>
      <c r="D55" s="48"/>
      <c r="E55" s="48" t="s">
        <v>11942</v>
      </c>
      <c r="F55" s="64" t="s">
        <v>11998</v>
      </c>
      <c r="G55" s="60" t="s">
        <v>96</v>
      </c>
      <c r="H55" s="88">
        <v>0.27957</v>
      </c>
      <c r="I55" s="49" t="s">
        <v>12075</v>
      </c>
      <c r="J55" s="49" t="s">
        <v>12076</v>
      </c>
      <c r="K55" s="44"/>
      <c r="L55" s="44"/>
    </row>
    <row r="56">
      <c r="A56" s="48" t="s">
        <v>4082</v>
      </c>
      <c r="B56" s="48"/>
      <c r="C56" s="64" t="s">
        <v>12077</v>
      </c>
      <c r="D56" s="48"/>
      <c r="E56" s="48" t="s">
        <v>12078</v>
      </c>
      <c r="F56" s="64" t="s">
        <v>622</v>
      </c>
      <c r="G56" s="60" t="s">
        <v>96</v>
      </c>
      <c r="H56" s="88">
        <v>0.27945</v>
      </c>
      <c r="I56" s="49" t="s">
        <v>12079</v>
      </c>
      <c r="J56" s="49" t="s">
        <v>12080</v>
      </c>
      <c r="K56" s="44"/>
      <c r="L56" s="44"/>
    </row>
    <row r="57">
      <c r="A57" s="48" t="s">
        <v>6643</v>
      </c>
      <c r="B57" s="48"/>
      <c r="C57" s="64" t="s">
        <v>12081</v>
      </c>
      <c r="D57" s="48"/>
      <c r="E57" s="48" t="s">
        <v>11924</v>
      </c>
      <c r="F57" s="64" t="s">
        <v>629</v>
      </c>
      <c r="G57" s="60" t="s">
        <v>96</v>
      </c>
      <c r="H57" s="88">
        <v>0.2768</v>
      </c>
      <c r="I57" s="49" t="s">
        <v>12082</v>
      </c>
      <c r="J57" s="49" t="s">
        <v>12083</v>
      </c>
      <c r="K57" s="44"/>
      <c r="L57" s="44"/>
    </row>
    <row r="58">
      <c r="A58" s="48" t="s">
        <v>4063</v>
      </c>
      <c r="B58" s="48"/>
      <c r="C58" s="64" t="s">
        <v>12084</v>
      </c>
      <c r="D58" s="48"/>
      <c r="E58" s="48" t="s">
        <v>6083</v>
      </c>
      <c r="F58" s="64" t="s">
        <v>622</v>
      </c>
      <c r="G58" s="60" t="s">
        <v>96</v>
      </c>
      <c r="H58" s="88">
        <v>0.26631</v>
      </c>
      <c r="I58" s="49" t="s">
        <v>12085</v>
      </c>
      <c r="J58" s="49" t="s">
        <v>12086</v>
      </c>
      <c r="K58" s="44"/>
      <c r="L58" s="44"/>
    </row>
    <row r="59">
      <c r="A59" s="48" t="s">
        <v>8795</v>
      </c>
      <c r="B59" s="48"/>
      <c r="C59" s="48" t="s">
        <v>973</v>
      </c>
      <c r="D59" s="48"/>
      <c r="E59" s="48" t="s">
        <v>12004</v>
      </c>
      <c r="F59" s="64" t="s">
        <v>649</v>
      </c>
      <c r="G59" s="60" t="s">
        <v>96</v>
      </c>
      <c r="H59" s="88">
        <v>0.25995</v>
      </c>
      <c r="I59" s="49" t="s">
        <v>12087</v>
      </c>
      <c r="J59" s="49" t="s">
        <v>12088</v>
      </c>
      <c r="K59" s="44"/>
      <c r="L59" s="44"/>
    </row>
    <row r="60">
      <c r="A60" s="48" t="s">
        <v>4098</v>
      </c>
      <c r="B60" s="48"/>
      <c r="C60" s="64" t="s">
        <v>12089</v>
      </c>
      <c r="D60" s="48"/>
      <c r="E60" s="48" t="s">
        <v>12090</v>
      </c>
      <c r="F60" s="64" t="s">
        <v>622</v>
      </c>
      <c r="G60" s="60" t="s">
        <v>96</v>
      </c>
      <c r="H60" s="88">
        <v>0.25969</v>
      </c>
      <c r="I60" s="49" t="s">
        <v>12091</v>
      </c>
      <c r="J60" s="49" t="s">
        <v>12092</v>
      </c>
      <c r="K60" s="44"/>
      <c r="L60" s="44"/>
    </row>
    <row r="61">
      <c r="A61" s="48" t="s">
        <v>4077</v>
      </c>
      <c r="B61" s="48"/>
      <c r="C61" s="64" t="s">
        <v>12093</v>
      </c>
      <c r="D61" s="48"/>
      <c r="E61" s="48" t="s">
        <v>5218</v>
      </c>
      <c r="F61" s="64" t="s">
        <v>622</v>
      </c>
      <c r="G61" s="60" t="s">
        <v>96</v>
      </c>
      <c r="H61" s="88">
        <v>0.25879</v>
      </c>
      <c r="I61" s="49" t="s">
        <v>12094</v>
      </c>
      <c r="J61" s="49" t="s">
        <v>12095</v>
      </c>
      <c r="K61" s="44"/>
      <c r="L61" s="44"/>
    </row>
    <row r="62">
      <c r="A62" s="48" t="s">
        <v>11230</v>
      </c>
      <c r="B62" s="48"/>
      <c r="C62" s="48" t="s">
        <v>11231</v>
      </c>
      <c r="D62" s="48"/>
      <c r="E62" s="48" t="s">
        <v>11936</v>
      </c>
      <c r="F62" s="64" t="s">
        <v>639</v>
      </c>
      <c r="G62" s="60" t="s">
        <v>96</v>
      </c>
      <c r="H62" s="88">
        <v>0.25501</v>
      </c>
      <c r="I62" s="49" t="s">
        <v>12096</v>
      </c>
      <c r="J62" s="49" t="s">
        <v>12097</v>
      </c>
      <c r="K62" s="44"/>
      <c r="L62" s="44"/>
    </row>
    <row r="63">
      <c r="A63" s="48" t="s">
        <v>4055</v>
      </c>
      <c r="B63" s="48"/>
      <c r="C63" s="64" t="s">
        <v>12098</v>
      </c>
      <c r="D63" s="48"/>
      <c r="E63" s="48" t="s">
        <v>5650</v>
      </c>
      <c r="F63" s="64" t="s">
        <v>622</v>
      </c>
      <c r="G63" s="60" t="s">
        <v>96</v>
      </c>
      <c r="H63" s="88">
        <v>0.24832</v>
      </c>
      <c r="I63" s="49" t="s">
        <v>12099</v>
      </c>
      <c r="J63" s="49" t="s">
        <v>12100</v>
      </c>
      <c r="K63" s="44"/>
      <c r="L63" s="44"/>
    </row>
    <row r="64">
      <c r="A64" s="48" t="s">
        <v>4087</v>
      </c>
      <c r="B64" s="48"/>
      <c r="C64" s="64" t="s">
        <v>12101</v>
      </c>
      <c r="D64" s="48"/>
      <c r="E64" s="48" t="s">
        <v>6947</v>
      </c>
      <c r="F64" s="64" t="s">
        <v>622</v>
      </c>
      <c r="G64" s="60" t="s">
        <v>96</v>
      </c>
      <c r="H64" s="88">
        <v>0.24761</v>
      </c>
      <c r="I64" s="49" t="s">
        <v>12102</v>
      </c>
      <c r="J64" s="49" t="s">
        <v>12103</v>
      </c>
      <c r="K64" s="44"/>
      <c r="L64" s="44"/>
    </row>
    <row r="65">
      <c r="A65" s="48" t="s">
        <v>4071</v>
      </c>
      <c r="B65" s="48"/>
      <c r="C65" s="64" t="s">
        <v>12104</v>
      </c>
      <c r="D65" s="48"/>
      <c r="E65" s="48" t="s">
        <v>12105</v>
      </c>
      <c r="F65" s="64" t="s">
        <v>622</v>
      </c>
      <c r="G65" s="60" t="s">
        <v>96</v>
      </c>
      <c r="H65" s="88">
        <v>0.2433</v>
      </c>
      <c r="I65" s="49" t="s">
        <v>12106</v>
      </c>
      <c r="J65" s="49" t="s">
        <v>12107</v>
      </c>
      <c r="K65" s="44"/>
      <c r="L65" s="44"/>
    </row>
    <row r="66">
      <c r="A66" s="48" t="s">
        <v>4072</v>
      </c>
      <c r="B66" s="48"/>
      <c r="C66" s="64" t="s">
        <v>12108</v>
      </c>
      <c r="D66" s="48"/>
      <c r="E66" s="48" t="s">
        <v>5650</v>
      </c>
      <c r="F66" s="64" t="s">
        <v>622</v>
      </c>
      <c r="G66" s="60" t="s">
        <v>96</v>
      </c>
      <c r="H66" s="88">
        <v>0.2417</v>
      </c>
      <c r="I66" s="49" t="s">
        <v>12109</v>
      </c>
      <c r="J66" s="49" t="s">
        <v>12110</v>
      </c>
      <c r="K66" s="44"/>
      <c r="L66" s="44"/>
    </row>
    <row r="67">
      <c r="A67" s="48" t="s">
        <v>11235</v>
      </c>
      <c r="B67" s="48"/>
      <c r="C67" s="48" t="s">
        <v>11236</v>
      </c>
      <c r="D67" s="48"/>
      <c r="E67" s="48" t="s">
        <v>12105</v>
      </c>
      <c r="F67" s="64" t="s">
        <v>649</v>
      </c>
      <c r="G67" s="60" t="s">
        <v>96</v>
      </c>
      <c r="H67" s="88">
        <v>0.2382</v>
      </c>
      <c r="I67" s="49" t="s">
        <v>12111</v>
      </c>
      <c r="J67" s="49" t="s">
        <v>12112</v>
      </c>
      <c r="K67" s="44"/>
      <c r="L67" s="44"/>
    </row>
    <row r="68">
      <c r="A68" s="48" t="s">
        <v>8802</v>
      </c>
      <c r="B68" s="48"/>
      <c r="C68" s="48" t="s">
        <v>8803</v>
      </c>
      <c r="D68" s="48"/>
      <c r="E68" s="48" t="s">
        <v>11942</v>
      </c>
      <c r="F68" s="64" t="s">
        <v>694</v>
      </c>
      <c r="G68" s="60" t="s">
        <v>96</v>
      </c>
      <c r="H68" s="88">
        <v>0.23272</v>
      </c>
      <c r="I68" s="49" t="s">
        <v>12113</v>
      </c>
      <c r="J68" s="49" t="s">
        <v>12114</v>
      </c>
      <c r="K68" s="44"/>
      <c r="L68" s="44"/>
    </row>
    <row r="69">
      <c r="A69" s="48" t="s">
        <v>4079</v>
      </c>
      <c r="B69" s="48"/>
      <c r="C69" s="64" t="s">
        <v>12115</v>
      </c>
      <c r="D69" s="48"/>
      <c r="E69" s="48" t="s">
        <v>12116</v>
      </c>
      <c r="F69" s="64" t="s">
        <v>622</v>
      </c>
      <c r="G69" s="60" t="s">
        <v>96</v>
      </c>
      <c r="H69" s="88">
        <v>0.23176</v>
      </c>
      <c r="I69" s="49" t="s">
        <v>12117</v>
      </c>
      <c r="J69" s="49" t="s">
        <v>12118</v>
      </c>
      <c r="K69" s="44"/>
      <c r="L69" s="44"/>
    </row>
    <row r="70">
      <c r="A70" s="48" t="s">
        <v>4084</v>
      </c>
      <c r="B70" s="48"/>
      <c r="C70" s="64" t="s">
        <v>12119</v>
      </c>
      <c r="D70" s="48"/>
      <c r="E70" s="48" t="s">
        <v>12120</v>
      </c>
      <c r="F70" s="64" t="s">
        <v>622</v>
      </c>
      <c r="G70" s="60" t="s">
        <v>96</v>
      </c>
      <c r="H70" s="88">
        <v>0.23056</v>
      </c>
      <c r="I70" s="49" t="s">
        <v>12121</v>
      </c>
      <c r="J70" s="49" t="s">
        <v>12122</v>
      </c>
      <c r="K70" s="44"/>
      <c r="L70" s="44"/>
    </row>
    <row r="71">
      <c r="A71" s="48" t="s">
        <v>4057</v>
      </c>
      <c r="B71" s="48"/>
      <c r="C71" s="48" t="s">
        <v>11232</v>
      </c>
      <c r="D71" s="48"/>
      <c r="E71" s="48" t="s">
        <v>12123</v>
      </c>
      <c r="F71" s="64" t="s">
        <v>622</v>
      </c>
      <c r="G71" s="60" t="s">
        <v>96</v>
      </c>
      <c r="H71" s="88">
        <v>0.22987</v>
      </c>
      <c r="I71" s="49" t="s">
        <v>12124</v>
      </c>
      <c r="J71" s="49" t="s">
        <v>12125</v>
      </c>
      <c r="K71" s="44"/>
      <c r="L71" s="44"/>
    </row>
    <row r="72">
      <c r="A72" s="48" t="s">
        <v>4075</v>
      </c>
      <c r="B72" s="48"/>
      <c r="C72" s="64" t="s">
        <v>12126</v>
      </c>
      <c r="D72" s="48"/>
      <c r="E72" s="48" t="s">
        <v>11969</v>
      </c>
      <c r="F72" s="64" t="s">
        <v>622</v>
      </c>
      <c r="G72" s="60" t="s">
        <v>96</v>
      </c>
      <c r="H72" s="88">
        <v>0.22901</v>
      </c>
      <c r="I72" s="49" t="s">
        <v>12127</v>
      </c>
      <c r="J72" s="49" t="s">
        <v>12128</v>
      </c>
      <c r="K72" s="44"/>
      <c r="L72" s="44"/>
    </row>
    <row r="73">
      <c r="A73" s="48" t="s">
        <v>8823</v>
      </c>
      <c r="B73" s="48"/>
      <c r="C73" s="64" t="s">
        <v>12129</v>
      </c>
      <c r="D73" s="48"/>
      <c r="E73" s="48" t="s">
        <v>6275</v>
      </c>
      <c r="F73" s="64" t="s">
        <v>629</v>
      </c>
      <c r="G73" s="60" t="s">
        <v>96</v>
      </c>
      <c r="H73" s="88">
        <v>0.22656</v>
      </c>
      <c r="I73" s="49" t="s">
        <v>12130</v>
      </c>
      <c r="J73" s="49" t="s">
        <v>12131</v>
      </c>
      <c r="K73" s="44"/>
      <c r="L73" s="44"/>
    </row>
    <row r="74">
      <c r="A74" s="48" t="s">
        <v>4060</v>
      </c>
      <c r="B74" s="48"/>
      <c r="C74" s="64" t="s">
        <v>12132</v>
      </c>
      <c r="D74" s="48"/>
      <c r="E74" s="48" t="s">
        <v>5478</v>
      </c>
      <c r="F74" s="64" t="s">
        <v>622</v>
      </c>
      <c r="G74" s="60" t="s">
        <v>96</v>
      </c>
      <c r="H74" s="88">
        <v>0.22548</v>
      </c>
      <c r="I74" s="49" t="s">
        <v>12133</v>
      </c>
      <c r="J74" s="49" t="s">
        <v>12134</v>
      </c>
      <c r="K74" s="44"/>
      <c r="L74" s="44"/>
    </row>
    <row r="75">
      <c r="A75" s="48" t="s">
        <v>4070</v>
      </c>
      <c r="B75" s="48"/>
      <c r="C75" s="64" t="s">
        <v>12135</v>
      </c>
      <c r="D75" s="48"/>
      <c r="E75" s="48" t="s">
        <v>12136</v>
      </c>
      <c r="F75" s="64" t="s">
        <v>622</v>
      </c>
      <c r="G75" s="60" t="s">
        <v>96</v>
      </c>
      <c r="H75" s="88">
        <v>0.22437</v>
      </c>
      <c r="I75" s="49" t="s">
        <v>12137</v>
      </c>
      <c r="J75" s="49" t="s">
        <v>12138</v>
      </c>
      <c r="K75" s="44"/>
      <c r="L75" s="44"/>
    </row>
    <row r="76">
      <c r="A76" s="48" t="s">
        <v>4089</v>
      </c>
      <c r="B76" s="48"/>
      <c r="C76" s="64" t="s">
        <v>12139</v>
      </c>
      <c r="D76" s="48"/>
      <c r="E76" s="48" t="s">
        <v>12090</v>
      </c>
      <c r="F76" s="64" t="s">
        <v>622</v>
      </c>
      <c r="G76" s="60" t="s">
        <v>96</v>
      </c>
      <c r="H76" s="88">
        <v>0.22315</v>
      </c>
      <c r="I76" s="49" t="s">
        <v>12140</v>
      </c>
      <c r="J76" s="49" t="s">
        <v>12141</v>
      </c>
      <c r="K76" s="44"/>
      <c r="L76" s="44"/>
    </row>
    <row r="77">
      <c r="A77" s="48" t="s">
        <v>4068</v>
      </c>
      <c r="B77" s="48"/>
      <c r="C77" s="64" t="s">
        <v>12142</v>
      </c>
      <c r="D77" s="48"/>
      <c r="E77" s="48" t="s">
        <v>12031</v>
      </c>
      <c r="F77" s="64" t="s">
        <v>622</v>
      </c>
      <c r="G77" s="60" t="s">
        <v>96</v>
      </c>
      <c r="H77" s="88">
        <v>0.22226</v>
      </c>
      <c r="I77" s="49" t="s">
        <v>12143</v>
      </c>
      <c r="J77" s="49" t="s">
        <v>12144</v>
      </c>
      <c r="K77" s="44"/>
      <c r="L77" s="44"/>
    </row>
    <row r="78">
      <c r="A78" s="48" t="s">
        <v>8817</v>
      </c>
      <c r="B78" s="48"/>
      <c r="C78" s="48" t="s">
        <v>8818</v>
      </c>
      <c r="D78" s="48"/>
      <c r="E78" s="48" t="s">
        <v>5218</v>
      </c>
      <c r="F78" s="64" t="s">
        <v>639</v>
      </c>
      <c r="G78" s="60" t="s">
        <v>96</v>
      </c>
      <c r="H78" s="88">
        <v>0.22074</v>
      </c>
      <c r="I78" s="49" t="s">
        <v>12145</v>
      </c>
      <c r="J78" s="49" t="s">
        <v>12146</v>
      </c>
      <c r="K78" s="44"/>
      <c r="L78" s="44"/>
    </row>
    <row r="79">
      <c r="A79" s="48" t="s">
        <v>4103</v>
      </c>
      <c r="B79" s="48"/>
      <c r="C79" s="64" t="s">
        <v>12147</v>
      </c>
      <c r="D79" s="48"/>
      <c r="E79" s="48" t="s">
        <v>5564</v>
      </c>
      <c r="F79" s="64" t="s">
        <v>622</v>
      </c>
      <c r="G79" s="60" t="s">
        <v>96</v>
      </c>
      <c r="H79" s="88">
        <v>0.21974</v>
      </c>
      <c r="I79" s="49" t="s">
        <v>12148</v>
      </c>
      <c r="J79" s="49" t="s">
        <v>12149</v>
      </c>
      <c r="K79" s="44"/>
      <c r="L79" s="44"/>
    </row>
    <row r="80">
      <c r="A80" s="48" t="s">
        <v>4065</v>
      </c>
      <c r="B80" s="48"/>
      <c r="C80" s="64" t="s">
        <v>12150</v>
      </c>
      <c r="D80" s="48"/>
      <c r="E80" s="48" t="s">
        <v>12004</v>
      </c>
      <c r="F80" s="64" t="s">
        <v>622</v>
      </c>
      <c r="G80" s="60" t="s">
        <v>96</v>
      </c>
      <c r="H80" s="88">
        <v>0.21878</v>
      </c>
      <c r="I80" s="49" t="s">
        <v>12151</v>
      </c>
      <c r="J80" s="49" t="s">
        <v>12152</v>
      </c>
      <c r="K80" s="44"/>
      <c r="L80" s="44"/>
    </row>
    <row r="81">
      <c r="A81" s="48" t="s">
        <v>4080</v>
      </c>
      <c r="B81" s="48"/>
      <c r="C81" s="64" t="s">
        <v>12153</v>
      </c>
      <c r="D81" s="48"/>
      <c r="E81" s="48" t="s">
        <v>11965</v>
      </c>
      <c r="F81" s="64" t="s">
        <v>622</v>
      </c>
      <c r="G81" s="60" t="s">
        <v>96</v>
      </c>
      <c r="H81" s="88">
        <v>0.21635</v>
      </c>
      <c r="I81" s="49" t="s">
        <v>12154</v>
      </c>
      <c r="J81" s="49" t="s">
        <v>12155</v>
      </c>
      <c r="K81" s="44"/>
      <c r="L81" s="44"/>
    </row>
    <row r="82">
      <c r="A82" s="48" t="s">
        <v>4101</v>
      </c>
      <c r="B82" s="48"/>
      <c r="C82" s="64" t="s">
        <v>12156</v>
      </c>
      <c r="D82" s="48"/>
      <c r="E82" s="48" t="s">
        <v>12014</v>
      </c>
      <c r="F82" s="64" t="s">
        <v>622</v>
      </c>
      <c r="G82" s="60" t="s">
        <v>96</v>
      </c>
      <c r="H82" s="88">
        <v>0.2146</v>
      </c>
      <c r="I82" s="49" t="s">
        <v>12157</v>
      </c>
      <c r="J82" s="49" t="s">
        <v>12158</v>
      </c>
      <c r="K82" s="44"/>
      <c r="L82" s="44"/>
    </row>
    <row r="83">
      <c r="A83" s="48" t="s">
        <v>4091</v>
      </c>
      <c r="B83" s="48"/>
      <c r="C83" s="64" t="s">
        <v>12159</v>
      </c>
      <c r="D83" s="48"/>
      <c r="E83" s="48" t="s">
        <v>12072</v>
      </c>
      <c r="F83" s="64" t="s">
        <v>622</v>
      </c>
      <c r="G83" s="60" t="s">
        <v>96</v>
      </c>
      <c r="H83" s="88">
        <v>0.21388</v>
      </c>
      <c r="I83" s="49" t="s">
        <v>12160</v>
      </c>
      <c r="J83" s="49" t="s">
        <v>12161</v>
      </c>
      <c r="K83" s="44"/>
      <c r="L83" s="44"/>
    </row>
    <row r="84">
      <c r="A84" s="48" t="s">
        <v>8815</v>
      </c>
      <c r="B84" s="48"/>
      <c r="C84" s="64" t="s">
        <v>12162</v>
      </c>
      <c r="D84" s="48"/>
      <c r="E84" s="48" t="s">
        <v>12163</v>
      </c>
      <c r="F84" s="64" t="s">
        <v>822</v>
      </c>
      <c r="G84" s="60" t="s">
        <v>96</v>
      </c>
      <c r="H84" s="88">
        <v>0.21347</v>
      </c>
      <c r="I84" s="49" t="s">
        <v>12164</v>
      </c>
      <c r="J84" s="49" t="s">
        <v>12165</v>
      </c>
      <c r="K84" s="44"/>
      <c r="L84" s="44"/>
    </row>
    <row r="85">
      <c r="A85" s="48" t="s">
        <v>4073</v>
      </c>
      <c r="B85" s="48"/>
      <c r="C85" s="64" t="s">
        <v>12166</v>
      </c>
      <c r="D85" s="48"/>
      <c r="E85" s="48" t="s">
        <v>12105</v>
      </c>
      <c r="F85" s="64" t="s">
        <v>622</v>
      </c>
      <c r="G85" s="60" t="s">
        <v>96</v>
      </c>
      <c r="H85" s="88">
        <v>0.21232</v>
      </c>
      <c r="I85" s="49" t="s">
        <v>12167</v>
      </c>
      <c r="J85" s="49" t="s">
        <v>12168</v>
      </c>
      <c r="K85" s="44"/>
      <c r="L85" s="44"/>
    </row>
    <row r="86">
      <c r="A86" s="48" t="s">
        <v>4083</v>
      </c>
      <c r="B86" s="48"/>
      <c r="C86" s="64" t="s">
        <v>12169</v>
      </c>
      <c r="D86" s="48"/>
      <c r="E86" s="48" t="s">
        <v>11903</v>
      </c>
      <c r="F86" s="64" t="s">
        <v>622</v>
      </c>
      <c r="G86" s="60" t="s">
        <v>96</v>
      </c>
      <c r="H86" s="88">
        <v>0.21069</v>
      </c>
      <c r="I86" s="49" t="s">
        <v>12170</v>
      </c>
      <c r="J86" s="49" t="s">
        <v>12171</v>
      </c>
      <c r="K86" s="44"/>
      <c r="L86" s="44"/>
    </row>
    <row r="87">
      <c r="A87" s="48" t="s">
        <v>4100</v>
      </c>
      <c r="B87" s="48"/>
      <c r="C87" s="48" t="s">
        <v>8819</v>
      </c>
      <c r="D87" s="48"/>
      <c r="E87" s="48" t="s">
        <v>12046</v>
      </c>
      <c r="F87" s="64" t="s">
        <v>622</v>
      </c>
      <c r="G87" s="60" t="s">
        <v>96</v>
      </c>
      <c r="H87" s="88">
        <v>0.20962</v>
      </c>
      <c r="I87" s="49" t="s">
        <v>12172</v>
      </c>
      <c r="J87" s="49" t="s">
        <v>12173</v>
      </c>
      <c r="K87" s="44"/>
      <c r="L87" s="44"/>
    </row>
    <row r="88">
      <c r="A88" s="48" t="s">
        <v>4092</v>
      </c>
      <c r="B88" s="48"/>
      <c r="C88" s="64" t="s">
        <v>12174</v>
      </c>
      <c r="D88" s="48"/>
      <c r="E88" s="48" t="s">
        <v>12175</v>
      </c>
      <c r="F88" s="64" t="s">
        <v>622</v>
      </c>
      <c r="G88" s="60" t="s">
        <v>96</v>
      </c>
      <c r="H88" s="88">
        <v>0.20735</v>
      </c>
      <c r="I88" s="49" t="s">
        <v>12176</v>
      </c>
      <c r="J88" s="49" t="s">
        <v>12177</v>
      </c>
      <c r="K88" s="44"/>
      <c r="L88" s="44"/>
    </row>
    <row r="89">
      <c r="A89" s="48" t="s">
        <v>4102</v>
      </c>
      <c r="B89" s="48"/>
      <c r="C89" s="64" t="s">
        <v>12178</v>
      </c>
      <c r="D89" s="48"/>
      <c r="E89" s="48" t="s">
        <v>12046</v>
      </c>
      <c r="F89" s="64" t="s">
        <v>622</v>
      </c>
      <c r="G89" s="60" t="s">
        <v>96</v>
      </c>
      <c r="H89" s="88">
        <v>0.20661</v>
      </c>
      <c r="I89" s="49" t="s">
        <v>12179</v>
      </c>
      <c r="J89" s="49" t="s">
        <v>12180</v>
      </c>
      <c r="K89" s="44"/>
      <c r="L89" s="44"/>
    </row>
    <row r="90">
      <c r="A90" s="48" t="s">
        <v>4066</v>
      </c>
      <c r="B90" s="48"/>
      <c r="C90" s="64" t="s">
        <v>12181</v>
      </c>
      <c r="D90" s="48"/>
      <c r="E90" s="48" t="s">
        <v>12182</v>
      </c>
      <c r="F90" s="64" t="s">
        <v>622</v>
      </c>
      <c r="G90" s="60" t="s">
        <v>96</v>
      </c>
      <c r="H90" s="88">
        <v>0.20292</v>
      </c>
      <c r="I90" s="49" t="s">
        <v>12183</v>
      </c>
      <c r="J90" s="49" t="s">
        <v>12184</v>
      </c>
      <c r="K90" s="44"/>
      <c r="L90" s="44"/>
    </row>
    <row r="91">
      <c r="A91" s="48" t="s">
        <v>4094</v>
      </c>
      <c r="B91" s="48"/>
      <c r="C91" s="64" t="s">
        <v>12185</v>
      </c>
      <c r="D91" s="48"/>
      <c r="E91" s="48" t="s">
        <v>11928</v>
      </c>
      <c r="F91" s="64" t="s">
        <v>622</v>
      </c>
      <c r="G91" s="60" t="s">
        <v>96</v>
      </c>
      <c r="H91" s="88">
        <v>0.20238</v>
      </c>
      <c r="I91" s="49" t="s">
        <v>12186</v>
      </c>
      <c r="J91" s="49" t="s">
        <v>12187</v>
      </c>
      <c r="K91" s="44"/>
      <c r="L91" s="44"/>
    </row>
    <row r="92">
      <c r="A92" s="48" t="s">
        <v>4097</v>
      </c>
      <c r="B92" s="48"/>
      <c r="C92" s="48" t="s">
        <v>8828</v>
      </c>
      <c r="D92" s="48"/>
      <c r="E92" s="48" t="s">
        <v>12175</v>
      </c>
      <c r="F92" s="64" t="s">
        <v>622</v>
      </c>
      <c r="G92" s="60" t="s">
        <v>96</v>
      </c>
      <c r="H92" s="88">
        <v>0.19685</v>
      </c>
      <c r="I92" s="49" t="s">
        <v>12188</v>
      </c>
      <c r="J92" s="49" t="s">
        <v>12189</v>
      </c>
      <c r="K92" s="44"/>
      <c r="L92" s="44"/>
    </row>
    <row r="93">
      <c r="A93" s="48" t="s">
        <v>8811</v>
      </c>
      <c r="B93" s="48"/>
      <c r="C93" s="48" t="s">
        <v>8812</v>
      </c>
      <c r="D93" s="48"/>
      <c r="E93" s="48" t="s">
        <v>11942</v>
      </c>
      <c r="F93" s="64" t="s">
        <v>694</v>
      </c>
      <c r="G93" s="60" t="s">
        <v>96</v>
      </c>
      <c r="H93" s="88">
        <v>0.19617</v>
      </c>
      <c r="I93" s="49" t="s">
        <v>12190</v>
      </c>
      <c r="J93" s="49" t="s">
        <v>12191</v>
      </c>
      <c r="K93" s="44"/>
      <c r="L93" s="44"/>
    </row>
    <row r="94">
      <c r="A94" s="48" t="s">
        <v>4114</v>
      </c>
      <c r="B94" s="48"/>
      <c r="C94" s="64" t="s">
        <v>12192</v>
      </c>
      <c r="D94" s="48"/>
      <c r="E94" s="48" t="s">
        <v>12090</v>
      </c>
      <c r="F94" s="64" t="s">
        <v>622</v>
      </c>
      <c r="G94" s="60" t="s">
        <v>96</v>
      </c>
      <c r="H94" s="88">
        <v>0.19532</v>
      </c>
      <c r="I94" s="49" t="s">
        <v>12193</v>
      </c>
      <c r="J94" s="49" t="s">
        <v>12194</v>
      </c>
      <c r="K94" s="44"/>
      <c r="L94" s="44"/>
    </row>
    <row r="95">
      <c r="A95" s="48" t="s">
        <v>4120</v>
      </c>
      <c r="B95" s="48"/>
      <c r="C95" s="64" t="s">
        <v>12195</v>
      </c>
      <c r="D95" s="48"/>
      <c r="E95" s="48" t="s">
        <v>12196</v>
      </c>
      <c r="F95" s="64" t="s">
        <v>622</v>
      </c>
      <c r="G95" s="60" t="s">
        <v>96</v>
      </c>
      <c r="H95" s="88">
        <v>0.19272</v>
      </c>
      <c r="I95" s="49" t="s">
        <v>12197</v>
      </c>
      <c r="J95" s="49" t="s">
        <v>12198</v>
      </c>
      <c r="K95" s="44"/>
      <c r="L95" s="44"/>
    </row>
    <row r="96">
      <c r="A96" s="48" t="s">
        <v>4110</v>
      </c>
      <c r="B96" s="48"/>
      <c r="C96" s="64" t="s">
        <v>12199</v>
      </c>
      <c r="D96" s="48"/>
      <c r="E96" s="48" t="s">
        <v>11959</v>
      </c>
      <c r="F96" s="64" t="s">
        <v>622</v>
      </c>
      <c r="G96" s="60" t="s">
        <v>96</v>
      </c>
      <c r="H96" s="88">
        <v>0.19202</v>
      </c>
      <c r="I96" s="49" t="s">
        <v>12200</v>
      </c>
      <c r="J96" s="49" t="s">
        <v>12201</v>
      </c>
      <c r="K96" s="44"/>
      <c r="L96" s="44"/>
    </row>
    <row r="97">
      <c r="A97" s="48" t="s">
        <v>11240</v>
      </c>
      <c r="B97" s="48"/>
      <c r="C97" s="48" t="s">
        <v>11241</v>
      </c>
      <c r="D97" s="48"/>
      <c r="E97" s="48" t="s">
        <v>11936</v>
      </c>
      <c r="F97" s="64" t="s">
        <v>11998</v>
      </c>
      <c r="G97" s="60" t="s">
        <v>96</v>
      </c>
      <c r="H97" s="88">
        <v>0.19097</v>
      </c>
      <c r="I97" s="49" t="s">
        <v>12202</v>
      </c>
      <c r="J97" s="49" t="s">
        <v>12203</v>
      </c>
      <c r="K97" s="44"/>
      <c r="L97" s="44"/>
    </row>
    <row r="98">
      <c r="A98" s="48" t="s">
        <v>4116</v>
      </c>
      <c r="B98" s="48"/>
      <c r="C98" s="64" t="s">
        <v>12204</v>
      </c>
      <c r="D98" s="48"/>
      <c r="E98" s="48" t="s">
        <v>12205</v>
      </c>
      <c r="F98" s="64" t="s">
        <v>622</v>
      </c>
      <c r="G98" s="60" t="s">
        <v>96</v>
      </c>
      <c r="H98" s="88">
        <v>0.18896</v>
      </c>
      <c r="I98" s="49" t="s">
        <v>12206</v>
      </c>
      <c r="J98" s="49" t="s">
        <v>12207</v>
      </c>
      <c r="K98" s="44"/>
      <c r="L98" s="44"/>
    </row>
    <row r="99">
      <c r="A99" s="48" t="s">
        <v>4095</v>
      </c>
      <c r="B99" s="48"/>
      <c r="C99" s="64" t="s">
        <v>12208</v>
      </c>
      <c r="D99" s="48"/>
      <c r="E99" s="48" t="s">
        <v>12209</v>
      </c>
      <c r="F99" s="64" t="s">
        <v>622</v>
      </c>
      <c r="G99" s="60" t="s">
        <v>96</v>
      </c>
      <c r="H99" s="88">
        <v>0.18613</v>
      </c>
      <c r="I99" s="49" t="s">
        <v>12210</v>
      </c>
      <c r="J99" s="49" t="s">
        <v>12211</v>
      </c>
      <c r="K99" s="44"/>
      <c r="L99" s="44"/>
    </row>
    <row r="100">
      <c r="A100" s="48" t="s">
        <v>4112</v>
      </c>
      <c r="B100" s="48"/>
      <c r="C100" s="64" t="s">
        <v>12212</v>
      </c>
      <c r="D100" s="48"/>
      <c r="E100" s="48" t="s">
        <v>5478</v>
      </c>
      <c r="F100" s="64" t="s">
        <v>622</v>
      </c>
      <c r="G100" s="60" t="s">
        <v>96</v>
      </c>
      <c r="H100" s="88">
        <v>0.18483</v>
      </c>
      <c r="I100" s="49" t="s">
        <v>12213</v>
      </c>
      <c r="J100" s="49" t="s">
        <v>12214</v>
      </c>
      <c r="K100" s="44"/>
      <c r="L100" s="44"/>
    </row>
    <row r="101">
      <c r="A101" s="48" t="s">
        <v>4086</v>
      </c>
      <c r="B101" s="48"/>
      <c r="C101" s="64" t="s">
        <v>12215</v>
      </c>
      <c r="D101" s="48"/>
      <c r="E101" s="48" t="s">
        <v>12216</v>
      </c>
      <c r="F101" s="64" t="s">
        <v>622</v>
      </c>
      <c r="G101" s="60" t="s">
        <v>96</v>
      </c>
      <c r="H101" s="88">
        <v>0.18279</v>
      </c>
      <c r="I101" s="49" t="s">
        <v>12217</v>
      </c>
      <c r="J101" s="49" t="s">
        <v>12218</v>
      </c>
      <c r="K101" s="44"/>
      <c r="L101" s="44"/>
    </row>
    <row r="102">
      <c r="A102" s="48" t="s">
        <v>8848</v>
      </c>
      <c r="B102" s="48"/>
      <c r="C102" s="64" t="s">
        <v>12219</v>
      </c>
      <c r="D102" s="48"/>
      <c r="E102" s="48" t="s">
        <v>12220</v>
      </c>
      <c r="F102" s="64" t="s">
        <v>629</v>
      </c>
      <c r="G102" s="60" t="s">
        <v>96</v>
      </c>
      <c r="H102" s="88">
        <v>0.1811</v>
      </c>
      <c r="I102" s="49" t="s">
        <v>12221</v>
      </c>
      <c r="J102" s="49" t="s">
        <v>12222</v>
      </c>
      <c r="K102" s="44"/>
      <c r="L102" s="44"/>
    </row>
    <row r="103">
      <c r="A103" s="48" t="s">
        <v>11244</v>
      </c>
      <c r="B103" s="48"/>
      <c r="C103" s="48" t="s">
        <v>11245</v>
      </c>
      <c r="D103" s="48"/>
      <c r="E103" s="48" t="s">
        <v>12223</v>
      </c>
      <c r="F103" s="64" t="s">
        <v>11998</v>
      </c>
      <c r="G103" s="60" t="s">
        <v>96</v>
      </c>
      <c r="H103" s="88">
        <v>0.18026</v>
      </c>
      <c r="I103" s="49" t="s">
        <v>12224</v>
      </c>
      <c r="J103" s="49" t="s">
        <v>12225</v>
      </c>
      <c r="K103" s="44"/>
      <c r="L103" s="44"/>
    </row>
    <row r="104">
      <c r="A104" s="48" t="s">
        <v>4113</v>
      </c>
      <c r="B104" s="48"/>
      <c r="C104" s="64" t="s">
        <v>12226</v>
      </c>
      <c r="D104" s="48"/>
      <c r="E104" s="48" t="s">
        <v>12046</v>
      </c>
      <c r="F104" s="64" t="s">
        <v>622</v>
      </c>
      <c r="G104" s="60" t="s">
        <v>96</v>
      </c>
      <c r="H104" s="88">
        <v>0.17959</v>
      </c>
      <c r="I104" s="49" t="s">
        <v>12227</v>
      </c>
      <c r="J104" s="49" t="s">
        <v>12228</v>
      </c>
      <c r="K104" s="44"/>
      <c r="L104" s="44"/>
    </row>
    <row r="105">
      <c r="A105" s="48" t="s">
        <v>11246</v>
      </c>
      <c r="B105" s="48"/>
      <c r="C105" s="48" t="s">
        <v>11247</v>
      </c>
      <c r="D105" s="48"/>
      <c r="E105" s="48" t="s">
        <v>12229</v>
      </c>
      <c r="F105" s="64" t="s">
        <v>639</v>
      </c>
      <c r="G105" s="60" t="s">
        <v>96</v>
      </c>
      <c r="H105" s="88">
        <v>0.1794</v>
      </c>
      <c r="I105" s="49" t="s">
        <v>12230</v>
      </c>
      <c r="J105" s="49" t="s">
        <v>12231</v>
      </c>
      <c r="K105" s="44"/>
      <c r="L105" s="44"/>
    </row>
    <row r="106">
      <c r="A106" s="48" t="s">
        <v>4119</v>
      </c>
      <c r="B106" s="48"/>
      <c r="C106" s="64" t="s">
        <v>12232</v>
      </c>
      <c r="D106" s="48"/>
      <c r="E106" s="48" t="s">
        <v>5650</v>
      </c>
      <c r="F106" s="64" t="s">
        <v>622</v>
      </c>
      <c r="G106" s="60" t="s">
        <v>96</v>
      </c>
      <c r="H106" s="88">
        <v>0.17218</v>
      </c>
      <c r="I106" s="49" t="s">
        <v>12233</v>
      </c>
      <c r="J106" s="49" t="s">
        <v>12234</v>
      </c>
      <c r="K106" s="44"/>
      <c r="L106" s="44"/>
    </row>
    <row r="107">
      <c r="A107" s="48" t="s">
        <v>4105</v>
      </c>
      <c r="B107" s="48"/>
      <c r="C107" s="64" t="s">
        <v>12235</v>
      </c>
      <c r="D107" s="48"/>
      <c r="E107" s="48" t="s">
        <v>12236</v>
      </c>
      <c r="F107" s="64" t="s">
        <v>622</v>
      </c>
      <c r="G107" s="60" t="s">
        <v>96</v>
      </c>
      <c r="H107" s="88">
        <v>0.17052</v>
      </c>
      <c r="I107" s="49" t="s">
        <v>12237</v>
      </c>
      <c r="J107" s="49" t="s">
        <v>12238</v>
      </c>
      <c r="K107" s="44"/>
      <c r="L107" s="44"/>
    </row>
    <row r="108">
      <c r="A108" s="48" t="s">
        <v>4117</v>
      </c>
      <c r="B108" s="48"/>
      <c r="C108" s="64" t="s">
        <v>12239</v>
      </c>
      <c r="D108" s="48"/>
      <c r="E108" s="48" t="s">
        <v>5775</v>
      </c>
      <c r="F108" s="64" t="s">
        <v>622</v>
      </c>
      <c r="G108" s="60" t="s">
        <v>96</v>
      </c>
      <c r="H108" s="88">
        <v>0.16599</v>
      </c>
      <c r="I108" s="49" t="s">
        <v>12240</v>
      </c>
      <c r="J108" s="49" t="s">
        <v>12241</v>
      </c>
      <c r="K108" s="44"/>
      <c r="L108" s="44"/>
    </row>
    <row r="109">
      <c r="A109" s="48" t="s">
        <v>4107</v>
      </c>
      <c r="B109" s="48"/>
      <c r="C109" s="64" t="s">
        <v>12242</v>
      </c>
      <c r="D109" s="48"/>
      <c r="E109" s="48" t="s">
        <v>12243</v>
      </c>
      <c r="F109" s="64" t="s">
        <v>622</v>
      </c>
      <c r="G109" s="60" t="s">
        <v>96</v>
      </c>
      <c r="H109" s="88">
        <v>0.16527</v>
      </c>
      <c r="I109" s="49" t="s">
        <v>12244</v>
      </c>
      <c r="J109" s="49" t="s">
        <v>12245</v>
      </c>
      <c r="K109" s="44"/>
      <c r="L109" s="44"/>
    </row>
    <row r="110">
      <c r="A110" s="48" t="s">
        <v>8837</v>
      </c>
      <c r="B110" s="48"/>
      <c r="C110" s="48" t="s">
        <v>8838</v>
      </c>
      <c r="D110" s="48"/>
      <c r="E110" s="48" t="s">
        <v>12246</v>
      </c>
      <c r="F110" s="64" t="s">
        <v>649</v>
      </c>
      <c r="G110" s="60" t="s">
        <v>96</v>
      </c>
      <c r="H110" s="88">
        <v>0.16444</v>
      </c>
      <c r="I110" s="49" t="s">
        <v>12247</v>
      </c>
      <c r="J110" s="49" t="s">
        <v>12248</v>
      </c>
      <c r="K110" s="44"/>
      <c r="L110" s="44"/>
    </row>
    <row r="111">
      <c r="A111" s="48" t="s">
        <v>4140</v>
      </c>
      <c r="B111" s="48"/>
      <c r="C111" s="64" t="s">
        <v>12249</v>
      </c>
      <c r="D111" s="48"/>
      <c r="E111" s="48" t="s">
        <v>12250</v>
      </c>
      <c r="F111" s="64" t="s">
        <v>622</v>
      </c>
      <c r="G111" s="60" t="s">
        <v>96</v>
      </c>
      <c r="H111" s="88">
        <v>0.16415</v>
      </c>
      <c r="I111" s="49" t="s">
        <v>12251</v>
      </c>
      <c r="J111" s="49" t="s">
        <v>12252</v>
      </c>
      <c r="K111" s="44"/>
      <c r="L111" s="44"/>
    </row>
    <row r="112">
      <c r="A112" s="48" t="s">
        <v>4135</v>
      </c>
      <c r="B112" s="48"/>
      <c r="C112" s="64" t="s">
        <v>12253</v>
      </c>
      <c r="D112" s="48"/>
      <c r="E112" s="48" t="s">
        <v>11942</v>
      </c>
      <c r="F112" s="64" t="s">
        <v>622</v>
      </c>
      <c r="G112" s="60" t="s">
        <v>96</v>
      </c>
      <c r="H112" s="88">
        <v>0.16407</v>
      </c>
      <c r="I112" s="49" t="s">
        <v>12254</v>
      </c>
      <c r="J112" s="49" t="s">
        <v>12255</v>
      </c>
      <c r="K112" s="44"/>
      <c r="L112" s="44"/>
    </row>
    <row r="113">
      <c r="A113" s="48" t="s">
        <v>4108</v>
      </c>
      <c r="B113" s="48"/>
      <c r="C113" s="64" t="s">
        <v>12256</v>
      </c>
      <c r="D113" s="48"/>
      <c r="E113" s="48" t="s">
        <v>5387</v>
      </c>
      <c r="F113" s="64" t="s">
        <v>622</v>
      </c>
      <c r="G113" s="60" t="s">
        <v>96</v>
      </c>
      <c r="H113" s="88">
        <v>0.16337</v>
      </c>
      <c r="I113" s="49" t="s">
        <v>12257</v>
      </c>
      <c r="J113" s="49" t="s">
        <v>12258</v>
      </c>
      <c r="K113" s="44"/>
      <c r="L113" s="44"/>
    </row>
    <row r="114">
      <c r="A114" s="48" t="s">
        <v>4128</v>
      </c>
      <c r="B114" s="48"/>
      <c r="C114" s="64" t="s">
        <v>12259</v>
      </c>
      <c r="D114" s="48"/>
      <c r="E114" s="48" t="s">
        <v>11965</v>
      </c>
      <c r="F114" s="64" t="s">
        <v>622</v>
      </c>
      <c r="G114" s="60" t="s">
        <v>96</v>
      </c>
      <c r="H114" s="88">
        <v>0.16046</v>
      </c>
      <c r="I114" s="49" t="s">
        <v>12260</v>
      </c>
      <c r="J114" s="49" t="s">
        <v>12261</v>
      </c>
      <c r="K114" s="44"/>
      <c r="L114" s="44"/>
    </row>
    <row r="115">
      <c r="A115" s="48" t="s">
        <v>4115</v>
      </c>
      <c r="B115" s="48"/>
      <c r="C115" s="64" t="s">
        <v>12262</v>
      </c>
      <c r="D115" s="48"/>
      <c r="E115" s="48" t="s">
        <v>5478</v>
      </c>
      <c r="F115" s="64" t="s">
        <v>622</v>
      </c>
      <c r="G115" s="60" t="s">
        <v>96</v>
      </c>
      <c r="H115" s="88">
        <v>0.15902</v>
      </c>
      <c r="I115" s="49" t="s">
        <v>12263</v>
      </c>
      <c r="J115" s="49" t="s">
        <v>12264</v>
      </c>
      <c r="K115" s="44"/>
      <c r="L115" s="44"/>
    </row>
    <row r="116">
      <c r="A116" s="48" t="s">
        <v>11250</v>
      </c>
      <c r="B116" s="48"/>
      <c r="C116" s="48" t="s">
        <v>11251</v>
      </c>
      <c r="D116" s="48"/>
      <c r="E116" s="48" t="s">
        <v>11991</v>
      </c>
      <c r="F116" s="64" t="s">
        <v>645</v>
      </c>
      <c r="G116" s="60" t="s">
        <v>96</v>
      </c>
      <c r="H116" s="88">
        <v>0.15819</v>
      </c>
      <c r="I116" s="49" t="s">
        <v>12265</v>
      </c>
      <c r="J116" s="49" t="s">
        <v>12266</v>
      </c>
      <c r="K116" s="44"/>
      <c r="L116" s="44"/>
    </row>
    <row r="117">
      <c r="A117" s="48" t="s">
        <v>4146</v>
      </c>
      <c r="B117" s="48"/>
      <c r="C117" s="64" t="s">
        <v>12267</v>
      </c>
      <c r="D117" s="48"/>
      <c r="E117" s="48" t="s">
        <v>12268</v>
      </c>
      <c r="F117" s="64" t="s">
        <v>622</v>
      </c>
      <c r="G117" s="60" t="s">
        <v>96</v>
      </c>
      <c r="H117" s="88">
        <v>0.15801</v>
      </c>
      <c r="I117" s="49" t="s">
        <v>12269</v>
      </c>
      <c r="J117" s="49" t="s">
        <v>12270</v>
      </c>
      <c r="K117" s="44"/>
      <c r="L117" s="44"/>
    </row>
    <row r="118">
      <c r="A118" s="48" t="s">
        <v>4143</v>
      </c>
      <c r="B118" s="48"/>
      <c r="C118" s="64" t="s">
        <v>12271</v>
      </c>
      <c r="D118" s="48"/>
      <c r="E118" s="48" t="s">
        <v>6083</v>
      </c>
      <c r="F118" s="64" t="s">
        <v>622</v>
      </c>
      <c r="G118" s="60" t="s">
        <v>96</v>
      </c>
      <c r="H118" s="88">
        <v>0.15208</v>
      </c>
      <c r="I118" s="49" t="s">
        <v>12272</v>
      </c>
      <c r="J118" s="49" t="s">
        <v>12273</v>
      </c>
      <c r="K118" s="44"/>
      <c r="L118" s="44"/>
    </row>
    <row r="119">
      <c r="A119" s="48" t="s">
        <v>4118</v>
      </c>
      <c r="B119" s="48"/>
      <c r="C119" s="64" t="s">
        <v>12274</v>
      </c>
      <c r="D119" s="48"/>
      <c r="E119" s="48" t="s">
        <v>5478</v>
      </c>
      <c r="F119" s="64" t="s">
        <v>622</v>
      </c>
      <c r="G119" s="60" t="s">
        <v>96</v>
      </c>
      <c r="H119" s="88">
        <v>0.15098</v>
      </c>
      <c r="I119" s="49" t="s">
        <v>12275</v>
      </c>
      <c r="J119" s="49" t="s">
        <v>12276</v>
      </c>
      <c r="K119" s="44"/>
      <c r="L119" s="44"/>
    </row>
    <row r="120">
      <c r="A120" s="48" t="s">
        <v>11248</v>
      </c>
      <c r="B120" s="48"/>
      <c r="C120" s="48" t="s">
        <v>11249</v>
      </c>
      <c r="D120" s="48"/>
      <c r="E120" s="48" t="s">
        <v>12090</v>
      </c>
      <c r="F120" s="64" t="s">
        <v>639</v>
      </c>
      <c r="G120" s="60" t="s">
        <v>96</v>
      </c>
      <c r="H120" s="88">
        <v>0.14791</v>
      </c>
      <c r="I120" s="49" t="s">
        <v>12277</v>
      </c>
      <c r="J120" s="49" t="s">
        <v>12278</v>
      </c>
      <c r="K120" s="44"/>
      <c r="L120" s="44"/>
    </row>
    <row r="121">
      <c r="A121" s="48" t="s">
        <v>4131</v>
      </c>
      <c r="B121" s="48"/>
      <c r="C121" s="64" t="s">
        <v>12279</v>
      </c>
      <c r="D121" s="48"/>
      <c r="E121" s="48" t="s">
        <v>12175</v>
      </c>
      <c r="F121" s="64" t="s">
        <v>622</v>
      </c>
      <c r="G121" s="60" t="s">
        <v>96</v>
      </c>
      <c r="H121" s="88">
        <v>0.14672</v>
      </c>
      <c r="I121" s="49" t="s">
        <v>12280</v>
      </c>
      <c r="J121" s="49" t="s">
        <v>12281</v>
      </c>
      <c r="K121" s="44"/>
      <c r="L121" s="44"/>
    </row>
    <row r="122">
      <c r="A122" s="48" t="s">
        <v>4122</v>
      </c>
      <c r="B122" s="48"/>
      <c r="C122" s="64" t="s">
        <v>12282</v>
      </c>
      <c r="D122" s="48"/>
      <c r="E122" s="48" t="s">
        <v>12283</v>
      </c>
      <c r="F122" s="64" t="s">
        <v>622</v>
      </c>
      <c r="G122" s="60" t="s">
        <v>96</v>
      </c>
      <c r="H122" s="88">
        <v>0.14642</v>
      </c>
      <c r="I122" s="49" t="s">
        <v>12284</v>
      </c>
      <c r="J122" s="49" t="s">
        <v>12285</v>
      </c>
      <c r="K122" s="44"/>
      <c r="L122" s="44"/>
    </row>
    <row r="123">
      <c r="A123" s="48" t="s">
        <v>8844</v>
      </c>
      <c r="B123" s="48"/>
      <c r="C123" s="64" t="s">
        <v>12286</v>
      </c>
      <c r="D123" s="48"/>
      <c r="E123" s="48" t="s">
        <v>11942</v>
      </c>
      <c r="F123" s="64" t="s">
        <v>629</v>
      </c>
      <c r="G123" s="60" t="s">
        <v>96</v>
      </c>
      <c r="H123" s="88">
        <v>0.14586</v>
      </c>
      <c r="I123" s="49" t="s">
        <v>12287</v>
      </c>
      <c r="J123" s="49" t="s">
        <v>12288</v>
      </c>
      <c r="K123" s="44"/>
      <c r="L123" s="44"/>
    </row>
    <row r="124">
      <c r="A124" s="48" t="s">
        <v>4150</v>
      </c>
      <c r="B124" s="48"/>
      <c r="C124" s="64" t="s">
        <v>12289</v>
      </c>
      <c r="D124" s="48"/>
      <c r="E124" s="48" t="s">
        <v>12078</v>
      </c>
      <c r="F124" s="64" t="s">
        <v>622</v>
      </c>
      <c r="G124" s="60" t="s">
        <v>96</v>
      </c>
      <c r="H124" s="88">
        <v>0.14554</v>
      </c>
      <c r="I124" s="49" t="s">
        <v>12290</v>
      </c>
      <c r="J124" s="49" t="s">
        <v>12291</v>
      </c>
      <c r="K124" s="44"/>
      <c r="L124" s="44"/>
    </row>
    <row r="125">
      <c r="A125" s="48" t="s">
        <v>4133</v>
      </c>
      <c r="B125" s="48"/>
      <c r="C125" s="64" t="s">
        <v>12292</v>
      </c>
      <c r="D125" s="48"/>
      <c r="E125" s="48" t="s">
        <v>5218</v>
      </c>
      <c r="F125" s="64" t="s">
        <v>622</v>
      </c>
      <c r="G125" s="60" t="s">
        <v>96</v>
      </c>
      <c r="H125" s="88">
        <v>0.14498</v>
      </c>
      <c r="I125" s="49" t="s">
        <v>12293</v>
      </c>
      <c r="J125" s="49" t="s">
        <v>12294</v>
      </c>
      <c r="K125" s="44"/>
      <c r="L125" s="44"/>
    </row>
    <row r="126">
      <c r="A126" s="48" t="s">
        <v>4129</v>
      </c>
      <c r="B126" s="48"/>
      <c r="C126" s="64" t="s">
        <v>12295</v>
      </c>
      <c r="D126" s="48"/>
      <c r="E126" s="48" t="s">
        <v>12283</v>
      </c>
      <c r="F126" s="64" t="s">
        <v>622</v>
      </c>
      <c r="G126" s="60" t="s">
        <v>96</v>
      </c>
      <c r="H126" s="88">
        <v>0.14308</v>
      </c>
      <c r="I126" s="49" t="s">
        <v>12296</v>
      </c>
      <c r="J126" s="49" t="s">
        <v>12297</v>
      </c>
      <c r="K126" s="44"/>
      <c r="L126" s="44"/>
    </row>
    <row r="127">
      <c r="A127" s="48" t="s">
        <v>4149</v>
      </c>
      <c r="B127" s="48"/>
      <c r="C127" s="64" t="s">
        <v>12298</v>
      </c>
      <c r="D127" s="48"/>
      <c r="E127" s="48" t="s">
        <v>5650</v>
      </c>
      <c r="F127" s="64" t="s">
        <v>622</v>
      </c>
      <c r="G127" s="60" t="s">
        <v>96</v>
      </c>
      <c r="H127" s="88">
        <v>0.14196</v>
      </c>
      <c r="I127" s="49" t="s">
        <v>12299</v>
      </c>
      <c r="J127" s="49" t="s">
        <v>12300</v>
      </c>
      <c r="K127" s="44"/>
      <c r="L127" s="44"/>
    </row>
    <row r="128">
      <c r="A128" s="48" t="s">
        <v>4136</v>
      </c>
      <c r="B128" s="48"/>
      <c r="C128" s="64" t="s">
        <v>12301</v>
      </c>
      <c r="D128" s="48"/>
      <c r="E128" s="48" t="s">
        <v>12046</v>
      </c>
      <c r="F128" s="64" t="s">
        <v>622</v>
      </c>
      <c r="G128" s="60" t="s">
        <v>96</v>
      </c>
      <c r="H128" s="88">
        <v>0.14129</v>
      </c>
      <c r="I128" s="49" t="s">
        <v>12302</v>
      </c>
      <c r="J128" s="49" t="s">
        <v>12303</v>
      </c>
      <c r="K128" s="44"/>
      <c r="L128" s="44"/>
    </row>
    <row r="129">
      <c r="A129" s="48" t="s">
        <v>4126</v>
      </c>
      <c r="B129" s="48"/>
      <c r="C129" s="48" t="s">
        <v>8852</v>
      </c>
      <c r="D129" s="48"/>
      <c r="E129" s="48" t="s">
        <v>5775</v>
      </c>
      <c r="F129" s="64" t="s">
        <v>622</v>
      </c>
      <c r="G129" s="60" t="s">
        <v>96</v>
      </c>
      <c r="H129" s="88">
        <v>0.14081</v>
      </c>
      <c r="I129" s="49" t="s">
        <v>12304</v>
      </c>
      <c r="J129" s="49" t="s">
        <v>12305</v>
      </c>
      <c r="K129" s="44"/>
      <c r="L129" s="44"/>
    </row>
    <row r="130">
      <c r="A130" s="48" t="s">
        <v>11258</v>
      </c>
      <c r="B130" s="48"/>
      <c r="C130" s="48" t="s">
        <v>11259</v>
      </c>
      <c r="D130" s="48"/>
      <c r="E130" s="48" t="s">
        <v>12078</v>
      </c>
      <c r="F130" s="64" t="s">
        <v>1201</v>
      </c>
      <c r="G130" s="60" t="s">
        <v>96</v>
      </c>
      <c r="H130" s="88">
        <v>0.13951</v>
      </c>
      <c r="I130" s="49" t="s">
        <v>12306</v>
      </c>
      <c r="J130" s="49" t="s">
        <v>12307</v>
      </c>
      <c r="K130" s="44"/>
      <c r="L130" s="44"/>
    </row>
    <row r="131">
      <c r="A131" s="48" t="s">
        <v>11261</v>
      </c>
      <c r="B131" s="48"/>
      <c r="C131" s="64" t="s">
        <v>12308</v>
      </c>
      <c r="D131" s="48"/>
      <c r="E131" s="48" t="s">
        <v>12309</v>
      </c>
      <c r="F131" s="64" t="s">
        <v>694</v>
      </c>
      <c r="G131" s="60" t="s">
        <v>96</v>
      </c>
      <c r="H131" s="88">
        <v>0.13639</v>
      </c>
      <c r="I131" s="49" t="s">
        <v>12310</v>
      </c>
      <c r="J131" s="49" t="s">
        <v>12311</v>
      </c>
      <c r="K131" s="44"/>
      <c r="L131" s="44"/>
    </row>
    <row r="132">
      <c r="A132" s="48" t="s">
        <v>8861</v>
      </c>
      <c r="B132" s="48"/>
      <c r="C132" s="64" t="s">
        <v>12312</v>
      </c>
      <c r="D132" s="48"/>
      <c r="E132" s="48" t="s">
        <v>12136</v>
      </c>
      <c r="F132" s="64" t="s">
        <v>694</v>
      </c>
      <c r="G132" s="60" t="s">
        <v>96</v>
      </c>
      <c r="H132" s="88">
        <v>0.13555</v>
      </c>
      <c r="I132" s="49" t="s">
        <v>12313</v>
      </c>
      <c r="J132" s="49" t="s">
        <v>12314</v>
      </c>
      <c r="K132" s="44"/>
      <c r="L132" s="44"/>
    </row>
    <row r="133">
      <c r="A133" s="48" t="s">
        <v>4124</v>
      </c>
      <c r="B133" s="48"/>
      <c r="C133" s="64" t="s">
        <v>12315</v>
      </c>
      <c r="D133" s="48"/>
      <c r="E133" s="48" t="s">
        <v>12229</v>
      </c>
      <c r="F133" s="64" t="s">
        <v>622</v>
      </c>
      <c r="G133" s="60" t="s">
        <v>96</v>
      </c>
      <c r="H133" s="88">
        <v>0.13411</v>
      </c>
      <c r="I133" s="49" t="s">
        <v>12316</v>
      </c>
      <c r="J133" s="49" t="s">
        <v>12317</v>
      </c>
      <c r="K133" s="44"/>
      <c r="L133" s="44"/>
    </row>
    <row r="134">
      <c r="A134" s="48" t="s">
        <v>8872</v>
      </c>
      <c r="B134" s="48"/>
      <c r="C134" s="48" t="s">
        <v>8873</v>
      </c>
      <c r="D134" s="48"/>
      <c r="E134" s="48" t="s">
        <v>12246</v>
      </c>
      <c r="F134" s="64" t="s">
        <v>645</v>
      </c>
      <c r="G134" s="60" t="s">
        <v>96</v>
      </c>
      <c r="H134" s="88">
        <v>0.13384</v>
      </c>
      <c r="I134" s="49" t="s">
        <v>12318</v>
      </c>
      <c r="J134" s="49" t="s">
        <v>12319</v>
      </c>
      <c r="K134" s="44"/>
      <c r="L134" s="44"/>
    </row>
    <row r="135">
      <c r="A135" s="48" t="s">
        <v>4429</v>
      </c>
      <c r="B135" s="48"/>
      <c r="C135" s="48" t="s">
        <v>8864</v>
      </c>
      <c r="D135" s="48"/>
      <c r="E135" s="48" t="s">
        <v>12072</v>
      </c>
      <c r="F135" s="64" t="s">
        <v>649</v>
      </c>
      <c r="G135" s="60" t="s">
        <v>96</v>
      </c>
      <c r="H135" s="88">
        <v>0.13373</v>
      </c>
      <c r="I135" s="49" t="s">
        <v>12320</v>
      </c>
      <c r="J135" s="49" t="s">
        <v>12321</v>
      </c>
      <c r="K135" s="44"/>
      <c r="L135" s="44"/>
    </row>
    <row r="136">
      <c r="A136" s="48" t="s">
        <v>4152</v>
      </c>
      <c r="B136" s="48"/>
      <c r="C136" s="64" t="s">
        <v>12322</v>
      </c>
      <c r="D136" s="48"/>
      <c r="E136" s="48" t="s">
        <v>12004</v>
      </c>
      <c r="F136" s="64" t="s">
        <v>622</v>
      </c>
      <c r="G136" s="60" t="s">
        <v>96</v>
      </c>
      <c r="H136" s="88">
        <v>0.1334</v>
      </c>
      <c r="I136" s="49" t="s">
        <v>12323</v>
      </c>
      <c r="J136" s="49" t="s">
        <v>12324</v>
      </c>
      <c r="K136" s="44"/>
      <c r="L136" s="44"/>
    </row>
    <row r="137">
      <c r="A137" s="48" t="s">
        <v>6260</v>
      </c>
      <c r="B137" s="48"/>
      <c r="C137" s="48" t="s">
        <v>9059</v>
      </c>
      <c r="D137" s="48"/>
      <c r="E137" s="48" t="s">
        <v>12325</v>
      </c>
      <c r="F137" s="64" t="s">
        <v>639</v>
      </c>
      <c r="G137" s="60" t="s">
        <v>96</v>
      </c>
      <c r="H137" s="88">
        <v>0.13279</v>
      </c>
      <c r="I137" s="49" t="s">
        <v>12326</v>
      </c>
      <c r="J137" s="49" t="s">
        <v>12327</v>
      </c>
      <c r="K137" s="44"/>
      <c r="L137" s="44"/>
    </row>
    <row r="138">
      <c r="A138" s="48" t="s">
        <v>4155</v>
      </c>
      <c r="B138" s="48"/>
      <c r="C138" s="64" t="s">
        <v>12328</v>
      </c>
      <c r="D138" s="48"/>
      <c r="E138" s="48" t="s">
        <v>12329</v>
      </c>
      <c r="F138" s="64" t="s">
        <v>622</v>
      </c>
      <c r="G138" s="60" t="s">
        <v>96</v>
      </c>
      <c r="H138" s="88">
        <v>0.132</v>
      </c>
      <c r="I138" s="49" t="s">
        <v>12330</v>
      </c>
      <c r="J138" s="49" t="s">
        <v>12331</v>
      </c>
      <c r="K138" s="44"/>
      <c r="L138" s="44"/>
    </row>
    <row r="139">
      <c r="A139" s="48" t="s">
        <v>4154</v>
      </c>
      <c r="B139" s="48"/>
      <c r="C139" s="64" t="s">
        <v>12332</v>
      </c>
      <c r="D139" s="48"/>
      <c r="E139" s="48" t="s">
        <v>12078</v>
      </c>
      <c r="F139" s="64" t="s">
        <v>622</v>
      </c>
      <c r="G139" s="60" t="s">
        <v>96</v>
      </c>
      <c r="H139" s="88">
        <v>0.13182</v>
      </c>
      <c r="I139" s="49" t="s">
        <v>12333</v>
      </c>
      <c r="J139" s="49" t="s">
        <v>12334</v>
      </c>
      <c r="K139" s="44"/>
      <c r="L139" s="44"/>
    </row>
    <row r="140">
      <c r="A140" s="48" t="s">
        <v>4138</v>
      </c>
      <c r="B140" s="48"/>
      <c r="C140" s="64" t="s">
        <v>12335</v>
      </c>
      <c r="D140" s="48"/>
      <c r="E140" s="48" t="s">
        <v>12046</v>
      </c>
      <c r="F140" s="64" t="s">
        <v>622</v>
      </c>
      <c r="G140" s="60" t="s">
        <v>96</v>
      </c>
      <c r="H140" s="88">
        <v>0.13017</v>
      </c>
      <c r="I140" s="49" t="s">
        <v>12336</v>
      </c>
      <c r="J140" s="49" t="s">
        <v>12337</v>
      </c>
      <c r="K140" s="44"/>
      <c r="L140" s="44"/>
    </row>
    <row r="141">
      <c r="A141" s="48" t="s">
        <v>8986</v>
      </c>
      <c r="B141" s="48"/>
      <c r="C141" s="64" t="s">
        <v>12338</v>
      </c>
      <c r="D141" s="48"/>
      <c r="E141" s="48" t="s">
        <v>12339</v>
      </c>
      <c r="F141" s="64" t="s">
        <v>694</v>
      </c>
      <c r="G141" s="60" t="s">
        <v>96</v>
      </c>
      <c r="H141" s="88">
        <v>0.13011</v>
      </c>
      <c r="I141" s="49" t="s">
        <v>12340</v>
      </c>
      <c r="J141" s="49" t="s">
        <v>12341</v>
      </c>
      <c r="K141" s="44"/>
      <c r="L141" s="44"/>
    </row>
    <row r="142">
      <c r="A142" s="48" t="s">
        <v>8876</v>
      </c>
      <c r="B142" s="48"/>
      <c r="C142" s="48" t="s">
        <v>8877</v>
      </c>
      <c r="D142" s="48"/>
      <c r="E142" s="48" t="s">
        <v>5218</v>
      </c>
      <c r="F142" s="64" t="s">
        <v>11998</v>
      </c>
      <c r="G142" s="60" t="s">
        <v>96</v>
      </c>
      <c r="H142" s="88">
        <v>0.12984</v>
      </c>
      <c r="I142" s="49" t="s">
        <v>12342</v>
      </c>
      <c r="J142" s="49" t="s">
        <v>12343</v>
      </c>
      <c r="K142" s="44"/>
      <c r="L142" s="44"/>
    </row>
    <row r="143">
      <c r="A143" s="48" t="s">
        <v>12344</v>
      </c>
      <c r="B143" s="48"/>
      <c r="C143" s="64" t="s">
        <v>12345</v>
      </c>
      <c r="D143" s="48"/>
      <c r="E143" s="48" t="s">
        <v>11946</v>
      </c>
      <c r="F143" s="64" t="s">
        <v>622</v>
      </c>
      <c r="G143" s="60" t="s">
        <v>96</v>
      </c>
      <c r="H143" s="88">
        <v>0.12963</v>
      </c>
      <c r="I143" s="49" t="s">
        <v>12346</v>
      </c>
      <c r="J143" s="49" t="s">
        <v>12347</v>
      </c>
      <c r="K143" s="44"/>
      <c r="L143" s="44"/>
    </row>
    <row r="144">
      <c r="A144" s="48" t="s">
        <v>6260</v>
      </c>
      <c r="B144" s="48"/>
      <c r="C144" s="64" t="s">
        <v>12345</v>
      </c>
      <c r="D144" s="48"/>
      <c r="E144" s="48" t="s">
        <v>11946</v>
      </c>
      <c r="F144" s="64" t="s">
        <v>622</v>
      </c>
      <c r="G144" s="60" t="s">
        <v>96</v>
      </c>
      <c r="H144" s="88">
        <v>0.12963</v>
      </c>
      <c r="I144" s="49" t="s">
        <v>12346</v>
      </c>
      <c r="J144" s="49" t="s">
        <v>12347</v>
      </c>
      <c r="K144" s="44"/>
      <c r="L144" s="44"/>
    </row>
    <row r="145">
      <c r="A145" s="48" t="s">
        <v>8888</v>
      </c>
      <c r="B145" s="48"/>
      <c r="C145" s="48" t="s">
        <v>8889</v>
      </c>
      <c r="D145" s="48"/>
      <c r="E145" s="48" t="s">
        <v>12325</v>
      </c>
      <c r="F145" s="64" t="s">
        <v>11998</v>
      </c>
      <c r="G145" s="60" t="s">
        <v>96</v>
      </c>
      <c r="H145" s="88">
        <v>0.12938</v>
      </c>
      <c r="I145" s="49" t="s">
        <v>12348</v>
      </c>
      <c r="J145" s="49" t="s">
        <v>12349</v>
      </c>
      <c r="K145" s="44"/>
      <c r="L145" s="44"/>
    </row>
    <row r="146">
      <c r="A146" s="48" t="s">
        <v>11264</v>
      </c>
      <c r="B146" s="48"/>
      <c r="C146" s="48" t="s">
        <v>11265</v>
      </c>
      <c r="D146" s="48"/>
      <c r="E146" s="48" t="s">
        <v>6083</v>
      </c>
      <c r="F146" s="64" t="s">
        <v>11998</v>
      </c>
      <c r="G146" s="60" t="s">
        <v>96</v>
      </c>
      <c r="H146" s="88">
        <v>0.12886</v>
      </c>
      <c r="I146" s="49" t="s">
        <v>12350</v>
      </c>
      <c r="J146" s="49" t="s">
        <v>12351</v>
      </c>
      <c r="K146" s="44"/>
      <c r="L146" s="44"/>
    </row>
    <row r="147">
      <c r="A147" s="48" t="s">
        <v>5242</v>
      </c>
      <c r="B147" s="48"/>
      <c r="C147" s="48" t="s">
        <v>11260</v>
      </c>
      <c r="D147" s="48"/>
      <c r="E147" s="48" t="s">
        <v>12352</v>
      </c>
      <c r="F147" s="64" t="s">
        <v>11998</v>
      </c>
      <c r="G147" s="60" t="s">
        <v>96</v>
      </c>
      <c r="H147" s="88">
        <v>0.12862</v>
      </c>
      <c r="I147" s="49" t="s">
        <v>12353</v>
      </c>
      <c r="J147" s="49" t="s">
        <v>12354</v>
      </c>
      <c r="K147" s="44"/>
      <c r="L147" s="44"/>
    </row>
    <row r="148">
      <c r="A148" s="48" t="s">
        <v>4161</v>
      </c>
      <c r="B148" s="48"/>
      <c r="C148" s="64" t="s">
        <v>12355</v>
      </c>
      <c r="D148" s="48"/>
      <c r="E148" s="48" t="s">
        <v>12356</v>
      </c>
      <c r="F148" s="64" t="s">
        <v>622</v>
      </c>
      <c r="G148" s="60" t="s">
        <v>96</v>
      </c>
      <c r="H148" s="88">
        <v>0.12785</v>
      </c>
      <c r="I148" s="49" t="s">
        <v>12357</v>
      </c>
      <c r="J148" s="49" t="s">
        <v>12358</v>
      </c>
      <c r="K148" s="44"/>
      <c r="L148" s="44"/>
    </row>
    <row r="149">
      <c r="A149" s="48" t="s">
        <v>4160</v>
      </c>
      <c r="B149" s="48"/>
      <c r="C149" s="64" t="s">
        <v>12359</v>
      </c>
      <c r="D149" s="48"/>
      <c r="E149" s="48" t="s">
        <v>11946</v>
      </c>
      <c r="F149" s="64" t="s">
        <v>622</v>
      </c>
      <c r="G149" s="60" t="s">
        <v>96</v>
      </c>
      <c r="H149" s="88">
        <v>0.12768</v>
      </c>
      <c r="I149" s="49" t="s">
        <v>12360</v>
      </c>
      <c r="J149" s="49" t="s">
        <v>12361</v>
      </c>
      <c r="K149" s="44"/>
      <c r="L149" s="44"/>
    </row>
    <row r="150">
      <c r="A150" s="48" t="s">
        <v>8839</v>
      </c>
      <c r="B150" s="48"/>
      <c r="C150" s="64" t="s">
        <v>12362</v>
      </c>
      <c r="D150" s="48"/>
      <c r="E150" s="48" t="s">
        <v>12363</v>
      </c>
      <c r="F150" s="64" t="s">
        <v>622</v>
      </c>
      <c r="G150" s="60" t="s">
        <v>96</v>
      </c>
      <c r="H150" s="88">
        <v>0.12668</v>
      </c>
      <c r="I150" s="49" t="s">
        <v>12364</v>
      </c>
      <c r="J150" s="49" t="s">
        <v>12365</v>
      </c>
      <c r="K150" s="44"/>
      <c r="L150" s="44"/>
    </row>
    <row r="151">
      <c r="A151" s="48" t="s">
        <v>4179</v>
      </c>
      <c r="B151" s="48"/>
      <c r="C151" s="64" t="s">
        <v>12366</v>
      </c>
      <c r="D151" s="48"/>
      <c r="E151" s="48" t="s">
        <v>12367</v>
      </c>
      <c r="F151" s="64" t="s">
        <v>622</v>
      </c>
      <c r="G151" s="60" t="s">
        <v>96</v>
      </c>
      <c r="H151" s="88">
        <v>0.1255</v>
      </c>
      <c r="I151" s="49" t="s">
        <v>12368</v>
      </c>
      <c r="J151" s="49" t="s">
        <v>12369</v>
      </c>
      <c r="K151" s="44"/>
      <c r="L151" s="44"/>
    </row>
    <row r="152">
      <c r="A152" s="48" t="s">
        <v>6260</v>
      </c>
      <c r="B152" s="48"/>
      <c r="C152" s="48" t="s">
        <v>11263</v>
      </c>
      <c r="D152" s="48"/>
      <c r="E152" s="48" t="s">
        <v>12049</v>
      </c>
      <c r="F152" s="64" t="s">
        <v>639</v>
      </c>
      <c r="G152" s="60" t="s">
        <v>96</v>
      </c>
      <c r="H152" s="88">
        <v>0.12546</v>
      </c>
      <c r="I152" s="49" t="s">
        <v>12370</v>
      </c>
      <c r="J152" s="49" t="s">
        <v>12371</v>
      </c>
      <c r="K152" s="44"/>
      <c r="L152" s="44"/>
    </row>
    <row r="153">
      <c r="A153" s="48" t="s">
        <v>8869</v>
      </c>
      <c r="B153" s="48"/>
      <c r="C153" s="64" t="s">
        <v>12372</v>
      </c>
      <c r="D153" s="48"/>
      <c r="E153" s="48" t="s">
        <v>12136</v>
      </c>
      <c r="F153" s="64" t="s">
        <v>694</v>
      </c>
      <c r="G153" s="60" t="s">
        <v>96</v>
      </c>
      <c r="H153" s="88">
        <v>0.12379</v>
      </c>
      <c r="I153" s="49" t="s">
        <v>12373</v>
      </c>
      <c r="J153" s="49" t="s">
        <v>12374</v>
      </c>
      <c r="K153" s="44"/>
      <c r="L153" s="44"/>
    </row>
    <row r="154">
      <c r="A154" s="48" t="s">
        <v>4148</v>
      </c>
      <c r="B154" s="48"/>
      <c r="C154" s="64" t="s">
        <v>12375</v>
      </c>
      <c r="D154" s="48"/>
      <c r="E154" s="48" t="s">
        <v>11903</v>
      </c>
      <c r="F154" s="64" t="s">
        <v>622</v>
      </c>
      <c r="G154" s="60" t="s">
        <v>96</v>
      </c>
      <c r="H154" s="88">
        <v>0.12323</v>
      </c>
      <c r="I154" s="49" t="s">
        <v>12376</v>
      </c>
      <c r="J154" s="49" t="s">
        <v>12377</v>
      </c>
      <c r="K154" s="44"/>
      <c r="L154" s="44"/>
    </row>
    <row r="155">
      <c r="A155" s="48" t="s">
        <v>5631</v>
      </c>
      <c r="B155" s="48"/>
      <c r="C155" s="48" t="s">
        <v>8863</v>
      </c>
      <c r="D155" s="48"/>
      <c r="E155" s="48" t="s">
        <v>11991</v>
      </c>
      <c r="F155" s="64" t="s">
        <v>639</v>
      </c>
      <c r="G155" s="60" t="s">
        <v>96</v>
      </c>
      <c r="H155" s="88">
        <v>0.12318</v>
      </c>
      <c r="I155" s="49" t="s">
        <v>12378</v>
      </c>
      <c r="J155" s="49" t="s">
        <v>12379</v>
      </c>
      <c r="K155" s="44"/>
      <c r="L155" s="44"/>
    </row>
    <row r="156">
      <c r="A156" s="48" t="s">
        <v>4144</v>
      </c>
      <c r="B156" s="48"/>
      <c r="C156" s="64" t="s">
        <v>12380</v>
      </c>
      <c r="D156" s="48"/>
      <c r="E156" s="48" t="s">
        <v>12116</v>
      </c>
      <c r="F156" s="64" t="s">
        <v>622</v>
      </c>
      <c r="G156" s="60" t="s">
        <v>96</v>
      </c>
      <c r="H156" s="88">
        <v>0.12297</v>
      </c>
      <c r="I156" s="49" t="s">
        <v>12381</v>
      </c>
      <c r="J156" s="49" t="s">
        <v>12382</v>
      </c>
      <c r="K156" s="44"/>
      <c r="L156" s="44"/>
    </row>
    <row r="157">
      <c r="A157" s="48" t="s">
        <v>4171</v>
      </c>
      <c r="B157" s="48"/>
      <c r="C157" s="64" t="s">
        <v>12383</v>
      </c>
      <c r="D157" s="48"/>
      <c r="E157" s="48" t="s">
        <v>12136</v>
      </c>
      <c r="F157" s="64" t="s">
        <v>622</v>
      </c>
      <c r="G157" s="60" t="s">
        <v>96</v>
      </c>
      <c r="H157" s="88">
        <v>0.12245</v>
      </c>
      <c r="I157" s="49" t="s">
        <v>12384</v>
      </c>
      <c r="J157" s="49" t="s">
        <v>12385</v>
      </c>
      <c r="K157" s="44"/>
      <c r="L157" s="44"/>
    </row>
    <row r="158">
      <c r="A158" s="48" t="s">
        <v>8878</v>
      </c>
      <c r="B158" s="48"/>
      <c r="C158" s="48" t="s">
        <v>8879</v>
      </c>
      <c r="D158" s="48"/>
      <c r="E158" s="48" t="s">
        <v>11942</v>
      </c>
      <c r="F158" s="64" t="s">
        <v>639</v>
      </c>
      <c r="G158" s="60" t="s">
        <v>96</v>
      </c>
      <c r="H158" s="88">
        <v>0.12222</v>
      </c>
      <c r="I158" s="49" t="s">
        <v>12386</v>
      </c>
      <c r="J158" s="49" t="s">
        <v>12387</v>
      </c>
      <c r="K158" s="44"/>
      <c r="L158" s="44"/>
    </row>
    <row r="159">
      <c r="A159" s="48" t="s">
        <v>4167</v>
      </c>
      <c r="B159" s="48"/>
      <c r="C159" s="64" t="s">
        <v>12388</v>
      </c>
      <c r="D159" s="48"/>
      <c r="E159" s="48" t="s">
        <v>12090</v>
      </c>
      <c r="F159" s="64" t="s">
        <v>622</v>
      </c>
      <c r="G159" s="60" t="s">
        <v>96</v>
      </c>
      <c r="H159" s="88">
        <v>0.12143</v>
      </c>
      <c r="I159" s="49" t="s">
        <v>12389</v>
      </c>
      <c r="J159" s="49" t="s">
        <v>12390</v>
      </c>
      <c r="K159" s="44"/>
      <c r="L159" s="44"/>
    </row>
    <row r="160">
      <c r="A160" s="48" t="s">
        <v>4158</v>
      </c>
      <c r="B160" s="48"/>
      <c r="C160" s="48" t="s">
        <v>12391</v>
      </c>
      <c r="D160" s="48"/>
      <c r="E160" s="48" t="s">
        <v>5387</v>
      </c>
      <c r="F160" s="64" t="s">
        <v>622</v>
      </c>
      <c r="G160" s="60" t="s">
        <v>96</v>
      </c>
      <c r="H160" s="88">
        <v>0.12129</v>
      </c>
      <c r="I160" s="49" t="s">
        <v>12392</v>
      </c>
      <c r="J160" s="49" t="s">
        <v>12393</v>
      </c>
      <c r="K160" s="44"/>
      <c r="L160" s="44"/>
    </row>
    <row r="161">
      <c r="A161" s="48" t="s">
        <v>4164</v>
      </c>
      <c r="B161" s="48"/>
      <c r="C161" s="64" t="s">
        <v>12394</v>
      </c>
      <c r="D161" s="48"/>
      <c r="E161" s="48" t="s">
        <v>12004</v>
      </c>
      <c r="F161" s="64" t="s">
        <v>622</v>
      </c>
      <c r="G161" s="60" t="s">
        <v>96</v>
      </c>
      <c r="H161" s="88">
        <v>0.12123</v>
      </c>
      <c r="I161" s="49" t="s">
        <v>12395</v>
      </c>
      <c r="J161" s="49" t="s">
        <v>12396</v>
      </c>
      <c r="K161" s="44"/>
      <c r="L161" s="44"/>
    </row>
    <row r="162">
      <c r="A162" s="48" t="s">
        <v>4142</v>
      </c>
      <c r="B162" s="48"/>
      <c r="C162" s="64" t="s">
        <v>12397</v>
      </c>
      <c r="D162" s="48"/>
      <c r="E162" s="48" t="s">
        <v>12123</v>
      </c>
      <c r="F162" s="64" t="s">
        <v>622</v>
      </c>
      <c r="G162" s="60" t="s">
        <v>96</v>
      </c>
      <c r="H162" s="88">
        <v>0.12054</v>
      </c>
      <c r="I162" s="49" t="s">
        <v>12398</v>
      </c>
      <c r="J162" s="49" t="s">
        <v>12399</v>
      </c>
      <c r="K162" s="44"/>
      <c r="L162" s="44"/>
    </row>
    <row r="163">
      <c r="A163" s="48" t="s">
        <v>4170</v>
      </c>
      <c r="B163" s="48"/>
      <c r="C163" s="64" t="s">
        <v>12400</v>
      </c>
      <c r="D163" s="48"/>
      <c r="E163" s="48" t="s">
        <v>11928</v>
      </c>
      <c r="F163" s="64" t="s">
        <v>622</v>
      </c>
      <c r="G163" s="60" t="s">
        <v>96</v>
      </c>
      <c r="H163" s="88">
        <v>0.12052</v>
      </c>
      <c r="I163" s="49" t="s">
        <v>12401</v>
      </c>
      <c r="J163" s="49" t="s">
        <v>12402</v>
      </c>
      <c r="K163" s="44"/>
      <c r="L163" s="44"/>
    </row>
    <row r="164">
      <c r="A164" s="48" t="s">
        <v>4166</v>
      </c>
      <c r="B164" s="48"/>
      <c r="C164" s="64" t="s">
        <v>12403</v>
      </c>
      <c r="D164" s="48"/>
      <c r="E164" s="48" t="s">
        <v>11965</v>
      </c>
      <c r="F164" s="64" t="s">
        <v>622</v>
      </c>
      <c r="G164" s="60" t="s">
        <v>96</v>
      </c>
      <c r="H164" s="88">
        <v>0.11866</v>
      </c>
      <c r="I164" s="49" t="s">
        <v>12404</v>
      </c>
      <c r="J164" s="49" t="s">
        <v>12405</v>
      </c>
      <c r="K164" s="44"/>
      <c r="L164" s="44"/>
    </row>
    <row r="165">
      <c r="A165" s="48" t="s">
        <v>8897</v>
      </c>
      <c r="B165" s="48"/>
      <c r="C165" s="64" t="s">
        <v>12406</v>
      </c>
      <c r="D165" s="48"/>
      <c r="E165" s="48" t="s">
        <v>11965</v>
      </c>
      <c r="F165" s="64" t="s">
        <v>629</v>
      </c>
      <c r="G165" s="60" t="s">
        <v>96</v>
      </c>
      <c r="H165" s="88">
        <v>0.11844</v>
      </c>
      <c r="I165" s="49" t="s">
        <v>12407</v>
      </c>
      <c r="J165" s="49" t="s">
        <v>12408</v>
      </c>
      <c r="K165" s="44"/>
      <c r="L165" s="44"/>
    </row>
    <row r="166">
      <c r="A166" s="48" t="s">
        <v>4389</v>
      </c>
      <c r="B166" s="48"/>
      <c r="C166" s="48" t="s">
        <v>11275</v>
      </c>
      <c r="D166" s="48"/>
      <c r="E166" s="48" t="s">
        <v>12409</v>
      </c>
      <c r="F166" s="64" t="s">
        <v>639</v>
      </c>
      <c r="G166" s="60" t="s">
        <v>96</v>
      </c>
      <c r="H166" s="88">
        <v>0.11707</v>
      </c>
      <c r="I166" s="49" t="s">
        <v>12410</v>
      </c>
      <c r="J166" s="49" t="s">
        <v>12411</v>
      </c>
      <c r="K166" s="44"/>
      <c r="L166" s="44"/>
    </row>
    <row r="167">
      <c r="A167" s="48" t="s">
        <v>4123</v>
      </c>
      <c r="B167" s="48"/>
      <c r="C167" s="64" t="s">
        <v>12412</v>
      </c>
      <c r="D167" s="48"/>
      <c r="E167" s="48" t="s">
        <v>12413</v>
      </c>
      <c r="F167" s="64" t="s">
        <v>622</v>
      </c>
      <c r="G167" s="60" t="s">
        <v>96</v>
      </c>
      <c r="H167" s="88">
        <v>0.11638</v>
      </c>
      <c r="I167" s="49" t="s">
        <v>12414</v>
      </c>
      <c r="J167" s="49" t="s">
        <v>12415</v>
      </c>
      <c r="K167" s="44"/>
      <c r="L167" s="44"/>
    </row>
    <row r="168">
      <c r="A168" s="48" t="s">
        <v>4157</v>
      </c>
      <c r="B168" s="48"/>
      <c r="C168" s="64" t="s">
        <v>12416</v>
      </c>
      <c r="D168" s="48"/>
      <c r="E168" s="48" t="s">
        <v>12417</v>
      </c>
      <c r="F168" s="64" t="s">
        <v>622</v>
      </c>
      <c r="G168" s="60" t="s">
        <v>96</v>
      </c>
      <c r="H168" s="88">
        <v>0.11541</v>
      </c>
      <c r="I168" s="49" t="s">
        <v>12418</v>
      </c>
      <c r="J168" s="49" t="s">
        <v>12419</v>
      </c>
      <c r="K168" s="44"/>
      <c r="L168" s="44"/>
    </row>
    <row r="169">
      <c r="A169" s="48" t="s">
        <v>4137</v>
      </c>
      <c r="B169" s="48"/>
      <c r="C169" s="48" t="s">
        <v>12420</v>
      </c>
      <c r="D169" s="48"/>
      <c r="E169" s="48" t="s">
        <v>12205</v>
      </c>
      <c r="F169" s="64" t="s">
        <v>622</v>
      </c>
      <c r="G169" s="60" t="s">
        <v>96</v>
      </c>
      <c r="H169" s="88">
        <v>0.11533</v>
      </c>
      <c r="I169" s="49" t="s">
        <v>12421</v>
      </c>
      <c r="J169" s="49" t="s">
        <v>12422</v>
      </c>
      <c r="K169" s="44"/>
      <c r="L169" s="44"/>
    </row>
    <row r="170">
      <c r="A170" s="48" t="s">
        <v>4200</v>
      </c>
      <c r="B170" s="48"/>
      <c r="C170" s="64" t="s">
        <v>12423</v>
      </c>
      <c r="D170" s="48"/>
      <c r="E170" s="48" t="s">
        <v>11995</v>
      </c>
      <c r="F170" s="64" t="s">
        <v>622</v>
      </c>
      <c r="G170" s="60" t="s">
        <v>96</v>
      </c>
      <c r="H170" s="88">
        <v>0.11526</v>
      </c>
      <c r="I170" s="49" t="s">
        <v>12424</v>
      </c>
      <c r="J170" s="49" t="s">
        <v>12425</v>
      </c>
      <c r="K170" s="44"/>
      <c r="L170" s="44"/>
    </row>
    <row r="171">
      <c r="A171" s="48" t="s">
        <v>8886</v>
      </c>
      <c r="B171" s="48"/>
      <c r="C171" s="48" t="s">
        <v>8887</v>
      </c>
      <c r="D171" s="48"/>
      <c r="E171" s="48" t="s">
        <v>12426</v>
      </c>
      <c r="F171" s="64" t="s">
        <v>645</v>
      </c>
      <c r="G171" s="60" t="s">
        <v>96</v>
      </c>
      <c r="H171" s="88">
        <v>0.11513</v>
      </c>
      <c r="I171" s="49" t="s">
        <v>12427</v>
      </c>
      <c r="J171" s="49" t="s">
        <v>12428</v>
      </c>
      <c r="K171" s="44"/>
      <c r="L171" s="44"/>
    </row>
    <row r="172">
      <c r="A172" s="48" t="s">
        <v>11267</v>
      </c>
      <c r="B172" s="48"/>
      <c r="C172" s="64" t="s">
        <v>12429</v>
      </c>
      <c r="D172" s="48"/>
      <c r="E172" s="48" t="s">
        <v>12123</v>
      </c>
      <c r="F172" s="64" t="s">
        <v>694</v>
      </c>
      <c r="G172" s="60" t="s">
        <v>96</v>
      </c>
      <c r="H172" s="88">
        <v>0.11447</v>
      </c>
      <c r="I172" s="49" t="s">
        <v>12430</v>
      </c>
      <c r="J172" s="49" t="s">
        <v>12431</v>
      </c>
      <c r="K172" s="44"/>
      <c r="L172" s="44"/>
    </row>
    <row r="173">
      <c r="A173" s="48" t="s">
        <v>4163</v>
      </c>
      <c r="B173" s="48"/>
      <c r="C173" s="64" t="s">
        <v>12432</v>
      </c>
      <c r="D173" s="48"/>
      <c r="E173" s="48" t="s">
        <v>12049</v>
      </c>
      <c r="F173" s="64" t="s">
        <v>622</v>
      </c>
      <c r="G173" s="60" t="s">
        <v>96</v>
      </c>
      <c r="H173" s="88">
        <v>0.11422</v>
      </c>
      <c r="I173" s="49" t="s">
        <v>12433</v>
      </c>
      <c r="J173" s="49" t="s">
        <v>12434</v>
      </c>
      <c r="K173" s="44"/>
      <c r="L173" s="44"/>
    </row>
    <row r="174">
      <c r="A174" s="48" t="s">
        <v>8882</v>
      </c>
      <c r="B174" s="48"/>
      <c r="C174" s="48" t="s">
        <v>8883</v>
      </c>
      <c r="D174" s="48"/>
      <c r="E174" s="48" t="s">
        <v>11924</v>
      </c>
      <c r="F174" s="64" t="s">
        <v>649</v>
      </c>
      <c r="G174" s="60" t="s">
        <v>96</v>
      </c>
      <c r="H174" s="88">
        <v>0.11419</v>
      </c>
      <c r="I174" s="49" t="s">
        <v>12435</v>
      </c>
      <c r="J174" s="49" t="s">
        <v>12436</v>
      </c>
      <c r="K174" s="44"/>
      <c r="L174" s="44"/>
    </row>
    <row r="175">
      <c r="A175" s="48" t="s">
        <v>8895</v>
      </c>
      <c r="B175" s="48"/>
      <c r="C175" s="48" t="s">
        <v>8896</v>
      </c>
      <c r="D175" s="48"/>
      <c r="E175" s="48" t="s">
        <v>12437</v>
      </c>
      <c r="F175" s="64" t="s">
        <v>11998</v>
      </c>
      <c r="G175" s="60" t="s">
        <v>96</v>
      </c>
      <c r="H175" s="88">
        <v>0.11416</v>
      </c>
      <c r="I175" s="49" t="s">
        <v>12438</v>
      </c>
      <c r="J175" s="49" t="s">
        <v>12439</v>
      </c>
      <c r="K175" s="44"/>
      <c r="L175" s="44"/>
    </row>
    <row r="176">
      <c r="A176" s="48" t="s">
        <v>4165</v>
      </c>
      <c r="B176" s="48"/>
      <c r="C176" s="64" t="s">
        <v>12440</v>
      </c>
      <c r="D176" s="48"/>
      <c r="E176" s="48" t="s">
        <v>12116</v>
      </c>
      <c r="F176" s="64" t="s">
        <v>622</v>
      </c>
      <c r="G176" s="60" t="s">
        <v>96</v>
      </c>
      <c r="H176" s="88">
        <v>0.11357</v>
      </c>
      <c r="I176" s="49" t="s">
        <v>12441</v>
      </c>
      <c r="J176" s="49" t="s">
        <v>12442</v>
      </c>
      <c r="K176" s="44"/>
      <c r="L176" s="44"/>
    </row>
    <row r="177">
      <c r="A177" s="48" t="s">
        <v>8891</v>
      </c>
      <c r="B177" s="48"/>
      <c r="C177" s="48" t="s">
        <v>8889</v>
      </c>
      <c r="D177" s="48"/>
      <c r="E177" s="48" t="s">
        <v>12325</v>
      </c>
      <c r="F177" s="64" t="s">
        <v>11998</v>
      </c>
      <c r="G177" s="60" t="s">
        <v>96</v>
      </c>
      <c r="H177" s="88">
        <v>0.11276</v>
      </c>
      <c r="I177" s="49" t="s">
        <v>12443</v>
      </c>
      <c r="J177" s="49" t="s">
        <v>12444</v>
      </c>
      <c r="K177" s="44"/>
      <c r="L177" s="44"/>
    </row>
    <row r="178">
      <c r="A178" s="48" t="s">
        <v>4175</v>
      </c>
      <c r="B178" s="48"/>
      <c r="C178" s="64" t="s">
        <v>12445</v>
      </c>
      <c r="D178" s="48"/>
      <c r="E178" s="48" t="s">
        <v>11956</v>
      </c>
      <c r="F178" s="64" t="s">
        <v>622</v>
      </c>
      <c r="G178" s="60" t="s">
        <v>96</v>
      </c>
      <c r="H178" s="88">
        <v>0.11231</v>
      </c>
      <c r="I178" s="49" t="s">
        <v>12446</v>
      </c>
      <c r="J178" s="49" t="s">
        <v>12447</v>
      </c>
      <c r="K178" s="44"/>
      <c r="L178" s="44"/>
    </row>
    <row r="179">
      <c r="A179" s="48" t="s">
        <v>4199</v>
      </c>
      <c r="B179" s="48"/>
      <c r="C179" s="64" t="s">
        <v>12448</v>
      </c>
      <c r="D179" s="48"/>
      <c r="E179" s="48" t="s">
        <v>12014</v>
      </c>
      <c r="F179" s="64" t="s">
        <v>622</v>
      </c>
      <c r="G179" s="60" t="s">
        <v>96</v>
      </c>
      <c r="H179" s="88">
        <v>0.11016</v>
      </c>
      <c r="I179" s="49" t="s">
        <v>12449</v>
      </c>
      <c r="J179" s="49" t="s">
        <v>12450</v>
      </c>
      <c r="K179" s="44"/>
      <c r="L179" s="44"/>
    </row>
    <row r="180">
      <c r="A180" s="48" t="s">
        <v>11273</v>
      </c>
      <c r="B180" s="48"/>
      <c r="C180" s="64" t="s">
        <v>12451</v>
      </c>
      <c r="D180" s="48"/>
      <c r="E180" s="48" t="s">
        <v>12229</v>
      </c>
      <c r="F180" s="64" t="s">
        <v>645</v>
      </c>
      <c r="G180" s="60" t="s">
        <v>96</v>
      </c>
      <c r="H180" s="88">
        <v>0.11004</v>
      </c>
      <c r="I180" s="49" t="s">
        <v>12452</v>
      </c>
      <c r="J180" s="49" t="s">
        <v>12453</v>
      </c>
      <c r="K180" s="44"/>
      <c r="L180" s="44"/>
    </row>
    <row r="181">
      <c r="A181" s="48" t="s">
        <v>8921</v>
      </c>
      <c r="B181" s="48"/>
      <c r="C181" s="64" t="s">
        <v>12454</v>
      </c>
      <c r="D181" s="48"/>
      <c r="E181" s="48" t="s">
        <v>5218</v>
      </c>
      <c r="F181" s="64" t="s">
        <v>629</v>
      </c>
      <c r="G181" s="60" t="s">
        <v>96</v>
      </c>
      <c r="H181" s="88">
        <v>0.10937</v>
      </c>
      <c r="I181" s="49" t="s">
        <v>12455</v>
      </c>
      <c r="J181" s="49" t="s">
        <v>12456</v>
      </c>
      <c r="K181" s="44"/>
      <c r="L181" s="44"/>
    </row>
    <row r="182">
      <c r="A182" s="48" t="s">
        <v>8912</v>
      </c>
      <c r="B182" s="48"/>
      <c r="C182" s="48" t="s">
        <v>8913</v>
      </c>
      <c r="D182" s="48"/>
      <c r="E182" s="48" t="s">
        <v>11942</v>
      </c>
      <c r="F182" s="64" t="s">
        <v>694</v>
      </c>
      <c r="G182" s="60" t="s">
        <v>96</v>
      </c>
      <c r="H182" s="88">
        <v>0.10853</v>
      </c>
      <c r="I182" s="49" t="s">
        <v>12457</v>
      </c>
      <c r="J182" s="49" t="s">
        <v>12458</v>
      </c>
      <c r="K182" s="44"/>
      <c r="L182" s="44"/>
    </row>
    <row r="183">
      <c r="A183" s="48" t="s">
        <v>4182</v>
      </c>
      <c r="B183" s="48"/>
      <c r="C183" s="64" t="s">
        <v>12459</v>
      </c>
      <c r="D183" s="48"/>
      <c r="E183" s="48" t="s">
        <v>12460</v>
      </c>
      <c r="F183" s="64" t="s">
        <v>622</v>
      </c>
      <c r="G183" s="60" t="s">
        <v>96</v>
      </c>
      <c r="H183" s="88">
        <v>0.10801</v>
      </c>
      <c r="I183" s="49" t="s">
        <v>12461</v>
      </c>
      <c r="J183" s="49" t="s">
        <v>12462</v>
      </c>
      <c r="K183" s="44"/>
      <c r="L183" s="44"/>
    </row>
    <row r="184">
      <c r="A184" s="48" t="s">
        <v>8905</v>
      </c>
      <c r="B184" s="48"/>
      <c r="C184" s="64" t="s">
        <v>12463</v>
      </c>
      <c r="D184" s="48"/>
      <c r="E184" s="48" t="s">
        <v>6012</v>
      </c>
      <c r="F184" s="64" t="s">
        <v>629</v>
      </c>
      <c r="G184" s="60" t="s">
        <v>96</v>
      </c>
      <c r="H184" s="88">
        <v>0.1079</v>
      </c>
      <c r="I184" s="49" t="s">
        <v>12464</v>
      </c>
      <c r="J184" s="49" t="s">
        <v>12465</v>
      </c>
      <c r="K184" s="44"/>
      <c r="L184" s="44"/>
    </row>
    <row r="185">
      <c r="A185" s="48" t="s">
        <v>8923</v>
      </c>
      <c r="B185" s="48"/>
      <c r="C185" s="64" t="s">
        <v>12466</v>
      </c>
      <c r="D185" s="48"/>
      <c r="E185" s="48" t="s">
        <v>11907</v>
      </c>
      <c r="F185" s="64" t="s">
        <v>622</v>
      </c>
      <c r="G185" s="60" t="s">
        <v>96</v>
      </c>
      <c r="H185" s="88">
        <v>0.10755</v>
      </c>
      <c r="I185" s="49" t="s">
        <v>12467</v>
      </c>
      <c r="J185" s="49" t="s">
        <v>12468</v>
      </c>
      <c r="K185" s="44"/>
      <c r="L185" s="44"/>
    </row>
    <row r="186">
      <c r="A186" s="48" t="s">
        <v>8899</v>
      </c>
      <c r="B186" s="48"/>
      <c r="C186" s="48" t="s">
        <v>8900</v>
      </c>
      <c r="D186" s="48"/>
      <c r="E186" s="48" t="s">
        <v>11942</v>
      </c>
      <c r="F186" s="64" t="s">
        <v>694</v>
      </c>
      <c r="G186" s="60" t="s">
        <v>96</v>
      </c>
      <c r="H186" s="88">
        <v>0.10755</v>
      </c>
      <c r="I186" s="49" t="s">
        <v>12469</v>
      </c>
      <c r="J186" s="49" t="s">
        <v>12470</v>
      </c>
      <c r="K186" s="44"/>
      <c r="L186" s="44"/>
    </row>
    <row r="187">
      <c r="A187" s="48" t="s">
        <v>4172</v>
      </c>
      <c r="B187" s="48"/>
      <c r="C187" s="64" t="s">
        <v>12471</v>
      </c>
      <c r="D187" s="48"/>
      <c r="E187" s="48" t="s">
        <v>6012</v>
      </c>
      <c r="F187" s="64" t="s">
        <v>622</v>
      </c>
      <c r="G187" s="60" t="s">
        <v>96</v>
      </c>
      <c r="H187" s="88">
        <v>0.10713</v>
      </c>
      <c r="I187" s="49" t="s">
        <v>12472</v>
      </c>
      <c r="J187" s="49" t="s">
        <v>12473</v>
      </c>
      <c r="K187" s="44"/>
      <c r="L187" s="44"/>
    </row>
    <row r="188">
      <c r="A188" s="48" t="s">
        <v>4202</v>
      </c>
      <c r="B188" s="48"/>
      <c r="C188" s="64" t="s">
        <v>12474</v>
      </c>
      <c r="D188" s="48"/>
      <c r="E188" s="48" t="s">
        <v>5316</v>
      </c>
      <c r="F188" s="64" t="s">
        <v>622</v>
      </c>
      <c r="G188" s="60" t="s">
        <v>96</v>
      </c>
      <c r="H188" s="88">
        <v>0.10612</v>
      </c>
      <c r="I188" s="49" t="s">
        <v>12475</v>
      </c>
      <c r="J188" s="49" t="s">
        <v>12476</v>
      </c>
      <c r="K188" s="44"/>
      <c r="L188" s="44"/>
    </row>
    <row r="189">
      <c r="A189" s="48" t="s">
        <v>8942</v>
      </c>
      <c r="B189" s="48"/>
      <c r="C189" s="48" t="s">
        <v>8943</v>
      </c>
      <c r="D189" s="48"/>
      <c r="E189" s="48" t="s">
        <v>11956</v>
      </c>
      <c r="F189" s="64" t="s">
        <v>11998</v>
      </c>
      <c r="G189" s="60" t="s">
        <v>96</v>
      </c>
      <c r="H189" s="88">
        <v>0.10565</v>
      </c>
      <c r="I189" s="49" t="s">
        <v>12477</v>
      </c>
      <c r="J189" s="49" t="s">
        <v>12478</v>
      </c>
      <c r="K189" s="44"/>
      <c r="L189" s="44"/>
    </row>
    <row r="190">
      <c r="A190" s="48" t="s">
        <v>11279</v>
      </c>
      <c r="B190" s="48"/>
      <c r="C190" s="64" t="s">
        <v>12479</v>
      </c>
      <c r="D190" s="48"/>
      <c r="E190" s="48" t="s">
        <v>12105</v>
      </c>
      <c r="F190" s="64" t="s">
        <v>629</v>
      </c>
      <c r="G190" s="60" t="s">
        <v>96</v>
      </c>
      <c r="H190" s="88">
        <v>0.10445</v>
      </c>
      <c r="I190" s="49" t="s">
        <v>12480</v>
      </c>
      <c r="J190" s="49" t="s">
        <v>12481</v>
      </c>
      <c r="K190" s="44"/>
      <c r="L190" s="44"/>
    </row>
    <row r="191">
      <c r="A191" s="48" t="s">
        <v>8918</v>
      </c>
      <c r="B191" s="48"/>
      <c r="C191" s="48" t="s">
        <v>8919</v>
      </c>
      <c r="D191" s="48"/>
      <c r="E191" s="48" t="s">
        <v>5218</v>
      </c>
      <c r="F191" s="64" t="s">
        <v>649</v>
      </c>
      <c r="G191" s="60" t="s">
        <v>96</v>
      </c>
      <c r="H191" s="88">
        <v>0.10443</v>
      </c>
      <c r="I191" s="49" t="s">
        <v>12482</v>
      </c>
      <c r="J191" s="49" t="s">
        <v>12483</v>
      </c>
      <c r="K191" s="44"/>
      <c r="L191" s="44"/>
    </row>
    <row r="192">
      <c r="A192" s="48" t="s">
        <v>4174</v>
      </c>
      <c r="B192" s="48"/>
      <c r="C192" s="64" t="s">
        <v>12484</v>
      </c>
      <c r="D192" s="48"/>
      <c r="E192" s="48" t="s">
        <v>12485</v>
      </c>
      <c r="F192" s="64" t="s">
        <v>622</v>
      </c>
      <c r="G192" s="60" t="s">
        <v>96</v>
      </c>
      <c r="H192" s="88">
        <v>0.104</v>
      </c>
      <c r="I192" s="49" t="s">
        <v>12486</v>
      </c>
      <c r="J192" s="49" t="s">
        <v>12487</v>
      </c>
      <c r="K192" s="44"/>
      <c r="L192" s="44"/>
    </row>
    <row r="193">
      <c r="A193" s="48" t="s">
        <v>8817</v>
      </c>
      <c r="B193" s="48"/>
      <c r="C193" s="48" t="s">
        <v>8893</v>
      </c>
      <c r="D193" s="48"/>
      <c r="E193" s="48" t="s">
        <v>11942</v>
      </c>
      <c r="F193" s="64" t="s">
        <v>1201</v>
      </c>
      <c r="G193" s="60" t="s">
        <v>96</v>
      </c>
      <c r="H193" s="88">
        <v>0.1021</v>
      </c>
      <c r="I193" s="49" t="s">
        <v>12488</v>
      </c>
      <c r="J193" s="49" t="s">
        <v>12489</v>
      </c>
      <c r="K193" s="44"/>
      <c r="L193" s="44"/>
    </row>
    <row r="194">
      <c r="A194" s="48" t="s">
        <v>8914</v>
      </c>
      <c r="B194" s="48"/>
      <c r="C194" s="64" t="s">
        <v>12490</v>
      </c>
      <c r="D194" s="48"/>
      <c r="E194" s="48" t="s">
        <v>11942</v>
      </c>
      <c r="F194" s="64" t="s">
        <v>629</v>
      </c>
      <c r="G194" s="60" t="s">
        <v>96</v>
      </c>
      <c r="H194" s="88">
        <v>0.10163</v>
      </c>
      <c r="I194" s="49" t="s">
        <v>12491</v>
      </c>
      <c r="J194" s="49" t="s">
        <v>12492</v>
      </c>
      <c r="K194" s="44"/>
      <c r="L194" s="44"/>
    </row>
    <row r="195">
      <c r="A195" s="48" t="s">
        <v>8931</v>
      </c>
      <c r="B195" s="48"/>
      <c r="C195" s="48" t="s">
        <v>8932</v>
      </c>
      <c r="D195" s="48"/>
      <c r="E195" s="48" t="s">
        <v>11907</v>
      </c>
      <c r="F195" s="64" t="s">
        <v>668</v>
      </c>
      <c r="G195" s="60" t="s">
        <v>96</v>
      </c>
      <c r="H195" s="88">
        <v>0.10041</v>
      </c>
      <c r="I195" s="49" t="s">
        <v>12493</v>
      </c>
      <c r="J195" s="49" t="s">
        <v>12494</v>
      </c>
      <c r="K195" s="44"/>
      <c r="L195" s="44"/>
    </row>
    <row r="196">
      <c r="A196" s="48" t="s">
        <v>4205</v>
      </c>
      <c r="B196" s="48"/>
      <c r="C196" s="64" t="s">
        <v>12495</v>
      </c>
      <c r="D196" s="48"/>
      <c r="E196" s="48" t="s">
        <v>12116</v>
      </c>
      <c r="F196" s="64" t="s">
        <v>622</v>
      </c>
      <c r="G196" s="60" t="s">
        <v>96</v>
      </c>
      <c r="H196" s="88">
        <v>0.10016</v>
      </c>
      <c r="I196" s="49" t="s">
        <v>12496</v>
      </c>
      <c r="J196" s="49" t="s">
        <v>12497</v>
      </c>
      <c r="K196" s="44"/>
      <c r="L196" s="44"/>
    </row>
    <row r="197">
      <c r="A197" s="48" t="s">
        <v>4169</v>
      </c>
      <c r="B197" s="48"/>
      <c r="C197" s="64" t="s">
        <v>12498</v>
      </c>
      <c r="D197" s="48"/>
      <c r="E197" s="48" t="s">
        <v>12120</v>
      </c>
      <c r="F197" s="64" t="s">
        <v>622</v>
      </c>
      <c r="G197" s="60" t="s">
        <v>96</v>
      </c>
      <c r="H197" s="88">
        <v>0.10008</v>
      </c>
      <c r="I197" s="49" t="s">
        <v>12499</v>
      </c>
      <c r="J197" s="49" t="s">
        <v>12500</v>
      </c>
      <c r="K197" s="44"/>
      <c r="L197" s="44"/>
    </row>
    <row r="198">
      <c r="A198" s="48" t="s">
        <v>4316</v>
      </c>
      <c r="B198" s="48"/>
      <c r="C198" s="48" t="s">
        <v>8909</v>
      </c>
      <c r="D198" s="48"/>
      <c r="E198" s="48" t="s">
        <v>12501</v>
      </c>
      <c r="F198" s="64" t="s">
        <v>639</v>
      </c>
      <c r="G198" s="60" t="s">
        <v>96</v>
      </c>
      <c r="H198" s="88">
        <v>0.09954</v>
      </c>
      <c r="I198" s="49" t="s">
        <v>12502</v>
      </c>
      <c r="J198" s="49" t="s">
        <v>12503</v>
      </c>
      <c r="K198" s="44"/>
      <c r="L198" s="44"/>
    </row>
    <row r="199">
      <c r="A199" s="48" t="s">
        <v>4193</v>
      </c>
      <c r="B199" s="48"/>
      <c r="C199" s="64" t="s">
        <v>12504</v>
      </c>
      <c r="D199" s="48"/>
      <c r="E199" s="48" t="s">
        <v>12105</v>
      </c>
      <c r="F199" s="64" t="s">
        <v>622</v>
      </c>
      <c r="G199" s="60" t="s">
        <v>96</v>
      </c>
      <c r="H199" s="88">
        <v>0.09867</v>
      </c>
      <c r="I199" s="49" t="s">
        <v>12505</v>
      </c>
      <c r="J199" s="49" t="s">
        <v>12506</v>
      </c>
      <c r="K199" s="44"/>
      <c r="L199" s="44"/>
    </row>
    <row r="200">
      <c r="A200" s="48" t="s">
        <v>11276</v>
      </c>
      <c r="B200" s="48"/>
      <c r="C200" s="48" t="s">
        <v>11277</v>
      </c>
      <c r="D200" s="48"/>
      <c r="E200" s="48" t="s">
        <v>12352</v>
      </c>
      <c r="F200" s="64" t="s">
        <v>11998</v>
      </c>
      <c r="G200" s="60" t="s">
        <v>96</v>
      </c>
      <c r="H200" s="88">
        <v>0.09808</v>
      </c>
      <c r="I200" s="49" t="s">
        <v>12507</v>
      </c>
      <c r="J200" s="49" t="s">
        <v>12508</v>
      </c>
      <c r="K200" s="44"/>
      <c r="L200" s="44"/>
    </row>
    <row r="201">
      <c r="A201" s="48" t="s">
        <v>4237</v>
      </c>
      <c r="B201" s="48"/>
      <c r="C201" s="64" t="s">
        <v>12509</v>
      </c>
      <c r="D201" s="48"/>
      <c r="E201" s="48" t="s">
        <v>12046</v>
      </c>
      <c r="F201" s="64" t="s">
        <v>622</v>
      </c>
      <c r="G201" s="60" t="s">
        <v>96</v>
      </c>
      <c r="H201" s="88">
        <v>0.09771</v>
      </c>
      <c r="I201" s="49" t="s">
        <v>12510</v>
      </c>
      <c r="J201" s="49" t="s">
        <v>12511</v>
      </c>
      <c r="K201" s="44"/>
      <c r="L201" s="44"/>
    </row>
    <row r="202">
      <c r="A202" s="48" t="s">
        <v>11284</v>
      </c>
      <c r="B202" s="48"/>
      <c r="C202" s="48" t="s">
        <v>11285</v>
      </c>
      <c r="D202" s="48"/>
      <c r="E202" s="48" t="s">
        <v>12078</v>
      </c>
      <c r="F202" s="64" t="s">
        <v>1352</v>
      </c>
      <c r="G202" s="60" t="s">
        <v>96</v>
      </c>
      <c r="H202" s="88">
        <v>0.09707</v>
      </c>
      <c r="I202" s="49" t="s">
        <v>12512</v>
      </c>
      <c r="J202" s="49" t="s">
        <v>12513</v>
      </c>
      <c r="K202" s="44"/>
      <c r="L202" s="44"/>
    </row>
    <row r="203">
      <c r="A203" s="48" t="s">
        <v>8944</v>
      </c>
      <c r="B203" s="48"/>
      <c r="C203" s="48" t="s">
        <v>12514</v>
      </c>
      <c r="D203" s="48"/>
      <c r="E203" s="48" t="s">
        <v>12246</v>
      </c>
      <c r="F203" s="64" t="s">
        <v>639</v>
      </c>
      <c r="G203" s="60" t="s">
        <v>96</v>
      </c>
      <c r="H203" s="88">
        <v>0.09697</v>
      </c>
      <c r="I203" s="49" t="s">
        <v>12515</v>
      </c>
      <c r="J203" s="49" t="s">
        <v>12516</v>
      </c>
      <c r="K203" s="44"/>
      <c r="L203" s="44"/>
    </row>
    <row r="204">
      <c r="A204" s="48" t="s">
        <v>11271</v>
      </c>
      <c r="B204" s="48"/>
      <c r="C204" s="64" t="s">
        <v>12517</v>
      </c>
      <c r="D204" s="48"/>
      <c r="E204" s="48" t="s">
        <v>12518</v>
      </c>
      <c r="F204" s="64" t="s">
        <v>629</v>
      </c>
      <c r="G204" s="60" t="s">
        <v>96</v>
      </c>
      <c r="H204" s="88">
        <v>0.09625</v>
      </c>
      <c r="I204" s="49" t="s">
        <v>12519</v>
      </c>
      <c r="J204" s="49" t="s">
        <v>12520</v>
      </c>
      <c r="K204" s="44"/>
      <c r="L204" s="44"/>
    </row>
    <row r="205">
      <c r="A205" s="48" t="s">
        <v>11287</v>
      </c>
      <c r="B205" s="48"/>
      <c r="C205" s="48" t="s">
        <v>11288</v>
      </c>
      <c r="D205" s="48"/>
      <c r="E205" s="48" t="s">
        <v>9144</v>
      </c>
      <c r="F205" s="64" t="s">
        <v>649</v>
      </c>
      <c r="G205" s="60" t="s">
        <v>96</v>
      </c>
      <c r="H205" s="88">
        <v>0.09574</v>
      </c>
      <c r="I205" s="49" t="s">
        <v>12521</v>
      </c>
      <c r="J205" s="49" t="s">
        <v>12522</v>
      </c>
      <c r="K205" s="44"/>
      <c r="L205" s="44"/>
    </row>
    <row r="206">
      <c r="A206" s="48" t="s">
        <v>4272</v>
      </c>
      <c r="B206" s="48"/>
      <c r="C206" s="64" t="s">
        <v>12523</v>
      </c>
      <c r="D206" s="48"/>
      <c r="E206" s="48" t="s">
        <v>11959</v>
      </c>
      <c r="F206" s="64" t="s">
        <v>622</v>
      </c>
      <c r="G206" s="60" t="s">
        <v>96</v>
      </c>
      <c r="H206" s="88">
        <v>0.09553</v>
      </c>
      <c r="I206" s="49" t="s">
        <v>12524</v>
      </c>
      <c r="J206" s="49" t="s">
        <v>12525</v>
      </c>
      <c r="K206" s="44"/>
      <c r="L206" s="44"/>
    </row>
    <row r="207">
      <c r="A207" s="48" t="s">
        <v>11306</v>
      </c>
      <c r="B207" s="48"/>
      <c r="C207" s="48" t="s">
        <v>11307</v>
      </c>
      <c r="D207" s="48"/>
      <c r="E207" s="48" t="s">
        <v>5288</v>
      </c>
      <c r="F207" s="64" t="s">
        <v>11998</v>
      </c>
      <c r="G207" s="60" t="s">
        <v>96</v>
      </c>
      <c r="H207" s="88">
        <v>0.09552</v>
      </c>
      <c r="I207" s="49" t="s">
        <v>12526</v>
      </c>
      <c r="J207" s="49" t="s">
        <v>12527</v>
      </c>
      <c r="K207" s="44"/>
      <c r="L207" s="44"/>
    </row>
    <row r="208">
      <c r="A208" s="48" t="s">
        <v>8925</v>
      </c>
      <c r="B208" s="48"/>
      <c r="C208" s="64" t="s">
        <v>12528</v>
      </c>
      <c r="D208" s="48"/>
      <c r="E208" s="48" t="s">
        <v>5650</v>
      </c>
      <c r="F208" s="64" t="s">
        <v>622</v>
      </c>
      <c r="G208" s="60" t="s">
        <v>96</v>
      </c>
      <c r="H208" s="88">
        <v>0.0955</v>
      </c>
      <c r="I208" s="49" t="s">
        <v>12529</v>
      </c>
      <c r="J208" s="49" t="s">
        <v>12530</v>
      </c>
      <c r="K208" s="44"/>
      <c r="L208" s="44"/>
    </row>
    <row r="209">
      <c r="A209" s="48" t="s">
        <v>11282</v>
      </c>
      <c r="B209" s="48"/>
      <c r="C209" s="48" t="s">
        <v>11283</v>
      </c>
      <c r="D209" s="48"/>
      <c r="E209" s="48" t="s">
        <v>12090</v>
      </c>
      <c r="F209" s="64" t="s">
        <v>639</v>
      </c>
      <c r="G209" s="60" t="s">
        <v>96</v>
      </c>
      <c r="H209" s="88">
        <v>0.09515</v>
      </c>
      <c r="I209" s="49" t="s">
        <v>12531</v>
      </c>
      <c r="J209" s="49" t="s">
        <v>12532</v>
      </c>
      <c r="K209" s="44"/>
      <c r="L209" s="44"/>
    </row>
    <row r="210">
      <c r="A210" s="48" t="s">
        <v>4188</v>
      </c>
      <c r="B210" s="48"/>
      <c r="C210" s="64" t="s">
        <v>12533</v>
      </c>
      <c r="D210" s="48"/>
      <c r="E210" s="48" t="s">
        <v>5462</v>
      </c>
      <c r="F210" s="64" t="s">
        <v>622</v>
      </c>
      <c r="G210" s="60" t="s">
        <v>96</v>
      </c>
      <c r="H210" s="88">
        <v>0.09472</v>
      </c>
      <c r="I210" s="49" t="s">
        <v>12534</v>
      </c>
      <c r="J210" s="49" t="s">
        <v>12535</v>
      </c>
      <c r="K210" s="44"/>
      <c r="L210" s="44"/>
    </row>
    <row r="211">
      <c r="A211" s="48" t="s">
        <v>4254</v>
      </c>
      <c r="B211" s="48"/>
      <c r="C211" s="64" t="s">
        <v>12536</v>
      </c>
      <c r="D211" s="48"/>
      <c r="E211" s="48" t="s">
        <v>12250</v>
      </c>
      <c r="F211" s="64" t="s">
        <v>622</v>
      </c>
      <c r="G211" s="60" t="s">
        <v>96</v>
      </c>
      <c r="H211" s="88">
        <v>0.09359</v>
      </c>
      <c r="I211" s="49" t="s">
        <v>12537</v>
      </c>
      <c r="J211" s="49" t="s">
        <v>12538</v>
      </c>
      <c r="K211" s="44"/>
      <c r="L211" s="44"/>
    </row>
    <row r="212">
      <c r="A212" s="48" t="s">
        <v>8916</v>
      </c>
      <c r="B212" s="48"/>
      <c r="C212" s="48" t="s">
        <v>8917</v>
      </c>
      <c r="D212" s="48"/>
      <c r="E212" s="48" t="s">
        <v>5650</v>
      </c>
      <c r="F212" s="64" t="s">
        <v>649</v>
      </c>
      <c r="G212" s="60" t="s">
        <v>96</v>
      </c>
      <c r="H212" s="88">
        <v>0.09254</v>
      </c>
      <c r="I212" s="49" t="s">
        <v>12539</v>
      </c>
      <c r="J212" s="49" t="s">
        <v>12540</v>
      </c>
      <c r="K212" s="44"/>
      <c r="L212" s="44"/>
    </row>
    <row r="213">
      <c r="A213" s="48" t="s">
        <v>8975</v>
      </c>
      <c r="B213" s="48"/>
      <c r="C213" s="48" t="s">
        <v>8976</v>
      </c>
      <c r="D213" s="48"/>
      <c r="E213" s="48" t="s">
        <v>12014</v>
      </c>
      <c r="F213" s="64" t="s">
        <v>11998</v>
      </c>
      <c r="G213" s="60" t="s">
        <v>96</v>
      </c>
      <c r="H213" s="88">
        <v>0.09204</v>
      </c>
      <c r="I213" s="49" t="s">
        <v>12541</v>
      </c>
      <c r="J213" s="49" t="s">
        <v>12542</v>
      </c>
      <c r="K213" s="44"/>
      <c r="L213" s="44"/>
    </row>
    <row r="214">
      <c r="A214" s="48" t="s">
        <v>4226</v>
      </c>
      <c r="B214" s="48"/>
      <c r="C214" s="64" t="s">
        <v>12543</v>
      </c>
      <c r="D214" s="48"/>
      <c r="E214" s="48" t="s">
        <v>12136</v>
      </c>
      <c r="F214" s="64" t="s">
        <v>622</v>
      </c>
      <c r="G214" s="60" t="s">
        <v>96</v>
      </c>
      <c r="H214" s="88">
        <v>0.09199</v>
      </c>
      <c r="I214" s="49" t="s">
        <v>12544</v>
      </c>
      <c r="J214" s="49" t="s">
        <v>12545</v>
      </c>
      <c r="K214" s="44"/>
      <c r="L214" s="44"/>
    </row>
    <row r="215">
      <c r="A215" s="48" t="s">
        <v>4203</v>
      </c>
      <c r="B215" s="48"/>
      <c r="C215" s="64" t="s">
        <v>12546</v>
      </c>
      <c r="D215" s="48"/>
      <c r="E215" s="48" t="s">
        <v>12090</v>
      </c>
      <c r="F215" s="64" t="s">
        <v>622</v>
      </c>
      <c r="G215" s="60" t="s">
        <v>96</v>
      </c>
      <c r="H215" s="88">
        <v>0.09174</v>
      </c>
      <c r="I215" s="49" t="s">
        <v>12547</v>
      </c>
      <c r="J215" s="49" t="s">
        <v>12548</v>
      </c>
      <c r="K215" s="44"/>
      <c r="L215" s="44"/>
    </row>
    <row r="216">
      <c r="A216" s="48" t="s">
        <v>4190</v>
      </c>
      <c r="B216" s="48"/>
      <c r="C216" s="64" t="s">
        <v>12549</v>
      </c>
      <c r="D216" s="48"/>
      <c r="E216" s="48" t="s">
        <v>12004</v>
      </c>
      <c r="F216" s="64" t="s">
        <v>622</v>
      </c>
      <c r="G216" s="60" t="s">
        <v>96</v>
      </c>
      <c r="H216" s="88">
        <v>0.09144</v>
      </c>
      <c r="I216" s="49" t="s">
        <v>12550</v>
      </c>
      <c r="J216" s="49" t="s">
        <v>12551</v>
      </c>
      <c r="K216" s="44"/>
      <c r="L216" s="44"/>
    </row>
    <row r="217">
      <c r="A217" s="48" t="s">
        <v>8964</v>
      </c>
      <c r="B217" s="48"/>
      <c r="C217" s="64" t="s">
        <v>12552</v>
      </c>
      <c r="D217" s="48"/>
      <c r="E217" s="48" t="s">
        <v>5218</v>
      </c>
      <c r="F217" s="64" t="s">
        <v>629</v>
      </c>
      <c r="G217" s="60" t="s">
        <v>96</v>
      </c>
      <c r="H217" s="88">
        <v>0.09117</v>
      </c>
      <c r="I217" s="49" t="s">
        <v>12553</v>
      </c>
      <c r="J217" s="49" t="s">
        <v>12554</v>
      </c>
      <c r="K217" s="44"/>
      <c r="L217" s="44"/>
    </row>
    <row r="218">
      <c r="A218" s="48" t="s">
        <v>4213</v>
      </c>
      <c r="B218" s="48"/>
      <c r="C218" s="64" t="s">
        <v>12555</v>
      </c>
      <c r="D218" s="48"/>
      <c r="E218" s="48" t="s">
        <v>11924</v>
      </c>
      <c r="F218" s="64" t="s">
        <v>622</v>
      </c>
      <c r="G218" s="60" t="s">
        <v>96</v>
      </c>
      <c r="H218" s="88">
        <v>0.09063</v>
      </c>
      <c r="I218" s="49" t="s">
        <v>12556</v>
      </c>
      <c r="J218" s="49" t="s">
        <v>12557</v>
      </c>
      <c r="K218" s="44"/>
      <c r="L218" s="44"/>
    </row>
    <row r="219">
      <c r="A219" s="48" t="s">
        <v>11299</v>
      </c>
      <c r="B219" s="48"/>
      <c r="C219" s="64" t="s">
        <v>12558</v>
      </c>
      <c r="D219" s="48"/>
      <c r="E219" s="48" t="s">
        <v>12559</v>
      </c>
      <c r="F219" s="64" t="s">
        <v>629</v>
      </c>
      <c r="G219" s="60" t="s">
        <v>96</v>
      </c>
      <c r="H219" s="88">
        <v>0.09057</v>
      </c>
      <c r="I219" s="49" t="s">
        <v>12560</v>
      </c>
      <c r="J219" s="49" t="s">
        <v>12561</v>
      </c>
      <c r="K219" s="44"/>
      <c r="L219" s="44"/>
    </row>
    <row r="220">
      <c r="A220" s="48" t="s">
        <v>4221</v>
      </c>
      <c r="B220" s="48"/>
      <c r="C220" s="64" t="s">
        <v>12562</v>
      </c>
      <c r="D220" s="48"/>
      <c r="E220" s="48" t="s">
        <v>12018</v>
      </c>
      <c r="F220" s="64" t="s">
        <v>622</v>
      </c>
      <c r="G220" s="60" t="s">
        <v>96</v>
      </c>
      <c r="H220" s="88">
        <v>0.09031</v>
      </c>
      <c r="I220" s="49" t="s">
        <v>12563</v>
      </c>
      <c r="J220" s="49" t="s">
        <v>12564</v>
      </c>
      <c r="K220" s="44"/>
      <c r="L220" s="44"/>
    </row>
    <row r="221">
      <c r="A221" s="48" t="s">
        <v>4168</v>
      </c>
      <c r="B221" s="48"/>
      <c r="C221" s="64" t="s">
        <v>12565</v>
      </c>
      <c r="D221" s="48"/>
      <c r="E221" s="48" t="s">
        <v>12566</v>
      </c>
      <c r="F221" s="64" t="s">
        <v>622</v>
      </c>
      <c r="G221" s="60" t="s">
        <v>96</v>
      </c>
      <c r="H221" s="88">
        <v>0.08956</v>
      </c>
      <c r="I221" s="49" t="s">
        <v>12567</v>
      </c>
      <c r="J221" s="49" t="s">
        <v>12568</v>
      </c>
      <c r="K221" s="44"/>
      <c r="L221" s="44"/>
    </row>
    <row r="222">
      <c r="A222" s="48" t="s">
        <v>4192</v>
      </c>
      <c r="B222" s="48"/>
      <c r="C222" s="48" t="s">
        <v>8928</v>
      </c>
      <c r="D222" s="48"/>
      <c r="E222" s="48" t="s">
        <v>5650</v>
      </c>
      <c r="F222" s="64" t="s">
        <v>622</v>
      </c>
      <c r="G222" s="60" t="s">
        <v>96</v>
      </c>
      <c r="H222" s="88">
        <v>0.08923</v>
      </c>
      <c r="I222" s="49" t="s">
        <v>12569</v>
      </c>
      <c r="J222" s="49" t="s">
        <v>12570</v>
      </c>
      <c r="K222" s="44"/>
      <c r="L222" s="44"/>
    </row>
    <row r="223">
      <c r="A223" s="48" t="s">
        <v>4214</v>
      </c>
      <c r="B223" s="48"/>
      <c r="C223" s="64" t="s">
        <v>12571</v>
      </c>
      <c r="D223" s="48"/>
      <c r="E223" s="48" t="s">
        <v>11942</v>
      </c>
      <c r="F223" s="64" t="s">
        <v>622</v>
      </c>
      <c r="G223" s="60" t="s">
        <v>96</v>
      </c>
      <c r="H223" s="88">
        <v>0.08877</v>
      </c>
      <c r="I223" s="49" t="s">
        <v>12572</v>
      </c>
      <c r="J223" s="49" t="s">
        <v>12573</v>
      </c>
      <c r="K223" s="44"/>
      <c r="L223" s="44"/>
    </row>
    <row r="224">
      <c r="A224" s="48" t="s">
        <v>11301</v>
      </c>
      <c r="B224" s="48"/>
      <c r="C224" s="48" t="s">
        <v>11302</v>
      </c>
      <c r="D224" s="48"/>
      <c r="E224" s="48" t="s">
        <v>6110</v>
      </c>
      <c r="F224" s="64" t="s">
        <v>1374</v>
      </c>
      <c r="G224" s="60" t="s">
        <v>96</v>
      </c>
      <c r="H224" s="88">
        <v>0.08872</v>
      </c>
      <c r="I224" s="49" t="s">
        <v>12574</v>
      </c>
      <c r="J224" s="49" t="s">
        <v>12575</v>
      </c>
      <c r="K224" s="44"/>
      <c r="L224" s="44"/>
    </row>
    <row r="225">
      <c r="A225" s="48" t="s">
        <v>8994</v>
      </c>
      <c r="B225" s="48"/>
      <c r="C225" s="48" t="s">
        <v>8995</v>
      </c>
      <c r="D225" s="48"/>
      <c r="E225" s="48" t="s">
        <v>12025</v>
      </c>
      <c r="F225" s="64" t="s">
        <v>645</v>
      </c>
      <c r="G225" s="60" t="s">
        <v>96</v>
      </c>
      <c r="H225" s="88">
        <v>0.08862</v>
      </c>
      <c r="I225" s="49" t="s">
        <v>12576</v>
      </c>
      <c r="J225" s="49" t="s">
        <v>12577</v>
      </c>
      <c r="K225" s="44"/>
      <c r="L225" s="44"/>
    </row>
    <row r="226">
      <c r="A226" s="48" t="s">
        <v>8982</v>
      </c>
      <c r="B226" s="48"/>
      <c r="C226" s="64" t="s">
        <v>12578</v>
      </c>
      <c r="D226" s="48"/>
      <c r="E226" s="48" t="s">
        <v>12268</v>
      </c>
      <c r="F226" s="64" t="s">
        <v>629</v>
      </c>
      <c r="G226" s="60" t="s">
        <v>96</v>
      </c>
      <c r="H226" s="88">
        <v>0.08823</v>
      </c>
      <c r="I226" s="49" t="s">
        <v>12579</v>
      </c>
      <c r="J226" s="49" t="s">
        <v>12580</v>
      </c>
      <c r="K226" s="44"/>
      <c r="L226" s="44"/>
    </row>
    <row r="227">
      <c r="A227" s="48" t="s">
        <v>8945</v>
      </c>
      <c r="B227" s="48"/>
      <c r="C227" s="64" t="s">
        <v>12581</v>
      </c>
      <c r="D227" s="48"/>
      <c r="E227" s="48" t="s">
        <v>11924</v>
      </c>
      <c r="F227" s="64" t="s">
        <v>629</v>
      </c>
      <c r="G227" s="60" t="s">
        <v>96</v>
      </c>
      <c r="H227" s="88">
        <v>0.08808</v>
      </c>
      <c r="I227" s="49" t="s">
        <v>12582</v>
      </c>
      <c r="J227" s="49" t="s">
        <v>12583</v>
      </c>
      <c r="K227" s="44"/>
      <c r="L227" s="44"/>
    </row>
    <row r="228">
      <c r="A228" s="48" t="s">
        <v>8953</v>
      </c>
      <c r="B228" s="48"/>
      <c r="C228" s="48" t="s">
        <v>8954</v>
      </c>
      <c r="D228" s="48"/>
      <c r="E228" s="48" t="s">
        <v>11942</v>
      </c>
      <c r="F228" s="64" t="s">
        <v>668</v>
      </c>
      <c r="G228" s="60" t="s">
        <v>96</v>
      </c>
      <c r="H228" s="88">
        <v>0.08785</v>
      </c>
      <c r="I228" s="49" t="s">
        <v>12584</v>
      </c>
      <c r="J228" s="49" t="s">
        <v>12585</v>
      </c>
      <c r="K228" s="44"/>
      <c r="L228" s="44"/>
    </row>
    <row r="229">
      <c r="A229" s="48" t="s">
        <v>4256</v>
      </c>
      <c r="B229" s="48"/>
      <c r="C229" s="64" t="s">
        <v>12586</v>
      </c>
      <c r="D229" s="48"/>
      <c r="E229" s="48" t="s">
        <v>11982</v>
      </c>
      <c r="F229" s="64" t="s">
        <v>622</v>
      </c>
      <c r="G229" s="60" t="s">
        <v>96</v>
      </c>
      <c r="H229" s="88">
        <v>0.08765</v>
      </c>
      <c r="I229" s="49" t="s">
        <v>12587</v>
      </c>
      <c r="J229" s="49" t="s">
        <v>12588</v>
      </c>
      <c r="K229" s="44"/>
      <c r="L229" s="44"/>
    </row>
    <row r="230">
      <c r="A230" s="48" t="s">
        <v>4263</v>
      </c>
      <c r="B230" s="48"/>
      <c r="C230" s="64" t="s">
        <v>12589</v>
      </c>
      <c r="D230" s="48"/>
      <c r="E230" s="48" t="s">
        <v>11903</v>
      </c>
      <c r="F230" s="64" t="s">
        <v>622</v>
      </c>
      <c r="G230" s="60" t="s">
        <v>96</v>
      </c>
      <c r="H230" s="88">
        <v>0.08696</v>
      </c>
      <c r="I230" s="49" t="s">
        <v>12590</v>
      </c>
      <c r="J230" s="49" t="s">
        <v>12591</v>
      </c>
      <c r="K230" s="44"/>
      <c r="L230" s="44"/>
    </row>
    <row r="231">
      <c r="A231" s="48" t="s">
        <v>4246</v>
      </c>
      <c r="B231" s="48"/>
      <c r="C231" s="64" t="s">
        <v>12592</v>
      </c>
      <c r="D231" s="48"/>
      <c r="E231" s="48" t="s">
        <v>11956</v>
      </c>
      <c r="F231" s="64" t="s">
        <v>622</v>
      </c>
      <c r="G231" s="60" t="s">
        <v>96</v>
      </c>
      <c r="H231" s="88">
        <v>0.08684</v>
      </c>
      <c r="I231" s="49" t="s">
        <v>12593</v>
      </c>
      <c r="J231" s="49" t="s">
        <v>12594</v>
      </c>
      <c r="K231" s="44"/>
      <c r="L231" s="44"/>
    </row>
    <row r="232">
      <c r="A232" s="48" t="s">
        <v>4275</v>
      </c>
      <c r="B232" s="48"/>
      <c r="C232" s="64" t="s">
        <v>12595</v>
      </c>
      <c r="D232" s="48"/>
      <c r="E232" s="48" t="s">
        <v>12046</v>
      </c>
      <c r="F232" s="64" t="s">
        <v>622</v>
      </c>
      <c r="G232" s="60" t="s">
        <v>96</v>
      </c>
      <c r="H232" s="88">
        <v>0.08675</v>
      </c>
      <c r="I232" s="49" t="s">
        <v>12596</v>
      </c>
      <c r="J232" s="49" t="s">
        <v>12597</v>
      </c>
      <c r="K232" s="44"/>
      <c r="L232" s="44"/>
    </row>
    <row r="233">
      <c r="A233" s="48" t="s">
        <v>4180</v>
      </c>
      <c r="B233" s="48"/>
      <c r="C233" s="64" t="s">
        <v>12598</v>
      </c>
      <c r="D233" s="48"/>
      <c r="E233" s="48" t="s">
        <v>12229</v>
      </c>
      <c r="F233" s="64" t="s">
        <v>622</v>
      </c>
      <c r="G233" s="60" t="s">
        <v>96</v>
      </c>
      <c r="H233" s="88">
        <v>0.0866</v>
      </c>
      <c r="I233" s="49" t="s">
        <v>12599</v>
      </c>
      <c r="J233" s="49" t="s">
        <v>12600</v>
      </c>
      <c r="K233" s="44"/>
      <c r="L233" s="44"/>
    </row>
    <row r="234">
      <c r="A234" s="48" t="s">
        <v>4186</v>
      </c>
      <c r="B234" s="48"/>
      <c r="C234" s="64" t="s">
        <v>12601</v>
      </c>
      <c r="D234" s="48"/>
      <c r="E234" s="48" t="s">
        <v>12123</v>
      </c>
      <c r="F234" s="64" t="s">
        <v>622</v>
      </c>
      <c r="G234" s="60" t="s">
        <v>96</v>
      </c>
      <c r="H234" s="88">
        <v>0.08645</v>
      </c>
      <c r="I234" s="49" t="s">
        <v>12602</v>
      </c>
      <c r="J234" s="49" t="s">
        <v>12603</v>
      </c>
      <c r="K234" s="44"/>
      <c r="L234" s="44"/>
    </row>
    <row r="235">
      <c r="A235" s="48" t="s">
        <v>4235</v>
      </c>
      <c r="B235" s="48"/>
      <c r="C235" s="48" t="s">
        <v>12604</v>
      </c>
      <c r="D235" s="48"/>
      <c r="E235" s="48" t="s">
        <v>5288</v>
      </c>
      <c r="F235" s="64" t="s">
        <v>622</v>
      </c>
      <c r="G235" s="60" t="s">
        <v>96</v>
      </c>
      <c r="H235" s="88">
        <v>0.0864</v>
      </c>
      <c r="I235" s="49" t="s">
        <v>12605</v>
      </c>
      <c r="J235" s="49" t="s">
        <v>12606</v>
      </c>
      <c r="K235" s="44"/>
      <c r="L235" s="44"/>
    </row>
    <row r="236">
      <c r="A236" s="48" t="s">
        <v>8962</v>
      </c>
      <c r="B236" s="48"/>
      <c r="C236" s="64" t="s">
        <v>12607</v>
      </c>
      <c r="D236" s="48"/>
      <c r="E236" s="48" t="s">
        <v>12417</v>
      </c>
      <c r="F236" s="64" t="s">
        <v>629</v>
      </c>
      <c r="G236" s="60" t="s">
        <v>96</v>
      </c>
      <c r="H236" s="88">
        <v>0.08626</v>
      </c>
      <c r="I236" s="49" t="s">
        <v>12608</v>
      </c>
      <c r="J236" s="49" t="s">
        <v>12609</v>
      </c>
      <c r="K236" s="44"/>
      <c r="L236" s="44"/>
    </row>
    <row r="237">
      <c r="A237" s="48" t="s">
        <v>4222</v>
      </c>
      <c r="B237" s="48"/>
      <c r="C237" s="64" t="s">
        <v>12610</v>
      </c>
      <c r="D237" s="48"/>
      <c r="E237" s="48" t="s">
        <v>11924</v>
      </c>
      <c r="F237" s="64" t="s">
        <v>622</v>
      </c>
      <c r="G237" s="60" t="s">
        <v>96</v>
      </c>
      <c r="H237" s="88">
        <v>0.08623</v>
      </c>
      <c r="I237" s="49" t="s">
        <v>12611</v>
      </c>
      <c r="J237" s="49" t="s">
        <v>12612</v>
      </c>
      <c r="K237" s="44"/>
      <c r="L237" s="44"/>
    </row>
    <row r="238">
      <c r="A238" s="48" t="s">
        <v>9035</v>
      </c>
      <c r="B238" s="48"/>
      <c r="C238" s="64" t="s">
        <v>12613</v>
      </c>
      <c r="D238" s="48"/>
      <c r="E238" s="48" t="s">
        <v>12501</v>
      </c>
      <c r="F238" s="64" t="s">
        <v>629</v>
      </c>
      <c r="G238" s="60" t="s">
        <v>96</v>
      </c>
      <c r="H238" s="88">
        <v>0.0862</v>
      </c>
      <c r="I238" s="49" t="s">
        <v>12614</v>
      </c>
      <c r="J238" s="49" t="s">
        <v>12615</v>
      </c>
      <c r="K238" s="44"/>
      <c r="L238" s="44"/>
    </row>
    <row r="239">
      <c r="A239" s="48" t="s">
        <v>4207</v>
      </c>
      <c r="B239" s="48"/>
      <c r="C239" s="64" t="s">
        <v>12616</v>
      </c>
      <c r="D239" s="48"/>
      <c r="E239" s="48" t="s">
        <v>5961</v>
      </c>
      <c r="F239" s="64" t="s">
        <v>622</v>
      </c>
      <c r="G239" s="60" t="s">
        <v>96</v>
      </c>
      <c r="H239" s="88">
        <v>0.086</v>
      </c>
      <c r="I239" s="49" t="s">
        <v>12617</v>
      </c>
      <c r="J239" s="49" t="s">
        <v>12618</v>
      </c>
      <c r="K239" s="44"/>
      <c r="L239" s="44"/>
    </row>
    <row r="240">
      <c r="A240" s="48" t="s">
        <v>4242</v>
      </c>
      <c r="B240" s="48"/>
      <c r="C240" s="48" t="s">
        <v>9001</v>
      </c>
      <c r="D240" s="48"/>
      <c r="E240" s="48" t="s">
        <v>12619</v>
      </c>
      <c r="F240" s="64" t="s">
        <v>622</v>
      </c>
      <c r="G240" s="60" t="s">
        <v>96</v>
      </c>
      <c r="H240" s="88">
        <v>0.08555</v>
      </c>
      <c r="I240" s="49" t="s">
        <v>12620</v>
      </c>
      <c r="J240" s="49" t="s">
        <v>12621</v>
      </c>
      <c r="K240" s="44"/>
      <c r="L240" s="44"/>
    </row>
    <row r="241">
      <c r="A241" s="48" t="s">
        <v>4209</v>
      </c>
      <c r="B241" s="48"/>
      <c r="C241" s="64" t="s">
        <v>12622</v>
      </c>
      <c r="D241" s="48"/>
      <c r="E241" s="48" t="s">
        <v>12216</v>
      </c>
      <c r="F241" s="64" t="s">
        <v>622</v>
      </c>
      <c r="G241" s="60" t="s">
        <v>96</v>
      </c>
      <c r="H241" s="88">
        <v>0.08553</v>
      </c>
      <c r="I241" s="49" t="s">
        <v>12623</v>
      </c>
      <c r="J241" s="49" t="s">
        <v>12624</v>
      </c>
      <c r="K241" s="44"/>
      <c r="L241" s="44"/>
    </row>
    <row r="242">
      <c r="A242" s="48" t="s">
        <v>4219</v>
      </c>
      <c r="B242" s="48"/>
      <c r="C242" s="64" t="s">
        <v>12625</v>
      </c>
      <c r="D242" s="48"/>
      <c r="E242" s="48" t="s">
        <v>12460</v>
      </c>
      <c r="F242" s="64" t="s">
        <v>622</v>
      </c>
      <c r="G242" s="60" t="s">
        <v>96</v>
      </c>
      <c r="H242" s="88">
        <v>0.08526</v>
      </c>
      <c r="I242" s="49" t="s">
        <v>12626</v>
      </c>
      <c r="J242" s="49" t="s">
        <v>12627</v>
      </c>
      <c r="K242" s="44"/>
      <c r="L242" s="44"/>
    </row>
    <row r="243">
      <c r="A243" s="48" t="s">
        <v>11313</v>
      </c>
      <c r="B243" s="48"/>
      <c r="C243" s="48" t="s">
        <v>11314</v>
      </c>
      <c r="D243" s="48"/>
      <c r="E243" s="48" t="s">
        <v>12223</v>
      </c>
      <c r="F243" s="64" t="s">
        <v>639</v>
      </c>
      <c r="G243" s="60" t="s">
        <v>96</v>
      </c>
      <c r="H243" s="88">
        <v>0.08522</v>
      </c>
      <c r="I243" s="49" t="s">
        <v>12628</v>
      </c>
      <c r="J243" s="49" t="s">
        <v>12629</v>
      </c>
      <c r="K243" s="44"/>
      <c r="L243" s="44"/>
    </row>
    <row r="244">
      <c r="A244" s="48" t="s">
        <v>12630</v>
      </c>
      <c r="B244" s="48"/>
      <c r="C244" s="48" t="s">
        <v>12631</v>
      </c>
      <c r="D244" s="48"/>
      <c r="E244" s="48" t="s">
        <v>12120</v>
      </c>
      <c r="F244" s="64" t="s">
        <v>649</v>
      </c>
      <c r="G244" s="60" t="s">
        <v>96</v>
      </c>
      <c r="H244" s="88">
        <v>0.08484</v>
      </c>
      <c r="I244" s="49" t="s">
        <v>12632</v>
      </c>
      <c r="J244" s="49" t="s">
        <v>12633</v>
      </c>
      <c r="K244" s="44"/>
      <c r="L244" s="44"/>
    </row>
    <row r="245">
      <c r="A245" s="48" t="s">
        <v>4177</v>
      </c>
      <c r="B245" s="48"/>
      <c r="C245" s="64" t="s">
        <v>12634</v>
      </c>
      <c r="D245" s="48"/>
      <c r="E245" s="48" t="s">
        <v>12216</v>
      </c>
      <c r="F245" s="64" t="s">
        <v>622</v>
      </c>
      <c r="G245" s="60" t="s">
        <v>96</v>
      </c>
      <c r="H245" s="88">
        <v>0.08471</v>
      </c>
      <c r="I245" s="49" t="s">
        <v>12635</v>
      </c>
      <c r="J245" s="49" t="s">
        <v>12636</v>
      </c>
      <c r="K245" s="44"/>
      <c r="L245" s="44"/>
    </row>
    <row r="246">
      <c r="A246" s="48" t="s">
        <v>7078</v>
      </c>
      <c r="B246" s="48"/>
      <c r="C246" s="64" t="s">
        <v>12637</v>
      </c>
      <c r="D246" s="48"/>
      <c r="E246" s="48" t="s">
        <v>12243</v>
      </c>
      <c r="F246" s="64" t="s">
        <v>629</v>
      </c>
      <c r="G246" s="60" t="s">
        <v>96</v>
      </c>
      <c r="H246" s="88">
        <v>0.08465</v>
      </c>
      <c r="I246" s="49" t="s">
        <v>12638</v>
      </c>
      <c r="J246" s="49" t="s">
        <v>12639</v>
      </c>
      <c r="K246" s="44"/>
      <c r="L246" s="44"/>
    </row>
    <row r="247">
      <c r="A247" s="48" t="s">
        <v>4389</v>
      </c>
      <c r="B247" s="48"/>
      <c r="C247" s="64" t="s">
        <v>12640</v>
      </c>
      <c r="D247" s="48"/>
      <c r="E247" s="48" t="s">
        <v>11995</v>
      </c>
      <c r="F247" s="64" t="s">
        <v>622</v>
      </c>
      <c r="G247" s="60" t="s">
        <v>96</v>
      </c>
      <c r="H247" s="88">
        <v>0.08449</v>
      </c>
      <c r="I247" s="49" t="s">
        <v>12641</v>
      </c>
      <c r="J247" s="49" t="s">
        <v>12642</v>
      </c>
      <c r="K247" s="44"/>
      <c r="L247" s="44"/>
    </row>
    <row r="248">
      <c r="A248" s="48" t="s">
        <v>8940</v>
      </c>
      <c r="B248" s="48"/>
      <c r="C248" s="64" t="s">
        <v>12643</v>
      </c>
      <c r="D248" s="48"/>
      <c r="E248" s="48" t="s">
        <v>12116</v>
      </c>
      <c r="F248" s="64" t="s">
        <v>822</v>
      </c>
      <c r="G248" s="60" t="s">
        <v>96</v>
      </c>
      <c r="H248" s="88">
        <v>0.08438</v>
      </c>
      <c r="I248" s="49" t="s">
        <v>12644</v>
      </c>
      <c r="J248" s="49" t="s">
        <v>12645</v>
      </c>
      <c r="K248" s="44"/>
      <c r="L248" s="44"/>
    </row>
    <row r="249">
      <c r="A249" s="48" t="s">
        <v>4241</v>
      </c>
      <c r="B249" s="48"/>
      <c r="C249" s="64" t="s">
        <v>12646</v>
      </c>
      <c r="D249" s="48"/>
      <c r="E249" s="48" t="s">
        <v>12647</v>
      </c>
      <c r="F249" s="64" t="s">
        <v>622</v>
      </c>
      <c r="G249" s="60" t="s">
        <v>96</v>
      </c>
      <c r="H249" s="88">
        <v>0.08294</v>
      </c>
      <c r="I249" s="49" t="s">
        <v>12648</v>
      </c>
      <c r="J249" s="49" t="s">
        <v>12649</v>
      </c>
      <c r="K249" s="44"/>
      <c r="L249" s="44"/>
    </row>
    <row r="250">
      <c r="A250" s="48" t="s">
        <v>4228</v>
      </c>
      <c r="B250" s="48"/>
      <c r="C250" s="64" t="s">
        <v>12650</v>
      </c>
      <c r="D250" s="48"/>
      <c r="E250" s="48" t="s">
        <v>12004</v>
      </c>
      <c r="F250" s="64" t="s">
        <v>622</v>
      </c>
      <c r="G250" s="60" t="s">
        <v>96</v>
      </c>
      <c r="H250" s="88">
        <v>0.0823</v>
      </c>
      <c r="I250" s="49" t="s">
        <v>12651</v>
      </c>
      <c r="J250" s="49" t="s">
        <v>12652</v>
      </c>
      <c r="K250" s="44"/>
      <c r="L250" s="44"/>
    </row>
    <row r="251">
      <c r="A251" s="48" t="s">
        <v>4274</v>
      </c>
      <c r="B251" s="48"/>
      <c r="C251" s="64" t="s">
        <v>12653</v>
      </c>
      <c r="D251" s="48"/>
      <c r="E251" s="48" t="s">
        <v>5478</v>
      </c>
      <c r="F251" s="64" t="s">
        <v>622</v>
      </c>
      <c r="G251" s="60" t="s">
        <v>96</v>
      </c>
      <c r="H251" s="88">
        <v>0.08206</v>
      </c>
      <c r="I251" s="49" t="s">
        <v>12654</v>
      </c>
      <c r="J251" s="49" t="s">
        <v>12655</v>
      </c>
      <c r="K251" s="44"/>
      <c r="L251" s="44"/>
    </row>
    <row r="252">
      <c r="A252" s="48" t="s">
        <v>4259</v>
      </c>
      <c r="B252" s="48"/>
      <c r="C252" s="64" t="s">
        <v>12656</v>
      </c>
      <c r="D252" s="48"/>
      <c r="E252" s="48" t="s">
        <v>12078</v>
      </c>
      <c r="F252" s="64" t="s">
        <v>622</v>
      </c>
      <c r="G252" s="60" t="s">
        <v>96</v>
      </c>
      <c r="H252" s="88">
        <v>0.08171</v>
      </c>
      <c r="I252" s="49" t="s">
        <v>12657</v>
      </c>
      <c r="J252" s="49" t="s">
        <v>12658</v>
      </c>
      <c r="K252" s="44"/>
      <c r="L252" s="44"/>
    </row>
    <row r="253">
      <c r="A253" s="48" t="s">
        <v>11308</v>
      </c>
      <c r="B253" s="48"/>
      <c r="C253" s="48" t="s">
        <v>12659</v>
      </c>
      <c r="D253" s="48"/>
      <c r="E253" s="48" t="s">
        <v>12660</v>
      </c>
      <c r="F253" s="64" t="s">
        <v>649</v>
      </c>
      <c r="G253" s="60" t="s">
        <v>96</v>
      </c>
      <c r="H253" s="88">
        <v>0.0817</v>
      </c>
      <c r="I253" s="49" t="s">
        <v>12661</v>
      </c>
      <c r="J253" s="49" t="s">
        <v>12662</v>
      </c>
      <c r="K253" s="44"/>
      <c r="L253" s="44"/>
    </row>
    <row r="254">
      <c r="A254" s="48" t="s">
        <v>4316</v>
      </c>
      <c r="B254" s="48"/>
      <c r="C254" s="64" t="s">
        <v>12663</v>
      </c>
      <c r="D254" s="48"/>
      <c r="E254" s="48" t="s">
        <v>12325</v>
      </c>
      <c r="F254" s="64" t="s">
        <v>622</v>
      </c>
      <c r="G254" s="60" t="s">
        <v>96</v>
      </c>
      <c r="H254" s="88">
        <v>0.08166</v>
      </c>
      <c r="I254" s="49" t="s">
        <v>12664</v>
      </c>
      <c r="J254" s="49" t="s">
        <v>12665</v>
      </c>
      <c r="K254" s="44"/>
      <c r="L254" s="44"/>
    </row>
    <row r="255">
      <c r="A255" s="48" t="s">
        <v>8979</v>
      </c>
      <c r="B255" s="48"/>
      <c r="C255" s="64" t="s">
        <v>12666</v>
      </c>
      <c r="D255" s="48"/>
      <c r="E255" s="48" t="s">
        <v>12004</v>
      </c>
      <c r="F255" s="64" t="s">
        <v>622</v>
      </c>
      <c r="G255" s="60" t="s">
        <v>96</v>
      </c>
      <c r="H255" s="88">
        <v>0.08148</v>
      </c>
      <c r="I255" s="49" t="s">
        <v>12667</v>
      </c>
      <c r="J255" s="49" t="s">
        <v>12668</v>
      </c>
      <c r="K255" s="44"/>
      <c r="L255" s="44"/>
    </row>
    <row r="256">
      <c r="A256" s="48" t="s">
        <v>8957</v>
      </c>
      <c r="B256" s="48"/>
      <c r="C256" s="64" t="s">
        <v>12669</v>
      </c>
      <c r="D256" s="48"/>
      <c r="E256" s="48" t="s">
        <v>12268</v>
      </c>
      <c r="F256" s="64" t="s">
        <v>629</v>
      </c>
      <c r="G256" s="60" t="s">
        <v>96</v>
      </c>
      <c r="H256" s="88">
        <v>0.08127</v>
      </c>
      <c r="I256" s="49" t="s">
        <v>12670</v>
      </c>
      <c r="J256" s="49" t="s">
        <v>12671</v>
      </c>
      <c r="K256" s="44"/>
      <c r="L256" s="44"/>
    </row>
    <row r="257">
      <c r="A257" s="48" t="s">
        <v>9056</v>
      </c>
      <c r="B257" s="48"/>
      <c r="C257" s="64" t="s">
        <v>12672</v>
      </c>
      <c r="D257" s="48"/>
      <c r="E257" s="48" t="s">
        <v>12205</v>
      </c>
      <c r="F257" s="64" t="s">
        <v>694</v>
      </c>
      <c r="G257" s="60" t="s">
        <v>96</v>
      </c>
      <c r="H257" s="88">
        <v>0.08126</v>
      </c>
      <c r="I257" s="49" t="s">
        <v>12673</v>
      </c>
      <c r="J257" s="49" t="s">
        <v>12674</v>
      </c>
      <c r="K257" s="44"/>
      <c r="L257" s="44"/>
    </row>
    <row r="258">
      <c r="A258" s="48" t="s">
        <v>4184</v>
      </c>
      <c r="B258" s="48"/>
      <c r="C258" s="48" t="s">
        <v>11297</v>
      </c>
      <c r="D258" s="48"/>
      <c r="E258" s="48" t="s">
        <v>12566</v>
      </c>
      <c r="F258" s="64" t="s">
        <v>622</v>
      </c>
      <c r="G258" s="60" t="s">
        <v>96</v>
      </c>
      <c r="H258" s="88">
        <v>0.08122</v>
      </c>
      <c r="I258" s="49" t="s">
        <v>12675</v>
      </c>
      <c r="J258" s="49" t="s">
        <v>12676</v>
      </c>
      <c r="K258" s="44"/>
      <c r="L258" s="44"/>
    </row>
    <row r="259">
      <c r="A259" s="48" t="s">
        <v>4211</v>
      </c>
      <c r="B259" s="48"/>
      <c r="C259" s="64" t="s">
        <v>12677</v>
      </c>
      <c r="D259" s="48"/>
      <c r="E259" s="48" t="s">
        <v>5387</v>
      </c>
      <c r="F259" s="64" t="s">
        <v>622</v>
      </c>
      <c r="G259" s="60" t="s">
        <v>96</v>
      </c>
      <c r="H259" s="88">
        <v>0.08118</v>
      </c>
      <c r="I259" s="49" t="s">
        <v>12678</v>
      </c>
      <c r="J259" s="49" t="s">
        <v>12679</v>
      </c>
      <c r="K259" s="44"/>
      <c r="L259" s="44"/>
    </row>
    <row r="260">
      <c r="A260" s="48" t="s">
        <v>11295</v>
      </c>
      <c r="B260" s="48"/>
      <c r="C260" s="64" t="s">
        <v>12680</v>
      </c>
      <c r="D260" s="48"/>
      <c r="E260" s="48" t="s">
        <v>12518</v>
      </c>
      <c r="F260" s="64" t="s">
        <v>629</v>
      </c>
      <c r="G260" s="60" t="s">
        <v>96</v>
      </c>
      <c r="H260" s="88">
        <v>0.08112</v>
      </c>
      <c r="I260" s="49" t="s">
        <v>12681</v>
      </c>
      <c r="J260" s="49" t="s">
        <v>12682</v>
      </c>
      <c r="K260" s="44"/>
      <c r="L260" s="44"/>
    </row>
    <row r="261">
      <c r="A261" s="48" t="s">
        <v>4233</v>
      </c>
      <c r="B261" s="48"/>
      <c r="C261" s="64" t="s">
        <v>12683</v>
      </c>
      <c r="D261" s="48"/>
      <c r="E261" s="48" t="s">
        <v>6012</v>
      </c>
      <c r="F261" s="64" t="s">
        <v>622</v>
      </c>
      <c r="G261" s="60" t="s">
        <v>96</v>
      </c>
      <c r="H261" s="88">
        <v>0.08099</v>
      </c>
      <c r="I261" s="49" t="s">
        <v>12684</v>
      </c>
      <c r="J261" s="49" t="s">
        <v>12685</v>
      </c>
      <c r="K261" s="44"/>
      <c r="L261" s="44"/>
    </row>
    <row r="262">
      <c r="A262" s="48" t="s">
        <v>4201</v>
      </c>
      <c r="B262" s="48"/>
      <c r="C262" s="48" t="s">
        <v>8911</v>
      </c>
      <c r="D262" s="48"/>
      <c r="E262" s="48" t="s">
        <v>11942</v>
      </c>
      <c r="F262" s="64" t="s">
        <v>622</v>
      </c>
      <c r="G262" s="60" t="s">
        <v>96</v>
      </c>
      <c r="H262" s="88">
        <v>0.08085</v>
      </c>
      <c r="I262" s="49" t="s">
        <v>12686</v>
      </c>
      <c r="J262" s="49" t="s">
        <v>12687</v>
      </c>
      <c r="K262" s="44"/>
      <c r="L262" s="44"/>
    </row>
    <row r="263">
      <c r="A263" s="48" t="s">
        <v>4229</v>
      </c>
      <c r="B263" s="48"/>
      <c r="C263" s="64" t="s">
        <v>12688</v>
      </c>
      <c r="D263" s="48"/>
      <c r="E263" s="48" t="s">
        <v>11936</v>
      </c>
      <c r="F263" s="64" t="s">
        <v>622</v>
      </c>
      <c r="G263" s="60" t="s">
        <v>96</v>
      </c>
      <c r="H263" s="88">
        <v>0.08066</v>
      </c>
      <c r="I263" s="49" t="s">
        <v>12689</v>
      </c>
      <c r="J263" s="49" t="s">
        <v>12690</v>
      </c>
      <c r="K263" s="44"/>
      <c r="L263" s="44"/>
    </row>
    <row r="264">
      <c r="A264" s="48" t="s">
        <v>8970</v>
      </c>
      <c r="B264" s="48"/>
      <c r="C264" s="48" t="s">
        <v>8971</v>
      </c>
      <c r="D264" s="48"/>
      <c r="E264" s="48" t="s">
        <v>12116</v>
      </c>
      <c r="F264" s="64" t="s">
        <v>11998</v>
      </c>
      <c r="G264" s="60" t="s">
        <v>96</v>
      </c>
      <c r="H264" s="88">
        <v>0.08057</v>
      </c>
      <c r="I264" s="49" t="s">
        <v>12691</v>
      </c>
      <c r="J264" s="49" t="s">
        <v>12692</v>
      </c>
      <c r="K264" s="44"/>
      <c r="L264" s="44"/>
    </row>
    <row r="265">
      <c r="A265" s="48" t="s">
        <v>4309</v>
      </c>
      <c r="B265" s="48"/>
      <c r="C265" s="64" t="s">
        <v>12693</v>
      </c>
      <c r="D265" s="48"/>
      <c r="E265" s="48" t="s">
        <v>5478</v>
      </c>
      <c r="F265" s="64" t="s">
        <v>622</v>
      </c>
      <c r="G265" s="60" t="s">
        <v>96</v>
      </c>
      <c r="H265" s="88">
        <v>0.08007</v>
      </c>
      <c r="I265" s="49" t="s">
        <v>12694</v>
      </c>
      <c r="J265" s="49" t="s">
        <v>12695</v>
      </c>
      <c r="K265" s="44"/>
      <c r="L265" s="44"/>
    </row>
    <row r="266">
      <c r="A266" s="48" t="s">
        <v>4279</v>
      </c>
      <c r="B266" s="48"/>
      <c r="C266" s="64" t="s">
        <v>12696</v>
      </c>
      <c r="D266" s="48"/>
      <c r="E266" s="48" t="s">
        <v>5288</v>
      </c>
      <c r="F266" s="64" t="s">
        <v>622</v>
      </c>
      <c r="G266" s="60" t="s">
        <v>96</v>
      </c>
      <c r="H266" s="88">
        <v>0.08003</v>
      </c>
      <c r="I266" s="49" t="s">
        <v>12697</v>
      </c>
      <c r="J266" s="49" t="s">
        <v>12698</v>
      </c>
      <c r="K266" s="44"/>
      <c r="L266" s="44"/>
    </row>
    <row r="267">
      <c r="A267" s="48" t="s">
        <v>8936</v>
      </c>
      <c r="B267" s="48"/>
      <c r="C267" s="64" t="s">
        <v>12699</v>
      </c>
      <c r="D267" s="48"/>
      <c r="E267" s="48" t="s">
        <v>12339</v>
      </c>
      <c r="F267" s="64" t="s">
        <v>622</v>
      </c>
      <c r="G267" s="60" t="s">
        <v>96</v>
      </c>
      <c r="H267" s="88">
        <v>0.07988</v>
      </c>
      <c r="I267" s="49" t="s">
        <v>12700</v>
      </c>
      <c r="J267" s="49" t="s">
        <v>12701</v>
      </c>
      <c r="K267" s="44"/>
      <c r="L267" s="44"/>
    </row>
    <row r="268">
      <c r="A268" s="48" t="s">
        <v>4234</v>
      </c>
      <c r="B268" s="48"/>
      <c r="C268" s="64" t="s">
        <v>12702</v>
      </c>
      <c r="D268" s="48"/>
      <c r="E268" s="48" t="s">
        <v>5650</v>
      </c>
      <c r="F268" s="64" t="s">
        <v>622</v>
      </c>
      <c r="G268" s="60" t="s">
        <v>96</v>
      </c>
      <c r="H268" s="88">
        <v>0.07937</v>
      </c>
      <c r="I268" s="49" t="s">
        <v>12703</v>
      </c>
      <c r="J268" s="49" t="s">
        <v>12704</v>
      </c>
      <c r="K268" s="44"/>
      <c r="L268" s="44"/>
    </row>
    <row r="269">
      <c r="A269" s="48" t="s">
        <v>4204</v>
      </c>
      <c r="B269" s="48"/>
      <c r="C269" s="64" t="s">
        <v>12705</v>
      </c>
      <c r="D269" s="48"/>
      <c r="E269" s="48" t="s">
        <v>12356</v>
      </c>
      <c r="F269" s="64" t="s">
        <v>622</v>
      </c>
      <c r="G269" s="60" t="s">
        <v>96</v>
      </c>
      <c r="H269" s="88">
        <v>0.07929</v>
      </c>
      <c r="I269" s="49" t="s">
        <v>12706</v>
      </c>
      <c r="J269" s="49" t="s">
        <v>12707</v>
      </c>
      <c r="K269" s="44"/>
      <c r="L269" s="44"/>
    </row>
    <row r="270">
      <c r="A270" s="48" t="s">
        <v>9049</v>
      </c>
      <c r="B270" s="48"/>
      <c r="C270" s="64" t="s">
        <v>12708</v>
      </c>
      <c r="D270" s="48"/>
      <c r="E270" s="48" t="s">
        <v>12004</v>
      </c>
      <c r="F270" s="64" t="s">
        <v>694</v>
      </c>
      <c r="G270" s="60" t="s">
        <v>96</v>
      </c>
      <c r="H270" s="88">
        <v>0.07888</v>
      </c>
      <c r="I270" s="49" t="s">
        <v>12709</v>
      </c>
      <c r="J270" s="49" t="s">
        <v>12710</v>
      </c>
      <c r="K270" s="44"/>
      <c r="L270" s="44"/>
    </row>
    <row r="271">
      <c r="A271" s="48" t="s">
        <v>9067</v>
      </c>
      <c r="B271" s="48"/>
      <c r="C271" s="64" t="s">
        <v>12711</v>
      </c>
      <c r="D271" s="48"/>
      <c r="E271" s="48" t="s">
        <v>12236</v>
      </c>
      <c r="F271" s="64" t="s">
        <v>629</v>
      </c>
      <c r="G271" s="60" t="s">
        <v>96</v>
      </c>
      <c r="H271" s="88">
        <v>0.07877</v>
      </c>
      <c r="I271" s="49" t="s">
        <v>12712</v>
      </c>
      <c r="J271" s="49" t="s">
        <v>12713</v>
      </c>
      <c r="K271" s="44"/>
      <c r="L271" s="44"/>
    </row>
    <row r="272">
      <c r="A272" s="48" t="s">
        <v>4283</v>
      </c>
      <c r="B272" s="48"/>
      <c r="C272" s="48" t="s">
        <v>8972</v>
      </c>
      <c r="D272" s="48"/>
      <c r="E272" s="48" t="s">
        <v>12559</v>
      </c>
      <c r="F272" s="64" t="s">
        <v>622</v>
      </c>
      <c r="G272" s="60" t="s">
        <v>96</v>
      </c>
      <c r="H272" s="88">
        <v>0.07855</v>
      </c>
      <c r="I272" s="49" t="s">
        <v>12714</v>
      </c>
      <c r="J272" s="49" t="s">
        <v>12715</v>
      </c>
      <c r="K272" s="44"/>
      <c r="L272" s="44"/>
    </row>
    <row r="273">
      <c r="A273" s="48" t="s">
        <v>9022</v>
      </c>
      <c r="B273" s="48"/>
      <c r="C273" s="64" t="s">
        <v>12716</v>
      </c>
      <c r="D273" s="48"/>
      <c r="E273" s="48" t="s">
        <v>12283</v>
      </c>
      <c r="F273" s="64" t="s">
        <v>629</v>
      </c>
      <c r="G273" s="60" t="s">
        <v>96</v>
      </c>
      <c r="H273" s="88">
        <v>0.07824</v>
      </c>
      <c r="I273" s="49" t="s">
        <v>12717</v>
      </c>
      <c r="J273" s="49" t="s">
        <v>12718</v>
      </c>
      <c r="K273" s="44"/>
      <c r="L273" s="44"/>
    </row>
    <row r="274">
      <c r="A274" s="48" t="s">
        <v>4220</v>
      </c>
      <c r="B274" s="48"/>
      <c r="C274" s="64" t="s">
        <v>12719</v>
      </c>
      <c r="D274" s="48"/>
      <c r="E274" s="48" t="s">
        <v>12018</v>
      </c>
      <c r="F274" s="64" t="s">
        <v>622</v>
      </c>
      <c r="G274" s="60" t="s">
        <v>96</v>
      </c>
      <c r="H274" s="88">
        <v>0.07809</v>
      </c>
      <c r="I274" s="49" t="s">
        <v>12720</v>
      </c>
      <c r="J274" s="49" t="s">
        <v>12721</v>
      </c>
      <c r="K274" s="44"/>
      <c r="L274" s="44"/>
    </row>
    <row r="275">
      <c r="A275" s="48" t="s">
        <v>8968</v>
      </c>
      <c r="B275" s="48"/>
      <c r="C275" s="64" t="s">
        <v>12722</v>
      </c>
      <c r="D275" s="48"/>
      <c r="E275" s="48" t="s">
        <v>11942</v>
      </c>
      <c r="F275" s="64" t="s">
        <v>738</v>
      </c>
      <c r="G275" s="60" t="s">
        <v>96</v>
      </c>
      <c r="H275" s="88">
        <v>0.07779</v>
      </c>
      <c r="I275" s="49" t="s">
        <v>12723</v>
      </c>
      <c r="J275" s="49" t="s">
        <v>12724</v>
      </c>
      <c r="K275" s="44"/>
      <c r="L275" s="44"/>
    </row>
    <row r="276">
      <c r="A276" s="48" t="s">
        <v>11304</v>
      </c>
      <c r="B276" s="48"/>
      <c r="C276" s="64" t="s">
        <v>12725</v>
      </c>
      <c r="D276" s="48"/>
      <c r="E276" s="48" t="s">
        <v>12518</v>
      </c>
      <c r="F276" s="64" t="s">
        <v>629</v>
      </c>
      <c r="G276" s="60" t="s">
        <v>96</v>
      </c>
      <c r="H276" s="88">
        <v>0.07748</v>
      </c>
      <c r="I276" s="49" t="s">
        <v>12726</v>
      </c>
      <c r="J276" s="49" t="s">
        <v>12727</v>
      </c>
      <c r="K276" s="44"/>
      <c r="L276" s="44"/>
    </row>
    <row r="277">
      <c r="A277" s="48" t="s">
        <v>4268</v>
      </c>
      <c r="B277" s="48"/>
      <c r="C277" s="64" t="s">
        <v>12728</v>
      </c>
      <c r="D277" s="48"/>
      <c r="E277" s="48" t="s">
        <v>12729</v>
      </c>
      <c r="F277" s="64" t="s">
        <v>622</v>
      </c>
      <c r="G277" s="60" t="s">
        <v>96</v>
      </c>
      <c r="H277" s="88">
        <v>0.07727</v>
      </c>
      <c r="I277" s="49" t="s">
        <v>12730</v>
      </c>
      <c r="J277" s="49" t="s">
        <v>12731</v>
      </c>
      <c r="K277" s="44"/>
      <c r="L277" s="44"/>
    </row>
    <row r="278">
      <c r="A278" s="48" t="s">
        <v>4217</v>
      </c>
      <c r="B278" s="48"/>
      <c r="C278" s="64" t="s">
        <v>12732</v>
      </c>
      <c r="D278" s="48"/>
      <c r="E278" s="48" t="s">
        <v>12090</v>
      </c>
      <c r="F278" s="64" t="s">
        <v>622</v>
      </c>
      <c r="G278" s="60" t="s">
        <v>96</v>
      </c>
      <c r="H278" s="88">
        <v>0.0768</v>
      </c>
      <c r="I278" s="49" t="s">
        <v>12733</v>
      </c>
      <c r="J278" s="49" t="s">
        <v>12734</v>
      </c>
      <c r="K278" s="44"/>
      <c r="L278" s="44"/>
    </row>
    <row r="279">
      <c r="A279" s="48" t="s">
        <v>11316</v>
      </c>
      <c r="B279" s="48"/>
      <c r="C279" s="48" t="s">
        <v>11317</v>
      </c>
      <c r="D279" s="48"/>
      <c r="E279" s="48" t="s">
        <v>6012</v>
      </c>
      <c r="F279" s="64" t="s">
        <v>645</v>
      </c>
      <c r="G279" s="60" t="s">
        <v>96</v>
      </c>
      <c r="H279" s="88">
        <v>0.07622</v>
      </c>
      <c r="I279" s="49" t="s">
        <v>12735</v>
      </c>
      <c r="J279" s="49" t="s">
        <v>12736</v>
      </c>
      <c r="K279" s="44"/>
      <c r="L279" s="44"/>
    </row>
    <row r="280">
      <c r="A280" s="48" t="s">
        <v>4191</v>
      </c>
      <c r="B280" s="48"/>
      <c r="C280" s="64" t="s">
        <v>12737</v>
      </c>
      <c r="D280" s="48"/>
      <c r="E280" s="48" t="s">
        <v>12566</v>
      </c>
      <c r="F280" s="64" t="s">
        <v>622</v>
      </c>
      <c r="G280" s="60" t="s">
        <v>96</v>
      </c>
      <c r="H280" s="88">
        <v>0.07609</v>
      </c>
      <c r="I280" s="49" t="s">
        <v>12738</v>
      </c>
      <c r="J280" s="49" t="s">
        <v>12739</v>
      </c>
      <c r="K280" s="44"/>
      <c r="L280" s="44"/>
    </row>
    <row r="281">
      <c r="A281" s="48" t="s">
        <v>9028</v>
      </c>
      <c r="B281" s="48"/>
      <c r="C281" s="48" t="s">
        <v>9029</v>
      </c>
      <c r="D281" s="48"/>
      <c r="E281" s="48" t="s">
        <v>11991</v>
      </c>
      <c r="F281" s="64" t="s">
        <v>639</v>
      </c>
      <c r="G281" s="60" t="s">
        <v>96</v>
      </c>
      <c r="H281" s="88">
        <v>0.07605</v>
      </c>
      <c r="I281" s="49" t="s">
        <v>12740</v>
      </c>
      <c r="J281" s="49" t="s">
        <v>12741</v>
      </c>
      <c r="K281" s="44"/>
      <c r="L281" s="44"/>
    </row>
    <row r="282">
      <c r="A282" s="48" t="s">
        <v>4276</v>
      </c>
      <c r="B282" s="48"/>
      <c r="C282" s="64" t="s">
        <v>12742</v>
      </c>
      <c r="D282" s="48"/>
      <c r="E282" s="48" t="s">
        <v>12196</v>
      </c>
      <c r="F282" s="64" t="s">
        <v>622</v>
      </c>
      <c r="G282" s="60" t="s">
        <v>96</v>
      </c>
      <c r="H282" s="88">
        <v>0.07594</v>
      </c>
      <c r="I282" s="49" t="s">
        <v>12743</v>
      </c>
      <c r="J282" s="49" t="s">
        <v>12744</v>
      </c>
      <c r="K282" s="44"/>
      <c r="L282" s="44"/>
    </row>
    <row r="283">
      <c r="A283" s="48" t="s">
        <v>8973</v>
      </c>
      <c r="B283" s="48"/>
      <c r="C283" s="48" t="s">
        <v>8974</v>
      </c>
      <c r="D283" s="48"/>
      <c r="E283" s="48" t="s">
        <v>11942</v>
      </c>
      <c r="F283" s="64" t="s">
        <v>1201</v>
      </c>
      <c r="G283" s="60" t="s">
        <v>96</v>
      </c>
      <c r="H283" s="88">
        <v>0.07582</v>
      </c>
      <c r="I283" s="49" t="s">
        <v>12745</v>
      </c>
      <c r="J283" s="49" t="s">
        <v>12746</v>
      </c>
      <c r="K283" s="44"/>
      <c r="L283" s="44"/>
    </row>
    <row r="284">
      <c r="A284" s="48" t="s">
        <v>4261</v>
      </c>
      <c r="B284" s="48"/>
      <c r="C284" s="64" t="s">
        <v>12747</v>
      </c>
      <c r="D284" s="48"/>
      <c r="E284" s="48" t="s">
        <v>12283</v>
      </c>
      <c r="F284" s="64" t="s">
        <v>622</v>
      </c>
      <c r="G284" s="60" t="s">
        <v>96</v>
      </c>
      <c r="H284" s="88">
        <v>0.07548</v>
      </c>
      <c r="I284" s="49" t="s">
        <v>12748</v>
      </c>
      <c r="J284" s="49" t="s">
        <v>12749</v>
      </c>
      <c r="K284" s="44"/>
      <c r="L284" s="44"/>
    </row>
    <row r="285">
      <c r="A285" s="48" t="s">
        <v>4251</v>
      </c>
      <c r="B285" s="48"/>
      <c r="C285" s="64" t="s">
        <v>12750</v>
      </c>
      <c r="D285" s="48"/>
      <c r="E285" s="48" t="s">
        <v>12223</v>
      </c>
      <c r="F285" s="64" t="s">
        <v>622</v>
      </c>
      <c r="G285" s="60" t="s">
        <v>96</v>
      </c>
      <c r="H285" s="88">
        <v>0.07535</v>
      </c>
      <c r="I285" s="49" t="s">
        <v>12751</v>
      </c>
      <c r="J285" s="49" t="s">
        <v>12752</v>
      </c>
      <c r="K285" s="44"/>
      <c r="L285" s="44"/>
    </row>
    <row r="286">
      <c r="A286" s="48" t="s">
        <v>11340</v>
      </c>
      <c r="B286" s="48"/>
      <c r="C286" s="64" t="s">
        <v>12753</v>
      </c>
      <c r="D286" s="48"/>
      <c r="E286" s="48" t="s">
        <v>12309</v>
      </c>
      <c r="F286" s="64" t="s">
        <v>694</v>
      </c>
      <c r="G286" s="60" t="s">
        <v>96</v>
      </c>
      <c r="H286" s="88">
        <v>0.07519</v>
      </c>
      <c r="I286" s="49" t="s">
        <v>12754</v>
      </c>
      <c r="J286" s="49" t="s">
        <v>12755</v>
      </c>
      <c r="K286" s="44"/>
      <c r="L286" s="44"/>
    </row>
    <row r="287">
      <c r="A287" s="48" t="s">
        <v>4267</v>
      </c>
      <c r="B287" s="48"/>
      <c r="C287" s="64" t="s">
        <v>12756</v>
      </c>
      <c r="D287" s="48"/>
      <c r="E287" s="48" t="s">
        <v>12078</v>
      </c>
      <c r="F287" s="64" t="s">
        <v>622</v>
      </c>
      <c r="G287" s="60" t="s">
        <v>96</v>
      </c>
      <c r="H287" s="88">
        <v>0.0751</v>
      </c>
      <c r="I287" s="49" t="s">
        <v>12757</v>
      </c>
      <c r="J287" s="49" t="s">
        <v>12758</v>
      </c>
      <c r="K287" s="44"/>
      <c r="L287" s="44"/>
    </row>
    <row r="288">
      <c r="A288" s="48" t="s">
        <v>4230</v>
      </c>
      <c r="B288" s="48"/>
      <c r="C288" s="64" t="s">
        <v>12759</v>
      </c>
      <c r="D288" s="48"/>
      <c r="E288" s="48" t="s">
        <v>12246</v>
      </c>
      <c r="F288" s="64" t="s">
        <v>622</v>
      </c>
      <c r="G288" s="60" t="s">
        <v>96</v>
      </c>
      <c r="H288" s="88">
        <v>0.07441</v>
      </c>
      <c r="I288" s="49" t="s">
        <v>12760</v>
      </c>
      <c r="J288" s="49" t="s">
        <v>12761</v>
      </c>
      <c r="K288" s="44"/>
      <c r="L288" s="44"/>
    </row>
    <row r="289">
      <c r="A289" s="48" t="s">
        <v>9090</v>
      </c>
      <c r="B289" s="48"/>
      <c r="C289" s="48" t="s">
        <v>12762</v>
      </c>
      <c r="D289" s="48"/>
      <c r="E289" s="48" t="s">
        <v>12356</v>
      </c>
      <c r="F289" s="64" t="s">
        <v>1740</v>
      </c>
      <c r="G289" s="60" t="s">
        <v>96</v>
      </c>
      <c r="H289" s="88">
        <v>0.07429</v>
      </c>
      <c r="I289" s="49" t="s">
        <v>12763</v>
      </c>
      <c r="J289" s="49" t="s">
        <v>12764</v>
      </c>
      <c r="K289" s="44"/>
      <c r="L289" s="44"/>
    </row>
    <row r="290">
      <c r="A290" s="48" t="s">
        <v>4248</v>
      </c>
      <c r="B290" s="48"/>
      <c r="C290" s="64" t="s">
        <v>12765</v>
      </c>
      <c r="D290" s="48"/>
      <c r="E290" s="48" t="s">
        <v>12766</v>
      </c>
      <c r="F290" s="64" t="s">
        <v>622</v>
      </c>
      <c r="G290" s="60" t="s">
        <v>96</v>
      </c>
      <c r="H290" s="88">
        <v>0.0742</v>
      </c>
      <c r="I290" s="49" t="s">
        <v>12767</v>
      </c>
      <c r="J290" s="49" t="s">
        <v>12768</v>
      </c>
      <c r="K290" s="44"/>
      <c r="L290" s="44"/>
    </row>
    <row r="291">
      <c r="A291" s="48" t="s">
        <v>4258</v>
      </c>
      <c r="B291" s="48"/>
      <c r="C291" s="64" t="s">
        <v>12769</v>
      </c>
      <c r="D291" s="48"/>
      <c r="E291" s="48" t="s">
        <v>12770</v>
      </c>
      <c r="F291" s="64" t="s">
        <v>622</v>
      </c>
      <c r="G291" s="60" t="s">
        <v>96</v>
      </c>
      <c r="H291" s="88">
        <v>0.07413</v>
      </c>
      <c r="I291" s="49" t="s">
        <v>12771</v>
      </c>
      <c r="J291" s="49" t="s">
        <v>12772</v>
      </c>
      <c r="K291" s="44"/>
      <c r="L291" s="44"/>
    </row>
    <row r="292">
      <c r="A292" s="48" t="s">
        <v>9007</v>
      </c>
      <c r="B292" s="48"/>
      <c r="C292" s="64" t="s">
        <v>12773</v>
      </c>
      <c r="D292" s="48"/>
      <c r="E292" s="48" t="s">
        <v>12501</v>
      </c>
      <c r="F292" s="64" t="s">
        <v>645</v>
      </c>
      <c r="G292" s="60" t="s">
        <v>96</v>
      </c>
      <c r="H292" s="88">
        <v>0.07408</v>
      </c>
      <c r="I292" s="49" t="s">
        <v>12774</v>
      </c>
      <c r="J292" s="49" t="s">
        <v>12775</v>
      </c>
      <c r="K292" s="44"/>
      <c r="L292" s="44"/>
    </row>
    <row r="293">
      <c r="A293" s="48" t="s">
        <v>11329</v>
      </c>
      <c r="B293" s="48"/>
      <c r="C293" s="64" t="s">
        <v>12776</v>
      </c>
      <c r="D293" s="48"/>
      <c r="E293" s="48" t="s">
        <v>12777</v>
      </c>
      <c r="F293" s="64" t="s">
        <v>694</v>
      </c>
      <c r="G293" s="60" t="s">
        <v>96</v>
      </c>
      <c r="H293" s="88">
        <v>0.07382</v>
      </c>
      <c r="I293" s="49" t="s">
        <v>12778</v>
      </c>
      <c r="J293" s="49" t="s">
        <v>12779</v>
      </c>
      <c r="K293" s="44"/>
      <c r="L293" s="44"/>
    </row>
    <row r="294">
      <c r="A294" s="48" t="s">
        <v>4281</v>
      </c>
      <c r="B294" s="48"/>
      <c r="C294" s="64" t="s">
        <v>12780</v>
      </c>
      <c r="D294" s="48"/>
      <c r="E294" s="48" t="s">
        <v>12046</v>
      </c>
      <c r="F294" s="64" t="s">
        <v>622</v>
      </c>
      <c r="G294" s="60" t="s">
        <v>96</v>
      </c>
      <c r="H294" s="88">
        <v>0.0738</v>
      </c>
      <c r="I294" s="49" t="s">
        <v>12781</v>
      </c>
      <c r="J294" s="49" t="s">
        <v>12782</v>
      </c>
      <c r="K294" s="44"/>
      <c r="L294" s="44"/>
    </row>
    <row r="295">
      <c r="A295" s="48" t="s">
        <v>9017</v>
      </c>
      <c r="B295" s="48"/>
      <c r="C295" s="64" t="s">
        <v>12783</v>
      </c>
      <c r="D295" s="48"/>
      <c r="E295" s="48" t="s">
        <v>11991</v>
      </c>
      <c r="F295" s="64" t="s">
        <v>622</v>
      </c>
      <c r="G295" s="60" t="s">
        <v>96</v>
      </c>
      <c r="H295" s="88">
        <v>0.07368</v>
      </c>
      <c r="I295" s="49" t="s">
        <v>12784</v>
      </c>
      <c r="J295" s="49" t="s">
        <v>12785</v>
      </c>
      <c r="K295" s="44"/>
      <c r="L295" s="44"/>
    </row>
    <row r="296">
      <c r="A296" s="48" t="s">
        <v>4285</v>
      </c>
      <c r="B296" s="48"/>
      <c r="C296" s="64" t="s">
        <v>12786</v>
      </c>
      <c r="D296" s="48"/>
      <c r="E296" s="48" t="s">
        <v>12787</v>
      </c>
      <c r="F296" s="64" t="s">
        <v>622</v>
      </c>
      <c r="G296" s="60" t="s">
        <v>96</v>
      </c>
      <c r="H296" s="88">
        <v>0.07348</v>
      </c>
      <c r="I296" s="49" t="s">
        <v>12788</v>
      </c>
      <c r="J296" s="49" t="s">
        <v>12789</v>
      </c>
      <c r="K296" s="44"/>
      <c r="L296" s="44"/>
    </row>
    <row r="297">
      <c r="A297" s="48" t="s">
        <v>11246</v>
      </c>
      <c r="B297" s="48"/>
      <c r="C297" s="64" t="s">
        <v>12790</v>
      </c>
      <c r="D297" s="48"/>
      <c r="E297" s="48" t="s">
        <v>11936</v>
      </c>
      <c r="F297" s="64" t="s">
        <v>694</v>
      </c>
      <c r="G297" s="60" t="s">
        <v>96</v>
      </c>
      <c r="H297" s="88">
        <v>0.07292</v>
      </c>
      <c r="I297" s="49" t="s">
        <v>12791</v>
      </c>
      <c r="J297" s="49" t="s">
        <v>12792</v>
      </c>
      <c r="K297" s="44"/>
      <c r="L297" s="44"/>
    </row>
    <row r="298">
      <c r="A298" s="48" t="s">
        <v>4334</v>
      </c>
      <c r="B298" s="48"/>
      <c r="C298" s="64" t="s">
        <v>12793</v>
      </c>
      <c r="D298" s="48"/>
      <c r="E298" s="48" t="s">
        <v>11959</v>
      </c>
      <c r="F298" s="64" t="s">
        <v>622</v>
      </c>
      <c r="G298" s="60" t="s">
        <v>96</v>
      </c>
      <c r="H298" s="88">
        <v>0.07292</v>
      </c>
      <c r="I298" s="49" t="s">
        <v>12794</v>
      </c>
      <c r="J298" s="49" t="s">
        <v>12795</v>
      </c>
      <c r="K298" s="44"/>
      <c r="L298" s="44"/>
    </row>
    <row r="299">
      <c r="A299" s="48" t="s">
        <v>9056</v>
      </c>
      <c r="B299" s="48"/>
      <c r="C299" s="48" t="s">
        <v>9057</v>
      </c>
      <c r="D299" s="48"/>
      <c r="E299" s="48" t="s">
        <v>11959</v>
      </c>
      <c r="F299" s="64" t="s">
        <v>639</v>
      </c>
      <c r="G299" s="60" t="s">
        <v>96</v>
      </c>
      <c r="H299" s="88">
        <v>0.07258</v>
      </c>
      <c r="I299" s="49" t="s">
        <v>12796</v>
      </c>
      <c r="J299" s="49" t="s">
        <v>12797</v>
      </c>
      <c r="K299" s="44"/>
      <c r="L299" s="44"/>
    </row>
    <row r="300">
      <c r="A300" s="48" t="s">
        <v>4238</v>
      </c>
      <c r="B300" s="48"/>
      <c r="C300" s="64" t="s">
        <v>12798</v>
      </c>
      <c r="D300" s="48"/>
      <c r="E300" s="48" t="s">
        <v>12163</v>
      </c>
      <c r="F300" s="64" t="s">
        <v>622</v>
      </c>
      <c r="G300" s="60" t="s">
        <v>96</v>
      </c>
      <c r="H300" s="88">
        <v>0.07239</v>
      </c>
      <c r="I300" s="49" t="s">
        <v>12799</v>
      </c>
      <c r="J300" s="49" t="s">
        <v>12800</v>
      </c>
      <c r="K300" s="44"/>
      <c r="L300" s="44"/>
    </row>
    <row r="301">
      <c r="A301" s="48" t="s">
        <v>4245</v>
      </c>
      <c r="B301" s="48"/>
      <c r="C301" s="64" t="s">
        <v>12801</v>
      </c>
      <c r="D301" s="48"/>
      <c r="E301" s="48" t="s">
        <v>12116</v>
      </c>
      <c r="F301" s="64" t="s">
        <v>622</v>
      </c>
      <c r="G301" s="60" t="s">
        <v>96</v>
      </c>
      <c r="H301" s="88">
        <v>0.07232</v>
      </c>
      <c r="I301" s="49" t="s">
        <v>12802</v>
      </c>
      <c r="J301" s="49" t="s">
        <v>12803</v>
      </c>
      <c r="K301" s="44"/>
      <c r="L301" s="44"/>
    </row>
    <row r="302">
      <c r="A302" s="48" t="s">
        <v>4218</v>
      </c>
      <c r="B302" s="48"/>
      <c r="C302" s="48" t="s">
        <v>9002</v>
      </c>
      <c r="D302" s="48"/>
      <c r="E302" s="48" t="s">
        <v>12559</v>
      </c>
      <c r="F302" s="64" t="s">
        <v>622</v>
      </c>
      <c r="G302" s="60" t="s">
        <v>96</v>
      </c>
      <c r="H302" s="88">
        <v>0.07225</v>
      </c>
      <c r="I302" s="49" t="s">
        <v>12804</v>
      </c>
      <c r="J302" s="49" t="s">
        <v>12805</v>
      </c>
      <c r="K302" s="44"/>
      <c r="L302" s="44"/>
    </row>
    <row r="303">
      <c r="A303" s="48" t="s">
        <v>4266</v>
      </c>
      <c r="B303" s="48"/>
      <c r="C303" s="64" t="s">
        <v>12806</v>
      </c>
      <c r="D303" s="48"/>
      <c r="E303" s="48" t="s">
        <v>12647</v>
      </c>
      <c r="F303" s="64" t="s">
        <v>622</v>
      </c>
      <c r="G303" s="60" t="s">
        <v>96</v>
      </c>
      <c r="H303" s="88">
        <v>0.07196</v>
      </c>
      <c r="I303" s="49" t="s">
        <v>12807</v>
      </c>
      <c r="J303" s="49" t="s">
        <v>12808</v>
      </c>
      <c r="K303" s="44"/>
      <c r="L303" s="44"/>
    </row>
    <row r="304">
      <c r="A304" s="48" t="s">
        <v>9046</v>
      </c>
      <c r="B304" s="48"/>
      <c r="C304" s="48" t="s">
        <v>9047</v>
      </c>
      <c r="D304" s="48"/>
      <c r="E304" s="48" t="s">
        <v>11942</v>
      </c>
      <c r="F304" s="64" t="s">
        <v>694</v>
      </c>
      <c r="G304" s="60" t="s">
        <v>96</v>
      </c>
      <c r="H304" s="88">
        <v>0.07172</v>
      </c>
      <c r="I304" s="49" t="s">
        <v>12809</v>
      </c>
      <c r="J304" s="49" t="s">
        <v>12810</v>
      </c>
      <c r="K304" s="44"/>
      <c r="L304" s="44"/>
    </row>
    <row r="305">
      <c r="A305" s="48" t="s">
        <v>4291</v>
      </c>
      <c r="B305" s="48"/>
      <c r="C305" s="64" t="s">
        <v>12811</v>
      </c>
      <c r="D305" s="48"/>
      <c r="E305" s="48" t="s">
        <v>5291</v>
      </c>
      <c r="F305" s="64" t="s">
        <v>622</v>
      </c>
      <c r="G305" s="60" t="s">
        <v>96</v>
      </c>
      <c r="H305" s="88">
        <v>0.07129</v>
      </c>
      <c r="I305" s="49" t="s">
        <v>12812</v>
      </c>
      <c r="J305" s="49" t="s">
        <v>12813</v>
      </c>
      <c r="K305" s="44"/>
      <c r="L305" s="44"/>
    </row>
    <row r="306">
      <c r="A306" s="48" t="s">
        <v>9004</v>
      </c>
      <c r="B306" s="48"/>
      <c r="C306" s="48" t="s">
        <v>12814</v>
      </c>
      <c r="D306" s="48"/>
      <c r="E306" s="48" t="s">
        <v>11942</v>
      </c>
      <c r="F306" s="64" t="s">
        <v>1352</v>
      </c>
      <c r="G306" s="60" t="s">
        <v>96</v>
      </c>
      <c r="H306" s="88">
        <v>0.07068</v>
      </c>
      <c r="I306" s="49" t="s">
        <v>12815</v>
      </c>
      <c r="J306" s="49" t="s">
        <v>12816</v>
      </c>
      <c r="K306" s="44"/>
      <c r="L306" s="44"/>
    </row>
    <row r="307">
      <c r="A307" s="48" t="s">
        <v>9081</v>
      </c>
      <c r="B307" s="48"/>
      <c r="C307" s="64" t="s">
        <v>12817</v>
      </c>
      <c r="D307" s="48"/>
      <c r="E307" s="48" t="s">
        <v>12818</v>
      </c>
      <c r="F307" s="64" t="s">
        <v>629</v>
      </c>
      <c r="G307" s="60" t="s">
        <v>96</v>
      </c>
      <c r="H307" s="88">
        <v>0.07063</v>
      </c>
      <c r="I307" s="49" t="s">
        <v>12819</v>
      </c>
      <c r="J307" s="49" t="s">
        <v>12820</v>
      </c>
      <c r="K307" s="44"/>
      <c r="L307" s="44"/>
    </row>
    <row r="308">
      <c r="A308" s="48" t="s">
        <v>9065</v>
      </c>
      <c r="B308" s="48"/>
      <c r="C308" s="48" t="s">
        <v>9066</v>
      </c>
      <c r="D308" s="48"/>
      <c r="E308" s="48" t="s">
        <v>11942</v>
      </c>
      <c r="F308" s="64" t="s">
        <v>11998</v>
      </c>
      <c r="G308" s="60" t="s">
        <v>96</v>
      </c>
      <c r="H308" s="88">
        <v>0.07039</v>
      </c>
      <c r="I308" s="49" t="s">
        <v>12821</v>
      </c>
      <c r="J308" s="49" t="s">
        <v>12822</v>
      </c>
      <c r="K308" s="44"/>
      <c r="L308" s="44"/>
    </row>
    <row r="309">
      <c r="A309" s="48" t="s">
        <v>4253</v>
      </c>
      <c r="B309" s="48"/>
      <c r="C309" s="64" t="s">
        <v>12823</v>
      </c>
      <c r="D309" s="48"/>
      <c r="E309" s="48" t="s">
        <v>12216</v>
      </c>
      <c r="F309" s="64" t="s">
        <v>622</v>
      </c>
      <c r="G309" s="60" t="s">
        <v>96</v>
      </c>
      <c r="H309" s="88">
        <v>0.07024</v>
      </c>
      <c r="I309" s="49" t="s">
        <v>12824</v>
      </c>
      <c r="J309" s="49" t="s">
        <v>12825</v>
      </c>
      <c r="K309" s="44"/>
      <c r="L309" s="44"/>
    </row>
    <row r="310">
      <c r="A310" s="48" t="s">
        <v>9032</v>
      </c>
      <c r="B310" s="48"/>
      <c r="C310" s="48" t="s">
        <v>9033</v>
      </c>
      <c r="D310" s="48"/>
      <c r="E310" s="48" t="s">
        <v>12236</v>
      </c>
      <c r="F310" s="64" t="s">
        <v>1201</v>
      </c>
      <c r="G310" s="60" t="s">
        <v>96</v>
      </c>
      <c r="H310" s="88">
        <v>0.06981</v>
      </c>
      <c r="I310" s="49" t="s">
        <v>12826</v>
      </c>
      <c r="J310" s="49" t="s">
        <v>12827</v>
      </c>
      <c r="K310" s="44"/>
      <c r="L310" s="44"/>
    </row>
    <row r="311">
      <c r="A311" s="48" t="s">
        <v>4282</v>
      </c>
      <c r="B311" s="48"/>
      <c r="C311" s="64" t="s">
        <v>12828</v>
      </c>
      <c r="D311" s="48"/>
      <c r="E311" s="48" t="s">
        <v>12025</v>
      </c>
      <c r="F311" s="64" t="s">
        <v>622</v>
      </c>
      <c r="G311" s="60" t="s">
        <v>96</v>
      </c>
      <c r="H311" s="88">
        <v>0.06967</v>
      </c>
      <c r="I311" s="49" t="s">
        <v>12829</v>
      </c>
      <c r="J311" s="49" t="s">
        <v>12830</v>
      </c>
      <c r="K311" s="44"/>
      <c r="L311" s="44"/>
    </row>
    <row r="312">
      <c r="A312" s="48" t="s">
        <v>4250</v>
      </c>
      <c r="B312" s="48"/>
      <c r="C312" s="64" t="s">
        <v>12831</v>
      </c>
      <c r="D312" s="48"/>
      <c r="E312" s="48" t="s">
        <v>5650</v>
      </c>
      <c r="F312" s="64" t="s">
        <v>622</v>
      </c>
      <c r="G312" s="60" t="s">
        <v>96</v>
      </c>
      <c r="H312" s="88">
        <v>0.06966</v>
      </c>
      <c r="I312" s="49" t="s">
        <v>12832</v>
      </c>
      <c r="J312" s="49" t="s">
        <v>12833</v>
      </c>
      <c r="K312" s="44"/>
      <c r="L312" s="44"/>
    </row>
    <row r="313">
      <c r="A313" s="48" t="s">
        <v>4227</v>
      </c>
      <c r="B313" s="48"/>
      <c r="C313" s="64" t="s">
        <v>12834</v>
      </c>
      <c r="D313" s="48"/>
      <c r="E313" s="48" t="s">
        <v>12182</v>
      </c>
      <c r="F313" s="64" t="s">
        <v>622</v>
      </c>
      <c r="G313" s="60" t="s">
        <v>96</v>
      </c>
      <c r="H313" s="88">
        <v>0.06907</v>
      </c>
      <c r="I313" s="49" t="s">
        <v>12835</v>
      </c>
      <c r="J313" s="49" t="s">
        <v>12836</v>
      </c>
      <c r="K313" s="44"/>
      <c r="L313" s="44"/>
    </row>
    <row r="314">
      <c r="A314" s="48" t="s">
        <v>4295</v>
      </c>
      <c r="B314" s="48"/>
      <c r="C314" s="64" t="s">
        <v>12837</v>
      </c>
      <c r="D314" s="48"/>
      <c r="E314" s="48" t="s">
        <v>12014</v>
      </c>
      <c r="F314" s="64" t="s">
        <v>622</v>
      </c>
      <c r="G314" s="60" t="s">
        <v>96</v>
      </c>
      <c r="H314" s="88">
        <v>0.06901</v>
      </c>
      <c r="I314" s="49" t="s">
        <v>12838</v>
      </c>
      <c r="J314" s="49" t="s">
        <v>12839</v>
      </c>
      <c r="K314" s="44"/>
      <c r="L314" s="44"/>
    </row>
    <row r="315">
      <c r="A315" s="48" t="s">
        <v>4298</v>
      </c>
      <c r="B315" s="48"/>
      <c r="C315" s="48" t="s">
        <v>9075</v>
      </c>
      <c r="D315" s="48"/>
      <c r="E315" s="48" t="s">
        <v>12163</v>
      </c>
      <c r="F315" s="64" t="s">
        <v>11998</v>
      </c>
      <c r="G315" s="60" t="s">
        <v>96</v>
      </c>
      <c r="H315" s="88">
        <v>0.06899</v>
      </c>
      <c r="I315" s="49" t="s">
        <v>12840</v>
      </c>
      <c r="J315" s="49" t="s">
        <v>12841</v>
      </c>
      <c r="K315" s="44"/>
      <c r="L315" s="44"/>
    </row>
    <row r="316">
      <c r="A316" s="48" t="s">
        <v>9101</v>
      </c>
      <c r="B316" s="48"/>
      <c r="C316" s="48" t="s">
        <v>1707</v>
      </c>
      <c r="D316" s="48"/>
      <c r="E316" s="48" t="s">
        <v>12120</v>
      </c>
      <c r="F316" s="64" t="s">
        <v>883</v>
      </c>
      <c r="G316" s="60" t="s">
        <v>96</v>
      </c>
      <c r="H316" s="88">
        <v>0.06883</v>
      </c>
      <c r="I316" s="49" t="s">
        <v>12842</v>
      </c>
      <c r="J316" s="49" t="s">
        <v>12843</v>
      </c>
      <c r="K316" s="44"/>
      <c r="L316" s="44"/>
    </row>
    <row r="317">
      <c r="A317" s="48" t="s">
        <v>9073</v>
      </c>
      <c r="B317" s="48"/>
      <c r="C317" s="48" t="s">
        <v>9074</v>
      </c>
      <c r="D317" s="48"/>
      <c r="E317" s="48" t="s">
        <v>11924</v>
      </c>
      <c r="F317" s="64" t="s">
        <v>1352</v>
      </c>
      <c r="G317" s="60" t="s">
        <v>96</v>
      </c>
      <c r="H317" s="88">
        <v>0.06874</v>
      </c>
      <c r="I317" s="49" t="s">
        <v>12844</v>
      </c>
      <c r="J317" s="49" t="s">
        <v>12845</v>
      </c>
      <c r="K317" s="44"/>
      <c r="L317" s="44"/>
    </row>
    <row r="318">
      <c r="A318" s="48" t="s">
        <v>4325</v>
      </c>
      <c r="B318" s="48"/>
      <c r="C318" s="64" t="s">
        <v>12846</v>
      </c>
      <c r="D318" s="48"/>
      <c r="E318" s="48" t="s">
        <v>12078</v>
      </c>
      <c r="F318" s="64" t="s">
        <v>622</v>
      </c>
      <c r="G318" s="60" t="s">
        <v>96</v>
      </c>
      <c r="H318" s="88">
        <v>0.06869</v>
      </c>
      <c r="I318" s="49" t="s">
        <v>12847</v>
      </c>
      <c r="J318" s="49" t="s">
        <v>12848</v>
      </c>
      <c r="K318" s="44"/>
      <c r="L318" s="44"/>
    </row>
    <row r="319">
      <c r="A319" s="48" t="s">
        <v>8960</v>
      </c>
      <c r="B319" s="48"/>
      <c r="C319" s="48" t="s">
        <v>8961</v>
      </c>
      <c r="D319" s="48"/>
      <c r="E319" s="48" t="s">
        <v>11942</v>
      </c>
      <c r="F319" s="64" t="s">
        <v>1352</v>
      </c>
      <c r="G319" s="60" t="s">
        <v>96</v>
      </c>
      <c r="H319" s="88">
        <v>0.06868</v>
      </c>
      <c r="I319" s="49" t="s">
        <v>12849</v>
      </c>
      <c r="J319" s="49" t="s">
        <v>12850</v>
      </c>
      <c r="K319" s="44"/>
      <c r="L319" s="44"/>
    </row>
    <row r="320">
      <c r="A320" s="48" t="s">
        <v>4264</v>
      </c>
      <c r="B320" s="48"/>
      <c r="C320" s="64" t="s">
        <v>12851</v>
      </c>
      <c r="D320" s="48"/>
      <c r="E320" s="48" t="s">
        <v>12236</v>
      </c>
      <c r="F320" s="64" t="s">
        <v>622</v>
      </c>
      <c r="G320" s="60" t="s">
        <v>96</v>
      </c>
      <c r="H320" s="88">
        <v>0.06858</v>
      </c>
      <c r="I320" s="49" t="s">
        <v>12852</v>
      </c>
      <c r="J320" s="49" t="s">
        <v>12853</v>
      </c>
      <c r="K320" s="44"/>
      <c r="L320" s="44"/>
    </row>
    <row r="321">
      <c r="A321" s="48" t="s">
        <v>9019</v>
      </c>
      <c r="B321" s="48"/>
      <c r="C321" s="48" t="s">
        <v>12854</v>
      </c>
      <c r="D321" s="48"/>
      <c r="E321" s="48" t="s">
        <v>11932</v>
      </c>
      <c r="F321" s="64" t="s">
        <v>1740</v>
      </c>
      <c r="G321" s="60" t="s">
        <v>96</v>
      </c>
      <c r="H321" s="88">
        <v>0.06836</v>
      </c>
      <c r="I321" s="49" t="s">
        <v>12855</v>
      </c>
      <c r="J321" s="49" t="s">
        <v>12856</v>
      </c>
      <c r="K321" s="44"/>
      <c r="L321" s="44"/>
    </row>
    <row r="322">
      <c r="A322" s="48" t="s">
        <v>11335</v>
      </c>
      <c r="B322" s="48"/>
      <c r="C322" s="48" t="s">
        <v>11336</v>
      </c>
      <c r="D322" s="48"/>
      <c r="E322" s="48" t="s">
        <v>12090</v>
      </c>
      <c r="F322" s="64" t="s">
        <v>11998</v>
      </c>
      <c r="G322" s="60" t="s">
        <v>96</v>
      </c>
      <c r="H322" s="88">
        <v>0.06823</v>
      </c>
      <c r="I322" s="49" t="s">
        <v>12857</v>
      </c>
      <c r="J322" s="49" t="s">
        <v>12858</v>
      </c>
      <c r="K322" s="44"/>
      <c r="L322" s="44"/>
    </row>
    <row r="323">
      <c r="A323" s="48" t="s">
        <v>4306</v>
      </c>
      <c r="B323" s="48"/>
      <c r="C323" s="64" t="s">
        <v>12859</v>
      </c>
      <c r="D323" s="48"/>
      <c r="E323" s="48" t="s">
        <v>12860</v>
      </c>
      <c r="F323" s="64" t="s">
        <v>622</v>
      </c>
      <c r="G323" s="60" t="s">
        <v>96</v>
      </c>
      <c r="H323" s="88">
        <v>0.0682</v>
      </c>
      <c r="I323" s="49" t="s">
        <v>12861</v>
      </c>
      <c r="J323" s="49" t="s">
        <v>12862</v>
      </c>
      <c r="K323" s="44"/>
      <c r="L323" s="44"/>
    </row>
    <row r="324">
      <c r="A324" s="48" t="s">
        <v>8934</v>
      </c>
      <c r="B324" s="48"/>
      <c r="C324" s="48" t="s">
        <v>8935</v>
      </c>
      <c r="D324" s="48"/>
      <c r="E324" s="48" t="s">
        <v>11946</v>
      </c>
      <c r="F324" s="64" t="s">
        <v>668</v>
      </c>
      <c r="G324" s="60" t="s">
        <v>96</v>
      </c>
      <c r="H324" s="88">
        <v>0.06796</v>
      </c>
      <c r="I324" s="49" t="s">
        <v>12863</v>
      </c>
      <c r="J324" s="49" t="s">
        <v>12864</v>
      </c>
      <c r="K324" s="44"/>
      <c r="L324" s="44"/>
    </row>
    <row r="325">
      <c r="A325" s="48" t="s">
        <v>8997</v>
      </c>
      <c r="B325" s="48"/>
      <c r="C325" s="64" t="s">
        <v>12865</v>
      </c>
      <c r="D325" s="48"/>
      <c r="E325" s="48" t="s">
        <v>11942</v>
      </c>
      <c r="F325" s="64" t="s">
        <v>629</v>
      </c>
      <c r="G325" s="60" t="s">
        <v>96</v>
      </c>
      <c r="H325" s="88">
        <v>0.06774</v>
      </c>
      <c r="I325" s="49" t="s">
        <v>12866</v>
      </c>
      <c r="J325" s="49" t="s">
        <v>12867</v>
      </c>
      <c r="K325" s="44"/>
      <c r="L325" s="44"/>
    </row>
    <row r="326">
      <c r="A326" s="48" t="s">
        <v>11320</v>
      </c>
      <c r="B326" s="48"/>
      <c r="C326" s="48" t="s">
        <v>8991</v>
      </c>
      <c r="D326" s="48"/>
      <c r="E326" s="48" t="s">
        <v>12868</v>
      </c>
      <c r="F326" s="64" t="s">
        <v>1666</v>
      </c>
      <c r="G326" s="60" t="s">
        <v>96</v>
      </c>
      <c r="H326" s="88">
        <v>0.06773</v>
      </c>
      <c r="I326" s="49" t="s">
        <v>12869</v>
      </c>
      <c r="J326" s="49" t="s">
        <v>12870</v>
      </c>
      <c r="K326" s="44"/>
      <c r="L326" s="44"/>
    </row>
    <row r="327">
      <c r="A327" s="48" t="s">
        <v>4348</v>
      </c>
      <c r="B327" s="48"/>
      <c r="C327" s="64" t="s">
        <v>12871</v>
      </c>
      <c r="D327" s="48"/>
      <c r="E327" s="48" t="s">
        <v>12417</v>
      </c>
      <c r="F327" s="64" t="s">
        <v>622</v>
      </c>
      <c r="G327" s="60" t="s">
        <v>96</v>
      </c>
      <c r="H327" s="88">
        <v>0.06769</v>
      </c>
      <c r="I327" s="49" t="s">
        <v>12872</v>
      </c>
      <c r="J327" s="49" t="s">
        <v>12873</v>
      </c>
      <c r="K327" s="44"/>
      <c r="L327" s="44"/>
    </row>
    <row r="328">
      <c r="A328" s="48" t="s">
        <v>9092</v>
      </c>
      <c r="B328" s="48"/>
      <c r="C328" s="64" t="s">
        <v>12874</v>
      </c>
      <c r="D328" s="48"/>
      <c r="E328" s="48" t="s">
        <v>12367</v>
      </c>
      <c r="F328" s="64" t="s">
        <v>622</v>
      </c>
      <c r="G328" s="60" t="s">
        <v>96</v>
      </c>
      <c r="H328" s="88">
        <v>0.06768</v>
      </c>
      <c r="I328" s="49" t="s">
        <v>12875</v>
      </c>
      <c r="J328" s="49" t="s">
        <v>12876</v>
      </c>
      <c r="K328" s="44"/>
      <c r="L328" s="44"/>
    </row>
    <row r="329">
      <c r="A329" s="48" t="s">
        <v>4654</v>
      </c>
      <c r="B329" s="48"/>
      <c r="C329" s="48" t="s">
        <v>11331</v>
      </c>
      <c r="D329" s="48"/>
      <c r="E329" s="48" t="s">
        <v>12352</v>
      </c>
      <c r="F329" s="64" t="s">
        <v>11998</v>
      </c>
      <c r="G329" s="60" t="s">
        <v>96</v>
      </c>
      <c r="H329" s="88">
        <v>0.06745</v>
      </c>
      <c r="I329" s="49" t="s">
        <v>12877</v>
      </c>
      <c r="J329" s="49" t="s">
        <v>12878</v>
      </c>
      <c r="K329" s="44"/>
      <c r="L329" s="44"/>
    </row>
    <row r="330">
      <c r="A330" s="48" t="s">
        <v>4232</v>
      </c>
      <c r="B330" s="48"/>
      <c r="C330" s="64" t="s">
        <v>12879</v>
      </c>
      <c r="D330" s="48"/>
      <c r="E330" s="48" t="s">
        <v>12123</v>
      </c>
      <c r="F330" s="64" t="s">
        <v>622</v>
      </c>
      <c r="G330" s="60" t="s">
        <v>96</v>
      </c>
      <c r="H330" s="88">
        <v>0.06732</v>
      </c>
      <c r="I330" s="49" t="s">
        <v>12880</v>
      </c>
      <c r="J330" s="49" t="s">
        <v>12881</v>
      </c>
      <c r="K330" s="44"/>
      <c r="L330" s="44"/>
    </row>
    <row r="331">
      <c r="A331" s="48" t="s">
        <v>9062</v>
      </c>
      <c r="B331" s="48"/>
      <c r="C331" s="64" t="s">
        <v>12882</v>
      </c>
      <c r="D331" s="48"/>
      <c r="E331" s="48" t="s">
        <v>12163</v>
      </c>
      <c r="F331" s="64" t="s">
        <v>694</v>
      </c>
      <c r="G331" s="60" t="s">
        <v>96</v>
      </c>
      <c r="H331" s="88">
        <v>0.06723</v>
      </c>
      <c r="I331" s="49" t="s">
        <v>12883</v>
      </c>
      <c r="J331" s="49" t="s">
        <v>12884</v>
      </c>
      <c r="K331" s="44"/>
      <c r="L331" s="44"/>
    </row>
    <row r="332">
      <c r="A332" s="48" t="s">
        <v>4244</v>
      </c>
      <c r="B332" s="48"/>
      <c r="C332" s="64" t="s">
        <v>12885</v>
      </c>
      <c r="D332" s="48"/>
      <c r="E332" s="48" t="s">
        <v>5609</v>
      </c>
      <c r="F332" s="64" t="s">
        <v>622</v>
      </c>
      <c r="G332" s="60" t="s">
        <v>96</v>
      </c>
      <c r="H332" s="88">
        <v>0.06718</v>
      </c>
      <c r="I332" s="49" t="s">
        <v>12886</v>
      </c>
      <c r="J332" s="49" t="s">
        <v>12887</v>
      </c>
      <c r="K332" s="44"/>
      <c r="L332" s="44"/>
    </row>
    <row r="333">
      <c r="A333" s="48" t="s">
        <v>4239</v>
      </c>
      <c r="B333" s="48"/>
      <c r="C333" s="64" t="s">
        <v>12888</v>
      </c>
      <c r="D333" s="48"/>
      <c r="E333" s="48" t="s">
        <v>12309</v>
      </c>
      <c r="F333" s="64" t="s">
        <v>622</v>
      </c>
      <c r="G333" s="60" t="s">
        <v>96</v>
      </c>
      <c r="H333" s="88">
        <v>0.06667</v>
      </c>
      <c r="I333" s="49" t="s">
        <v>12889</v>
      </c>
      <c r="J333" s="49" t="s">
        <v>12890</v>
      </c>
      <c r="K333" s="44"/>
      <c r="L333" s="44"/>
    </row>
    <row r="334">
      <c r="A334" s="48" t="s">
        <v>4273</v>
      </c>
      <c r="B334" s="48"/>
      <c r="C334" s="64" t="s">
        <v>12891</v>
      </c>
      <c r="D334" s="48"/>
      <c r="E334" s="48" t="s">
        <v>11928</v>
      </c>
      <c r="F334" s="64" t="s">
        <v>622</v>
      </c>
      <c r="G334" s="60" t="s">
        <v>96</v>
      </c>
      <c r="H334" s="88">
        <v>0.06621</v>
      </c>
      <c r="I334" s="49" t="s">
        <v>12892</v>
      </c>
      <c r="J334" s="49" t="s">
        <v>12893</v>
      </c>
      <c r="K334" s="44"/>
      <c r="L334" s="44"/>
    </row>
    <row r="335">
      <c r="A335" s="48" t="s">
        <v>4288</v>
      </c>
      <c r="B335" s="48"/>
      <c r="C335" s="64" t="s">
        <v>12894</v>
      </c>
      <c r="D335" s="48"/>
      <c r="E335" s="48" t="s">
        <v>12895</v>
      </c>
      <c r="F335" s="64" t="s">
        <v>622</v>
      </c>
      <c r="G335" s="60" t="s">
        <v>96</v>
      </c>
      <c r="H335" s="88">
        <v>0.06571</v>
      </c>
      <c r="I335" s="49" t="s">
        <v>12896</v>
      </c>
      <c r="J335" s="49" t="s">
        <v>12897</v>
      </c>
      <c r="K335" s="44"/>
      <c r="L335" s="44"/>
    </row>
    <row r="336">
      <c r="A336" s="48" t="s">
        <v>4216</v>
      </c>
      <c r="B336" s="48"/>
      <c r="C336" s="64" t="s">
        <v>12898</v>
      </c>
      <c r="D336" s="48"/>
      <c r="E336" s="48" t="s">
        <v>12559</v>
      </c>
      <c r="F336" s="64" t="s">
        <v>622</v>
      </c>
      <c r="G336" s="60" t="s">
        <v>96</v>
      </c>
      <c r="H336" s="88">
        <v>0.06558</v>
      </c>
      <c r="I336" s="49" t="s">
        <v>12899</v>
      </c>
      <c r="J336" s="49" t="s">
        <v>12900</v>
      </c>
      <c r="K336" s="44"/>
      <c r="L336" s="44"/>
    </row>
    <row r="337">
      <c r="A337" s="48" t="s">
        <v>4289</v>
      </c>
      <c r="B337" s="48"/>
      <c r="C337" s="64" t="s">
        <v>12901</v>
      </c>
      <c r="D337" s="48"/>
      <c r="E337" s="48" t="s">
        <v>5291</v>
      </c>
      <c r="F337" s="64" t="s">
        <v>622</v>
      </c>
      <c r="G337" s="60" t="s">
        <v>96</v>
      </c>
      <c r="H337" s="88">
        <v>0.06553</v>
      </c>
      <c r="I337" s="49" t="s">
        <v>12902</v>
      </c>
      <c r="J337" s="49" t="s">
        <v>12903</v>
      </c>
      <c r="K337" s="44"/>
      <c r="L337" s="44"/>
    </row>
    <row r="338">
      <c r="A338" s="48" t="s">
        <v>11333</v>
      </c>
      <c r="B338" s="48"/>
      <c r="C338" s="48" t="s">
        <v>12904</v>
      </c>
      <c r="D338" s="48"/>
      <c r="E338" s="48" t="s">
        <v>12868</v>
      </c>
      <c r="F338" s="64" t="s">
        <v>645</v>
      </c>
      <c r="G338" s="60" t="s">
        <v>96</v>
      </c>
      <c r="H338" s="88">
        <v>0.06542</v>
      </c>
      <c r="I338" s="49" t="s">
        <v>12905</v>
      </c>
      <c r="J338" s="49" t="s">
        <v>12906</v>
      </c>
      <c r="K338" s="44"/>
      <c r="L338" s="44"/>
    </row>
    <row r="339">
      <c r="A339" s="48" t="s">
        <v>4257</v>
      </c>
      <c r="B339" s="48"/>
      <c r="C339" s="64" t="s">
        <v>12907</v>
      </c>
      <c r="D339" s="48"/>
      <c r="E339" s="48" t="s">
        <v>12908</v>
      </c>
      <c r="F339" s="64" t="s">
        <v>622</v>
      </c>
      <c r="G339" s="60" t="s">
        <v>96</v>
      </c>
      <c r="H339" s="88">
        <v>0.06538</v>
      </c>
      <c r="I339" s="49" t="s">
        <v>12909</v>
      </c>
      <c r="J339" s="49" t="s">
        <v>12910</v>
      </c>
      <c r="K339" s="44"/>
      <c r="L339" s="44"/>
    </row>
    <row r="340">
      <c r="A340" s="48" t="s">
        <v>4313</v>
      </c>
      <c r="B340" s="48"/>
      <c r="C340" s="64" t="s">
        <v>12911</v>
      </c>
      <c r="D340" s="48"/>
      <c r="E340" s="48" t="s">
        <v>12025</v>
      </c>
      <c r="F340" s="64" t="s">
        <v>622</v>
      </c>
      <c r="G340" s="60" t="s">
        <v>96</v>
      </c>
      <c r="H340" s="88">
        <v>0.06536</v>
      </c>
      <c r="I340" s="49" t="s">
        <v>12912</v>
      </c>
      <c r="J340" s="49" t="s">
        <v>12913</v>
      </c>
      <c r="K340" s="44"/>
      <c r="L340" s="44"/>
    </row>
    <row r="341">
      <c r="A341" s="48" t="s">
        <v>4269</v>
      </c>
      <c r="B341" s="48"/>
      <c r="C341" s="64" t="s">
        <v>12914</v>
      </c>
      <c r="D341" s="48"/>
      <c r="E341" s="48" t="s">
        <v>12243</v>
      </c>
      <c r="F341" s="64" t="s">
        <v>622</v>
      </c>
      <c r="G341" s="60" t="s">
        <v>96</v>
      </c>
      <c r="H341" s="88">
        <v>0.06526</v>
      </c>
      <c r="I341" s="49" t="s">
        <v>12915</v>
      </c>
      <c r="J341" s="49" t="s">
        <v>12916</v>
      </c>
      <c r="K341" s="44"/>
      <c r="L341" s="44"/>
    </row>
    <row r="342">
      <c r="A342" s="48" t="s">
        <v>4310</v>
      </c>
      <c r="B342" s="48"/>
      <c r="C342" s="64" t="s">
        <v>12917</v>
      </c>
      <c r="D342" s="48"/>
      <c r="E342" s="48" t="s">
        <v>12918</v>
      </c>
      <c r="F342" s="64" t="s">
        <v>622</v>
      </c>
      <c r="G342" s="60" t="s">
        <v>96</v>
      </c>
      <c r="H342" s="88">
        <v>0.06524</v>
      </c>
      <c r="I342" s="49" t="s">
        <v>12919</v>
      </c>
      <c r="J342" s="49" t="s">
        <v>12920</v>
      </c>
      <c r="K342" s="44"/>
      <c r="L342" s="44"/>
    </row>
    <row r="343">
      <c r="A343" s="48" t="s">
        <v>4299</v>
      </c>
      <c r="B343" s="48"/>
      <c r="C343" s="64" t="s">
        <v>12921</v>
      </c>
      <c r="D343" s="48"/>
      <c r="E343" s="48" t="s">
        <v>12229</v>
      </c>
      <c r="F343" s="64" t="s">
        <v>622</v>
      </c>
      <c r="G343" s="60" t="s">
        <v>96</v>
      </c>
      <c r="H343" s="88">
        <v>0.06467</v>
      </c>
      <c r="I343" s="49" t="s">
        <v>12922</v>
      </c>
      <c r="J343" s="49" t="s">
        <v>12923</v>
      </c>
      <c r="K343" s="44"/>
      <c r="L343" s="44"/>
    </row>
    <row r="344">
      <c r="A344" s="48" t="s">
        <v>9126</v>
      </c>
      <c r="B344" s="48"/>
      <c r="C344" s="64" t="s">
        <v>12924</v>
      </c>
      <c r="D344" s="48"/>
      <c r="E344" s="48" t="s">
        <v>12072</v>
      </c>
      <c r="F344" s="64" t="s">
        <v>629</v>
      </c>
      <c r="G344" s="60" t="s">
        <v>96</v>
      </c>
      <c r="H344" s="88">
        <v>0.06446</v>
      </c>
      <c r="I344" s="49" t="s">
        <v>12925</v>
      </c>
      <c r="J344" s="49" t="s">
        <v>12926</v>
      </c>
      <c r="K344" s="44"/>
      <c r="L344" s="44"/>
    </row>
    <row r="345">
      <c r="A345" s="48" t="s">
        <v>9102</v>
      </c>
      <c r="B345" s="48"/>
      <c r="C345" s="64" t="s">
        <v>12927</v>
      </c>
      <c r="D345" s="48"/>
      <c r="E345" s="48" t="s">
        <v>5961</v>
      </c>
      <c r="F345" s="64" t="s">
        <v>629</v>
      </c>
      <c r="G345" s="60" t="s">
        <v>96</v>
      </c>
      <c r="H345" s="88">
        <v>0.0644</v>
      </c>
      <c r="I345" s="49" t="s">
        <v>12928</v>
      </c>
      <c r="J345" s="49" t="s">
        <v>12929</v>
      </c>
      <c r="K345" s="44"/>
      <c r="L345" s="44"/>
    </row>
    <row r="346">
      <c r="A346" s="48" t="s">
        <v>4320</v>
      </c>
      <c r="B346" s="48"/>
      <c r="C346" s="64" t="s">
        <v>12930</v>
      </c>
      <c r="D346" s="48"/>
      <c r="E346" s="48" t="s">
        <v>12090</v>
      </c>
      <c r="F346" s="64" t="s">
        <v>622</v>
      </c>
      <c r="G346" s="60" t="s">
        <v>96</v>
      </c>
      <c r="H346" s="88">
        <v>0.06438</v>
      </c>
      <c r="I346" s="49" t="s">
        <v>12931</v>
      </c>
      <c r="J346" s="49" t="s">
        <v>12932</v>
      </c>
      <c r="K346" s="44"/>
      <c r="L346" s="44"/>
    </row>
    <row r="347">
      <c r="A347" s="48" t="s">
        <v>4312</v>
      </c>
      <c r="B347" s="48"/>
      <c r="C347" s="64" t="s">
        <v>12933</v>
      </c>
      <c r="D347" s="48"/>
      <c r="E347" s="48" t="s">
        <v>12356</v>
      </c>
      <c r="F347" s="64" t="s">
        <v>622</v>
      </c>
      <c r="G347" s="60" t="s">
        <v>96</v>
      </c>
      <c r="H347" s="88">
        <v>0.06407</v>
      </c>
      <c r="I347" s="49" t="s">
        <v>12934</v>
      </c>
      <c r="J347" s="49" t="s">
        <v>12935</v>
      </c>
      <c r="K347" s="44"/>
      <c r="L347" s="44"/>
    </row>
    <row r="348">
      <c r="A348" s="48" t="s">
        <v>4343</v>
      </c>
      <c r="B348" s="48"/>
      <c r="C348" s="64" t="s">
        <v>12936</v>
      </c>
      <c r="D348" s="48"/>
      <c r="E348" s="48" t="s">
        <v>5288</v>
      </c>
      <c r="F348" s="64" t="s">
        <v>622</v>
      </c>
      <c r="G348" s="60" t="s">
        <v>96</v>
      </c>
      <c r="H348" s="88">
        <v>0.06367</v>
      </c>
      <c r="I348" s="49" t="s">
        <v>12937</v>
      </c>
      <c r="J348" s="49" t="s">
        <v>12938</v>
      </c>
      <c r="K348" s="44"/>
      <c r="L348" s="44"/>
    </row>
    <row r="349">
      <c r="A349" s="48" t="s">
        <v>9149</v>
      </c>
      <c r="B349" s="48"/>
      <c r="C349" s="64" t="s">
        <v>12939</v>
      </c>
      <c r="D349" s="48"/>
      <c r="E349" s="48" t="s">
        <v>12356</v>
      </c>
      <c r="F349" s="64" t="s">
        <v>629</v>
      </c>
      <c r="G349" s="60" t="s">
        <v>96</v>
      </c>
      <c r="H349" s="88">
        <v>0.06331</v>
      </c>
      <c r="I349" s="49" t="s">
        <v>12940</v>
      </c>
      <c r="J349" s="49" t="s">
        <v>12941</v>
      </c>
      <c r="K349" s="44"/>
      <c r="L349" s="44"/>
    </row>
    <row r="350">
      <c r="A350" s="48" t="s">
        <v>4255</v>
      </c>
      <c r="B350" s="48"/>
      <c r="C350" s="64" t="s">
        <v>12942</v>
      </c>
      <c r="D350" s="48"/>
      <c r="E350" s="48" t="s">
        <v>12163</v>
      </c>
      <c r="F350" s="64" t="s">
        <v>622</v>
      </c>
      <c r="G350" s="60" t="s">
        <v>96</v>
      </c>
      <c r="H350" s="88">
        <v>0.06304</v>
      </c>
      <c r="I350" s="49" t="s">
        <v>12943</v>
      </c>
      <c r="J350" s="49" t="s">
        <v>12944</v>
      </c>
      <c r="K350" s="44"/>
      <c r="L350" s="44"/>
    </row>
    <row r="351">
      <c r="A351" s="48" t="s">
        <v>9088</v>
      </c>
      <c r="B351" s="48"/>
      <c r="C351" s="48" t="s">
        <v>9089</v>
      </c>
      <c r="D351" s="48"/>
      <c r="E351" s="48" t="s">
        <v>12116</v>
      </c>
      <c r="F351" s="64" t="s">
        <v>649</v>
      </c>
      <c r="G351" s="60" t="s">
        <v>96</v>
      </c>
      <c r="H351" s="88">
        <v>0.06292</v>
      </c>
      <c r="I351" s="49" t="s">
        <v>12945</v>
      </c>
      <c r="J351" s="49" t="s">
        <v>12946</v>
      </c>
      <c r="K351" s="44"/>
      <c r="L351" s="44"/>
    </row>
    <row r="352">
      <c r="A352" s="48" t="s">
        <v>9098</v>
      </c>
      <c r="B352" s="48"/>
      <c r="C352" s="64" t="s">
        <v>12947</v>
      </c>
      <c r="D352" s="48"/>
      <c r="E352" s="48" t="s">
        <v>11903</v>
      </c>
      <c r="F352" s="64" t="s">
        <v>622</v>
      </c>
      <c r="G352" s="60" t="s">
        <v>96</v>
      </c>
      <c r="H352" s="88">
        <v>0.06289</v>
      </c>
      <c r="I352" s="49" t="s">
        <v>12948</v>
      </c>
      <c r="J352" s="49" t="s">
        <v>12949</v>
      </c>
      <c r="K352" s="44"/>
      <c r="L352" s="44"/>
    </row>
    <row r="353">
      <c r="A353" s="48" t="s">
        <v>9124</v>
      </c>
      <c r="B353" s="48"/>
      <c r="C353" s="48" t="s">
        <v>9125</v>
      </c>
      <c r="D353" s="48"/>
      <c r="E353" s="48" t="s">
        <v>11924</v>
      </c>
      <c r="F353" s="64" t="s">
        <v>649</v>
      </c>
      <c r="G353" s="60" t="s">
        <v>96</v>
      </c>
      <c r="H353" s="88">
        <v>0.06243</v>
      </c>
      <c r="I353" s="49" t="s">
        <v>12950</v>
      </c>
      <c r="J353" s="49" t="s">
        <v>12951</v>
      </c>
      <c r="K353" s="44"/>
      <c r="L353" s="44"/>
    </row>
    <row r="354">
      <c r="A354" s="48" t="s">
        <v>4321</v>
      </c>
      <c r="B354" s="48"/>
      <c r="C354" s="64" t="s">
        <v>12952</v>
      </c>
      <c r="D354" s="48"/>
      <c r="E354" s="48" t="s">
        <v>12309</v>
      </c>
      <c r="F354" s="64" t="s">
        <v>622</v>
      </c>
      <c r="G354" s="60" t="s">
        <v>96</v>
      </c>
      <c r="H354" s="88">
        <v>0.06237</v>
      </c>
      <c r="I354" s="49" t="s">
        <v>12953</v>
      </c>
      <c r="J354" s="49" t="s">
        <v>12954</v>
      </c>
      <c r="K354" s="44"/>
      <c r="L354" s="44"/>
    </row>
    <row r="355">
      <c r="A355" s="48" t="s">
        <v>4314</v>
      </c>
      <c r="B355" s="48"/>
      <c r="C355" s="64" t="s">
        <v>12955</v>
      </c>
      <c r="D355" s="48"/>
      <c r="E355" s="48" t="s">
        <v>11946</v>
      </c>
      <c r="F355" s="64" t="s">
        <v>622</v>
      </c>
      <c r="G355" s="60" t="s">
        <v>96</v>
      </c>
      <c r="H355" s="88">
        <v>0.06221</v>
      </c>
      <c r="I355" s="49" t="s">
        <v>12956</v>
      </c>
      <c r="J355" s="49" t="s">
        <v>12957</v>
      </c>
      <c r="K355" s="44"/>
      <c r="L355" s="44"/>
    </row>
    <row r="356">
      <c r="A356" s="48" t="s">
        <v>11339</v>
      </c>
      <c r="B356" s="48"/>
      <c r="C356" s="48" t="s">
        <v>9042</v>
      </c>
      <c r="D356" s="48"/>
      <c r="E356" s="48" t="s">
        <v>11942</v>
      </c>
      <c r="F356" s="64" t="s">
        <v>1740</v>
      </c>
      <c r="G356" s="60" t="s">
        <v>96</v>
      </c>
      <c r="H356" s="88">
        <v>0.06218</v>
      </c>
      <c r="I356" s="49" t="s">
        <v>12958</v>
      </c>
      <c r="J356" s="49" t="s">
        <v>12959</v>
      </c>
      <c r="K356" s="44"/>
      <c r="L356" s="44"/>
    </row>
    <row r="357">
      <c r="A357" s="48" t="s">
        <v>8988</v>
      </c>
      <c r="B357" s="48"/>
      <c r="C357" s="64" t="s">
        <v>12960</v>
      </c>
      <c r="D357" s="48"/>
      <c r="E357" s="48" t="s">
        <v>11946</v>
      </c>
      <c r="F357" s="64" t="s">
        <v>622</v>
      </c>
      <c r="G357" s="60" t="s">
        <v>96</v>
      </c>
      <c r="H357" s="88">
        <v>0.06215</v>
      </c>
      <c r="I357" s="49" t="s">
        <v>12961</v>
      </c>
      <c r="J357" s="49" t="s">
        <v>12962</v>
      </c>
      <c r="K357" s="44"/>
      <c r="L357" s="44"/>
    </row>
    <row r="358">
      <c r="A358" s="48" t="s">
        <v>4344</v>
      </c>
      <c r="B358" s="48"/>
      <c r="C358" s="64" t="s">
        <v>12963</v>
      </c>
      <c r="D358" s="48"/>
      <c r="E358" s="48" t="s">
        <v>12964</v>
      </c>
      <c r="F358" s="64" t="s">
        <v>622</v>
      </c>
      <c r="G358" s="60" t="s">
        <v>96</v>
      </c>
      <c r="H358" s="88">
        <v>0.06194</v>
      </c>
      <c r="I358" s="49" t="s">
        <v>12965</v>
      </c>
      <c r="J358" s="49" t="s">
        <v>12966</v>
      </c>
      <c r="K358" s="44"/>
      <c r="L358" s="44"/>
    </row>
    <row r="359">
      <c r="A359" s="48" t="s">
        <v>4302</v>
      </c>
      <c r="B359" s="48"/>
      <c r="C359" s="64" t="s">
        <v>12967</v>
      </c>
      <c r="D359" s="48"/>
      <c r="E359" s="48" t="s">
        <v>6012</v>
      </c>
      <c r="F359" s="64" t="s">
        <v>622</v>
      </c>
      <c r="G359" s="60" t="s">
        <v>96</v>
      </c>
      <c r="H359" s="88">
        <v>0.06185</v>
      </c>
      <c r="I359" s="49" t="s">
        <v>12968</v>
      </c>
      <c r="J359" s="49" t="s">
        <v>12969</v>
      </c>
      <c r="K359" s="44"/>
      <c r="L359" s="44"/>
    </row>
    <row r="360">
      <c r="A360" s="48" t="s">
        <v>4318</v>
      </c>
      <c r="B360" s="48"/>
      <c r="C360" s="64" t="s">
        <v>12970</v>
      </c>
      <c r="D360" s="48"/>
      <c r="E360" s="48" t="s">
        <v>12229</v>
      </c>
      <c r="F360" s="64" t="s">
        <v>622</v>
      </c>
      <c r="G360" s="60" t="s">
        <v>96</v>
      </c>
      <c r="H360" s="88">
        <v>0.06178</v>
      </c>
      <c r="I360" s="49" t="s">
        <v>12971</v>
      </c>
      <c r="J360" s="49" t="s">
        <v>12972</v>
      </c>
      <c r="K360" s="44"/>
      <c r="L360" s="44"/>
    </row>
    <row r="361">
      <c r="A361" s="48" t="s">
        <v>9104</v>
      </c>
      <c r="B361" s="48"/>
      <c r="C361" s="48" t="s">
        <v>9105</v>
      </c>
      <c r="D361" s="48"/>
      <c r="E361" s="48" t="s">
        <v>12437</v>
      </c>
      <c r="F361" s="64" t="s">
        <v>11998</v>
      </c>
      <c r="G361" s="60" t="s">
        <v>96</v>
      </c>
      <c r="H361" s="88">
        <v>0.06167</v>
      </c>
      <c r="I361" s="49" t="s">
        <v>12973</v>
      </c>
      <c r="J361" s="49" t="s">
        <v>12974</v>
      </c>
      <c r="K361" s="44"/>
      <c r="L361" s="44"/>
    </row>
    <row r="362">
      <c r="A362" s="48" t="s">
        <v>4294</v>
      </c>
      <c r="B362" s="48"/>
      <c r="C362" s="64" t="s">
        <v>12975</v>
      </c>
      <c r="D362" s="48"/>
      <c r="E362" s="48" t="s">
        <v>12437</v>
      </c>
      <c r="F362" s="64" t="s">
        <v>622</v>
      </c>
      <c r="G362" s="60" t="s">
        <v>96</v>
      </c>
      <c r="H362" s="88">
        <v>0.06162</v>
      </c>
      <c r="I362" s="49" t="s">
        <v>12976</v>
      </c>
      <c r="J362" s="49" t="s">
        <v>12977</v>
      </c>
      <c r="K362" s="44"/>
      <c r="L362" s="44"/>
    </row>
    <row r="363">
      <c r="A363" s="48" t="s">
        <v>4224</v>
      </c>
      <c r="B363" s="48"/>
      <c r="C363" s="64" t="s">
        <v>12978</v>
      </c>
      <c r="D363" s="48"/>
      <c r="E363" s="48" t="s">
        <v>12056</v>
      </c>
      <c r="F363" s="64" t="s">
        <v>622</v>
      </c>
      <c r="G363" s="60" t="s">
        <v>96</v>
      </c>
      <c r="H363" s="88">
        <v>0.06154</v>
      </c>
      <c r="I363" s="49" t="s">
        <v>12979</v>
      </c>
      <c r="J363" s="49" t="s">
        <v>12980</v>
      </c>
      <c r="K363" s="44"/>
      <c r="L363" s="44"/>
    </row>
    <row r="364">
      <c r="A364" s="48" t="s">
        <v>6864</v>
      </c>
      <c r="B364" s="48"/>
      <c r="C364" s="48" t="s">
        <v>9119</v>
      </c>
      <c r="D364" s="48"/>
      <c r="E364" s="48" t="s">
        <v>12216</v>
      </c>
      <c r="F364" s="64" t="s">
        <v>1201</v>
      </c>
      <c r="G364" s="60" t="s">
        <v>96</v>
      </c>
      <c r="H364" s="88">
        <v>0.06129</v>
      </c>
      <c r="I364" s="49" t="s">
        <v>12981</v>
      </c>
      <c r="J364" s="49" t="s">
        <v>12982</v>
      </c>
      <c r="K364" s="44"/>
      <c r="L364" s="44"/>
    </row>
    <row r="365">
      <c r="A365" s="48" t="s">
        <v>4326</v>
      </c>
      <c r="B365" s="48"/>
      <c r="C365" s="64" t="s">
        <v>12983</v>
      </c>
      <c r="D365" s="48"/>
      <c r="E365" s="48" t="s">
        <v>12437</v>
      </c>
      <c r="F365" s="64" t="s">
        <v>622</v>
      </c>
      <c r="G365" s="60" t="s">
        <v>96</v>
      </c>
      <c r="H365" s="88">
        <v>0.06112</v>
      </c>
      <c r="I365" s="49" t="s">
        <v>12984</v>
      </c>
      <c r="J365" s="49" t="s">
        <v>12985</v>
      </c>
      <c r="K365" s="44"/>
      <c r="L365" s="44"/>
    </row>
    <row r="366">
      <c r="A366" s="48" t="s">
        <v>4300</v>
      </c>
      <c r="B366" s="48"/>
      <c r="C366" s="64" t="s">
        <v>12986</v>
      </c>
      <c r="D366" s="48"/>
      <c r="E366" s="48" t="s">
        <v>12031</v>
      </c>
      <c r="F366" s="64" t="s">
        <v>622</v>
      </c>
      <c r="G366" s="60" t="s">
        <v>96</v>
      </c>
      <c r="H366" s="88">
        <v>0.06105</v>
      </c>
      <c r="I366" s="49" t="s">
        <v>12987</v>
      </c>
      <c r="J366" s="49" t="s">
        <v>12988</v>
      </c>
      <c r="K366" s="44"/>
      <c r="L366" s="44"/>
    </row>
    <row r="367">
      <c r="A367" s="48" t="s">
        <v>4304</v>
      </c>
      <c r="B367" s="48"/>
      <c r="C367" s="64" t="s">
        <v>12989</v>
      </c>
      <c r="D367" s="48"/>
      <c r="E367" s="48" t="s">
        <v>12205</v>
      </c>
      <c r="F367" s="64" t="s">
        <v>622</v>
      </c>
      <c r="G367" s="60" t="s">
        <v>96</v>
      </c>
      <c r="H367" s="88">
        <v>0.06101</v>
      </c>
      <c r="I367" s="49" t="s">
        <v>12990</v>
      </c>
      <c r="J367" s="49" t="s">
        <v>12991</v>
      </c>
      <c r="K367" s="44"/>
      <c r="L367" s="44"/>
    </row>
    <row r="368">
      <c r="A368" s="48" t="s">
        <v>9134</v>
      </c>
      <c r="B368" s="48"/>
      <c r="C368" s="64" t="s">
        <v>12992</v>
      </c>
      <c r="D368" s="48"/>
      <c r="E368" s="48" t="s">
        <v>12777</v>
      </c>
      <c r="F368" s="64" t="s">
        <v>629</v>
      </c>
      <c r="G368" s="60" t="s">
        <v>96</v>
      </c>
      <c r="H368" s="88">
        <v>0.06019</v>
      </c>
      <c r="I368" s="49" t="s">
        <v>12993</v>
      </c>
      <c r="J368" s="49" t="s">
        <v>12994</v>
      </c>
      <c r="K368" s="44"/>
      <c r="L368" s="44"/>
    </row>
    <row r="369">
      <c r="A369" s="48" t="s">
        <v>11342</v>
      </c>
      <c r="B369" s="48"/>
      <c r="C369" s="64" t="s">
        <v>12995</v>
      </c>
      <c r="D369" s="48"/>
      <c r="E369" s="48" t="s">
        <v>12309</v>
      </c>
      <c r="F369" s="64" t="s">
        <v>622</v>
      </c>
      <c r="G369" s="60" t="s">
        <v>96</v>
      </c>
      <c r="H369" s="88">
        <v>0.05988</v>
      </c>
      <c r="I369" s="49" t="s">
        <v>12996</v>
      </c>
      <c r="J369" s="49" t="s">
        <v>12997</v>
      </c>
      <c r="K369" s="44"/>
      <c r="L369" s="44"/>
    </row>
    <row r="370">
      <c r="A370" s="48" t="s">
        <v>4339</v>
      </c>
      <c r="B370" s="48"/>
      <c r="C370" s="64" t="s">
        <v>12998</v>
      </c>
      <c r="D370" s="48"/>
      <c r="E370" s="48" t="s">
        <v>12367</v>
      </c>
      <c r="F370" s="64" t="s">
        <v>622</v>
      </c>
      <c r="G370" s="60" t="s">
        <v>96</v>
      </c>
      <c r="H370" s="88">
        <v>0.0598</v>
      </c>
      <c r="I370" s="49" t="s">
        <v>12999</v>
      </c>
      <c r="J370" s="49" t="s">
        <v>13000</v>
      </c>
      <c r="K370" s="44"/>
      <c r="L370" s="44"/>
    </row>
    <row r="371">
      <c r="A371" s="48" t="s">
        <v>9030</v>
      </c>
      <c r="B371" s="48"/>
      <c r="C371" s="64" t="s">
        <v>13001</v>
      </c>
      <c r="D371" s="48"/>
      <c r="E371" s="48" t="s">
        <v>13002</v>
      </c>
      <c r="F371" s="64" t="s">
        <v>622</v>
      </c>
      <c r="G371" s="60" t="s">
        <v>96</v>
      </c>
      <c r="H371" s="88">
        <v>0.0597</v>
      </c>
      <c r="I371" s="49" t="s">
        <v>13003</v>
      </c>
      <c r="J371" s="49" t="s">
        <v>13004</v>
      </c>
      <c r="K371" s="44"/>
      <c r="L371" s="44"/>
    </row>
    <row r="372">
      <c r="A372" s="48" t="s">
        <v>9086</v>
      </c>
      <c r="B372" s="48"/>
      <c r="C372" s="64" t="s">
        <v>13005</v>
      </c>
      <c r="D372" s="48"/>
      <c r="E372" s="48" t="s">
        <v>11942</v>
      </c>
      <c r="F372" s="64" t="s">
        <v>738</v>
      </c>
      <c r="G372" s="60" t="s">
        <v>96</v>
      </c>
      <c r="H372" s="88">
        <v>0.05948</v>
      </c>
      <c r="I372" s="49" t="s">
        <v>13006</v>
      </c>
      <c r="J372" s="49" t="s">
        <v>13007</v>
      </c>
      <c r="K372" s="44"/>
      <c r="L372" s="44"/>
    </row>
    <row r="373">
      <c r="A373" s="48" t="s">
        <v>4427</v>
      </c>
      <c r="B373" s="48"/>
      <c r="C373" s="64" t="s">
        <v>13008</v>
      </c>
      <c r="D373" s="48"/>
      <c r="E373" s="48" t="s">
        <v>12025</v>
      </c>
      <c r="F373" s="64" t="s">
        <v>622</v>
      </c>
      <c r="G373" s="60" t="s">
        <v>96</v>
      </c>
      <c r="H373" s="88">
        <v>0.05946</v>
      </c>
      <c r="I373" s="49" t="s">
        <v>13009</v>
      </c>
      <c r="J373" s="49" t="s">
        <v>13010</v>
      </c>
      <c r="K373" s="44"/>
      <c r="L373" s="44"/>
    </row>
    <row r="374">
      <c r="A374" s="48" t="s">
        <v>4307</v>
      </c>
      <c r="B374" s="48"/>
      <c r="C374" s="64" t="s">
        <v>13011</v>
      </c>
      <c r="D374" s="48"/>
      <c r="E374" s="48" t="s">
        <v>12205</v>
      </c>
      <c r="F374" s="64" t="s">
        <v>622</v>
      </c>
      <c r="G374" s="60" t="s">
        <v>96</v>
      </c>
      <c r="H374" s="88">
        <v>0.05927</v>
      </c>
      <c r="I374" s="49" t="s">
        <v>13012</v>
      </c>
      <c r="J374" s="49" t="s">
        <v>13013</v>
      </c>
      <c r="K374" s="44"/>
      <c r="L374" s="44"/>
    </row>
    <row r="375">
      <c r="A375" s="48" t="s">
        <v>4411</v>
      </c>
      <c r="B375" s="48"/>
      <c r="C375" s="64" t="s">
        <v>13014</v>
      </c>
      <c r="D375" s="48"/>
      <c r="E375" s="48" t="s">
        <v>12046</v>
      </c>
      <c r="F375" s="64" t="s">
        <v>622</v>
      </c>
      <c r="G375" s="60" t="s">
        <v>96</v>
      </c>
      <c r="H375" s="88">
        <v>0.05924</v>
      </c>
      <c r="I375" s="49" t="s">
        <v>13015</v>
      </c>
      <c r="J375" s="49" t="s">
        <v>13016</v>
      </c>
      <c r="K375" s="44"/>
      <c r="L375" s="44"/>
    </row>
    <row r="376">
      <c r="A376" s="48" t="s">
        <v>4322</v>
      </c>
      <c r="B376" s="48"/>
      <c r="C376" s="64" t="s">
        <v>13017</v>
      </c>
      <c r="D376" s="48"/>
      <c r="E376" s="48" t="s">
        <v>12518</v>
      </c>
      <c r="F376" s="64" t="s">
        <v>622</v>
      </c>
      <c r="G376" s="60" t="s">
        <v>96</v>
      </c>
      <c r="H376" s="88">
        <v>0.05921</v>
      </c>
      <c r="I376" s="49" t="s">
        <v>13018</v>
      </c>
      <c r="J376" s="49" t="s">
        <v>13019</v>
      </c>
      <c r="K376" s="44"/>
      <c r="L376" s="44"/>
    </row>
    <row r="377">
      <c r="A377" s="48" t="s">
        <v>4329</v>
      </c>
      <c r="B377" s="48"/>
      <c r="C377" s="64" t="s">
        <v>13020</v>
      </c>
      <c r="D377" s="48"/>
      <c r="E377" s="48" t="s">
        <v>6012</v>
      </c>
      <c r="F377" s="64" t="s">
        <v>622</v>
      </c>
      <c r="G377" s="60" t="s">
        <v>96</v>
      </c>
      <c r="H377" s="88">
        <v>0.05919</v>
      </c>
      <c r="I377" s="49" t="s">
        <v>13021</v>
      </c>
      <c r="J377" s="49" t="s">
        <v>13022</v>
      </c>
      <c r="K377" s="44"/>
      <c r="L377" s="44"/>
    </row>
    <row r="378">
      <c r="A378" s="48" t="s">
        <v>4340</v>
      </c>
      <c r="B378" s="48"/>
      <c r="C378" s="64" t="s">
        <v>13023</v>
      </c>
      <c r="D378" s="48"/>
      <c r="E378" s="48" t="s">
        <v>12777</v>
      </c>
      <c r="F378" s="64" t="s">
        <v>622</v>
      </c>
      <c r="G378" s="60" t="s">
        <v>96</v>
      </c>
      <c r="H378" s="88">
        <v>0.05899</v>
      </c>
      <c r="I378" s="49" t="s">
        <v>13024</v>
      </c>
      <c r="J378" s="49" t="s">
        <v>13025</v>
      </c>
      <c r="K378" s="44"/>
      <c r="L378" s="44"/>
    </row>
    <row r="379">
      <c r="A379" s="48" t="s">
        <v>9154</v>
      </c>
      <c r="B379" s="48"/>
      <c r="C379" s="64" t="s">
        <v>13026</v>
      </c>
      <c r="D379" s="48"/>
      <c r="E379" s="48" t="s">
        <v>12356</v>
      </c>
      <c r="F379" s="64" t="s">
        <v>629</v>
      </c>
      <c r="G379" s="60" t="s">
        <v>96</v>
      </c>
      <c r="H379" s="88">
        <v>0.0588</v>
      </c>
      <c r="I379" s="49" t="s">
        <v>13027</v>
      </c>
      <c r="J379" s="49" t="s">
        <v>13028</v>
      </c>
      <c r="K379" s="44"/>
      <c r="L379" s="44"/>
    </row>
    <row r="380">
      <c r="A380" s="48" t="s">
        <v>9111</v>
      </c>
      <c r="B380" s="48"/>
      <c r="C380" s="48" t="s">
        <v>9112</v>
      </c>
      <c r="D380" s="48"/>
      <c r="E380" s="48" t="s">
        <v>12777</v>
      </c>
      <c r="F380" s="64" t="s">
        <v>668</v>
      </c>
      <c r="G380" s="60" t="s">
        <v>96</v>
      </c>
      <c r="H380" s="88">
        <v>0.05844</v>
      </c>
      <c r="I380" s="49" t="s">
        <v>13029</v>
      </c>
      <c r="J380" s="49" t="s">
        <v>13030</v>
      </c>
      <c r="K380" s="44"/>
      <c r="L380" s="44"/>
    </row>
    <row r="381">
      <c r="A381" s="48" t="s">
        <v>9108</v>
      </c>
      <c r="B381" s="48"/>
      <c r="C381" s="48" t="s">
        <v>9109</v>
      </c>
      <c r="D381" s="48"/>
      <c r="E381" s="48" t="s">
        <v>12518</v>
      </c>
      <c r="F381" s="64" t="s">
        <v>11998</v>
      </c>
      <c r="G381" s="60" t="s">
        <v>96</v>
      </c>
      <c r="H381" s="88">
        <v>0.0579</v>
      </c>
      <c r="I381" s="49" t="s">
        <v>13031</v>
      </c>
      <c r="J381" s="49" t="s">
        <v>13032</v>
      </c>
      <c r="K381" s="44"/>
      <c r="L381" s="44"/>
    </row>
    <row r="382">
      <c r="A382" s="48" t="s">
        <v>9142</v>
      </c>
      <c r="B382" s="48"/>
      <c r="C382" s="48" t="s">
        <v>9143</v>
      </c>
      <c r="D382" s="48"/>
      <c r="E382" s="48" t="s">
        <v>9144</v>
      </c>
      <c r="F382" s="64" t="s">
        <v>645</v>
      </c>
      <c r="G382" s="60" t="s">
        <v>96</v>
      </c>
      <c r="H382" s="88">
        <v>0.05775</v>
      </c>
      <c r="I382" s="49" t="s">
        <v>13033</v>
      </c>
      <c r="J382" s="49" t="s">
        <v>13034</v>
      </c>
      <c r="K382" s="44"/>
      <c r="L382" s="44"/>
    </row>
    <row r="383">
      <c r="A383" s="48" t="s">
        <v>9207</v>
      </c>
      <c r="B383" s="48"/>
      <c r="C383" s="48" t="s">
        <v>9208</v>
      </c>
      <c r="D383" s="48"/>
      <c r="E383" s="48" t="s">
        <v>6012</v>
      </c>
      <c r="F383" s="64" t="s">
        <v>645</v>
      </c>
      <c r="G383" s="60" t="s">
        <v>96</v>
      </c>
      <c r="H383" s="88">
        <v>0.0577</v>
      </c>
      <c r="I383" s="49" t="s">
        <v>13035</v>
      </c>
      <c r="J383" s="49" t="s">
        <v>13036</v>
      </c>
      <c r="K383" s="44"/>
      <c r="L383" s="44"/>
    </row>
    <row r="384">
      <c r="A384" s="48" t="s">
        <v>9131</v>
      </c>
      <c r="B384" s="48"/>
      <c r="C384" s="64" t="s">
        <v>13037</v>
      </c>
      <c r="D384" s="48"/>
      <c r="E384" s="48" t="s">
        <v>12268</v>
      </c>
      <c r="F384" s="64" t="s">
        <v>629</v>
      </c>
      <c r="G384" s="60" t="s">
        <v>96</v>
      </c>
      <c r="H384" s="88">
        <v>0.05757</v>
      </c>
      <c r="I384" s="49" t="s">
        <v>13038</v>
      </c>
      <c r="J384" s="49" t="s">
        <v>13039</v>
      </c>
      <c r="K384" s="44"/>
      <c r="L384" s="44"/>
    </row>
    <row r="385">
      <c r="A385" s="48" t="s">
        <v>11364</v>
      </c>
      <c r="B385" s="48"/>
      <c r="C385" s="64" t="s">
        <v>13040</v>
      </c>
      <c r="D385" s="48"/>
      <c r="E385" s="48" t="s">
        <v>12964</v>
      </c>
      <c r="F385" s="64" t="s">
        <v>694</v>
      </c>
      <c r="G385" s="60" t="s">
        <v>96</v>
      </c>
      <c r="H385" s="88">
        <v>0.05742</v>
      </c>
      <c r="I385" s="49" t="s">
        <v>13041</v>
      </c>
      <c r="J385" s="49" t="s">
        <v>13042</v>
      </c>
      <c r="K385" s="44"/>
      <c r="L385" s="44"/>
    </row>
    <row r="386">
      <c r="A386" s="48" t="s">
        <v>4397</v>
      </c>
      <c r="B386" s="48"/>
      <c r="C386" s="64" t="s">
        <v>13043</v>
      </c>
      <c r="D386" s="48"/>
      <c r="E386" s="48" t="s">
        <v>11995</v>
      </c>
      <c r="F386" s="64" t="s">
        <v>622</v>
      </c>
      <c r="G386" s="60" t="s">
        <v>96</v>
      </c>
      <c r="H386" s="88">
        <v>0.05723</v>
      </c>
      <c r="I386" s="49" t="s">
        <v>13044</v>
      </c>
      <c r="J386" s="49" t="s">
        <v>13045</v>
      </c>
      <c r="K386" s="44"/>
      <c r="L386" s="44"/>
    </row>
    <row r="387">
      <c r="A387" s="48" t="s">
        <v>4337</v>
      </c>
      <c r="B387" s="48"/>
      <c r="C387" s="64" t="s">
        <v>13046</v>
      </c>
      <c r="D387" s="48"/>
      <c r="E387" s="48" t="s">
        <v>13047</v>
      </c>
      <c r="F387" s="64" t="s">
        <v>622</v>
      </c>
      <c r="G387" s="60" t="s">
        <v>96</v>
      </c>
      <c r="H387" s="88">
        <v>0.05722</v>
      </c>
      <c r="I387" s="49" t="s">
        <v>13048</v>
      </c>
      <c r="J387" s="49" t="s">
        <v>13049</v>
      </c>
      <c r="K387" s="44"/>
      <c r="L387" s="44"/>
    </row>
    <row r="388">
      <c r="A388" s="48" t="s">
        <v>4351</v>
      </c>
      <c r="B388" s="48"/>
      <c r="C388" s="64" t="s">
        <v>13050</v>
      </c>
      <c r="D388" s="48"/>
      <c r="E388" s="48" t="s">
        <v>5288</v>
      </c>
      <c r="F388" s="64" t="s">
        <v>622</v>
      </c>
      <c r="G388" s="60" t="s">
        <v>96</v>
      </c>
      <c r="H388" s="88">
        <v>0.05703</v>
      </c>
      <c r="I388" s="49" t="s">
        <v>13051</v>
      </c>
      <c r="J388" s="49" t="s">
        <v>13052</v>
      </c>
      <c r="K388" s="44"/>
      <c r="L388" s="44"/>
    </row>
    <row r="389">
      <c r="A389" s="48" t="s">
        <v>9094</v>
      </c>
      <c r="B389" s="48"/>
      <c r="C389" s="48" t="s">
        <v>9095</v>
      </c>
      <c r="D389" s="48"/>
      <c r="E389" s="48" t="s">
        <v>5650</v>
      </c>
      <c r="F389" s="64" t="s">
        <v>639</v>
      </c>
      <c r="G389" s="60" t="s">
        <v>96</v>
      </c>
      <c r="H389" s="88">
        <v>0.05682</v>
      </c>
      <c r="I389" s="49" t="s">
        <v>13053</v>
      </c>
      <c r="J389" s="49" t="s">
        <v>13054</v>
      </c>
      <c r="K389" s="44"/>
      <c r="L389" s="44"/>
    </row>
    <row r="390">
      <c r="A390" s="48" t="s">
        <v>11349</v>
      </c>
      <c r="B390" s="48"/>
      <c r="C390" s="48" t="s">
        <v>11350</v>
      </c>
      <c r="D390" s="48"/>
      <c r="E390" s="48" t="s">
        <v>11936</v>
      </c>
      <c r="F390" s="64" t="s">
        <v>1352</v>
      </c>
      <c r="G390" s="60" t="s">
        <v>96</v>
      </c>
      <c r="H390" s="88">
        <v>0.0566</v>
      </c>
      <c r="I390" s="49" t="s">
        <v>13055</v>
      </c>
      <c r="J390" s="49" t="s">
        <v>13056</v>
      </c>
      <c r="K390" s="44"/>
      <c r="L390" s="44"/>
    </row>
    <row r="391">
      <c r="A391" s="48" t="s">
        <v>4372</v>
      </c>
      <c r="B391" s="48"/>
      <c r="C391" s="64" t="s">
        <v>13057</v>
      </c>
      <c r="D391" s="48"/>
      <c r="E391" s="48" t="s">
        <v>12025</v>
      </c>
      <c r="F391" s="64" t="s">
        <v>622</v>
      </c>
      <c r="G391" s="60" t="s">
        <v>96</v>
      </c>
      <c r="H391" s="88">
        <v>0.05655</v>
      </c>
      <c r="I391" s="49" t="s">
        <v>13058</v>
      </c>
      <c r="J391" s="49" t="s">
        <v>13059</v>
      </c>
      <c r="K391" s="44"/>
      <c r="L391" s="44"/>
    </row>
    <row r="392">
      <c r="A392" s="48" t="s">
        <v>4286</v>
      </c>
      <c r="B392" s="48"/>
      <c r="C392" s="64" t="s">
        <v>13060</v>
      </c>
      <c r="D392" s="48"/>
      <c r="E392" s="48" t="s">
        <v>12329</v>
      </c>
      <c r="F392" s="64" t="s">
        <v>622</v>
      </c>
      <c r="G392" s="60" t="s">
        <v>96</v>
      </c>
      <c r="H392" s="88">
        <v>0.05649</v>
      </c>
      <c r="I392" s="49" t="s">
        <v>13061</v>
      </c>
      <c r="J392" s="49" t="s">
        <v>13062</v>
      </c>
      <c r="K392" s="44"/>
      <c r="L392" s="44"/>
    </row>
    <row r="393">
      <c r="A393" s="48" t="s">
        <v>4328</v>
      </c>
      <c r="B393" s="48"/>
      <c r="C393" s="64" t="s">
        <v>13063</v>
      </c>
      <c r="D393" s="48"/>
      <c r="E393" s="48" t="s">
        <v>12518</v>
      </c>
      <c r="F393" s="64" t="s">
        <v>622</v>
      </c>
      <c r="G393" s="60" t="s">
        <v>96</v>
      </c>
      <c r="H393" s="88">
        <v>0.05636</v>
      </c>
      <c r="I393" s="49" t="s">
        <v>13064</v>
      </c>
      <c r="J393" s="49" t="s">
        <v>13065</v>
      </c>
      <c r="K393" s="44"/>
      <c r="L393" s="44"/>
    </row>
    <row r="394">
      <c r="A394" s="48" t="s">
        <v>9157</v>
      </c>
      <c r="B394" s="48"/>
      <c r="C394" s="48" t="s">
        <v>9158</v>
      </c>
      <c r="D394" s="48"/>
      <c r="E394" s="48" t="s">
        <v>11942</v>
      </c>
      <c r="F394" s="64" t="s">
        <v>11998</v>
      </c>
      <c r="G394" s="60" t="s">
        <v>96</v>
      </c>
      <c r="H394" s="88">
        <v>0.05622</v>
      </c>
      <c r="I394" s="49" t="s">
        <v>13066</v>
      </c>
      <c r="J394" s="49" t="s">
        <v>13067</v>
      </c>
      <c r="K394" s="44"/>
      <c r="L394" s="44"/>
    </row>
    <row r="395">
      <c r="A395" s="48" t="s">
        <v>4280</v>
      </c>
      <c r="B395" s="48"/>
      <c r="C395" s="64" t="s">
        <v>13068</v>
      </c>
      <c r="D395" s="48"/>
      <c r="E395" s="48" t="s">
        <v>13069</v>
      </c>
      <c r="F395" s="64" t="s">
        <v>622</v>
      </c>
      <c r="G395" s="60" t="s">
        <v>96</v>
      </c>
      <c r="H395" s="88">
        <v>0.05607</v>
      </c>
      <c r="I395" s="49" t="s">
        <v>13070</v>
      </c>
      <c r="J395" s="49" t="s">
        <v>13071</v>
      </c>
      <c r="K395" s="44"/>
      <c r="L395" s="44"/>
    </row>
    <row r="396">
      <c r="A396" s="48" t="s">
        <v>9159</v>
      </c>
      <c r="B396" s="48"/>
      <c r="C396" s="48" t="s">
        <v>9160</v>
      </c>
      <c r="D396" s="48"/>
      <c r="E396" s="48" t="s">
        <v>12437</v>
      </c>
      <c r="F396" s="64" t="s">
        <v>668</v>
      </c>
      <c r="G396" s="60" t="s">
        <v>96</v>
      </c>
      <c r="H396" s="88">
        <v>0.05605</v>
      </c>
      <c r="I396" s="49" t="s">
        <v>13072</v>
      </c>
      <c r="J396" s="49" t="s">
        <v>13073</v>
      </c>
      <c r="K396" s="44"/>
      <c r="L396" s="44"/>
    </row>
    <row r="397">
      <c r="A397" s="48" t="s">
        <v>4319</v>
      </c>
      <c r="B397" s="48"/>
      <c r="C397" s="64" t="s">
        <v>13074</v>
      </c>
      <c r="D397" s="48"/>
      <c r="E397" s="48" t="s">
        <v>12182</v>
      </c>
      <c r="F397" s="64" t="s">
        <v>622</v>
      </c>
      <c r="G397" s="60" t="s">
        <v>96</v>
      </c>
      <c r="H397" s="88">
        <v>0.05547</v>
      </c>
      <c r="I397" s="49" t="s">
        <v>13075</v>
      </c>
      <c r="J397" s="49" t="s">
        <v>13076</v>
      </c>
      <c r="K397" s="44"/>
      <c r="L397" s="44"/>
    </row>
    <row r="398">
      <c r="A398" s="48" t="s">
        <v>4358</v>
      </c>
      <c r="B398" s="48"/>
      <c r="C398" s="64" t="s">
        <v>13077</v>
      </c>
      <c r="D398" s="48"/>
      <c r="E398" s="48" t="s">
        <v>12046</v>
      </c>
      <c r="F398" s="64" t="s">
        <v>622</v>
      </c>
      <c r="G398" s="60" t="s">
        <v>96</v>
      </c>
      <c r="H398" s="88">
        <v>0.05547</v>
      </c>
      <c r="I398" s="49" t="s">
        <v>13078</v>
      </c>
      <c r="J398" s="49" t="s">
        <v>13079</v>
      </c>
      <c r="K398" s="44"/>
      <c r="L398" s="44"/>
    </row>
    <row r="399">
      <c r="A399" s="48" t="s">
        <v>9199</v>
      </c>
      <c r="B399" s="48"/>
      <c r="C399" s="64" t="s">
        <v>13080</v>
      </c>
      <c r="D399" s="48"/>
      <c r="E399" s="48" t="s">
        <v>5218</v>
      </c>
      <c r="F399" s="64" t="s">
        <v>629</v>
      </c>
      <c r="G399" s="60" t="s">
        <v>96</v>
      </c>
      <c r="H399" s="88">
        <v>0.05537</v>
      </c>
      <c r="I399" s="49" t="s">
        <v>13081</v>
      </c>
      <c r="J399" s="49" t="s">
        <v>13082</v>
      </c>
      <c r="K399" s="44"/>
      <c r="L399" s="44"/>
    </row>
    <row r="400">
      <c r="A400" s="48" t="s">
        <v>4298</v>
      </c>
      <c r="B400" s="48"/>
      <c r="C400" s="64" t="s">
        <v>13083</v>
      </c>
      <c r="D400" s="48"/>
      <c r="E400" s="48" t="s">
        <v>12163</v>
      </c>
      <c r="F400" s="64" t="s">
        <v>622</v>
      </c>
      <c r="G400" s="60" t="s">
        <v>96</v>
      </c>
      <c r="H400" s="88">
        <v>0.05534</v>
      </c>
      <c r="I400" s="49" t="s">
        <v>13084</v>
      </c>
      <c r="J400" s="49" t="s">
        <v>13085</v>
      </c>
      <c r="K400" s="44"/>
      <c r="L400" s="44"/>
    </row>
    <row r="401">
      <c r="A401" s="48" t="s">
        <v>9054</v>
      </c>
      <c r="B401" s="48"/>
      <c r="C401" s="64" t="s">
        <v>13086</v>
      </c>
      <c r="D401" s="48"/>
      <c r="E401" s="48" t="s">
        <v>12205</v>
      </c>
      <c r="F401" s="64" t="s">
        <v>622</v>
      </c>
      <c r="G401" s="60" t="s">
        <v>96</v>
      </c>
      <c r="H401" s="88">
        <v>0.05531</v>
      </c>
      <c r="I401" s="49" t="s">
        <v>13087</v>
      </c>
      <c r="J401" s="49" t="s">
        <v>13088</v>
      </c>
      <c r="K401" s="44"/>
      <c r="L401" s="44"/>
    </row>
    <row r="402">
      <c r="A402" s="48" t="s">
        <v>6604</v>
      </c>
      <c r="B402" s="48"/>
      <c r="C402" s="48" t="s">
        <v>11376</v>
      </c>
      <c r="D402" s="48"/>
      <c r="E402" s="48" t="s">
        <v>12004</v>
      </c>
      <c r="F402" s="64" t="s">
        <v>639</v>
      </c>
      <c r="G402" s="60" t="s">
        <v>96</v>
      </c>
      <c r="H402" s="88">
        <v>0.05516</v>
      </c>
      <c r="I402" s="49" t="s">
        <v>13089</v>
      </c>
      <c r="J402" s="49" t="s">
        <v>13090</v>
      </c>
      <c r="K402" s="44"/>
      <c r="L402" s="44"/>
    </row>
    <row r="403">
      <c r="A403" s="48" t="s">
        <v>4327</v>
      </c>
      <c r="B403" s="48"/>
      <c r="C403" s="64" t="s">
        <v>13091</v>
      </c>
      <c r="D403" s="48"/>
      <c r="E403" s="48" t="s">
        <v>12123</v>
      </c>
      <c r="F403" s="64" t="s">
        <v>622</v>
      </c>
      <c r="G403" s="60" t="s">
        <v>96</v>
      </c>
      <c r="H403" s="88">
        <v>0.05508</v>
      </c>
      <c r="I403" s="49" t="s">
        <v>13092</v>
      </c>
      <c r="J403" s="49" t="s">
        <v>13093</v>
      </c>
      <c r="K403" s="44"/>
      <c r="L403" s="44"/>
    </row>
    <row r="404">
      <c r="A404" s="48" t="s">
        <v>9106</v>
      </c>
      <c r="B404" s="48"/>
      <c r="C404" s="64" t="s">
        <v>13094</v>
      </c>
      <c r="D404" s="48"/>
      <c r="E404" s="48" t="s">
        <v>11903</v>
      </c>
      <c r="F404" s="64" t="s">
        <v>622</v>
      </c>
      <c r="G404" s="60" t="s">
        <v>96</v>
      </c>
      <c r="H404" s="88">
        <v>0.05501</v>
      </c>
      <c r="I404" s="49" t="s">
        <v>13095</v>
      </c>
      <c r="J404" s="49" t="s">
        <v>13096</v>
      </c>
      <c r="K404" s="44"/>
      <c r="L404" s="44"/>
    </row>
    <row r="405">
      <c r="A405" s="48" t="s">
        <v>4384</v>
      </c>
      <c r="B405" s="48"/>
      <c r="C405" s="64" t="s">
        <v>13097</v>
      </c>
      <c r="D405" s="48"/>
      <c r="E405" s="48" t="s">
        <v>12220</v>
      </c>
      <c r="F405" s="64" t="s">
        <v>622</v>
      </c>
      <c r="G405" s="60" t="s">
        <v>96</v>
      </c>
      <c r="H405" s="88">
        <v>0.05501</v>
      </c>
      <c r="I405" s="49" t="s">
        <v>13098</v>
      </c>
      <c r="J405" s="49" t="s">
        <v>13099</v>
      </c>
      <c r="K405" s="44"/>
      <c r="L405" s="44"/>
    </row>
    <row r="406">
      <c r="A406" s="48" t="s">
        <v>4346</v>
      </c>
      <c r="B406" s="48"/>
      <c r="C406" s="64" t="s">
        <v>13100</v>
      </c>
      <c r="D406" s="48"/>
      <c r="E406" s="48" t="s">
        <v>12283</v>
      </c>
      <c r="F406" s="64" t="s">
        <v>622</v>
      </c>
      <c r="G406" s="60" t="s">
        <v>96</v>
      </c>
      <c r="H406" s="88">
        <v>0.05485</v>
      </c>
      <c r="I406" s="49" t="s">
        <v>13101</v>
      </c>
      <c r="J406" s="49" t="s">
        <v>13102</v>
      </c>
      <c r="K406" s="44"/>
      <c r="L406" s="44"/>
    </row>
    <row r="407">
      <c r="A407" s="48" t="s">
        <v>9192</v>
      </c>
      <c r="B407" s="48"/>
      <c r="C407" s="48" t="s">
        <v>9193</v>
      </c>
      <c r="D407" s="48"/>
      <c r="E407" s="48" t="s">
        <v>13103</v>
      </c>
      <c r="F407" s="64" t="s">
        <v>883</v>
      </c>
      <c r="G407" s="60" t="s">
        <v>96</v>
      </c>
      <c r="H407" s="88">
        <v>0.05464</v>
      </c>
      <c r="I407" s="49" t="s">
        <v>13104</v>
      </c>
      <c r="J407" s="49" t="s">
        <v>13105</v>
      </c>
      <c r="K407" s="44"/>
      <c r="L407" s="44"/>
    </row>
    <row r="408">
      <c r="A408" s="48" t="s">
        <v>9169</v>
      </c>
      <c r="B408" s="48"/>
      <c r="C408" s="64" t="s">
        <v>13106</v>
      </c>
      <c r="D408" s="48"/>
      <c r="E408" s="48" t="s">
        <v>12964</v>
      </c>
      <c r="F408" s="64" t="s">
        <v>694</v>
      </c>
      <c r="G408" s="60" t="s">
        <v>96</v>
      </c>
      <c r="H408" s="88">
        <v>0.05451</v>
      </c>
      <c r="I408" s="49" t="s">
        <v>13107</v>
      </c>
      <c r="J408" s="49" t="s">
        <v>13108</v>
      </c>
      <c r="K408" s="44"/>
      <c r="L408" s="44"/>
    </row>
    <row r="409">
      <c r="A409" s="48" t="s">
        <v>9138</v>
      </c>
      <c r="B409" s="48"/>
      <c r="C409" s="64" t="s">
        <v>13109</v>
      </c>
      <c r="D409" s="48"/>
      <c r="E409" s="48" t="s">
        <v>12163</v>
      </c>
      <c r="F409" s="64" t="s">
        <v>694</v>
      </c>
      <c r="G409" s="60" t="s">
        <v>96</v>
      </c>
      <c r="H409" s="88">
        <v>0.05442</v>
      </c>
      <c r="I409" s="49" t="s">
        <v>13110</v>
      </c>
      <c r="J409" s="49" t="s">
        <v>13111</v>
      </c>
      <c r="K409" s="44"/>
      <c r="L409" s="44"/>
    </row>
    <row r="410">
      <c r="A410" s="48" t="s">
        <v>11369</v>
      </c>
      <c r="B410" s="48"/>
      <c r="C410" s="48" t="s">
        <v>11370</v>
      </c>
      <c r="D410" s="48"/>
      <c r="E410" s="48" t="s">
        <v>12031</v>
      </c>
      <c r="F410" s="64" t="s">
        <v>639</v>
      </c>
      <c r="G410" s="60" t="s">
        <v>96</v>
      </c>
      <c r="H410" s="88">
        <v>0.05442</v>
      </c>
      <c r="I410" s="49" t="s">
        <v>13112</v>
      </c>
      <c r="J410" s="49" t="s">
        <v>13113</v>
      </c>
      <c r="K410" s="44"/>
      <c r="L410" s="44"/>
    </row>
    <row r="411">
      <c r="A411" s="48" t="s">
        <v>4367</v>
      </c>
      <c r="B411" s="48"/>
      <c r="C411" s="64" t="s">
        <v>13114</v>
      </c>
      <c r="D411" s="48"/>
      <c r="E411" s="48" t="s">
        <v>12004</v>
      </c>
      <c r="F411" s="64" t="s">
        <v>622</v>
      </c>
      <c r="G411" s="60" t="s">
        <v>96</v>
      </c>
      <c r="H411" s="88">
        <v>0.05424</v>
      </c>
      <c r="I411" s="49" t="s">
        <v>13115</v>
      </c>
      <c r="J411" s="49" t="s">
        <v>13116</v>
      </c>
      <c r="K411" s="44"/>
      <c r="L411" s="44"/>
    </row>
    <row r="412">
      <c r="A412" s="48" t="s">
        <v>4363</v>
      </c>
      <c r="B412" s="48"/>
      <c r="C412" s="64" t="s">
        <v>13117</v>
      </c>
      <c r="D412" s="48"/>
      <c r="E412" s="48" t="s">
        <v>11959</v>
      </c>
      <c r="F412" s="64" t="s">
        <v>622</v>
      </c>
      <c r="G412" s="60" t="s">
        <v>96</v>
      </c>
      <c r="H412" s="88">
        <v>0.05363</v>
      </c>
      <c r="I412" s="49" t="s">
        <v>13118</v>
      </c>
      <c r="J412" s="49" t="s">
        <v>13119</v>
      </c>
      <c r="K412" s="44"/>
      <c r="L412" s="44"/>
    </row>
    <row r="413">
      <c r="A413" s="48" t="s">
        <v>4371</v>
      </c>
      <c r="B413" s="48"/>
      <c r="C413" s="64" t="s">
        <v>13120</v>
      </c>
      <c r="D413" s="48"/>
      <c r="E413" s="48" t="s">
        <v>5288</v>
      </c>
      <c r="F413" s="64" t="s">
        <v>622</v>
      </c>
      <c r="G413" s="60" t="s">
        <v>96</v>
      </c>
      <c r="H413" s="88">
        <v>0.05286</v>
      </c>
      <c r="I413" s="49" t="s">
        <v>13121</v>
      </c>
      <c r="J413" s="49" t="s">
        <v>13122</v>
      </c>
      <c r="K413" s="44"/>
      <c r="L413" s="44"/>
    </row>
    <row r="414">
      <c r="A414" s="48" t="s">
        <v>4293</v>
      </c>
      <c r="B414" s="48"/>
      <c r="C414" s="64" t="s">
        <v>13123</v>
      </c>
      <c r="D414" s="48"/>
      <c r="E414" s="48" t="s">
        <v>12078</v>
      </c>
      <c r="F414" s="64" t="s">
        <v>622</v>
      </c>
      <c r="G414" s="60" t="s">
        <v>96</v>
      </c>
      <c r="H414" s="88">
        <v>0.05276</v>
      </c>
      <c r="I414" s="49" t="s">
        <v>13124</v>
      </c>
      <c r="J414" s="49" t="s">
        <v>13125</v>
      </c>
      <c r="K414" s="44"/>
      <c r="L414" s="44"/>
    </row>
    <row r="415">
      <c r="A415" s="48" t="s">
        <v>4420</v>
      </c>
      <c r="B415" s="48"/>
      <c r="C415" s="48" t="s">
        <v>9243</v>
      </c>
      <c r="D415" s="48"/>
      <c r="E415" s="48" t="s">
        <v>12196</v>
      </c>
      <c r="F415" s="64" t="s">
        <v>622</v>
      </c>
      <c r="G415" s="60" t="s">
        <v>96</v>
      </c>
      <c r="H415" s="88">
        <v>0.05274</v>
      </c>
      <c r="I415" s="49" t="s">
        <v>13126</v>
      </c>
      <c r="J415" s="49" t="s">
        <v>13127</v>
      </c>
      <c r="K415" s="44"/>
      <c r="L415" s="44"/>
    </row>
    <row r="416">
      <c r="A416" s="48" t="s">
        <v>4349</v>
      </c>
      <c r="B416" s="48"/>
      <c r="C416" s="64" t="s">
        <v>13128</v>
      </c>
      <c r="D416" s="48"/>
      <c r="E416" s="48" t="s">
        <v>12918</v>
      </c>
      <c r="F416" s="64" t="s">
        <v>622</v>
      </c>
      <c r="G416" s="60" t="s">
        <v>96</v>
      </c>
      <c r="H416" s="88">
        <v>0.05271</v>
      </c>
      <c r="I416" s="49" t="s">
        <v>13129</v>
      </c>
      <c r="J416" s="49" t="s">
        <v>13130</v>
      </c>
      <c r="K416" s="44"/>
      <c r="L416" s="44"/>
    </row>
    <row r="417">
      <c r="A417" s="48" t="s">
        <v>4357</v>
      </c>
      <c r="B417" s="48"/>
      <c r="C417" s="64" t="s">
        <v>13131</v>
      </c>
      <c r="D417" s="48"/>
      <c r="E417" s="48" t="s">
        <v>12031</v>
      </c>
      <c r="F417" s="64" t="s">
        <v>622</v>
      </c>
      <c r="G417" s="60" t="s">
        <v>96</v>
      </c>
      <c r="H417" s="88">
        <v>0.05238</v>
      </c>
      <c r="I417" s="49" t="s">
        <v>13132</v>
      </c>
      <c r="J417" s="49" t="s">
        <v>13133</v>
      </c>
      <c r="K417" s="44"/>
      <c r="L417" s="44"/>
    </row>
    <row r="418">
      <c r="A418" s="48" t="s">
        <v>9214</v>
      </c>
      <c r="B418" s="48"/>
      <c r="C418" s="64" t="s">
        <v>13134</v>
      </c>
      <c r="D418" s="48"/>
      <c r="E418" s="48" t="s">
        <v>5478</v>
      </c>
      <c r="F418" s="64" t="s">
        <v>622</v>
      </c>
      <c r="G418" s="60" t="s">
        <v>96</v>
      </c>
      <c r="H418" s="88">
        <v>0.05231</v>
      </c>
      <c r="I418" s="49" t="s">
        <v>13135</v>
      </c>
      <c r="J418" s="49" t="s">
        <v>13136</v>
      </c>
      <c r="K418" s="44"/>
      <c r="L418" s="44"/>
    </row>
    <row r="419">
      <c r="A419" s="48" t="s">
        <v>4277</v>
      </c>
      <c r="B419" s="48"/>
      <c r="C419" s="64" t="s">
        <v>13137</v>
      </c>
      <c r="D419" s="48"/>
      <c r="E419" s="48" t="s">
        <v>12413</v>
      </c>
      <c r="F419" s="64" t="s">
        <v>622</v>
      </c>
      <c r="G419" s="60" t="s">
        <v>96</v>
      </c>
      <c r="H419" s="88">
        <v>0.05223</v>
      </c>
      <c r="I419" s="49" t="s">
        <v>13138</v>
      </c>
      <c r="J419" s="49" t="s">
        <v>13139</v>
      </c>
      <c r="K419" s="44"/>
      <c r="L419" s="44"/>
    </row>
    <row r="420">
      <c r="A420" s="48" t="s">
        <v>11359</v>
      </c>
      <c r="B420" s="48"/>
      <c r="C420" s="48" t="s">
        <v>13140</v>
      </c>
      <c r="D420" s="48"/>
      <c r="E420" s="48" t="s">
        <v>12182</v>
      </c>
      <c r="F420" s="64" t="s">
        <v>1740</v>
      </c>
      <c r="G420" s="60" t="s">
        <v>96</v>
      </c>
      <c r="H420" s="88">
        <v>0.0521</v>
      </c>
      <c r="I420" s="49" t="s">
        <v>13141</v>
      </c>
      <c r="J420" s="49" t="s">
        <v>13142</v>
      </c>
      <c r="K420" s="44"/>
      <c r="L420" s="44"/>
    </row>
    <row r="421">
      <c r="A421" s="48" t="s">
        <v>11372</v>
      </c>
      <c r="B421" s="48"/>
      <c r="C421" s="48" t="s">
        <v>13143</v>
      </c>
      <c r="D421" s="48"/>
      <c r="E421" s="48" t="s">
        <v>5288</v>
      </c>
      <c r="F421" s="64" t="s">
        <v>649</v>
      </c>
      <c r="G421" s="60" t="s">
        <v>96</v>
      </c>
      <c r="H421" s="88">
        <v>0.05206</v>
      </c>
      <c r="I421" s="49" t="s">
        <v>13144</v>
      </c>
      <c r="J421" s="49" t="s">
        <v>13145</v>
      </c>
      <c r="K421" s="44"/>
      <c r="L421" s="44"/>
    </row>
    <row r="422">
      <c r="A422" s="48" t="s">
        <v>4379</v>
      </c>
      <c r="B422" s="48"/>
      <c r="C422" s="64" t="s">
        <v>13146</v>
      </c>
      <c r="D422" s="48"/>
      <c r="E422" s="48" t="s">
        <v>13147</v>
      </c>
      <c r="F422" s="64" t="s">
        <v>622</v>
      </c>
      <c r="G422" s="60" t="s">
        <v>96</v>
      </c>
      <c r="H422" s="88">
        <v>0.05204</v>
      </c>
      <c r="I422" s="49" t="s">
        <v>13148</v>
      </c>
      <c r="J422" s="49" t="s">
        <v>13149</v>
      </c>
      <c r="K422" s="44"/>
      <c r="L422" s="44"/>
    </row>
    <row r="423">
      <c r="A423" s="48" t="s">
        <v>11357</v>
      </c>
      <c r="B423" s="48"/>
      <c r="C423" s="48" t="s">
        <v>11358</v>
      </c>
      <c r="D423" s="48"/>
      <c r="E423" s="48" t="s">
        <v>12559</v>
      </c>
      <c r="F423" s="64" t="s">
        <v>639</v>
      </c>
      <c r="G423" s="60" t="s">
        <v>96</v>
      </c>
      <c r="H423" s="88">
        <v>0.052</v>
      </c>
      <c r="I423" s="49" t="s">
        <v>13150</v>
      </c>
      <c r="J423" s="49" t="s">
        <v>13151</v>
      </c>
      <c r="K423" s="44"/>
      <c r="L423" s="44"/>
    </row>
    <row r="424">
      <c r="A424" s="48" t="s">
        <v>9136</v>
      </c>
      <c r="B424" s="48"/>
      <c r="C424" s="48" t="s">
        <v>9137</v>
      </c>
      <c r="D424" s="48"/>
      <c r="E424" s="48" t="s">
        <v>12518</v>
      </c>
      <c r="F424" s="64" t="s">
        <v>11998</v>
      </c>
      <c r="G424" s="60" t="s">
        <v>96</v>
      </c>
      <c r="H424" s="88">
        <v>0.05146</v>
      </c>
      <c r="I424" s="49" t="s">
        <v>13152</v>
      </c>
      <c r="J424" s="49" t="s">
        <v>13153</v>
      </c>
      <c r="K424" s="44"/>
      <c r="L424" s="44"/>
    </row>
    <row r="425">
      <c r="A425" s="48" t="s">
        <v>11384</v>
      </c>
      <c r="B425" s="48"/>
      <c r="C425" s="48" t="s">
        <v>13154</v>
      </c>
      <c r="D425" s="48"/>
      <c r="E425" s="48" t="s">
        <v>13155</v>
      </c>
      <c r="F425" s="64" t="s">
        <v>649</v>
      </c>
      <c r="G425" s="60" t="s">
        <v>96</v>
      </c>
      <c r="H425" s="88">
        <v>0.05145</v>
      </c>
      <c r="I425" s="49" t="s">
        <v>13156</v>
      </c>
      <c r="J425" s="49" t="s">
        <v>13157</v>
      </c>
      <c r="K425" s="44"/>
      <c r="L425" s="44"/>
    </row>
    <row r="426">
      <c r="A426" s="48" t="s">
        <v>9203</v>
      </c>
      <c r="B426" s="48"/>
      <c r="C426" s="64" t="s">
        <v>13158</v>
      </c>
      <c r="D426" s="48"/>
      <c r="E426" s="48" t="s">
        <v>12004</v>
      </c>
      <c r="F426" s="64" t="s">
        <v>622</v>
      </c>
      <c r="G426" s="60" t="s">
        <v>96</v>
      </c>
      <c r="H426" s="88">
        <v>0.05136</v>
      </c>
      <c r="I426" s="49" t="s">
        <v>13159</v>
      </c>
      <c r="J426" s="49" t="s">
        <v>13160</v>
      </c>
      <c r="K426" s="44"/>
      <c r="L426" s="44"/>
    </row>
    <row r="427">
      <c r="A427" s="48" t="s">
        <v>4385</v>
      </c>
      <c r="B427" s="48"/>
      <c r="C427" s="64" t="s">
        <v>13161</v>
      </c>
      <c r="D427" s="48"/>
      <c r="E427" s="48" t="s">
        <v>12046</v>
      </c>
      <c r="F427" s="64" t="s">
        <v>622</v>
      </c>
      <c r="G427" s="60" t="s">
        <v>96</v>
      </c>
      <c r="H427" s="88">
        <v>0.05134</v>
      </c>
      <c r="I427" s="49" t="s">
        <v>13162</v>
      </c>
      <c r="J427" s="49" t="s">
        <v>13163</v>
      </c>
      <c r="K427" s="44"/>
      <c r="L427" s="44"/>
    </row>
    <row r="428">
      <c r="A428" s="48" t="s">
        <v>9025</v>
      </c>
      <c r="B428" s="48"/>
      <c r="C428" s="48" t="s">
        <v>13164</v>
      </c>
      <c r="D428" s="48"/>
      <c r="E428" s="48" t="s">
        <v>5296</v>
      </c>
      <c r="F428" s="64" t="s">
        <v>622</v>
      </c>
      <c r="G428" s="60" t="s">
        <v>96</v>
      </c>
      <c r="H428" s="88">
        <v>0.05133</v>
      </c>
      <c r="I428" s="49" t="s">
        <v>13165</v>
      </c>
      <c r="J428" s="49" t="s">
        <v>13166</v>
      </c>
      <c r="K428" s="44"/>
      <c r="L428" s="44"/>
    </row>
    <row r="429">
      <c r="A429" s="48" t="s">
        <v>9113</v>
      </c>
      <c r="B429" s="48"/>
      <c r="C429" s="64" t="s">
        <v>13167</v>
      </c>
      <c r="D429" s="48"/>
      <c r="E429" s="48" t="s">
        <v>12787</v>
      </c>
      <c r="F429" s="64" t="s">
        <v>694</v>
      </c>
      <c r="G429" s="60" t="s">
        <v>96</v>
      </c>
      <c r="H429" s="88">
        <v>0.05115</v>
      </c>
      <c r="I429" s="49" t="s">
        <v>13168</v>
      </c>
      <c r="J429" s="49" t="s">
        <v>13169</v>
      </c>
      <c r="K429" s="44"/>
      <c r="L429" s="44"/>
    </row>
    <row r="430">
      <c r="A430" s="48" t="s">
        <v>9152</v>
      </c>
      <c r="B430" s="48"/>
      <c r="C430" s="64" t="s">
        <v>13170</v>
      </c>
      <c r="D430" s="48"/>
      <c r="E430" s="48" t="s">
        <v>13171</v>
      </c>
      <c r="F430" s="64" t="s">
        <v>629</v>
      </c>
      <c r="G430" s="60" t="s">
        <v>96</v>
      </c>
      <c r="H430" s="88">
        <v>0.05104</v>
      </c>
      <c r="I430" s="49" t="s">
        <v>13172</v>
      </c>
      <c r="J430" s="49" t="s">
        <v>13173</v>
      </c>
      <c r="K430" s="44"/>
      <c r="L430" s="44"/>
    </row>
    <row r="431">
      <c r="A431" s="48" t="s">
        <v>4336</v>
      </c>
      <c r="B431" s="48"/>
      <c r="C431" s="64" t="s">
        <v>13174</v>
      </c>
      <c r="D431" s="48"/>
      <c r="E431" s="48" t="s">
        <v>11946</v>
      </c>
      <c r="F431" s="64" t="s">
        <v>622</v>
      </c>
      <c r="G431" s="60" t="s">
        <v>96</v>
      </c>
      <c r="H431" s="88">
        <v>0.0508</v>
      </c>
      <c r="I431" s="49" t="s">
        <v>13175</v>
      </c>
      <c r="J431" s="49" t="s">
        <v>13176</v>
      </c>
      <c r="K431" s="44"/>
      <c r="L431" s="44"/>
    </row>
    <row r="432">
      <c r="A432" s="48" t="s">
        <v>4412</v>
      </c>
      <c r="B432" s="48"/>
      <c r="C432" s="64" t="s">
        <v>13177</v>
      </c>
      <c r="D432" s="48"/>
      <c r="E432" s="48" t="s">
        <v>12356</v>
      </c>
      <c r="F432" s="64" t="s">
        <v>622</v>
      </c>
      <c r="G432" s="60" t="s">
        <v>96</v>
      </c>
      <c r="H432" s="88">
        <v>0.05072</v>
      </c>
      <c r="I432" s="49" t="s">
        <v>13178</v>
      </c>
      <c r="J432" s="49" t="s">
        <v>13179</v>
      </c>
      <c r="K432" s="44"/>
      <c r="L432" s="44"/>
    </row>
    <row r="433">
      <c r="A433" s="48" t="s">
        <v>5680</v>
      </c>
      <c r="B433" s="48"/>
      <c r="C433" s="64" t="s">
        <v>13180</v>
      </c>
      <c r="D433" s="48"/>
      <c r="E433" s="48" t="s">
        <v>12485</v>
      </c>
      <c r="F433" s="64" t="s">
        <v>622</v>
      </c>
      <c r="G433" s="60" t="s">
        <v>96</v>
      </c>
      <c r="H433" s="88">
        <v>0.05047</v>
      </c>
      <c r="I433" s="49" t="s">
        <v>13181</v>
      </c>
      <c r="J433" s="49" t="s">
        <v>13182</v>
      </c>
      <c r="K433" s="44"/>
      <c r="L433" s="44"/>
    </row>
    <row r="434">
      <c r="A434" s="48" t="s">
        <v>4403</v>
      </c>
      <c r="B434" s="48"/>
      <c r="C434" s="64" t="s">
        <v>13183</v>
      </c>
      <c r="D434" s="48"/>
      <c r="E434" s="48" t="s">
        <v>11899</v>
      </c>
      <c r="F434" s="64" t="s">
        <v>622</v>
      </c>
      <c r="G434" s="60" t="s">
        <v>96</v>
      </c>
      <c r="H434" s="88">
        <v>0.05025</v>
      </c>
      <c r="I434" s="49" t="s">
        <v>13184</v>
      </c>
      <c r="J434" s="49" t="s">
        <v>13185</v>
      </c>
      <c r="K434" s="44"/>
      <c r="L434" s="44"/>
    </row>
    <row r="435">
      <c r="A435" s="48" t="s">
        <v>11380</v>
      </c>
      <c r="B435" s="48"/>
      <c r="C435" s="64" t="s">
        <v>13186</v>
      </c>
      <c r="D435" s="48"/>
      <c r="E435" s="48" t="s">
        <v>6083</v>
      </c>
      <c r="F435" s="64" t="s">
        <v>629</v>
      </c>
      <c r="G435" s="60" t="s">
        <v>96</v>
      </c>
      <c r="H435" s="88">
        <v>0.05009</v>
      </c>
      <c r="I435" s="49" t="s">
        <v>13187</v>
      </c>
      <c r="J435" s="49" t="s">
        <v>13188</v>
      </c>
      <c r="K435" s="44"/>
      <c r="L435" s="44"/>
    </row>
    <row r="436">
      <c r="A436" s="48" t="s">
        <v>11392</v>
      </c>
      <c r="B436" s="48"/>
      <c r="C436" s="48" t="s">
        <v>11393</v>
      </c>
      <c r="D436" s="48"/>
      <c r="E436" s="48" t="s">
        <v>6110</v>
      </c>
      <c r="F436" s="64" t="s">
        <v>668</v>
      </c>
      <c r="G436" s="60" t="s">
        <v>96</v>
      </c>
      <c r="H436" s="88">
        <v>0.05008</v>
      </c>
      <c r="I436" s="49" t="s">
        <v>13189</v>
      </c>
      <c r="J436" s="49" t="s">
        <v>13190</v>
      </c>
      <c r="K436" s="44"/>
      <c r="L436" s="44"/>
    </row>
    <row r="437">
      <c r="A437" s="48" t="s">
        <v>9122</v>
      </c>
      <c r="B437" s="48"/>
      <c r="C437" s="48" t="s">
        <v>9123</v>
      </c>
      <c r="D437" s="48"/>
      <c r="E437" s="48" t="s">
        <v>11991</v>
      </c>
      <c r="F437" s="64" t="s">
        <v>649</v>
      </c>
      <c r="G437" s="60" t="s">
        <v>96</v>
      </c>
      <c r="H437" s="88">
        <v>0.05007</v>
      </c>
      <c r="I437" s="49" t="s">
        <v>13191</v>
      </c>
      <c r="J437" s="49" t="s">
        <v>13192</v>
      </c>
      <c r="K437" s="44"/>
      <c r="L437" s="44"/>
    </row>
    <row r="438">
      <c r="A438" s="48" t="s">
        <v>4382</v>
      </c>
      <c r="B438" s="48"/>
      <c r="C438" s="64" t="s">
        <v>13193</v>
      </c>
      <c r="D438" s="48"/>
      <c r="E438" s="48" t="s">
        <v>12043</v>
      </c>
      <c r="F438" s="64" t="s">
        <v>622</v>
      </c>
      <c r="G438" s="60" t="s">
        <v>96</v>
      </c>
      <c r="H438" s="88">
        <v>0.05003</v>
      </c>
      <c r="I438" s="49" t="s">
        <v>13194</v>
      </c>
      <c r="J438" s="49" t="s">
        <v>13195</v>
      </c>
      <c r="K438" s="44"/>
      <c r="L438" s="44"/>
    </row>
    <row r="439">
      <c r="A439" s="48" t="s">
        <v>4270</v>
      </c>
      <c r="B439" s="48"/>
      <c r="C439" s="64" t="s">
        <v>13196</v>
      </c>
      <c r="D439" s="48"/>
      <c r="E439" s="48" t="s">
        <v>12413</v>
      </c>
      <c r="F439" s="64" t="s">
        <v>622</v>
      </c>
      <c r="G439" s="60" t="s">
        <v>96</v>
      </c>
      <c r="H439" s="88">
        <v>0.04987</v>
      </c>
      <c r="I439" s="49" t="s">
        <v>13197</v>
      </c>
      <c r="J439" s="49" t="s">
        <v>13198</v>
      </c>
      <c r="K439" s="44"/>
      <c r="L439" s="44"/>
    </row>
    <row r="440">
      <c r="A440" s="48" t="s">
        <v>4359</v>
      </c>
      <c r="B440" s="48"/>
      <c r="C440" s="64" t="s">
        <v>13199</v>
      </c>
      <c r="D440" s="48"/>
      <c r="E440" s="48" t="s">
        <v>12868</v>
      </c>
      <c r="F440" s="64" t="s">
        <v>622</v>
      </c>
      <c r="G440" s="60" t="s">
        <v>96</v>
      </c>
      <c r="H440" s="88">
        <v>0.04981</v>
      </c>
      <c r="I440" s="49" t="s">
        <v>13200</v>
      </c>
      <c r="J440" s="49" t="s">
        <v>13201</v>
      </c>
      <c r="K440" s="44"/>
      <c r="L440" s="44"/>
    </row>
    <row r="441">
      <c r="A441" s="48" t="s">
        <v>4333</v>
      </c>
      <c r="B441" s="48"/>
      <c r="C441" s="64" t="s">
        <v>13202</v>
      </c>
      <c r="D441" s="48"/>
      <c r="E441" s="48" t="s">
        <v>12283</v>
      </c>
      <c r="F441" s="64" t="s">
        <v>622</v>
      </c>
      <c r="G441" s="60" t="s">
        <v>96</v>
      </c>
      <c r="H441" s="88">
        <v>0.04974</v>
      </c>
      <c r="I441" s="49" t="s">
        <v>13203</v>
      </c>
      <c r="J441" s="49" t="s">
        <v>13204</v>
      </c>
      <c r="K441" s="44"/>
      <c r="L441" s="44"/>
    </row>
    <row r="442">
      <c r="A442" s="48" t="s">
        <v>9201</v>
      </c>
      <c r="B442" s="48"/>
      <c r="C442" s="64" t="s">
        <v>13205</v>
      </c>
      <c r="D442" s="48"/>
      <c r="E442" s="48" t="s">
        <v>12283</v>
      </c>
      <c r="F442" s="64" t="s">
        <v>694</v>
      </c>
      <c r="G442" s="60" t="s">
        <v>96</v>
      </c>
      <c r="H442" s="88">
        <v>0.04971</v>
      </c>
      <c r="I442" s="49" t="s">
        <v>13206</v>
      </c>
      <c r="J442" s="49" t="s">
        <v>13207</v>
      </c>
      <c r="K442" s="44"/>
      <c r="L442" s="44"/>
    </row>
    <row r="443">
      <c r="A443" s="48" t="s">
        <v>9182</v>
      </c>
      <c r="B443" s="48"/>
      <c r="C443" s="48" t="s">
        <v>9183</v>
      </c>
      <c r="D443" s="48"/>
      <c r="E443" s="48" t="s">
        <v>5478</v>
      </c>
      <c r="F443" s="64" t="s">
        <v>883</v>
      </c>
      <c r="G443" s="60" t="s">
        <v>96</v>
      </c>
      <c r="H443" s="88">
        <v>0.04935</v>
      </c>
      <c r="I443" s="49" t="s">
        <v>13208</v>
      </c>
      <c r="J443" s="49" t="s">
        <v>13209</v>
      </c>
      <c r="K443" s="44"/>
      <c r="L443" s="44"/>
    </row>
    <row r="444">
      <c r="A444" s="48" t="s">
        <v>4374</v>
      </c>
      <c r="B444" s="48"/>
      <c r="C444" s="48" t="s">
        <v>11379</v>
      </c>
      <c r="D444" s="48"/>
      <c r="E444" s="48" t="s">
        <v>12078</v>
      </c>
      <c r="F444" s="64" t="s">
        <v>622</v>
      </c>
      <c r="G444" s="60" t="s">
        <v>96</v>
      </c>
      <c r="H444" s="88">
        <v>0.04929</v>
      </c>
      <c r="I444" s="49" t="s">
        <v>13210</v>
      </c>
      <c r="J444" s="49" t="s">
        <v>13211</v>
      </c>
      <c r="K444" s="44"/>
      <c r="L444" s="44"/>
    </row>
    <row r="445">
      <c r="A445" s="48" t="s">
        <v>4356</v>
      </c>
      <c r="B445" s="48"/>
      <c r="C445" s="64" t="s">
        <v>13212</v>
      </c>
      <c r="D445" s="48"/>
      <c r="E445" s="48" t="s">
        <v>12409</v>
      </c>
      <c r="F445" s="64" t="s">
        <v>622</v>
      </c>
      <c r="G445" s="60" t="s">
        <v>96</v>
      </c>
      <c r="H445" s="88">
        <v>0.04916</v>
      </c>
      <c r="I445" s="49" t="s">
        <v>13213</v>
      </c>
      <c r="J445" s="49" t="s">
        <v>13214</v>
      </c>
      <c r="K445" s="44"/>
      <c r="L445" s="44"/>
    </row>
    <row r="446">
      <c r="A446" s="48" t="s">
        <v>4396</v>
      </c>
      <c r="B446" s="48"/>
      <c r="C446" s="64" t="s">
        <v>13215</v>
      </c>
      <c r="D446" s="48"/>
      <c r="E446" s="48" t="s">
        <v>12437</v>
      </c>
      <c r="F446" s="64" t="s">
        <v>622</v>
      </c>
      <c r="G446" s="60" t="s">
        <v>96</v>
      </c>
      <c r="H446" s="88">
        <v>0.04893</v>
      </c>
      <c r="I446" s="49" t="s">
        <v>13216</v>
      </c>
      <c r="J446" s="49" t="s">
        <v>13217</v>
      </c>
      <c r="K446" s="44"/>
      <c r="L446" s="44"/>
    </row>
    <row r="447">
      <c r="A447" s="48" t="s">
        <v>4265</v>
      </c>
      <c r="B447" s="48"/>
      <c r="C447" s="64" t="s">
        <v>13218</v>
      </c>
      <c r="D447" s="48"/>
      <c r="E447" s="48" t="s">
        <v>12309</v>
      </c>
      <c r="F447" s="64" t="s">
        <v>622</v>
      </c>
      <c r="G447" s="60" t="s">
        <v>96</v>
      </c>
      <c r="H447" s="88">
        <v>0.04845</v>
      </c>
      <c r="I447" s="49" t="s">
        <v>13219</v>
      </c>
      <c r="J447" s="49" t="s">
        <v>13220</v>
      </c>
      <c r="K447" s="44"/>
      <c r="L447" s="44"/>
    </row>
    <row r="448">
      <c r="A448" s="48" t="s">
        <v>4303</v>
      </c>
      <c r="B448" s="48"/>
      <c r="C448" s="64" t="s">
        <v>13221</v>
      </c>
      <c r="D448" s="48"/>
      <c r="E448" s="48" t="s">
        <v>12078</v>
      </c>
      <c r="F448" s="64" t="s">
        <v>622</v>
      </c>
      <c r="G448" s="60" t="s">
        <v>96</v>
      </c>
      <c r="H448" s="88">
        <v>0.04844</v>
      </c>
      <c r="I448" s="49" t="s">
        <v>13222</v>
      </c>
      <c r="J448" s="49" t="s">
        <v>13223</v>
      </c>
      <c r="K448" s="44"/>
      <c r="L448" s="44"/>
    </row>
    <row r="449">
      <c r="A449" s="48" t="s">
        <v>11403</v>
      </c>
      <c r="B449" s="48"/>
      <c r="C449" s="48" t="s">
        <v>11404</v>
      </c>
      <c r="D449" s="48"/>
      <c r="E449" s="48" t="s">
        <v>12078</v>
      </c>
      <c r="F449" s="64" t="s">
        <v>11998</v>
      </c>
      <c r="G449" s="60" t="s">
        <v>96</v>
      </c>
      <c r="H449" s="88">
        <v>0.04839</v>
      </c>
      <c r="I449" s="49" t="s">
        <v>13224</v>
      </c>
      <c r="J449" s="49" t="s">
        <v>13225</v>
      </c>
      <c r="K449" s="44"/>
      <c r="L449" s="44"/>
    </row>
    <row r="450">
      <c r="A450" s="48" t="s">
        <v>9212</v>
      </c>
      <c r="B450" s="48"/>
      <c r="C450" s="48" t="s">
        <v>9213</v>
      </c>
      <c r="D450" s="48"/>
      <c r="E450" s="48" t="s">
        <v>12229</v>
      </c>
      <c r="F450" s="64" t="s">
        <v>639</v>
      </c>
      <c r="G450" s="60" t="s">
        <v>96</v>
      </c>
      <c r="H450" s="88">
        <v>0.04828</v>
      </c>
      <c r="I450" s="49" t="s">
        <v>13226</v>
      </c>
      <c r="J450" s="49" t="s">
        <v>13227</v>
      </c>
      <c r="K450" s="44"/>
      <c r="L450" s="44"/>
    </row>
    <row r="451">
      <c r="A451" s="48" t="s">
        <v>11377</v>
      </c>
      <c r="B451" s="48"/>
      <c r="C451" s="64" t="s">
        <v>13228</v>
      </c>
      <c r="D451" s="48"/>
      <c r="E451" s="48" t="s">
        <v>13103</v>
      </c>
      <c r="F451" s="64" t="s">
        <v>629</v>
      </c>
      <c r="G451" s="60" t="s">
        <v>96</v>
      </c>
      <c r="H451" s="88">
        <v>0.04797</v>
      </c>
      <c r="I451" s="49" t="s">
        <v>13229</v>
      </c>
      <c r="J451" s="49" t="s">
        <v>13230</v>
      </c>
      <c r="K451" s="44"/>
      <c r="L451" s="44"/>
    </row>
    <row r="452">
      <c r="A452" s="48" t="s">
        <v>11355</v>
      </c>
      <c r="B452" s="48"/>
      <c r="C452" s="48" t="s">
        <v>11356</v>
      </c>
      <c r="D452" s="48"/>
      <c r="E452" s="48" t="s">
        <v>13231</v>
      </c>
      <c r="F452" s="64" t="s">
        <v>1666</v>
      </c>
      <c r="G452" s="60" t="s">
        <v>96</v>
      </c>
      <c r="H452" s="88">
        <v>0.04752</v>
      </c>
      <c r="I452" s="49" t="s">
        <v>13232</v>
      </c>
      <c r="J452" s="49" t="s">
        <v>13233</v>
      </c>
      <c r="K452" s="44"/>
      <c r="L452" s="44"/>
    </row>
    <row r="453">
      <c r="A453" s="48" t="s">
        <v>4387</v>
      </c>
      <c r="B453" s="48"/>
      <c r="C453" s="64" t="s">
        <v>13234</v>
      </c>
      <c r="D453" s="48"/>
      <c r="E453" s="48" t="s">
        <v>5961</v>
      </c>
      <c r="F453" s="64" t="s">
        <v>622</v>
      </c>
      <c r="G453" s="60" t="s">
        <v>96</v>
      </c>
      <c r="H453" s="88">
        <v>0.04744</v>
      </c>
      <c r="I453" s="49" t="s">
        <v>13235</v>
      </c>
      <c r="J453" s="49" t="s">
        <v>13236</v>
      </c>
      <c r="K453" s="44"/>
      <c r="L453" s="44"/>
    </row>
    <row r="454">
      <c r="A454" s="48" t="s">
        <v>4354</v>
      </c>
      <c r="B454" s="48"/>
      <c r="C454" s="64" t="s">
        <v>13237</v>
      </c>
      <c r="D454" s="48"/>
      <c r="E454" s="48" t="s">
        <v>12025</v>
      </c>
      <c r="F454" s="64" t="s">
        <v>622</v>
      </c>
      <c r="G454" s="60" t="s">
        <v>96</v>
      </c>
      <c r="H454" s="88">
        <v>0.04742</v>
      </c>
      <c r="I454" s="49" t="s">
        <v>13238</v>
      </c>
      <c r="J454" s="49" t="s">
        <v>13239</v>
      </c>
      <c r="K454" s="44"/>
      <c r="L454" s="44"/>
    </row>
    <row r="455">
      <c r="A455" s="48" t="s">
        <v>9197</v>
      </c>
      <c r="B455" s="48"/>
      <c r="C455" s="64" t="s">
        <v>13240</v>
      </c>
      <c r="D455" s="48"/>
      <c r="E455" s="48" t="s">
        <v>11942</v>
      </c>
      <c r="F455" s="64" t="s">
        <v>738</v>
      </c>
      <c r="G455" s="60" t="s">
        <v>96</v>
      </c>
      <c r="H455" s="88">
        <v>0.04738</v>
      </c>
      <c r="I455" s="49" t="s">
        <v>13241</v>
      </c>
      <c r="J455" s="49" t="s">
        <v>13242</v>
      </c>
      <c r="K455" s="44"/>
      <c r="L455" s="44"/>
    </row>
    <row r="456">
      <c r="A456" s="48" t="s">
        <v>4368</v>
      </c>
      <c r="B456" s="48"/>
      <c r="C456" s="64" t="s">
        <v>13243</v>
      </c>
      <c r="D456" s="48"/>
      <c r="E456" s="48" t="s">
        <v>12868</v>
      </c>
      <c r="F456" s="64" t="s">
        <v>622</v>
      </c>
      <c r="G456" s="60" t="s">
        <v>96</v>
      </c>
      <c r="H456" s="88">
        <v>0.04718</v>
      </c>
      <c r="I456" s="49" t="s">
        <v>13244</v>
      </c>
      <c r="J456" s="49" t="s">
        <v>13245</v>
      </c>
      <c r="K456" s="44"/>
      <c r="L456" s="44"/>
    </row>
    <row r="457">
      <c r="A457" s="48" t="s">
        <v>9083</v>
      </c>
      <c r="B457" s="48"/>
      <c r="C457" s="64" t="s">
        <v>13246</v>
      </c>
      <c r="D457" s="48"/>
      <c r="E457" s="48" t="s">
        <v>12004</v>
      </c>
      <c r="F457" s="64" t="s">
        <v>622</v>
      </c>
      <c r="G457" s="60" t="s">
        <v>96</v>
      </c>
      <c r="H457" s="88">
        <v>0.0471</v>
      </c>
      <c r="I457" s="49" t="s">
        <v>13247</v>
      </c>
      <c r="J457" s="49" t="s">
        <v>13248</v>
      </c>
      <c r="K457" s="44"/>
      <c r="L457" s="44"/>
    </row>
    <row r="458">
      <c r="A458" s="48" t="s">
        <v>9219</v>
      </c>
      <c r="B458" s="48"/>
      <c r="C458" s="64" t="s">
        <v>13249</v>
      </c>
      <c r="D458" s="48"/>
      <c r="E458" s="48" t="s">
        <v>11899</v>
      </c>
      <c r="F458" s="64" t="s">
        <v>629</v>
      </c>
      <c r="G458" s="60" t="s">
        <v>96</v>
      </c>
      <c r="H458" s="88">
        <v>0.04681</v>
      </c>
      <c r="I458" s="49" t="s">
        <v>13250</v>
      </c>
      <c r="J458" s="49" t="s">
        <v>13251</v>
      </c>
      <c r="K458" s="44"/>
      <c r="L458" s="44"/>
    </row>
    <row r="459">
      <c r="A459" s="48" t="s">
        <v>6260</v>
      </c>
      <c r="B459" s="48"/>
      <c r="C459" s="48" t="s">
        <v>9195</v>
      </c>
      <c r="D459" s="48"/>
      <c r="E459" s="48" t="s">
        <v>11942</v>
      </c>
      <c r="F459" s="64" t="s">
        <v>694</v>
      </c>
      <c r="G459" s="60" t="s">
        <v>96</v>
      </c>
      <c r="H459" s="88">
        <v>0.04671</v>
      </c>
      <c r="I459" s="49" t="s">
        <v>13252</v>
      </c>
      <c r="J459" s="49" t="s">
        <v>13253</v>
      </c>
      <c r="K459" s="44"/>
      <c r="L459" s="44"/>
    </row>
    <row r="460">
      <c r="A460" s="48" t="s">
        <v>11373</v>
      </c>
      <c r="B460" s="48"/>
      <c r="C460" s="48" t="s">
        <v>11374</v>
      </c>
      <c r="D460" s="48"/>
      <c r="E460" s="48" t="s">
        <v>11936</v>
      </c>
      <c r="F460" s="64" t="s">
        <v>1673</v>
      </c>
      <c r="G460" s="60" t="s">
        <v>96</v>
      </c>
      <c r="H460" s="88">
        <v>0.04648</v>
      </c>
      <c r="I460" s="49" t="s">
        <v>13254</v>
      </c>
      <c r="J460" s="49" t="s">
        <v>13255</v>
      </c>
      <c r="K460" s="44"/>
      <c r="L460" s="44"/>
    </row>
    <row r="461">
      <c r="A461" s="48" t="s">
        <v>4375</v>
      </c>
      <c r="B461" s="48"/>
      <c r="C461" s="64" t="s">
        <v>13256</v>
      </c>
      <c r="D461" s="48"/>
      <c r="E461" s="48" t="s">
        <v>13257</v>
      </c>
      <c r="F461" s="64" t="s">
        <v>622</v>
      </c>
      <c r="G461" s="60" t="s">
        <v>96</v>
      </c>
      <c r="H461" s="88">
        <v>0.04626</v>
      </c>
      <c r="I461" s="49" t="s">
        <v>13258</v>
      </c>
      <c r="J461" s="49" t="s">
        <v>13259</v>
      </c>
      <c r="K461" s="44"/>
      <c r="L461" s="44"/>
    </row>
    <row r="462">
      <c r="A462" s="48" t="s">
        <v>11407</v>
      </c>
      <c r="B462" s="48"/>
      <c r="C462" s="48" t="s">
        <v>11408</v>
      </c>
      <c r="D462" s="48"/>
      <c r="E462" s="48" t="s">
        <v>13231</v>
      </c>
      <c r="F462" s="64" t="s">
        <v>1740</v>
      </c>
      <c r="G462" s="60" t="s">
        <v>96</v>
      </c>
      <c r="H462" s="88">
        <v>0.04618</v>
      </c>
      <c r="I462" s="49" t="s">
        <v>13260</v>
      </c>
      <c r="J462" s="49" t="s">
        <v>13261</v>
      </c>
      <c r="K462" s="44"/>
      <c r="L462" s="44"/>
    </row>
    <row r="463">
      <c r="A463" s="48" t="s">
        <v>4324</v>
      </c>
      <c r="B463" s="48"/>
      <c r="C463" s="64" t="s">
        <v>13262</v>
      </c>
      <c r="D463" s="48"/>
      <c r="E463" s="48" t="s">
        <v>11982</v>
      </c>
      <c r="F463" s="64" t="s">
        <v>622</v>
      </c>
      <c r="G463" s="60" t="s">
        <v>96</v>
      </c>
      <c r="H463" s="88">
        <v>0.04613</v>
      </c>
      <c r="I463" s="49" t="s">
        <v>13263</v>
      </c>
      <c r="J463" s="49" t="s">
        <v>13264</v>
      </c>
      <c r="K463" s="44"/>
      <c r="L463" s="44"/>
    </row>
    <row r="464">
      <c r="A464" s="48" t="s">
        <v>4436</v>
      </c>
      <c r="B464" s="48"/>
      <c r="C464" s="48" t="s">
        <v>11394</v>
      </c>
      <c r="D464" s="48"/>
      <c r="E464" s="48" t="s">
        <v>12078</v>
      </c>
      <c r="F464" s="64" t="s">
        <v>622</v>
      </c>
      <c r="G464" s="60" t="s">
        <v>96</v>
      </c>
      <c r="H464" s="88">
        <v>0.0461</v>
      </c>
      <c r="I464" s="49" t="s">
        <v>13265</v>
      </c>
      <c r="J464" s="49" t="s">
        <v>13266</v>
      </c>
      <c r="K464" s="44"/>
      <c r="L464" s="44"/>
    </row>
    <row r="465">
      <c r="A465" s="48" t="s">
        <v>4353</v>
      </c>
      <c r="B465" s="48"/>
      <c r="C465" s="48" t="s">
        <v>9181</v>
      </c>
      <c r="D465" s="48"/>
      <c r="E465" s="48" t="s">
        <v>13171</v>
      </c>
      <c r="F465" s="64" t="s">
        <v>622</v>
      </c>
      <c r="G465" s="60" t="s">
        <v>96</v>
      </c>
      <c r="H465" s="88">
        <v>0.04582</v>
      </c>
      <c r="I465" s="49" t="s">
        <v>13267</v>
      </c>
      <c r="J465" s="49" t="s">
        <v>13268</v>
      </c>
      <c r="K465" s="44"/>
      <c r="L465" s="44"/>
    </row>
    <row r="466">
      <c r="A466" s="48" t="s">
        <v>9190</v>
      </c>
      <c r="B466" s="48"/>
      <c r="C466" s="64" t="s">
        <v>13269</v>
      </c>
      <c r="D466" s="48"/>
      <c r="E466" s="48" t="s">
        <v>12004</v>
      </c>
      <c r="F466" s="64" t="s">
        <v>622</v>
      </c>
      <c r="G466" s="60" t="s">
        <v>96</v>
      </c>
      <c r="H466" s="88">
        <v>0.04571</v>
      </c>
      <c r="I466" s="49" t="s">
        <v>13270</v>
      </c>
      <c r="J466" s="49" t="s">
        <v>13271</v>
      </c>
      <c r="K466" s="44"/>
      <c r="L466" s="44"/>
    </row>
    <row r="467">
      <c r="A467" s="48" t="s">
        <v>4421</v>
      </c>
      <c r="B467" s="48"/>
      <c r="C467" s="64" t="s">
        <v>13272</v>
      </c>
      <c r="D467" s="48"/>
      <c r="E467" s="48" t="s">
        <v>12205</v>
      </c>
      <c r="F467" s="64" t="s">
        <v>622</v>
      </c>
      <c r="G467" s="60" t="s">
        <v>96</v>
      </c>
      <c r="H467" s="88">
        <v>0.0457</v>
      </c>
      <c r="I467" s="49" t="s">
        <v>13273</v>
      </c>
      <c r="J467" s="49" t="s">
        <v>13274</v>
      </c>
      <c r="K467" s="44"/>
      <c r="L467" s="44"/>
    </row>
    <row r="468">
      <c r="A468" s="48" t="s">
        <v>4386</v>
      </c>
      <c r="B468" s="48"/>
      <c r="C468" s="64" t="s">
        <v>13275</v>
      </c>
      <c r="D468" s="48"/>
      <c r="E468" s="48" t="s">
        <v>12205</v>
      </c>
      <c r="F468" s="64" t="s">
        <v>622</v>
      </c>
      <c r="G468" s="60" t="s">
        <v>96</v>
      </c>
      <c r="H468" s="88">
        <v>0.04569</v>
      </c>
      <c r="I468" s="49" t="s">
        <v>13276</v>
      </c>
      <c r="J468" s="49" t="s">
        <v>13277</v>
      </c>
      <c r="K468" s="44"/>
      <c r="L468" s="44"/>
    </row>
    <row r="469">
      <c r="A469" s="48" t="s">
        <v>4392</v>
      </c>
      <c r="B469" s="48"/>
      <c r="C469" s="64" t="s">
        <v>13278</v>
      </c>
      <c r="D469" s="48"/>
      <c r="E469" s="48" t="s">
        <v>5348</v>
      </c>
      <c r="F469" s="64" t="s">
        <v>622</v>
      </c>
      <c r="G469" s="60" t="s">
        <v>96</v>
      </c>
      <c r="H469" s="88">
        <v>0.0456</v>
      </c>
      <c r="I469" s="49" t="s">
        <v>13279</v>
      </c>
      <c r="J469" s="49" t="s">
        <v>13280</v>
      </c>
      <c r="K469" s="44"/>
      <c r="L469" s="44"/>
    </row>
    <row r="470">
      <c r="A470" s="48" t="s">
        <v>4406</v>
      </c>
      <c r="B470" s="48"/>
      <c r="C470" s="48" t="s">
        <v>9259</v>
      </c>
      <c r="D470" s="48"/>
      <c r="E470" s="48" t="s">
        <v>12777</v>
      </c>
      <c r="F470" s="64" t="s">
        <v>11998</v>
      </c>
      <c r="G470" s="60" t="s">
        <v>96</v>
      </c>
      <c r="H470" s="88">
        <v>0.04556</v>
      </c>
      <c r="I470" s="49" t="s">
        <v>13281</v>
      </c>
      <c r="J470" s="49" t="s">
        <v>13282</v>
      </c>
      <c r="K470" s="44"/>
      <c r="L470" s="44"/>
    </row>
    <row r="471">
      <c r="A471" s="48" t="s">
        <v>4417</v>
      </c>
      <c r="B471" s="48"/>
      <c r="C471" s="48" t="s">
        <v>9308</v>
      </c>
      <c r="D471" s="48"/>
      <c r="E471" s="48" t="s">
        <v>5387</v>
      </c>
      <c r="F471" s="64" t="s">
        <v>622</v>
      </c>
      <c r="G471" s="60" t="s">
        <v>96</v>
      </c>
      <c r="H471" s="88">
        <v>0.0455</v>
      </c>
      <c r="I471" s="49" t="s">
        <v>13283</v>
      </c>
      <c r="J471" s="49" t="s">
        <v>13284</v>
      </c>
      <c r="K471" s="44"/>
      <c r="L471" s="44"/>
    </row>
    <row r="472">
      <c r="A472" s="48" t="s">
        <v>4498</v>
      </c>
      <c r="B472" s="48"/>
      <c r="C472" s="64" t="s">
        <v>13285</v>
      </c>
      <c r="D472" s="48"/>
      <c r="E472" s="48" t="s">
        <v>11965</v>
      </c>
      <c r="F472" s="64" t="s">
        <v>622</v>
      </c>
      <c r="G472" s="60" t="s">
        <v>96</v>
      </c>
      <c r="H472" s="88">
        <v>0.04534</v>
      </c>
      <c r="I472" s="49" t="s">
        <v>13286</v>
      </c>
      <c r="J472" s="49" t="s">
        <v>13287</v>
      </c>
      <c r="K472" s="44"/>
      <c r="L472" s="44"/>
    </row>
    <row r="473">
      <c r="A473" s="48" t="s">
        <v>9244</v>
      </c>
      <c r="B473" s="48"/>
      <c r="C473" s="48" t="s">
        <v>9245</v>
      </c>
      <c r="D473" s="48"/>
      <c r="E473" s="48" t="s">
        <v>12205</v>
      </c>
      <c r="F473" s="64" t="s">
        <v>11998</v>
      </c>
      <c r="G473" s="60" t="s">
        <v>96</v>
      </c>
      <c r="H473" s="88">
        <v>0.04523</v>
      </c>
      <c r="I473" s="49" t="s">
        <v>13288</v>
      </c>
      <c r="J473" s="49" t="s">
        <v>13289</v>
      </c>
      <c r="K473" s="44"/>
      <c r="L473" s="44"/>
    </row>
    <row r="474">
      <c r="A474" s="48" t="s">
        <v>9238</v>
      </c>
      <c r="B474" s="48"/>
      <c r="C474" s="64" t="s">
        <v>13290</v>
      </c>
      <c r="D474" s="48"/>
      <c r="E474" s="48" t="s">
        <v>12964</v>
      </c>
      <c r="F474" s="64" t="s">
        <v>694</v>
      </c>
      <c r="G474" s="60" t="s">
        <v>96</v>
      </c>
      <c r="H474" s="88">
        <v>0.0451</v>
      </c>
      <c r="I474" s="49" t="s">
        <v>13291</v>
      </c>
      <c r="J474" s="49" t="s">
        <v>13292</v>
      </c>
      <c r="K474" s="44"/>
      <c r="L474" s="44"/>
    </row>
    <row r="475">
      <c r="A475" s="48" t="s">
        <v>9224</v>
      </c>
      <c r="B475" s="48"/>
      <c r="C475" s="64" t="s">
        <v>13293</v>
      </c>
      <c r="D475" s="48"/>
      <c r="E475" s="48" t="s">
        <v>11965</v>
      </c>
      <c r="F475" s="64" t="s">
        <v>629</v>
      </c>
      <c r="G475" s="60" t="s">
        <v>96</v>
      </c>
      <c r="H475" s="88">
        <v>0.04483</v>
      </c>
      <c r="I475" s="49" t="s">
        <v>13294</v>
      </c>
      <c r="J475" s="49" t="s">
        <v>13295</v>
      </c>
      <c r="K475" s="44"/>
      <c r="L475" s="44"/>
    </row>
    <row r="476">
      <c r="A476" s="48" t="s">
        <v>9128</v>
      </c>
      <c r="B476" s="48"/>
      <c r="C476" s="64" t="s">
        <v>13296</v>
      </c>
      <c r="D476" s="48"/>
      <c r="E476" s="48" t="s">
        <v>12004</v>
      </c>
      <c r="F476" s="64" t="s">
        <v>622</v>
      </c>
      <c r="G476" s="60" t="s">
        <v>96</v>
      </c>
      <c r="H476" s="88">
        <v>0.04482</v>
      </c>
      <c r="I476" s="49" t="s">
        <v>13297</v>
      </c>
      <c r="J476" s="49" t="s">
        <v>13298</v>
      </c>
      <c r="K476" s="44"/>
      <c r="L476" s="44"/>
    </row>
    <row r="477">
      <c r="A477" s="48" t="s">
        <v>4366</v>
      </c>
      <c r="B477" s="48"/>
      <c r="C477" s="64" t="s">
        <v>13299</v>
      </c>
      <c r="D477" s="48"/>
      <c r="E477" s="48" t="s">
        <v>12356</v>
      </c>
      <c r="F477" s="64" t="s">
        <v>622</v>
      </c>
      <c r="G477" s="60" t="s">
        <v>96</v>
      </c>
      <c r="H477" s="88">
        <v>0.04473</v>
      </c>
      <c r="I477" s="49" t="s">
        <v>13300</v>
      </c>
      <c r="J477" s="49" t="s">
        <v>13301</v>
      </c>
      <c r="K477" s="44"/>
      <c r="L477" s="44"/>
    </row>
    <row r="478">
      <c r="A478" s="48" t="s">
        <v>4330</v>
      </c>
      <c r="B478" s="48"/>
      <c r="C478" s="64" t="s">
        <v>13302</v>
      </c>
      <c r="D478" s="48"/>
      <c r="E478" s="48" t="s">
        <v>12518</v>
      </c>
      <c r="F478" s="64" t="s">
        <v>622</v>
      </c>
      <c r="G478" s="60" t="s">
        <v>96</v>
      </c>
      <c r="H478" s="88">
        <v>0.04468</v>
      </c>
      <c r="I478" s="49" t="s">
        <v>13303</v>
      </c>
      <c r="J478" s="49" t="s">
        <v>13304</v>
      </c>
      <c r="K478" s="44"/>
      <c r="L478" s="44"/>
    </row>
    <row r="479">
      <c r="A479" s="48" t="s">
        <v>9161</v>
      </c>
      <c r="B479" s="48"/>
      <c r="C479" s="64" t="s">
        <v>13305</v>
      </c>
      <c r="D479" s="48"/>
      <c r="E479" s="48" t="s">
        <v>13306</v>
      </c>
      <c r="F479" s="64" t="s">
        <v>622</v>
      </c>
      <c r="G479" s="60" t="s">
        <v>96</v>
      </c>
      <c r="H479" s="88">
        <v>0.04456</v>
      </c>
      <c r="I479" s="49" t="s">
        <v>13307</v>
      </c>
      <c r="J479" s="49" t="s">
        <v>13308</v>
      </c>
      <c r="K479" s="44"/>
      <c r="L479" s="44"/>
    </row>
    <row r="480">
      <c r="A480" s="48" t="s">
        <v>4361</v>
      </c>
      <c r="B480" s="48"/>
      <c r="C480" s="64" t="s">
        <v>13309</v>
      </c>
      <c r="D480" s="48"/>
      <c r="E480" s="48" t="s">
        <v>13310</v>
      </c>
      <c r="F480" s="64" t="s">
        <v>622</v>
      </c>
      <c r="G480" s="60" t="s">
        <v>96</v>
      </c>
      <c r="H480" s="88">
        <v>0.04453</v>
      </c>
      <c r="I480" s="49" t="s">
        <v>13311</v>
      </c>
      <c r="J480" s="49" t="s">
        <v>13312</v>
      </c>
      <c r="K480" s="44"/>
      <c r="L480" s="44"/>
    </row>
    <row r="481">
      <c r="A481" s="48" t="s">
        <v>4422</v>
      </c>
      <c r="B481" s="48"/>
      <c r="C481" s="64" t="s">
        <v>13313</v>
      </c>
      <c r="D481" s="48"/>
      <c r="E481" s="48" t="s">
        <v>12250</v>
      </c>
      <c r="F481" s="64" t="s">
        <v>622</v>
      </c>
      <c r="G481" s="60" t="s">
        <v>96</v>
      </c>
      <c r="H481" s="88">
        <v>0.04433</v>
      </c>
      <c r="I481" s="49" t="s">
        <v>13314</v>
      </c>
      <c r="J481" s="49" t="s">
        <v>13315</v>
      </c>
      <c r="K481" s="44"/>
      <c r="L481" s="44"/>
    </row>
    <row r="482">
      <c r="A482" s="48" t="s">
        <v>9253</v>
      </c>
      <c r="B482" s="48"/>
      <c r="C482" s="64" t="s">
        <v>13316</v>
      </c>
      <c r="D482" s="48"/>
      <c r="E482" s="48" t="s">
        <v>13317</v>
      </c>
      <c r="F482" s="64" t="s">
        <v>629</v>
      </c>
      <c r="G482" s="60" t="s">
        <v>96</v>
      </c>
      <c r="H482" s="88">
        <v>0.0443</v>
      </c>
      <c r="I482" s="49" t="s">
        <v>13318</v>
      </c>
      <c r="J482" s="49" t="s">
        <v>13319</v>
      </c>
      <c r="K482" s="44"/>
      <c r="L482" s="44"/>
    </row>
    <row r="483">
      <c r="A483" s="48" t="s">
        <v>9248</v>
      </c>
      <c r="B483" s="48"/>
      <c r="C483" s="64" t="s">
        <v>13320</v>
      </c>
      <c r="D483" s="48"/>
      <c r="E483" s="48" t="s">
        <v>12031</v>
      </c>
      <c r="F483" s="64" t="s">
        <v>629</v>
      </c>
      <c r="G483" s="60" t="s">
        <v>96</v>
      </c>
      <c r="H483" s="88">
        <v>0.0442</v>
      </c>
      <c r="I483" s="49" t="s">
        <v>13321</v>
      </c>
      <c r="J483" s="49" t="s">
        <v>13322</v>
      </c>
      <c r="K483" s="44"/>
      <c r="L483" s="44"/>
    </row>
    <row r="484">
      <c r="A484" s="48" t="s">
        <v>4406</v>
      </c>
      <c r="B484" s="48"/>
      <c r="C484" s="64" t="s">
        <v>13323</v>
      </c>
      <c r="D484" s="48"/>
      <c r="E484" s="48" t="s">
        <v>13324</v>
      </c>
      <c r="F484" s="64" t="s">
        <v>622</v>
      </c>
      <c r="G484" s="60" t="s">
        <v>96</v>
      </c>
      <c r="H484" s="88">
        <v>0.0441</v>
      </c>
      <c r="I484" s="49" t="s">
        <v>13325</v>
      </c>
      <c r="J484" s="49" t="s">
        <v>13326</v>
      </c>
      <c r="K484" s="44"/>
      <c r="L484" s="44"/>
    </row>
    <row r="485">
      <c r="A485" s="48" t="s">
        <v>4388</v>
      </c>
      <c r="B485" s="48"/>
      <c r="C485" s="64" t="s">
        <v>13327</v>
      </c>
      <c r="D485" s="48"/>
      <c r="E485" s="48" t="s">
        <v>11907</v>
      </c>
      <c r="F485" s="64" t="s">
        <v>622</v>
      </c>
      <c r="G485" s="60" t="s">
        <v>96</v>
      </c>
      <c r="H485" s="88">
        <v>0.04407</v>
      </c>
      <c r="I485" s="49" t="s">
        <v>13328</v>
      </c>
      <c r="J485" s="49" t="s">
        <v>13329</v>
      </c>
      <c r="K485" s="44"/>
      <c r="L485" s="44"/>
    </row>
    <row r="486">
      <c r="A486" s="48" t="s">
        <v>9205</v>
      </c>
      <c r="B486" s="48"/>
      <c r="C486" s="64" t="s">
        <v>13330</v>
      </c>
      <c r="D486" s="48"/>
      <c r="E486" s="48" t="s">
        <v>6275</v>
      </c>
      <c r="F486" s="64" t="s">
        <v>629</v>
      </c>
      <c r="G486" s="60" t="s">
        <v>96</v>
      </c>
      <c r="H486" s="88">
        <v>0.04402</v>
      </c>
      <c r="I486" s="49" t="s">
        <v>13331</v>
      </c>
      <c r="J486" s="49" t="s">
        <v>13332</v>
      </c>
      <c r="K486" s="44"/>
      <c r="L486" s="44"/>
    </row>
    <row r="487">
      <c r="A487" s="48" t="s">
        <v>4404</v>
      </c>
      <c r="B487" s="48"/>
      <c r="C487" s="64" t="s">
        <v>13333</v>
      </c>
      <c r="D487" s="48"/>
      <c r="E487" s="48" t="s">
        <v>12417</v>
      </c>
      <c r="F487" s="64" t="s">
        <v>622</v>
      </c>
      <c r="G487" s="60" t="s">
        <v>96</v>
      </c>
      <c r="H487" s="88">
        <v>0.044</v>
      </c>
      <c r="I487" s="49" t="s">
        <v>13334</v>
      </c>
      <c r="J487" s="49" t="s">
        <v>13335</v>
      </c>
      <c r="K487" s="44"/>
      <c r="L487" s="44"/>
    </row>
    <row r="488">
      <c r="A488" s="48" t="s">
        <v>4433</v>
      </c>
      <c r="B488" s="48"/>
      <c r="C488" s="64" t="s">
        <v>13336</v>
      </c>
      <c r="D488" s="48"/>
      <c r="E488" s="48" t="s">
        <v>6012</v>
      </c>
      <c r="F488" s="64" t="s">
        <v>622</v>
      </c>
      <c r="G488" s="60" t="s">
        <v>96</v>
      </c>
      <c r="H488" s="88">
        <v>0.04358</v>
      </c>
      <c r="I488" s="49" t="s">
        <v>13337</v>
      </c>
      <c r="J488" s="49" t="s">
        <v>13338</v>
      </c>
      <c r="K488" s="44"/>
      <c r="L488" s="44"/>
    </row>
    <row r="489">
      <c r="A489" s="48" t="s">
        <v>4394</v>
      </c>
      <c r="B489" s="48"/>
      <c r="C489" s="64" t="s">
        <v>13339</v>
      </c>
      <c r="D489" s="48"/>
      <c r="E489" s="48" t="s">
        <v>11956</v>
      </c>
      <c r="F489" s="64" t="s">
        <v>622</v>
      </c>
      <c r="G489" s="60" t="s">
        <v>96</v>
      </c>
      <c r="H489" s="88">
        <v>0.04344</v>
      </c>
      <c r="I489" s="49" t="s">
        <v>13340</v>
      </c>
      <c r="J489" s="49" t="s">
        <v>13341</v>
      </c>
      <c r="K489" s="44"/>
      <c r="L489" s="44"/>
    </row>
    <row r="490">
      <c r="A490" s="48" t="s">
        <v>11435</v>
      </c>
      <c r="B490" s="48"/>
      <c r="C490" s="48" t="s">
        <v>13342</v>
      </c>
      <c r="D490" s="48"/>
      <c r="E490" s="48" t="s">
        <v>12220</v>
      </c>
      <c r="F490" s="64" t="s">
        <v>1740</v>
      </c>
      <c r="G490" s="60" t="s">
        <v>96</v>
      </c>
      <c r="H490" s="88">
        <v>0.04324</v>
      </c>
      <c r="I490" s="49" t="s">
        <v>13343</v>
      </c>
      <c r="J490" s="49" t="s">
        <v>13344</v>
      </c>
      <c r="K490" s="44"/>
      <c r="L490" s="44"/>
    </row>
    <row r="491">
      <c r="A491" s="48" t="s">
        <v>11387</v>
      </c>
      <c r="B491" s="48"/>
      <c r="C491" s="64" t="s">
        <v>13345</v>
      </c>
      <c r="D491" s="48"/>
      <c r="E491" s="48" t="s">
        <v>11936</v>
      </c>
      <c r="F491" s="64" t="s">
        <v>694</v>
      </c>
      <c r="G491" s="60" t="s">
        <v>96</v>
      </c>
      <c r="H491" s="88">
        <v>0.04312</v>
      </c>
      <c r="I491" s="49" t="s">
        <v>13346</v>
      </c>
      <c r="J491" s="49" t="s">
        <v>13347</v>
      </c>
      <c r="K491" s="44"/>
      <c r="L491" s="44"/>
    </row>
    <row r="492">
      <c r="A492" s="48" t="s">
        <v>4030</v>
      </c>
      <c r="B492" s="48"/>
      <c r="C492" s="48" t="s">
        <v>9267</v>
      </c>
      <c r="D492" s="48"/>
      <c r="E492" s="48" t="s">
        <v>5218</v>
      </c>
      <c r="F492" s="64" t="s">
        <v>649</v>
      </c>
      <c r="G492" s="60" t="s">
        <v>96</v>
      </c>
      <c r="H492" s="88">
        <v>0.0431</v>
      </c>
      <c r="I492" s="49" t="s">
        <v>13348</v>
      </c>
      <c r="J492" s="49" t="s">
        <v>13349</v>
      </c>
      <c r="K492" s="44"/>
      <c r="L492" s="44"/>
    </row>
    <row r="493">
      <c r="A493" s="48" t="s">
        <v>9230</v>
      </c>
      <c r="B493" s="48"/>
      <c r="C493" s="64" t="s">
        <v>13350</v>
      </c>
      <c r="D493" s="48"/>
      <c r="E493" s="48" t="s">
        <v>5478</v>
      </c>
      <c r="F493" s="64" t="s">
        <v>622</v>
      </c>
      <c r="G493" s="60" t="s">
        <v>96</v>
      </c>
      <c r="H493" s="88">
        <v>0.04294</v>
      </c>
      <c r="I493" s="49" t="s">
        <v>13351</v>
      </c>
      <c r="J493" s="49" t="s">
        <v>13352</v>
      </c>
      <c r="K493" s="44"/>
      <c r="L493" s="44"/>
    </row>
    <row r="494">
      <c r="A494" s="48" t="s">
        <v>4365</v>
      </c>
      <c r="B494" s="48"/>
      <c r="C494" s="64" t="s">
        <v>13353</v>
      </c>
      <c r="D494" s="48"/>
      <c r="E494" s="48" t="s">
        <v>12356</v>
      </c>
      <c r="F494" s="64" t="s">
        <v>622</v>
      </c>
      <c r="G494" s="60" t="s">
        <v>96</v>
      </c>
      <c r="H494" s="88">
        <v>0.04288</v>
      </c>
      <c r="I494" s="49" t="s">
        <v>13354</v>
      </c>
      <c r="J494" s="49" t="s">
        <v>13355</v>
      </c>
      <c r="K494" s="44"/>
      <c r="L494" s="44"/>
    </row>
    <row r="495">
      <c r="A495" s="48" t="s">
        <v>4528</v>
      </c>
      <c r="B495" s="48"/>
      <c r="C495" s="64" t="s">
        <v>13356</v>
      </c>
      <c r="D495" s="48"/>
      <c r="E495" s="48" t="s">
        <v>13357</v>
      </c>
      <c r="F495" s="64" t="s">
        <v>622</v>
      </c>
      <c r="G495" s="60" t="s">
        <v>96</v>
      </c>
      <c r="H495" s="88">
        <v>0.04274</v>
      </c>
      <c r="I495" s="49" t="s">
        <v>13358</v>
      </c>
      <c r="J495" s="49" t="s">
        <v>13359</v>
      </c>
      <c r="K495" s="44"/>
      <c r="L495" s="44"/>
    </row>
    <row r="496">
      <c r="A496" s="48" t="s">
        <v>4377</v>
      </c>
      <c r="B496" s="48"/>
      <c r="C496" s="48" t="s">
        <v>13360</v>
      </c>
      <c r="D496" s="48"/>
      <c r="E496" s="48" t="s">
        <v>12895</v>
      </c>
      <c r="F496" s="64" t="s">
        <v>622</v>
      </c>
      <c r="G496" s="60" t="s">
        <v>96</v>
      </c>
      <c r="H496" s="88">
        <v>0.04272</v>
      </c>
      <c r="I496" s="49" t="s">
        <v>13361</v>
      </c>
      <c r="J496" s="49" t="s">
        <v>13362</v>
      </c>
      <c r="K496" s="44"/>
      <c r="L496" s="44"/>
    </row>
    <row r="497">
      <c r="A497" s="48" t="s">
        <v>9241</v>
      </c>
      <c r="B497" s="48"/>
      <c r="C497" s="48" t="s">
        <v>13363</v>
      </c>
      <c r="D497" s="48"/>
      <c r="E497" s="48" t="s">
        <v>12559</v>
      </c>
      <c r="F497" s="64" t="s">
        <v>1740</v>
      </c>
      <c r="G497" s="60" t="s">
        <v>96</v>
      </c>
      <c r="H497" s="88">
        <v>0.04258</v>
      </c>
      <c r="I497" s="49" t="s">
        <v>13364</v>
      </c>
      <c r="J497" s="49" t="s">
        <v>13365</v>
      </c>
      <c r="K497" s="44"/>
      <c r="L497" s="44"/>
    </row>
    <row r="498">
      <c r="A498" s="48" t="s">
        <v>9273</v>
      </c>
      <c r="B498" s="48"/>
      <c r="C498" s="48" t="s">
        <v>9274</v>
      </c>
      <c r="D498" s="48"/>
      <c r="E498" s="48" t="s">
        <v>12072</v>
      </c>
      <c r="F498" s="64" t="s">
        <v>1201</v>
      </c>
      <c r="G498" s="60" t="s">
        <v>96</v>
      </c>
      <c r="H498" s="88">
        <v>0.04251</v>
      </c>
      <c r="I498" s="49" t="s">
        <v>13366</v>
      </c>
      <c r="J498" s="49" t="s">
        <v>13367</v>
      </c>
      <c r="K498" s="44"/>
      <c r="L498" s="44"/>
    </row>
    <row r="499">
      <c r="A499" s="48" t="s">
        <v>11401</v>
      </c>
      <c r="B499" s="48"/>
      <c r="C499" s="48" t="s">
        <v>13368</v>
      </c>
      <c r="D499" s="48"/>
      <c r="E499" s="48" t="s">
        <v>11924</v>
      </c>
      <c r="F499" s="64" t="s">
        <v>649</v>
      </c>
      <c r="G499" s="60" t="s">
        <v>96</v>
      </c>
      <c r="H499" s="88">
        <v>0.04244</v>
      </c>
      <c r="I499" s="49" t="s">
        <v>13369</v>
      </c>
      <c r="J499" s="49" t="s">
        <v>13370</v>
      </c>
      <c r="K499" s="44"/>
      <c r="L499" s="44"/>
    </row>
    <row r="500">
      <c r="A500" s="48" t="s">
        <v>11390</v>
      </c>
      <c r="B500" s="48"/>
      <c r="C500" s="64" t="s">
        <v>13371</v>
      </c>
      <c r="D500" s="48"/>
      <c r="E500" s="48" t="s">
        <v>12182</v>
      </c>
      <c r="F500" s="64" t="s">
        <v>629</v>
      </c>
      <c r="G500" s="60" t="s">
        <v>96</v>
      </c>
      <c r="H500" s="88">
        <v>0.04233</v>
      </c>
      <c r="I500" s="49" t="s">
        <v>13372</v>
      </c>
      <c r="J500" s="49" t="s">
        <v>13373</v>
      </c>
      <c r="K500" s="44"/>
      <c r="L500" s="44"/>
    </row>
    <row r="501">
      <c r="A501" s="48" t="s">
        <v>9305</v>
      </c>
      <c r="B501" s="48"/>
      <c r="C501" s="64" t="s">
        <v>13374</v>
      </c>
      <c r="D501" s="48"/>
      <c r="E501" s="48" t="s">
        <v>12031</v>
      </c>
      <c r="F501" s="64" t="s">
        <v>694</v>
      </c>
      <c r="G501" s="60" t="s">
        <v>96</v>
      </c>
      <c r="H501" s="88">
        <v>0.04232</v>
      </c>
      <c r="I501" s="49" t="s">
        <v>13375</v>
      </c>
      <c r="J501" s="49" t="s">
        <v>13376</v>
      </c>
      <c r="K501" s="44"/>
      <c r="L501" s="44"/>
    </row>
    <row r="502">
      <c r="A502" s="48" t="s">
        <v>9282</v>
      </c>
      <c r="B502" s="48"/>
      <c r="C502" s="48" t="s">
        <v>9283</v>
      </c>
      <c r="D502" s="48"/>
      <c r="E502" s="48" t="s">
        <v>12072</v>
      </c>
      <c r="F502" s="64" t="s">
        <v>1201</v>
      </c>
      <c r="G502" s="60" t="s">
        <v>96</v>
      </c>
      <c r="H502" s="88">
        <v>0.04232</v>
      </c>
      <c r="I502" s="49" t="s">
        <v>13377</v>
      </c>
      <c r="J502" s="49" t="s">
        <v>13378</v>
      </c>
      <c r="K502" s="44"/>
      <c r="L502" s="44"/>
    </row>
    <row r="503">
      <c r="A503" s="48" t="s">
        <v>11382</v>
      </c>
      <c r="B503" s="48"/>
      <c r="C503" s="64" t="s">
        <v>13379</v>
      </c>
      <c r="D503" s="48"/>
      <c r="E503" s="48" t="s">
        <v>12518</v>
      </c>
      <c r="F503" s="64" t="s">
        <v>629</v>
      </c>
      <c r="G503" s="60" t="s">
        <v>96</v>
      </c>
      <c r="H503" s="88">
        <v>0.04226</v>
      </c>
      <c r="I503" s="49" t="s">
        <v>13380</v>
      </c>
      <c r="J503" s="49" t="s">
        <v>13381</v>
      </c>
      <c r="K503" s="44"/>
      <c r="L503" s="44"/>
    </row>
    <row r="504">
      <c r="A504" s="48" t="s">
        <v>4431</v>
      </c>
      <c r="B504" s="48"/>
      <c r="C504" s="48" t="s">
        <v>9229</v>
      </c>
      <c r="D504" s="48"/>
      <c r="E504" s="48" t="s">
        <v>13257</v>
      </c>
      <c r="F504" s="64" t="s">
        <v>622</v>
      </c>
      <c r="G504" s="60" t="s">
        <v>96</v>
      </c>
      <c r="H504" s="88">
        <v>0.04222</v>
      </c>
      <c r="I504" s="49" t="s">
        <v>13382</v>
      </c>
      <c r="J504" s="49" t="s">
        <v>13383</v>
      </c>
      <c r="K504" s="44"/>
      <c r="L504" s="44"/>
    </row>
    <row r="505">
      <c r="A505" s="48" t="s">
        <v>4418</v>
      </c>
      <c r="B505" s="48"/>
      <c r="C505" s="64" t="s">
        <v>13384</v>
      </c>
      <c r="D505" s="48"/>
      <c r="E505" s="48" t="s">
        <v>5650</v>
      </c>
      <c r="F505" s="64" t="s">
        <v>622</v>
      </c>
      <c r="G505" s="60" t="s">
        <v>96</v>
      </c>
      <c r="H505" s="88">
        <v>0.04186</v>
      </c>
      <c r="I505" s="49" t="s">
        <v>13385</v>
      </c>
      <c r="J505" s="49" t="s">
        <v>13386</v>
      </c>
      <c r="K505" s="44"/>
      <c r="L505" s="44"/>
    </row>
    <row r="506">
      <c r="A506" s="48" t="s">
        <v>9322</v>
      </c>
      <c r="B506" s="48"/>
      <c r="C506" s="48" t="s">
        <v>9323</v>
      </c>
      <c r="D506" s="48"/>
      <c r="E506" s="48" t="s">
        <v>12018</v>
      </c>
      <c r="F506" s="64" t="s">
        <v>686</v>
      </c>
      <c r="G506" s="60" t="s">
        <v>96</v>
      </c>
      <c r="H506" s="88">
        <v>0.04179</v>
      </c>
      <c r="I506" s="49" t="s">
        <v>13387</v>
      </c>
      <c r="J506" s="49" t="s">
        <v>13388</v>
      </c>
      <c r="K506" s="44"/>
      <c r="L506" s="44"/>
    </row>
    <row r="507">
      <c r="A507" s="48" t="s">
        <v>9315</v>
      </c>
      <c r="B507" s="48"/>
      <c r="C507" s="64" t="s">
        <v>13389</v>
      </c>
      <c r="D507" s="48"/>
      <c r="E507" s="48" t="s">
        <v>11899</v>
      </c>
      <c r="F507" s="64" t="s">
        <v>629</v>
      </c>
      <c r="G507" s="60" t="s">
        <v>96</v>
      </c>
      <c r="H507" s="88">
        <v>0.04172</v>
      </c>
      <c r="I507" s="49" t="s">
        <v>13390</v>
      </c>
      <c r="J507" s="49" t="s">
        <v>13391</v>
      </c>
      <c r="K507" s="44"/>
      <c r="L507" s="44"/>
    </row>
    <row r="508">
      <c r="A508" s="48" t="s">
        <v>4398</v>
      </c>
      <c r="B508" s="48"/>
      <c r="C508" s="64" t="s">
        <v>13392</v>
      </c>
      <c r="D508" s="48"/>
      <c r="E508" s="48" t="s">
        <v>12485</v>
      </c>
      <c r="F508" s="64" t="s">
        <v>622</v>
      </c>
      <c r="G508" s="60" t="s">
        <v>96</v>
      </c>
      <c r="H508" s="88">
        <v>0.04165</v>
      </c>
      <c r="I508" s="49" t="s">
        <v>13393</v>
      </c>
      <c r="J508" s="49" t="s">
        <v>13394</v>
      </c>
      <c r="K508" s="44"/>
      <c r="L508" s="44"/>
    </row>
    <row r="509">
      <c r="A509" s="48" t="s">
        <v>4408</v>
      </c>
      <c r="B509" s="48"/>
      <c r="C509" s="64" t="s">
        <v>13395</v>
      </c>
      <c r="D509" s="48"/>
      <c r="E509" s="48" t="s">
        <v>12246</v>
      </c>
      <c r="F509" s="64" t="s">
        <v>622</v>
      </c>
      <c r="G509" s="60" t="s">
        <v>96</v>
      </c>
      <c r="H509" s="88">
        <v>0.04165</v>
      </c>
      <c r="I509" s="49" t="s">
        <v>13396</v>
      </c>
      <c r="J509" s="49" t="s">
        <v>13397</v>
      </c>
      <c r="K509" s="44"/>
      <c r="L509" s="44"/>
    </row>
    <row r="510">
      <c r="A510" s="48" t="s">
        <v>6620</v>
      </c>
      <c r="B510" s="48"/>
      <c r="C510" s="48" t="s">
        <v>9292</v>
      </c>
      <c r="D510" s="48"/>
      <c r="E510" s="48" t="s">
        <v>12268</v>
      </c>
      <c r="F510" s="64" t="s">
        <v>11998</v>
      </c>
      <c r="G510" s="60" t="s">
        <v>96</v>
      </c>
      <c r="H510" s="88">
        <v>0.04161</v>
      </c>
      <c r="I510" s="49" t="s">
        <v>13398</v>
      </c>
      <c r="J510" s="49" t="s">
        <v>13399</v>
      </c>
      <c r="K510" s="44"/>
      <c r="L510" s="44"/>
    </row>
    <row r="511">
      <c r="A511" s="48" t="s">
        <v>9288</v>
      </c>
      <c r="B511" s="48"/>
      <c r="C511" s="64" t="s">
        <v>13400</v>
      </c>
      <c r="D511" s="48"/>
      <c r="E511" s="48" t="s">
        <v>12437</v>
      </c>
      <c r="F511" s="64" t="s">
        <v>694</v>
      </c>
      <c r="G511" s="60" t="s">
        <v>96</v>
      </c>
      <c r="H511" s="88">
        <v>0.04144</v>
      </c>
      <c r="I511" s="49" t="s">
        <v>13401</v>
      </c>
      <c r="J511" s="49" t="s">
        <v>13402</v>
      </c>
      <c r="K511" s="44"/>
      <c r="L511" s="44"/>
    </row>
    <row r="512">
      <c r="A512" s="48" t="s">
        <v>9167</v>
      </c>
      <c r="B512" s="48"/>
      <c r="C512" s="48" t="s">
        <v>9168</v>
      </c>
      <c r="D512" s="48"/>
      <c r="E512" s="48" t="s">
        <v>5478</v>
      </c>
      <c r="F512" s="64" t="s">
        <v>1374</v>
      </c>
      <c r="G512" s="60" t="s">
        <v>96</v>
      </c>
      <c r="H512" s="88">
        <v>0.0414</v>
      </c>
      <c r="I512" s="49" t="s">
        <v>13403</v>
      </c>
      <c r="J512" s="49" t="s">
        <v>13404</v>
      </c>
      <c r="K512" s="44"/>
      <c r="L512" s="44"/>
    </row>
    <row r="513">
      <c r="A513" s="48" t="s">
        <v>9279</v>
      </c>
      <c r="B513" s="48"/>
      <c r="C513" s="48" t="s">
        <v>9280</v>
      </c>
      <c r="D513" s="48"/>
      <c r="E513" s="48" t="s">
        <v>5478</v>
      </c>
      <c r="F513" s="64" t="s">
        <v>622</v>
      </c>
      <c r="G513" s="60" t="s">
        <v>96</v>
      </c>
      <c r="H513" s="88">
        <v>0.04138</v>
      </c>
      <c r="I513" s="49" t="s">
        <v>13405</v>
      </c>
      <c r="J513" s="49" t="s">
        <v>13406</v>
      </c>
      <c r="K513" s="44"/>
      <c r="L513" s="44"/>
    </row>
    <row r="514">
      <c r="A514" s="48" t="s">
        <v>11398</v>
      </c>
      <c r="B514" s="48"/>
      <c r="C514" s="64" t="s">
        <v>13407</v>
      </c>
      <c r="D514" s="48"/>
      <c r="E514" s="48" t="s">
        <v>12518</v>
      </c>
      <c r="F514" s="64" t="s">
        <v>629</v>
      </c>
      <c r="G514" s="60" t="s">
        <v>96</v>
      </c>
      <c r="H514" s="88">
        <v>0.04131</v>
      </c>
      <c r="I514" s="49" t="s">
        <v>13408</v>
      </c>
      <c r="J514" s="49" t="s">
        <v>13409</v>
      </c>
      <c r="K514" s="44"/>
      <c r="L514" s="44"/>
    </row>
    <row r="515">
      <c r="A515" s="48" t="s">
        <v>9120</v>
      </c>
      <c r="B515" s="48"/>
      <c r="C515" s="64" t="s">
        <v>13410</v>
      </c>
      <c r="D515" s="48"/>
      <c r="E515" s="48" t="s">
        <v>12229</v>
      </c>
      <c r="F515" s="64" t="s">
        <v>629</v>
      </c>
      <c r="G515" s="60" t="s">
        <v>96</v>
      </c>
      <c r="H515" s="88">
        <v>0.04127</v>
      </c>
      <c r="I515" s="49" t="s">
        <v>13411</v>
      </c>
      <c r="J515" s="49" t="s">
        <v>13412</v>
      </c>
      <c r="K515" s="44"/>
      <c r="L515" s="44"/>
    </row>
    <row r="516">
      <c r="A516" s="48" t="s">
        <v>9251</v>
      </c>
      <c r="B516" s="48"/>
      <c r="C516" s="48" t="s">
        <v>9252</v>
      </c>
      <c r="D516" s="48"/>
      <c r="E516" s="48" t="s">
        <v>11924</v>
      </c>
      <c r="F516" s="64" t="s">
        <v>1352</v>
      </c>
      <c r="G516" s="60" t="s">
        <v>96</v>
      </c>
      <c r="H516" s="88">
        <v>0.04123</v>
      </c>
      <c r="I516" s="49" t="s">
        <v>13413</v>
      </c>
      <c r="J516" s="49" t="s">
        <v>13414</v>
      </c>
      <c r="K516" s="44"/>
      <c r="L516" s="44"/>
    </row>
    <row r="517">
      <c r="A517" s="48" t="s">
        <v>4453</v>
      </c>
      <c r="B517" s="48"/>
      <c r="C517" s="64" t="s">
        <v>13415</v>
      </c>
      <c r="D517" s="48"/>
      <c r="E517" s="48" t="s">
        <v>11959</v>
      </c>
      <c r="F517" s="64" t="s">
        <v>622</v>
      </c>
      <c r="G517" s="60" t="s">
        <v>96</v>
      </c>
      <c r="H517" s="88">
        <v>0.04109</v>
      </c>
      <c r="I517" s="49" t="s">
        <v>13416</v>
      </c>
      <c r="J517" s="49" t="s">
        <v>13417</v>
      </c>
      <c r="K517" s="44"/>
      <c r="L517" s="44"/>
    </row>
    <row r="518">
      <c r="A518" s="48" t="s">
        <v>25</v>
      </c>
      <c r="B518" s="48"/>
      <c r="C518" s="64" t="s">
        <v>13418</v>
      </c>
      <c r="D518" s="48"/>
      <c r="E518" s="48" t="s">
        <v>12123</v>
      </c>
      <c r="F518" s="64" t="s">
        <v>622</v>
      </c>
      <c r="G518" s="60" t="s">
        <v>96</v>
      </c>
      <c r="H518" s="88">
        <v>0.04091</v>
      </c>
      <c r="I518" s="49" t="s">
        <v>13419</v>
      </c>
      <c r="J518" s="49" t="s">
        <v>13420</v>
      </c>
      <c r="K518" s="44"/>
      <c r="L518" s="44"/>
    </row>
    <row r="519">
      <c r="A519" s="48" t="s">
        <v>5468</v>
      </c>
      <c r="B519" s="48"/>
      <c r="C519" s="48" t="s">
        <v>9296</v>
      </c>
      <c r="D519" s="48"/>
      <c r="E519" s="48" t="s">
        <v>12072</v>
      </c>
      <c r="F519" s="64" t="s">
        <v>639</v>
      </c>
      <c r="G519" s="60" t="s">
        <v>96</v>
      </c>
      <c r="H519" s="88">
        <v>0.04073</v>
      </c>
      <c r="I519" s="49" t="s">
        <v>13421</v>
      </c>
      <c r="J519" s="49" t="s">
        <v>13422</v>
      </c>
      <c r="K519" s="44"/>
      <c r="L519" s="44"/>
    </row>
    <row r="520">
      <c r="A520" s="48" t="s">
        <v>9260</v>
      </c>
      <c r="B520" s="48"/>
      <c r="C520" s="64" t="s">
        <v>13423</v>
      </c>
      <c r="D520" s="48"/>
      <c r="E520" s="48" t="s">
        <v>12014</v>
      </c>
      <c r="F520" s="64" t="s">
        <v>694</v>
      </c>
      <c r="G520" s="60" t="s">
        <v>96</v>
      </c>
      <c r="H520" s="88">
        <v>0.04061</v>
      </c>
      <c r="I520" s="49" t="s">
        <v>13424</v>
      </c>
      <c r="J520" s="49" t="s">
        <v>13425</v>
      </c>
      <c r="K520" s="44"/>
      <c r="L520" s="44"/>
    </row>
    <row r="521">
      <c r="A521" s="48" t="s">
        <v>9301</v>
      </c>
      <c r="B521" s="48"/>
      <c r="C521" s="48" t="s">
        <v>13426</v>
      </c>
      <c r="D521" s="48"/>
      <c r="E521" s="48" t="s">
        <v>12246</v>
      </c>
      <c r="F521" s="64" t="s">
        <v>686</v>
      </c>
      <c r="G521" s="60" t="s">
        <v>96</v>
      </c>
      <c r="H521" s="88">
        <v>0.04055</v>
      </c>
      <c r="I521" s="49" t="s">
        <v>13427</v>
      </c>
      <c r="J521" s="49" t="s">
        <v>13428</v>
      </c>
      <c r="K521" s="44"/>
      <c r="L521" s="44"/>
    </row>
    <row r="522">
      <c r="A522" s="48" t="s">
        <v>4458</v>
      </c>
      <c r="B522" s="48"/>
      <c r="C522" s="64" t="s">
        <v>13429</v>
      </c>
      <c r="D522" s="48"/>
      <c r="E522" s="48" t="s">
        <v>12339</v>
      </c>
      <c r="F522" s="64" t="s">
        <v>622</v>
      </c>
      <c r="G522" s="60" t="s">
        <v>96</v>
      </c>
      <c r="H522" s="88">
        <v>0.04055</v>
      </c>
      <c r="I522" s="49" t="s">
        <v>13430</v>
      </c>
      <c r="J522" s="49" t="s">
        <v>13431</v>
      </c>
      <c r="K522" s="44"/>
      <c r="L522" s="44"/>
    </row>
    <row r="523">
      <c r="A523" s="48" t="s">
        <v>4399</v>
      </c>
      <c r="B523" s="48"/>
      <c r="C523" s="64" t="s">
        <v>13432</v>
      </c>
      <c r="D523" s="48"/>
      <c r="E523" s="48" t="s">
        <v>11397</v>
      </c>
      <c r="F523" s="64" t="s">
        <v>622</v>
      </c>
      <c r="G523" s="60" t="s">
        <v>96</v>
      </c>
      <c r="H523" s="88">
        <v>0.04027</v>
      </c>
      <c r="I523" s="49" t="s">
        <v>13433</v>
      </c>
      <c r="J523" s="49" t="s">
        <v>13434</v>
      </c>
      <c r="K523" s="44"/>
      <c r="L523" s="44"/>
    </row>
    <row r="524">
      <c r="A524" s="48" t="s">
        <v>4437</v>
      </c>
      <c r="B524" s="48"/>
      <c r="C524" s="64" t="s">
        <v>13435</v>
      </c>
      <c r="D524" s="48"/>
      <c r="E524" s="48" t="s">
        <v>13324</v>
      </c>
      <c r="F524" s="64" t="s">
        <v>622</v>
      </c>
      <c r="G524" s="60" t="s">
        <v>96</v>
      </c>
      <c r="H524" s="88">
        <v>0.04025</v>
      </c>
      <c r="I524" s="49" t="s">
        <v>13436</v>
      </c>
      <c r="J524" s="49" t="s">
        <v>13437</v>
      </c>
      <c r="K524" s="44"/>
      <c r="L524" s="44"/>
    </row>
    <row r="525">
      <c r="A525" s="48" t="s">
        <v>4434</v>
      </c>
      <c r="B525" s="48"/>
      <c r="C525" s="64" t="s">
        <v>13438</v>
      </c>
      <c r="D525" s="48"/>
      <c r="E525" s="48" t="s">
        <v>13439</v>
      </c>
      <c r="F525" s="64" t="s">
        <v>622</v>
      </c>
      <c r="G525" s="60" t="s">
        <v>96</v>
      </c>
      <c r="H525" s="88">
        <v>0.04016</v>
      </c>
      <c r="I525" s="49" t="s">
        <v>13440</v>
      </c>
      <c r="J525" s="49" t="s">
        <v>13441</v>
      </c>
      <c r="K525" s="44"/>
      <c r="L525" s="44"/>
    </row>
    <row r="526">
      <c r="A526" s="48" t="s">
        <v>9318</v>
      </c>
      <c r="B526" s="48"/>
      <c r="C526" s="64" t="s">
        <v>13442</v>
      </c>
      <c r="D526" s="48"/>
      <c r="E526" s="48" t="s">
        <v>12964</v>
      </c>
      <c r="F526" s="64" t="s">
        <v>694</v>
      </c>
      <c r="G526" s="60" t="s">
        <v>96</v>
      </c>
      <c r="H526" s="88">
        <v>0.0401</v>
      </c>
      <c r="I526" s="49" t="s">
        <v>13443</v>
      </c>
      <c r="J526" s="49" t="s">
        <v>13444</v>
      </c>
      <c r="K526" s="44"/>
      <c r="L526" s="44"/>
    </row>
    <row r="527">
      <c r="A527" s="48" t="s">
        <v>9021</v>
      </c>
      <c r="B527" s="48"/>
      <c r="C527" s="64" t="s">
        <v>13445</v>
      </c>
      <c r="D527" s="48"/>
      <c r="E527" s="48" t="s">
        <v>12417</v>
      </c>
      <c r="F527" s="64" t="s">
        <v>738</v>
      </c>
      <c r="G527" s="60" t="s">
        <v>96</v>
      </c>
      <c r="H527" s="88">
        <v>0.03995</v>
      </c>
      <c r="I527" s="49" t="s">
        <v>13446</v>
      </c>
      <c r="J527" s="49" t="s">
        <v>13447</v>
      </c>
      <c r="K527" s="44"/>
      <c r="L527" s="44"/>
    </row>
    <row r="528">
      <c r="A528" s="48" t="s">
        <v>4440</v>
      </c>
      <c r="B528" s="48"/>
      <c r="C528" s="64" t="s">
        <v>13448</v>
      </c>
      <c r="D528" s="48"/>
      <c r="E528" s="48" t="s">
        <v>5288</v>
      </c>
      <c r="F528" s="64" t="s">
        <v>622</v>
      </c>
      <c r="G528" s="60" t="s">
        <v>96</v>
      </c>
      <c r="H528" s="88">
        <v>0.03986</v>
      </c>
      <c r="I528" s="49" t="s">
        <v>13449</v>
      </c>
      <c r="J528" s="49" t="s">
        <v>13450</v>
      </c>
      <c r="K528" s="44"/>
      <c r="L528" s="44"/>
    </row>
    <row r="529">
      <c r="A529" s="48" t="s">
        <v>4416</v>
      </c>
      <c r="B529" s="48"/>
      <c r="C529" s="64" t="s">
        <v>13451</v>
      </c>
      <c r="D529" s="48"/>
      <c r="E529" s="48" t="s">
        <v>12501</v>
      </c>
      <c r="F529" s="64" t="s">
        <v>622</v>
      </c>
      <c r="G529" s="60" t="s">
        <v>96</v>
      </c>
      <c r="H529" s="88">
        <v>0.03975</v>
      </c>
      <c r="I529" s="49" t="s">
        <v>13452</v>
      </c>
      <c r="J529" s="49" t="s">
        <v>13453</v>
      </c>
      <c r="K529" s="44"/>
      <c r="L529" s="44"/>
    </row>
    <row r="530">
      <c r="A530" s="48" t="s">
        <v>9146</v>
      </c>
      <c r="B530" s="48"/>
      <c r="C530" s="48" t="s">
        <v>9059</v>
      </c>
      <c r="D530" s="48"/>
      <c r="E530" s="48" t="s">
        <v>12325</v>
      </c>
      <c r="F530" s="64" t="s">
        <v>639</v>
      </c>
      <c r="G530" s="60" t="s">
        <v>96</v>
      </c>
      <c r="H530" s="88">
        <v>0.0397</v>
      </c>
      <c r="I530" s="49" t="s">
        <v>13454</v>
      </c>
      <c r="J530" s="49" t="s">
        <v>13455</v>
      </c>
      <c r="K530" s="44"/>
      <c r="L530" s="44"/>
    </row>
    <row r="531">
      <c r="A531" s="48" t="s">
        <v>4455</v>
      </c>
      <c r="B531" s="48"/>
      <c r="C531" s="64" t="s">
        <v>13456</v>
      </c>
      <c r="D531" s="48"/>
      <c r="E531" s="48" t="s">
        <v>13457</v>
      </c>
      <c r="F531" s="64" t="s">
        <v>622</v>
      </c>
      <c r="G531" s="60" t="s">
        <v>96</v>
      </c>
      <c r="H531" s="88">
        <v>0.03955</v>
      </c>
      <c r="I531" s="49" t="s">
        <v>13458</v>
      </c>
      <c r="J531" s="49" t="s">
        <v>13459</v>
      </c>
      <c r="K531" s="44"/>
      <c r="L531" s="44"/>
    </row>
    <row r="532">
      <c r="A532" s="48" t="s">
        <v>4426</v>
      </c>
      <c r="B532" s="48"/>
      <c r="C532" s="64" t="s">
        <v>13460</v>
      </c>
      <c r="D532" s="48"/>
      <c r="E532" s="48" t="s">
        <v>12729</v>
      </c>
      <c r="F532" s="64" t="s">
        <v>622</v>
      </c>
      <c r="G532" s="60" t="s">
        <v>96</v>
      </c>
      <c r="H532" s="88">
        <v>0.03944</v>
      </c>
      <c r="I532" s="49" t="s">
        <v>13461</v>
      </c>
      <c r="J532" s="49" t="s">
        <v>13462</v>
      </c>
      <c r="K532" s="44"/>
      <c r="L532" s="44"/>
    </row>
    <row r="533">
      <c r="A533" s="48" t="s">
        <v>4429</v>
      </c>
      <c r="B533" s="48"/>
      <c r="C533" s="64" t="s">
        <v>13463</v>
      </c>
      <c r="D533" s="48"/>
      <c r="E533" s="48" t="s">
        <v>5288</v>
      </c>
      <c r="F533" s="64" t="s">
        <v>622</v>
      </c>
      <c r="G533" s="60" t="s">
        <v>96</v>
      </c>
      <c r="H533" s="88">
        <v>0.03936</v>
      </c>
      <c r="I533" s="49" t="s">
        <v>13464</v>
      </c>
      <c r="J533" s="49" t="s">
        <v>13465</v>
      </c>
      <c r="K533" s="44"/>
      <c r="L533" s="44"/>
    </row>
    <row r="534">
      <c r="A534" s="48" t="s">
        <v>11423</v>
      </c>
      <c r="B534" s="48"/>
      <c r="C534" s="64" t="s">
        <v>13466</v>
      </c>
      <c r="D534" s="48"/>
      <c r="E534" s="48" t="s">
        <v>12078</v>
      </c>
      <c r="F534" s="64" t="s">
        <v>694</v>
      </c>
      <c r="G534" s="60" t="s">
        <v>96</v>
      </c>
      <c r="H534" s="88">
        <v>0.03905</v>
      </c>
      <c r="I534" s="49" t="s">
        <v>13467</v>
      </c>
      <c r="J534" s="49" t="s">
        <v>13468</v>
      </c>
      <c r="K534" s="44"/>
      <c r="L534" s="44"/>
    </row>
    <row r="535">
      <c r="A535" s="48" t="s">
        <v>4450</v>
      </c>
      <c r="B535" s="48"/>
      <c r="C535" s="64" t="s">
        <v>13469</v>
      </c>
      <c r="D535" s="48"/>
      <c r="E535" s="48" t="s">
        <v>12046</v>
      </c>
      <c r="F535" s="64" t="s">
        <v>622</v>
      </c>
      <c r="G535" s="60" t="s">
        <v>96</v>
      </c>
      <c r="H535" s="88">
        <v>0.03903</v>
      </c>
      <c r="I535" s="49" t="s">
        <v>13470</v>
      </c>
      <c r="J535" s="49" t="s">
        <v>13471</v>
      </c>
      <c r="K535" s="44"/>
      <c r="L535" s="44"/>
    </row>
    <row r="536">
      <c r="A536" s="48" t="s">
        <v>4461</v>
      </c>
      <c r="B536" s="48"/>
      <c r="C536" s="64" t="s">
        <v>13472</v>
      </c>
      <c r="D536" s="48"/>
      <c r="E536" s="48" t="s">
        <v>12078</v>
      </c>
      <c r="F536" s="64" t="s">
        <v>622</v>
      </c>
      <c r="G536" s="60" t="s">
        <v>96</v>
      </c>
      <c r="H536" s="88">
        <v>0.03885</v>
      </c>
      <c r="I536" s="49" t="s">
        <v>13473</v>
      </c>
      <c r="J536" s="49" t="s">
        <v>13474</v>
      </c>
      <c r="K536" s="44"/>
      <c r="L536" s="44"/>
    </row>
    <row r="537">
      <c r="A537" s="48" t="s">
        <v>11405</v>
      </c>
      <c r="B537" s="48"/>
      <c r="C537" s="64" t="s">
        <v>13475</v>
      </c>
      <c r="D537" s="48"/>
      <c r="E537" s="48" t="s">
        <v>5296</v>
      </c>
      <c r="F537" s="64" t="s">
        <v>629</v>
      </c>
      <c r="G537" s="60" t="s">
        <v>96</v>
      </c>
      <c r="H537" s="88">
        <v>0.03884</v>
      </c>
      <c r="I537" s="49" t="s">
        <v>13476</v>
      </c>
      <c r="J537" s="49" t="s">
        <v>13477</v>
      </c>
      <c r="K537" s="44"/>
      <c r="L537" s="44"/>
    </row>
    <row r="538">
      <c r="A538" s="48" t="s">
        <v>9232</v>
      </c>
      <c r="B538" s="48"/>
      <c r="C538" s="48" t="s">
        <v>9233</v>
      </c>
      <c r="D538" s="48"/>
      <c r="E538" s="48" t="s">
        <v>12205</v>
      </c>
      <c r="F538" s="64" t="s">
        <v>645</v>
      </c>
      <c r="G538" s="60" t="s">
        <v>96</v>
      </c>
      <c r="H538" s="88">
        <v>0.03881</v>
      </c>
      <c r="I538" s="49" t="s">
        <v>13478</v>
      </c>
      <c r="J538" s="49" t="s">
        <v>13479</v>
      </c>
      <c r="K538" s="44"/>
      <c r="L538" s="44"/>
    </row>
    <row r="539">
      <c r="A539" s="48" t="s">
        <v>9293</v>
      </c>
      <c r="B539" s="48"/>
      <c r="C539" s="48" t="s">
        <v>9294</v>
      </c>
      <c r="D539" s="48"/>
      <c r="E539" s="48" t="s">
        <v>11965</v>
      </c>
      <c r="F539" s="64" t="s">
        <v>668</v>
      </c>
      <c r="G539" s="60" t="s">
        <v>96</v>
      </c>
      <c r="H539" s="88">
        <v>0.03874</v>
      </c>
      <c r="I539" s="49" t="s">
        <v>13480</v>
      </c>
      <c r="J539" s="49" t="s">
        <v>13481</v>
      </c>
      <c r="K539" s="44"/>
      <c r="L539" s="44"/>
    </row>
    <row r="540">
      <c r="A540" s="48" t="s">
        <v>9277</v>
      </c>
      <c r="B540" s="48"/>
      <c r="C540" s="48" t="s">
        <v>9278</v>
      </c>
      <c r="D540" s="48"/>
      <c r="E540" s="48" t="s">
        <v>12325</v>
      </c>
      <c r="F540" s="64" t="s">
        <v>11998</v>
      </c>
      <c r="G540" s="60" t="s">
        <v>96</v>
      </c>
      <c r="H540" s="88">
        <v>0.03847</v>
      </c>
      <c r="I540" s="49" t="s">
        <v>13482</v>
      </c>
      <c r="J540" s="49" t="s">
        <v>13483</v>
      </c>
      <c r="K540" s="44"/>
      <c r="L540" s="44"/>
    </row>
    <row r="541">
      <c r="A541" s="48" t="s">
        <v>9176</v>
      </c>
      <c r="B541" s="48"/>
      <c r="C541" s="64" t="s">
        <v>13484</v>
      </c>
      <c r="D541" s="48"/>
      <c r="E541" s="48" t="s">
        <v>12339</v>
      </c>
      <c r="F541" s="64" t="s">
        <v>622</v>
      </c>
      <c r="G541" s="60" t="s">
        <v>96</v>
      </c>
      <c r="H541" s="88">
        <v>0.03843</v>
      </c>
      <c r="I541" s="49" t="s">
        <v>13485</v>
      </c>
      <c r="J541" s="49" t="s">
        <v>13486</v>
      </c>
      <c r="K541" s="44"/>
      <c r="L541" s="44"/>
    </row>
    <row r="542">
      <c r="A542" s="48" t="s">
        <v>9336</v>
      </c>
      <c r="B542" s="48"/>
      <c r="C542" s="48" t="s">
        <v>13487</v>
      </c>
      <c r="D542" s="48"/>
      <c r="E542" s="48" t="s">
        <v>12356</v>
      </c>
      <c r="F542" s="64" t="s">
        <v>1740</v>
      </c>
      <c r="G542" s="60" t="s">
        <v>96</v>
      </c>
      <c r="H542" s="88">
        <v>0.0383</v>
      </c>
      <c r="I542" s="49" t="s">
        <v>13488</v>
      </c>
      <c r="J542" s="49" t="s">
        <v>13489</v>
      </c>
      <c r="K542" s="44"/>
      <c r="L542" s="44"/>
    </row>
    <row r="543">
      <c r="A543" s="48" t="s">
        <v>9257</v>
      </c>
      <c r="B543" s="48"/>
      <c r="C543" s="48" t="s">
        <v>9258</v>
      </c>
      <c r="D543" s="48"/>
      <c r="E543" s="48" t="s">
        <v>12426</v>
      </c>
      <c r="F543" s="64" t="s">
        <v>649</v>
      </c>
      <c r="G543" s="60" t="s">
        <v>96</v>
      </c>
      <c r="H543" s="88">
        <v>0.03807</v>
      </c>
      <c r="I543" s="49" t="s">
        <v>13490</v>
      </c>
      <c r="J543" s="49" t="s">
        <v>13491</v>
      </c>
      <c r="K543" s="44"/>
      <c r="L543" s="44"/>
    </row>
    <row r="544">
      <c r="A544" s="48" t="s">
        <v>9344</v>
      </c>
      <c r="B544" s="48"/>
      <c r="C544" s="48" t="s">
        <v>9345</v>
      </c>
      <c r="D544" s="48"/>
      <c r="E544" s="48" t="s">
        <v>12367</v>
      </c>
      <c r="F544" s="64" t="s">
        <v>11998</v>
      </c>
      <c r="G544" s="60" t="s">
        <v>96</v>
      </c>
      <c r="H544" s="88">
        <v>0.03801</v>
      </c>
      <c r="I544" s="49" t="s">
        <v>13492</v>
      </c>
      <c r="J544" s="49" t="s">
        <v>13493</v>
      </c>
      <c r="K544" s="44"/>
      <c r="L544" s="44"/>
    </row>
    <row r="545">
      <c r="A545" s="48" t="s">
        <v>4443</v>
      </c>
      <c r="B545" s="48"/>
      <c r="C545" s="64" t="s">
        <v>13494</v>
      </c>
      <c r="D545" s="48"/>
      <c r="E545" s="48" t="s">
        <v>12078</v>
      </c>
      <c r="F545" s="64" t="s">
        <v>622</v>
      </c>
      <c r="G545" s="60" t="s">
        <v>96</v>
      </c>
      <c r="H545" s="88">
        <v>0.03798</v>
      </c>
      <c r="I545" s="49" t="s">
        <v>13495</v>
      </c>
      <c r="J545" s="49" t="s">
        <v>13496</v>
      </c>
      <c r="K545" s="44"/>
      <c r="L545" s="44"/>
    </row>
    <row r="546">
      <c r="A546" s="48" t="s">
        <v>4414</v>
      </c>
      <c r="B546" s="48"/>
      <c r="C546" s="48" t="s">
        <v>9270</v>
      </c>
      <c r="D546" s="48"/>
      <c r="E546" s="48" t="s">
        <v>12046</v>
      </c>
      <c r="F546" s="64" t="s">
        <v>622</v>
      </c>
      <c r="G546" s="60" t="s">
        <v>96</v>
      </c>
      <c r="H546" s="88">
        <v>0.03793</v>
      </c>
      <c r="I546" s="49" t="s">
        <v>13497</v>
      </c>
      <c r="J546" s="49" t="s">
        <v>13498</v>
      </c>
      <c r="K546" s="44"/>
      <c r="L546" s="44"/>
    </row>
    <row r="547">
      <c r="A547" s="48" t="s">
        <v>4508</v>
      </c>
      <c r="B547" s="48"/>
      <c r="C547" s="64" t="s">
        <v>13499</v>
      </c>
      <c r="D547" s="48"/>
      <c r="E547" s="48" t="s">
        <v>11956</v>
      </c>
      <c r="F547" s="64" t="s">
        <v>622</v>
      </c>
      <c r="G547" s="60" t="s">
        <v>96</v>
      </c>
      <c r="H547" s="88">
        <v>0.03786</v>
      </c>
      <c r="I547" s="49" t="s">
        <v>13500</v>
      </c>
      <c r="J547" s="49" t="s">
        <v>13501</v>
      </c>
      <c r="K547" s="44"/>
      <c r="L547" s="44"/>
    </row>
    <row r="548">
      <c r="A548" s="48" t="s">
        <v>4410</v>
      </c>
      <c r="B548" s="48"/>
      <c r="C548" s="64" t="s">
        <v>13502</v>
      </c>
      <c r="D548" s="48"/>
      <c r="E548" s="48" t="s">
        <v>12004</v>
      </c>
      <c r="F548" s="64" t="s">
        <v>622</v>
      </c>
      <c r="G548" s="60" t="s">
        <v>96</v>
      </c>
      <c r="H548" s="88">
        <v>0.03771</v>
      </c>
      <c r="I548" s="49" t="s">
        <v>13503</v>
      </c>
      <c r="J548" s="49" t="s">
        <v>13504</v>
      </c>
      <c r="K548" s="44"/>
      <c r="L548" s="44"/>
    </row>
    <row r="549">
      <c r="A549" s="48" t="s">
        <v>4465</v>
      </c>
      <c r="B549" s="48"/>
      <c r="C549" s="64" t="s">
        <v>13505</v>
      </c>
      <c r="D549" s="48"/>
      <c r="E549" s="48" t="s">
        <v>12014</v>
      </c>
      <c r="F549" s="64" t="s">
        <v>622</v>
      </c>
      <c r="G549" s="60" t="s">
        <v>96</v>
      </c>
      <c r="H549" s="88">
        <v>0.0377</v>
      </c>
      <c r="I549" s="49" t="s">
        <v>13506</v>
      </c>
      <c r="J549" s="49" t="s">
        <v>13507</v>
      </c>
      <c r="K549" s="44"/>
      <c r="L549" s="44"/>
    </row>
    <row r="550">
      <c r="A550" s="48" t="s">
        <v>4463</v>
      </c>
      <c r="B550" s="48"/>
      <c r="C550" s="64" t="s">
        <v>13508</v>
      </c>
      <c r="D550" s="48"/>
      <c r="E550" s="48" t="s">
        <v>6012</v>
      </c>
      <c r="F550" s="64" t="s">
        <v>622</v>
      </c>
      <c r="G550" s="60" t="s">
        <v>96</v>
      </c>
      <c r="H550" s="88">
        <v>0.03768</v>
      </c>
      <c r="I550" s="49" t="s">
        <v>13509</v>
      </c>
      <c r="J550" s="49" t="s">
        <v>13510</v>
      </c>
      <c r="K550" s="44"/>
      <c r="L550" s="44"/>
    </row>
    <row r="551">
      <c r="A551" s="48" t="s">
        <v>9285</v>
      </c>
      <c r="B551" s="48"/>
      <c r="C551" s="64" t="s">
        <v>13511</v>
      </c>
      <c r="D551" s="48"/>
      <c r="E551" s="48" t="s">
        <v>12046</v>
      </c>
      <c r="F551" s="64" t="s">
        <v>629</v>
      </c>
      <c r="G551" s="60" t="s">
        <v>96</v>
      </c>
      <c r="H551" s="88">
        <v>0.03768</v>
      </c>
      <c r="I551" s="49" t="s">
        <v>13512</v>
      </c>
      <c r="J551" s="49" t="s">
        <v>13513</v>
      </c>
      <c r="K551" s="44"/>
      <c r="L551" s="44"/>
    </row>
    <row r="552">
      <c r="A552" s="48" t="s">
        <v>4467</v>
      </c>
      <c r="B552" s="48"/>
      <c r="C552" s="64" t="s">
        <v>13514</v>
      </c>
      <c r="D552" s="48"/>
      <c r="E552" s="48" t="s">
        <v>12078</v>
      </c>
      <c r="F552" s="64" t="s">
        <v>622</v>
      </c>
      <c r="G552" s="60" t="s">
        <v>96</v>
      </c>
      <c r="H552" s="88">
        <v>0.03741</v>
      </c>
      <c r="I552" s="49" t="s">
        <v>13515</v>
      </c>
      <c r="J552" s="49" t="s">
        <v>13516</v>
      </c>
      <c r="K552" s="44"/>
      <c r="L552" s="44"/>
    </row>
    <row r="553">
      <c r="A553" s="48" t="s">
        <v>9246</v>
      </c>
      <c r="B553" s="48"/>
      <c r="C553" s="64" t="s">
        <v>13517</v>
      </c>
      <c r="D553" s="48"/>
      <c r="E553" s="48" t="s">
        <v>5650</v>
      </c>
      <c r="F553" s="64" t="s">
        <v>629</v>
      </c>
      <c r="G553" s="60" t="s">
        <v>96</v>
      </c>
      <c r="H553" s="88">
        <v>0.03731</v>
      </c>
      <c r="I553" s="49" t="s">
        <v>13518</v>
      </c>
      <c r="J553" s="49" t="s">
        <v>13519</v>
      </c>
      <c r="K553" s="44"/>
      <c r="L553" s="44"/>
    </row>
    <row r="554">
      <c r="A554" s="48" t="s">
        <v>11417</v>
      </c>
      <c r="B554" s="48"/>
      <c r="C554" s="48" t="s">
        <v>11418</v>
      </c>
      <c r="D554" s="48"/>
      <c r="E554" s="48" t="s">
        <v>5288</v>
      </c>
      <c r="F554" s="64" t="s">
        <v>639</v>
      </c>
      <c r="G554" s="60" t="s">
        <v>96</v>
      </c>
      <c r="H554" s="88">
        <v>0.0372</v>
      </c>
      <c r="I554" s="49" t="s">
        <v>13520</v>
      </c>
      <c r="J554" s="49" t="s">
        <v>13521</v>
      </c>
      <c r="K554" s="44"/>
      <c r="L554" s="44"/>
    </row>
    <row r="555">
      <c r="A555" s="48" t="s">
        <v>4468</v>
      </c>
      <c r="B555" s="48"/>
      <c r="C555" s="64" t="s">
        <v>13522</v>
      </c>
      <c r="D555" s="48"/>
      <c r="E555" s="48" t="s">
        <v>12046</v>
      </c>
      <c r="F555" s="64" t="s">
        <v>622</v>
      </c>
      <c r="G555" s="60" t="s">
        <v>96</v>
      </c>
      <c r="H555" s="88">
        <v>0.03718</v>
      </c>
      <c r="I555" s="49" t="s">
        <v>13523</v>
      </c>
      <c r="J555" s="49" t="s">
        <v>13524</v>
      </c>
      <c r="K555" s="44"/>
      <c r="L555" s="44"/>
    </row>
    <row r="556">
      <c r="A556" s="48" t="s">
        <v>4466</v>
      </c>
      <c r="B556" s="48"/>
      <c r="C556" s="64" t="s">
        <v>13525</v>
      </c>
      <c r="D556" s="48"/>
      <c r="E556" s="48" t="s">
        <v>5650</v>
      </c>
      <c r="F556" s="64" t="s">
        <v>622</v>
      </c>
      <c r="G556" s="60" t="s">
        <v>96</v>
      </c>
      <c r="H556" s="88">
        <v>0.03716</v>
      </c>
      <c r="I556" s="49" t="s">
        <v>13526</v>
      </c>
      <c r="J556" s="49" t="s">
        <v>13527</v>
      </c>
      <c r="K556" s="44"/>
      <c r="L556" s="44"/>
    </row>
    <row r="557">
      <c r="A557" s="48" t="s">
        <v>9327</v>
      </c>
      <c r="B557" s="48"/>
      <c r="C557" s="48" t="s">
        <v>9328</v>
      </c>
      <c r="D557" s="48"/>
      <c r="E557" s="48" t="s">
        <v>6012</v>
      </c>
      <c r="F557" s="64" t="s">
        <v>668</v>
      </c>
      <c r="G557" s="60" t="s">
        <v>96</v>
      </c>
      <c r="H557" s="88">
        <v>0.03712</v>
      </c>
      <c r="I557" s="49" t="s">
        <v>13528</v>
      </c>
      <c r="J557" s="49" t="s">
        <v>13529</v>
      </c>
      <c r="K557" s="44"/>
      <c r="L557" s="44"/>
    </row>
    <row r="558">
      <c r="A558" s="48" t="s">
        <v>4369</v>
      </c>
      <c r="B558" s="48"/>
      <c r="C558" s="64" t="s">
        <v>13530</v>
      </c>
      <c r="D558" s="48"/>
      <c r="E558" s="48" t="s">
        <v>12619</v>
      </c>
      <c r="F558" s="64" t="s">
        <v>622</v>
      </c>
      <c r="G558" s="60" t="s">
        <v>96</v>
      </c>
      <c r="H558" s="88">
        <v>0.03692</v>
      </c>
      <c r="I558" s="49" t="s">
        <v>13531</v>
      </c>
      <c r="J558" s="49" t="s">
        <v>13532</v>
      </c>
      <c r="K558" s="44"/>
      <c r="L558" s="44"/>
    </row>
    <row r="559">
      <c r="A559" s="48" t="s">
        <v>11410</v>
      </c>
      <c r="B559" s="48"/>
      <c r="C559" s="64" t="s">
        <v>13533</v>
      </c>
      <c r="D559" s="48"/>
      <c r="E559" s="48" t="s">
        <v>12223</v>
      </c>
      <c r="F559" s="64" t="s">
        <v>622</v>
      </c>
      <c r="G559" s="60" t="s">
        <v>96</v>
      </c>
      <c r="H559" s="88">
        <v>0.03681</v>
      </c>
      <c r="I559" s="49" t="s">
        <v>13534</v>
      </c>
      <c r="J559" s="49" t="s">
        <v>13535</v>
      </c>
      <c r="K559" s="44"/>
      <c r="L559" s="44"/>
    </row>
    <row r="560">
      <c r="A560" s="48" t="s">
        <v>9265</v>
      </c>
      <c r="B560" s="48"/>
      <c r="C560" s="48" t="s">
        <v>9266</v>
      </c>
      <c r="D560" s="48"/>
      <c r="E560" s="48" t="s">
        <v>11942</v>
      </c>
      <c r="F560" s="64" t="s">
        <v>11998</v>
      </c>
      <c r="G560" s="60" t="s">
        <v>96</v>
      </c>
      <c r="H560" s="88">
        <v>0.03677</v>
      </c>
      <c r="I560" s="49" t="s">
        <v>13536</v>
      </c>
      <c r="J560" s="49" t="s">
        <v>13537</v>
      </c>
      <c r="K560" s="44"/>
      <c r="L560" s="44"/>
    </row>
    <row r="561">
      <c r="A561" s="48" t="s">
        <v>4439</v>
      </c>
      <c r="B561" s="48"/>
      <c r="C561" s="64" t="s">
        <v>13538</v>
      </c>
      <c r="D561" s="48"/>
      <c r="E561" s="48" t="s">
        <v>12356</v>
      </c>
      <c r="F561" s="64" t="s">
        <v>622</v>
      </c>
      <c r="G561" s="60" t="s">
        <v>96</v>
      </c>
      <c r="H561" s="88">
        <v>0.03653</v>
      </c>
      <c r="I561" s="49" t="s">
        <v>13539</v>
      </c>
      <c r="J561" s="49" t="s">
        <v>13540</v>
      </c>
      <c r="K561" s="44"/>
      <c r="L561" s="44"/>
    </row>
    <row r="562">
      <c r="A562" s="48" t="s">
        <v>4530</v>
      </c>
      <c r="B562" s="48"/>
      <c r="C562" s="64" t="s">
        <v>13541</v>
      </c>
      <c r="D562" s="48"/>
      <c r="E562" s="48" t="s">
        <v>13231</v>
      </c>
      <c r="F562" s="64" t="s">
        <v>622</v>
      </c>
      <c r="G562" s="60" t="s">
        <v>96</v>
      </c>
      <c r="H562" s="88">
        <v>0.03651</v>
      </c>
      <c r="I562" s="49" t="s">
        <v>13542</v>
      </c>
      <c r="J562" s="49" t="s">
        <v>13543</v>
      </c>
      <c r="K562" s="44"/>
      <c r="L562" s="44"/>
    </row>
    <row r="563">
      <c r="A563" s="48" t="s">
        <v>4459</v>
      </c>
      <c r="B563" s="48"/>
      <c r="C563" s="64" t="s">
        <v>13544</v>
      </c>
      <c r="D563" s="48"/>
      <c r="E563" s="48" t="s">
        <v>5775</v>
      </c>
      <c r="F563" s="64" t="s">
        <v>622</v>
      </c>
      <c r="G563" s="60" t="s">
        <v>96</v>
      </c>
      <c r="H563" s="88">
        <v>0.03645</v>
      </c>
      <c r="I563" s="49" t="s">
        <v>13545</v>
      </c>
      <c r="J563" s="49" t="s">
        <v>13546</v>
      </c>
      <c r="K563" s="44"/>
      <c r="L563" s="44"/>
    </row>
    <row r="564">
      <c r="A564" s="48" t="s">
        <v>4596</v>
      </c>
      <c r="B564" s="48"/>
      <c r="C564" s="64" t="s">
        <v>13547</v>
      </c>
      <c r="D564" s="48"/>
      <c r="E564" s="48" t="s">
        <v>12046</v>
      </c>
      <c r="F564" s="64" t="s">
        <v>622</v>
      </c>
      <c r="G564" s="60" t="s">
        <v>96</v>
      </c>
      <c r="H564" s="88">
        <v>0.03644</v>
      </c>
      <c r="I564" s="49" t="s">
        <v>13548</v>
      </c>
      <c r="J564" s="49" t="s">
        <v>13549</v>
      </c>
      <c r="K564" s="44"/>
      <c r="L564" s="44"/>
    </row>
    <row r="565">
      <c r="A565" s="48" t="s">
        <v>4489</v>
      </c>
      <c r="B565" s="48"/>
      <c r="C565" s="64" t="s">
        <v>13550</v>
      </c>
      <c r="D565" s="48"/>
      <c r="E565" s="48" t="s">
        <v>12116</v>
      </c>
      <c r="F565" s="64" t="s">
        <v>622</v>
      </c>
      <c r="G565" s="60" t="s">
        <v>96</v>
      </c>
      <c r="H565" s="88">
        <v>0.03632</v>
      </c>
      <c r="I565" s="49" t="s">
        <v>13551</v>
      </c>
      <c r="J565" s="49" t="s">
        <v>13552</v>
      </c>
      <c r="K565" s="44"/>
      <c r="L565" s="44"/>
    </row>
    <row r="566">
      <c r="A566" s="48" t="s">
        <v>11412</v>
      </c>
      <c r="B566" s="48"/>
      <c r="C566" s="48" t="s">
        <v>11413</v>
      </c>
      <c r="D566" s="48"/>
      <c r="E566" s="48" t="s">
        <v>6083</v>
      </c>
      <c r="F566" s="64" t="s">
        <v>11998</v>
      </c>
      <c r="G566" s="60" t="s">
        <v>96</v>
      </c>
      <c r="H566" s="88">
        <v>0.03627</v>
      </c>
      <c r="I566" s="49" t="s">
        <v>13553</v>
      </c>
      <c r="J566" s="49" t="s">
        <v>13554</v>
      </c>
      <c r="K566" s="44"/>
      <c r="L566" s="44"/>
    </row>
    <row r="567">
      <c r="A567" s="48" t="s">
        <v>9362</v>
      </c>
      <c r="B567" s="48"/>
      <c r="C567" s="48" t="s">
        <v>9363</v>
      </c>
      <c r="D567" s="48"/>
      <c r="E567" s="48" t="s">
        <v>12559</v>
      </c>
      <c r="F567" s="64" t="s">
        <v>645</v>
      </c>
      <c r="G567" s="60" t="s">
        <v>96</v>
      </c>
      <c r="H567" s="88">
        <v>0.03624</v>
      </c>
      <c r="I567" s="49" t="s">
        <v>13555</v>
      </c>
      <c r="J567" s="49" t="s">
        <v>13556</v>
      </c>
      <c r="K567" s="44"/>
      <c r="L567" s="44"/>
    </row>
    <row r="568">
      <c r="A568" s="48" t="s">
        <v>9290</v>
      </c>
      <c r="B568" s="48"/>
      <c r="C568" s="48" t="s">
        <v>9291</v>
      </c>
      <c r="D568" s="48"/>
      <c r="E568" s="48" t="s">
        <v>13317</v>
      </c>
      <c r="F568" s="64" t="s">
        <v>639</v>
      </c>
      <c r="G568" s="60" t="s">
        <v>96</v>
      </c>
      <c r="H568" s="88">
        <v>0.03609</v>
      </c>
      <c r="I568" s="49" t="s">
        <v>13557</v>
      </c>
      <c r="J568" s="49" t="s">
        <v>13558</v>
      </c>
      <c r="K568" s="44"/>
      <c r="L568" s="44"/>
    </row>
    <row r="569">
      <c r="A569" s="48" t="s">
        <v>4401</v>
      </c>
      <c r="B569" s="48"/>
      <c r="C569" s="64" t="s">
        <v>13559</v>
      </c>
      <c r="D569" s="48"/>
      <c r="E569" s="48" t="s">
        <v>12216</v>
      </c>
      <c r="F569" s="64" t="s">
        <v>622</v>
      </c>
      <c r="G569" s="60" t="s">
        <v>96</v>
      </c>
      <c r="H569" s="88">
        <v>0.03597</v>
      </c>
      <c r="I569" s="49" t="s">
        <v>13560</v>
      </c>
      <c r="J569" s="49" t="s">
        <v>13561</v>
      </c>
      <c r="K569" s="44"/>
      <c r="L569" s="44"/>
    </row>
    <row r="570">
      <c r="A570" s="48" t="s">
        <v>11415</v>
      </c>
      <c r="B570" s="48"/>
      <c r="C570" s="48" t="s">
        <v>11416</v>
      </c>
      <c r="D570" s="48"/>
      <c r="E570" s="48" t="s">
        <v>12356</v>
      </c>
      <c r="F570" s="64" t="s">
        <v>1740</v>
      </c>
      <c r="G570" s="60" t="s">
        <v>96</v>
      </c>
      <c r="H570" s="88">
        <v>0.03584</v>
      </c>
      <c r="I570" s="49" t="s">
        <v>13562</v>
      </c>
      <c r="J570" s="49" t="s">
        <v>13563</v>
      </c>
      <c r="K570" s="44"/>
      <c r="L570" s="44"/>
    </row>
    <row r="571">
      <c r="A571" s="48" t="s">
        <v>4390</v>
      </c>
      <c r="B571" s="48"/>
      <c r="C571" s="64" t="s">
        <v>13564</v>
      </c>
      <c r="D571" s="48"/>
      <c r="E571" s="48" t="s">
        <v>11899</v>
      </c>
      <c r="F571" s="64" t="s">
        <v>622</v>
      </c>
      <c r="G571" s="60" t="s">
        <v>96</v>
      </c>
      <c r="H571" s="88">
        <v>0.03564</v>
      </c>
      <c r="I571" s="49" t="s">
        <v>13565</v>
      </c>
      <c r="J571" s="49" t="s">
        <v>13566</v>
      </c>
      <c r="K571" s="44"/>
      <c r="L571" s="44"/>
    </row>
    <row r="572">
      <c r="A572" s="48" t="s">
        <v>4428</v>
      </c>
      <c r="B572" s="48"/>
      <c r="C572" s="64" t="s">
        <v>13567</v>
      </c>
      <c r="D572" s="48"/>
      <c r="E572" s="48" t="s">
        <v>12123</v>
      </c>
      <c r="F572" s="64" t="s">
        <v>622</v>
      </c>
      <c r="G572" s="60" t="s">
        <v>96</v>
      </c>
      <c r="H572" s="88">
        <v>0.0354</v>
      </c>
      <c r="I572" s="49" t="s">
        <v>13568</v>
      </c>
      <c r="J572" s="49" t="s">
        <v>13569</v>
      </c>
      <c r="K572" s="44"/>
      <c r="L572" s="44"/>
    </row>
    <row r="573">
      <c r="A573" s="48" t="s">
        <v>9311</v>
      </c>
      <c r="B573" s="48"/>
      <c r="C573" s="64" t="s">
        <v>13570</v>
      </c>
      <c r="D573" s="48"/>
      <c r="E573" s="48" t="s">
        <v>12046</v>
      </c>
      <c r="F573" s="64" t="s">
        <v>629</v>
      </c>
      <c r="G573" s="60" t="s">
        <v>96</v>
      </c>
      <c r="H573" s="88">
        <v>0.03532</v>
      </c>
      <c r="I573" s="49" t="s">
        <v>13571</v>
      </c>
      <c r="J573" s="49" t="s">
        <v>13572</v>
      </c>
      <c r="K573" s="44"/>
      <c r="L573" s="44"/>
    </row>
    <row r="574">
      <c r="A574" s="48" t="s">
        <v>9404</v>
      </c>
      <c r="B574" s="48"/>
      <c r="C574" s="64" t="s">
        <v>13573</v>
      </c>
      <c r="D574" s="48"/>
      <c r="E574" s="48" t="s">
        <v>13574</v>
      </c>
      <c r="F574" s="64" t="s">
        <v>822</v>
      </c>
      <c r="G574" s="60" t="s">
        <v>96</v>
      </c>
      <c r="H574" s="88">
        <v>0.0353</v>
      </c>
      <c r="I574" s="49" t="s">
        <v>13575</v>
      </c>
      <c r="J574" s="49" t="s">
        <v>13576</v>
      </c>
      <c r="K574" s="44"/>
      <c r="L574" s="44"/>
    </row>
    <row r="575">
      <c r="A575" s="48" t="s">
        <v>9370</v>
      </c>
      <c r="B575" s="48"/>
      <c r="C575" s="64" t="s">
        <v>13577</v>
      </c>
      <c r="D575" s="48"/>
      <c r="E575" s="48" t="s">
        <v>5961</v>
      </c>
      <c r="F575" s="64" t="s">
        <v>629</v>
      </c>
      <c r="G575" s="60" t="s">
        <v>96</v>
      </c>
      <c r="H575" s="88">
        <v>0.03515</v>
      </c>
      <c r="I575" s="49" t="s">
        <v>13578</v>
      </c>
      <c r="J575" s="49" t="s">
        <v>13579</v>
      </c>
      <c r="K575" s="44"/>
      <c r="L575" s="44"/>
    </row>
    <row r="576">
      <c r="A576" s="48" t="s">
        <v>4445</v>
      </c>
      <c r="B576" s="48"/>
      <c r="C576" s="64" t="s">
        <v>13580</v>
      </c>
      <c r="D576" s="48"/>
      <c r="E576" s="48" t="s">
        <v>12220</v>
      </c>
      <c r="F576" s="64" t="s">
        <v>622</v>
      </c>
      <c r="G576" s="60" t="s">
        <v>96</v>
      </c>
      <c r="H576" s="88">
        <v>0.03489</v>
      </c>
      <c r="I576" s="49" t="s">
        <v>13581</v>
      </c>
      <c r="J576" s="49" t="s">
        <v>13582</v>
      </c>
      <c r="K576" s="44"/>
      <c r="L576" s="44"/>
    </row>
    <row r="577">
      <c r="A577" s="48" t="s">
        <v>4510</v>
      </c>
      <c r="B577" s="48"/>
      <c r="C577" s="64" t="s">
        <v>13583</v>
      </c>
      <c r="D577" s="48"/>
      <c r="E577" s="48" t="s">
        <v>12501</v>
      </c>
      <c r="F577" s="64" t="s">
        <v>622</v>
      </c>
      <c r="G577" s="60" t="s">
        <v>96</v>
      </c>
      <c r="H577" s="88">
        <v>0.03488</v>
      </c>
      <c r="I577" s="49" t="s">
        <v>13584</v>
      </c>
      <c r="J577" s="49" t="s">
        <v>13585</v>
      </c>
      <c r="K577" s="44"/>
      <c r="L577" s="44"/>
    </row>
    <row r="578">
      <c r="A578" s="48" t="s">
        <v>9398</v>
      </c>
      <c r="B578" s="48"/>
      <c r="C578" s="64" t="s">
        <v>13586</v>
      </c>
      <c r="D578" s="48"/>
      <c r="E578" s="48" t="s">
        <v>12325</v>
      </c>
      <c r="F578" s="64" t="s">
        <v>629</v>
      </c>
      <c r="G578" s="60" t="s">
        <v>96</v>
      </c>
      <c r="H578" s="88">
        <v>0.0347</v>
      </c>
      <c r="I578" s="49" t="s">
        <v>13587</v>
      </c>
      <c r="J578" s="49" t="s">
        <v>13588</v>
      </c>
      <c r="K578" s="44"/>
      <c r="L578" s="44"/>
    </row>
    <row r="579">
      <c r="A579" s="48" t="s">
        <v>11438</v>
      </c>
      <c r="B579" s="48"/>
      <c r="C579" s="48" t="s">
        <v>11263</v>
      </c>
      <c r="D579" s="48"/>
      <c r="E579" s="48" t="s">
        <v>12049</v>
      </c>
      <c r="F579" s="64" t="s">
        <v>639</v>
      </c>
      <c r="G579" s="60" t="s">
        <v>96</v>
      </c>
      <c r="H579" s="88">
        <v>0.03457</v>
      </c>
      <c r="I579" s="49" t="s">
        <v>13589</v>
      </c>
      <c r="J579" s="49" t="s">
        <v>13590</v>
      </c>
      <c r="K579" s="44"/>
      <c r="L579" s="44"/>
    </row>
    <row r="580">
      <c r="A580" s="48" t="s">
        <v>4536</v>
      </c>
      <c r="B580" s="48"/>
      <c r="C580" s="64" t="s">
        <v>13591</v>
      </c>
      <c r="D580" s="48"/>
      <c r="E580" s="48" t="s">
        <v>13002</v>
      </c>
      <c r="F580" s="64" t="s">
        <v>622</v>
      </c>
      <c r="G580" s="60" t="s">
        <v>96</v>
      </c>
      <c r="H580" s="88">
        <v>0.03456</v>
      </c>
      <c r="I580" s="49" t="s">
        <v>13592</v>
      </c>
      <c r="J580" s="49" t="s">
        <v>13593</v>
      </c>
      <c r="K580" s="44"/>
      <c r="L580" s="44"/>
    </row>
    <row r="581">
      <c r="A581" s="48" t="s">
        <v>9376</v>
      </c>
      <c r="B581" s="48"/>
      <c r="C581" s="64" t="s">
        <v>13594</v>
      </c>
      <c r="D581" s="48"/>
      <c r="E581" s="48" t="s">
        <v>11959</v>
      </c>
      <c r="F581" s="64" t="s">
        <v>629</v>
      </c>
      <c r="G581" s="60" t="s">
        <v>96</v>
      </c>
      <c r="H581" s="88">
        <v>0.03446</v>
      </c>
      <c r="I581" s="49" t="s">
        <v>13595</v>
      </c>
      <c r="J581" s="49" t="s">
        <v>13596</v>
      </c>
      <c r="K581" s="44"/>
      <c r="L581" s="44"/>
    </row>
    <row r="582">
      <c r="A582" s="48" t="s">
        <v>9401</v>
      </c>
      <c r="B582" s="48"/>
      <c r="C582" s="64" t="s">
        <v>13597</v>
      </c>
      <c r="D582" s="48"/>
      <c r="E582" s="48" t="s">
        <v>12417</v>
      </c>
      <c r="F582" s="64" t="s">
        <v>622</v>
      </c>
      <c r="G582" s="60" t="s">
        <v>96</v>
      </c>
      <c r="H582" s="88">
        <v>0.03439</v>
      </c>
      <c r="I582" s="49" t="s">
        <v>13598</v>
      </c>
      <c r="J582" s="49" t="s">
        <v>13599</v>
      </c>
      <c r="K582" s="44"/>
      <c r="L582" s="44"/>
    </row>
    <row r="583">
      <c r="A583" s="48" t="s">
        <v>11429</v>
      </c>
      <c r="B583" s="48"/>
      <c r="C583" s="48" t="s">
        <v>11430</v>
      </c>
      <c r="D583" s="48"/>
      <c r="E583" s="48" t="s">
        <v>11936</v>
      </c>
      <c r="F583" s="64" t="s">
        <v>1201</v>
      </c>
      <c r="G583" s="60" t="s">
        <v>96</v>
      </c>
      <c r="H583" s="88">
        <v>0.03433</v>
      </c>
      <c r="I583" s="49" t="s">
        <v>13600</v>
      </c>
      <c r="J583" s="49" t="s">
        <v>13601</v>
      </c>
      <c r="K583" s="44"/>
      <c r="L583" s="44"/>
    </row>
    <row r="584">
      <c r="A584" s="48" t="s">
        <v>9341</v>
      </c>
      <c r="B584" s="48"/>
      <c r="C584" s="64" t="s">
        <v>13602</v>
      </c>
      <c r="D584" s="48"/>
      <c r="E584" s="48" t="s">
        <v>5218</v>
      </c>
      <c r="F584" s="64" t="s">
        <v>629</v>
      </c>
      <c r="G584" s="60" t="s">
        <v>96</v>
      </c>
      <c r="H584" s="88">
        <v>0.03426</v>
      </c>
      <c r="I584" s="49" t="s">
        <v>13603</v>
      </c>
      <c r="J584" s="49" t="s">
        <v>13604</v>
      </c>
      <c r="K584" s="44"/>
      <c r="L584" s="44"/>
    </row>
    <row r="585">
      <c r="A585" s="48" t="s">
        <v>11427</v>
      </c>
      <c r="B585" s="48"/>
      <c r="C585" s="64" t="s">
        <v>13605</v>
      </c>
      <c r="D585" s="48"/>
      <c r="E585" s="48" t="s">
        <v>12352</v>
      </c>
      <c r="F585" s="64" t="s">
        <v>694</v>
      </c>
      <c r="G585" s="60" t="s">
        <v>96</v>
      </c>
      <c r="H585" s="88">
        <v>0.03424</v>
      </c>
      <c r="I585" s="49" t="s">
        <v>13606</v>
      </c>
      <c r="J585" s="49" t="s">
        <v>13607</v>
      </c>
      <c r="K585" s="44"/>
      <c r="L585" s="44"/>
    </row>
    <row r="586">
      <c r="A586" s="48" t="s">
        <v>4519</v>
      </c>
      <c r="B586" s="48"/>
      <c r="C586" s="64" t="s">
        <v>13608</v>
      </c>
      <c r="D586" s="48"/>
      <c r="E586" s="48" t="s">
        <v>5341</v>
      </c>
      <c r="F586" s="64" t="s">
        <v>622</v>
      </c>
      <c r="G586" s="60" t="s">
        <v>96</v>
      </c>
      <c r="H586" s="88">
        <v>0.03412</v>
      </c>
      <c r="I586" s="49" t="s">
        <v>13609</v>
      </c>
      <c r="J586" s="49" t="s">
        <v>13610</v>
      </c>
      <c r="K586" s="44"/>
      <c r="L586" s="44"/>
    </row>
    <row r="587">
      <c r="A587" s="48" t="s">
        <v>9337</v>
      </c>
      <c r="B587" s="48"/>
      <c r="C587" s="64" t="s">
        <v>13611</v>
      </c>
      <c r="D587" s="48"/>
      <c r="E587" s="48" t="s">
        <v>12339</v>
      </c>
      <c r="F587" s="64" t="s">
        <v>622</v>
      </c>
      <c r="G587" s="60" t="s">
        <v>96</v>
      </c>
      <c r="H587" s="88">
        <v>0.03411</v>
      </c>
      <c r="I587" s="49" t="s">
        <v>13612</v>
      </c>
      <c r="J587" s="49" t="s">
        <v>13613</v>
      </c>
      <c r="K587" s="44"/>
      <c r="L587" s="44"/>
    </row>
    <row r="588">
      <c r="A588" s="48" t="s">
        <v>4478</v>
      </c>
      <c r="B588" s="48"/>
      <c r="C588" s="64" t="s">
        <v>13614</v>
      </c>
      <c r="D588" s="48"/>
      <c r="E588" s="48" t="s">
        <v>5288</v>
      </c>
      <c r="F588" s="64" t="s">
        <v>622</v>
      </c>
      <c r="G588" s="60" t="s">
        <v>96</v>
      </c>
      <c r="H588" s="88">
        <v>0.03395</v>
      </c>
      <c r="I588" s="49" t="s">
        <v>13615</v>
      </c>
      <c r="J588" s="49" t="s">
        <v>13616</v>
      </c>
      <c r="K588" s="44"/>
      <c r="L588" s="44"/>
    </row>
    <row r="589">
      <c r="A589" s="48" t="s">
        <v>9355</v>
      </c>
      <c r="B589" s="48"/>
      <c r="C589" s="48" t="s">
        <v>9356</v>
      </c>
      <c r="D589" s="48"/>
      <c r="E589" s="48" t="s">
        <v>12163</v>
      </c>
      <c r="F589" s="64" t="s">
        <v>645</v>
      </c>
      <c r="G589" s="60" t="s">
        <v>96</v>
      </c>
      <c r="H589" s="88">
        <v>0.03373</v>
      </c>
      <c r="I589" s="49" t="s">
        <v>13617</v>
      </c>
      <c r="J589" s="49" t="s">
        <v>13618</v>
      </c>
      <c r="K589" s="44"/>
      <c r="L589" s="44"/>
    </row>
    <row r="590">
      <c r="A590" s="48" t="s">
        <v>6260</v>
      </c>
      <c r="B590" s="48"/>
      <c r="C590" s="48" t="s">
        <v>11431</v>
      </c>
      <c r="D590" s="48"/>
      <c r="E590" s="48" t="s">
        <v>5288</v>
      </c>
      <c r="F590" s="64" t="s">
        <v>639</v>
      </c>
      <c r="G590" s="60" t="s">
        <v>96</v>
      </c>
      <c r="H590" s="88">
        <v>0.03369</v>
      </c>
      <c r="I590" s="49" t="s">
        <v>13619</v>
      </c>
      <c r="J590" s="49" t="s">
        <v>13620</v>
      </c>
      <c r="K590" s="44"/>
      <c r="L590" s="44"/>
    </row>
    <row r="591">
      <c r="A591" s="48" t="s">
        <v>4474</v>
      </c>
      <c r="B591" s="48"/>
      <c r="C591" s="64" t="s">
        <v>13621</v>
      </c>
      <c r="D591" s="48"/>
      <c r="E591" s="48" t="s">
        <v>12120</v>
      </c>
      <c r="F591" s="64" t="s">
        <v>622</v>
      </c>
      <c r="G591" s="60" t="s">
        <v>96</v>
      </c>
      <c r="H591" s="88">
        <v>0.03364</v>
      </c>
      <c r="I591" s="49" t="s">
        <v>13622</v>
      </c>
      <c r="J591" s="49" t="s">
        <v>13623</v>
      </c>
      <c r="K591" s="44"/>
      <c r="L591" s="44"/>
    </row>
    <row r="592">
      <c r="A592" s="48" t="s">
        <v>4451</v>
      </c>
      <c r="B592" s="48"/>
      <c r="C592" s="64" t="s">
        <v>13624</v>
      </c>
      <c r="D592" s="48"/>
      <c r="E592" s="48" t="s">
        <v>12175</v>
      </c>
      <c r="F592" s="64" t="s">
        <v>622</v>
      </c>
      <c r="G592" s="60" t="s">
        <v>96</v>
      </c>
      <c r="H592" s="88">
        <v>0.03358</v>
      </c>
      <c r="I592" s="49" t="s">
        <v>13625</v>
      </c>
      <c r="J592" s="49" t="s">
        <v>13626</v>
      </c>
      <c r="K592" s="44"/>
      <c r="L592" s="44"/>
    </row>
    <row r="593">
      <c r="A593" s="48" t="s">
        <v>11444</v>
      </c>
      <c r="B593" s="48"/>
      <c r="C593" s="64" t="s">
        <v>13627</v>
      </c>
      <c r="D593" s="48"/>
      <c r="E593" s="48" t="s">
        <v>6110</v>
      </c>
      <c r="F593" s="64" t="s">
        <v>629</v>
      </c>
      <c r="G593" s="60" t="s">
        <v>96</v>
      </c>
      <c r="H593" s="88">
        <v>0.03336</v>
      </c>
      <c r="I593" s="49" t="s">
        <v>13628</v>
      </c>
      <c r="J593" s="49" t="s">
        <v>13629</v>
      </c>
      <c r="K593" s="44"/>
      <c r="L593" s="44"/>
    </row>
    <row r="594">
      <c r="A594" s="48" t="s">
        <v>9255</v>
      </c>
      <c r="B594" s="48"/>
      <c r="C594" s="64" t="s">
        <v>13630</v>
      </c>
      <c r="D594" s="48"/>
      <c r="E594" s="48" t="s">
        <v>12136</v>
      </c>
      <c r="F594" s="64" t="s">
        <v>629</v>
      </c>
      <c r="G594" s="60" t="s">
        <v>96</v>
      </c>
      <c r="H594" s="88">
        <v>0.03334</v>
      </c>
      <c r="I594" s="49" t="s">
        <v>13631</v>
      </c>
      <c r="J594" s="49" t="s">
        <v>13632</v>
      </c>
      <c r="K594" s="44"/>
      <c r="L594" s="44"/>
    </row>
    <row r="595">
      <c r="A595" s="48" t="s">
        <v>4424</v>
      </c>
      <c r="B595" s="48"/>
      <c r="C595" s="64" t="s">
        <v>13633</v>
      </c>
      <c r="D595" s="48"/>
      <c r="E595" s="48" t="s">
        <v>13634</v>
      </c>
      <c r="F595" s="64" t="s">
        <v>622</v>
      </c>
      <c r="G595" s="60" t="s">
        <v>96</v>
      </c>
      <c r="H595" s="88">
        <v>0.03325</v>
      </c>
      <c r="I595" s="49" t="s">
        <v>13635</v>
      </c>
      <c r="J595" s="49" t="s">
        <v>13636</v>
      </c>
      <c r="K595" s="44"/>
      <c r="L595" s="44"/>
    </row>
    <row r="596">
      <c r="A596" s="48" t="s">
        <v>9372</v>
      </c>
      <c r="B596" s="48"/>
      <c r="C596" s="64" t="s">
        <v>13637</v>
      </c>
      <c r="D596" s="48"/>
      <c r="E596" s="48" t="s">
        <v>13574</v>
      </c>
      <c r="F596" s="64" t="s">
        <v>629</v>
      </c>
      <c r="G596" s="60" t="s">
        <v>96</v>
      </c>
      <c r="H596" s="88">
        <v>0.0332</v>
      </c>
      <c r="I596" s="49" t="s">
        <v>13638</v>
      </c>
      <c r="J596" s="49" t="s">
        <v>13639</v>
      </c>
      <c r="K596" s="44"/>
      <c r="L596" s="44"/>
    </row>
    <row r="597">
      <c r="A597" s="48" t="s">
        <v>9347</v>
      </c>
      <c r="B597" s="48"/>
      <c r="C597" s="48" t="s">
        <v>9348</v>
      </c>
      <c r="D597" s="48"/>
      <c r="E597" s="48" t="s">
        <v>12046</v>
      </c>
      <c r="F597" s="64" t="s">
        <v>668</v>
      </c>
      <c r="G597" s="60" t="s">
        <v>96</v>
      </c>
      <c r="H597" s="88">
        <v>0.03313</v>
      </c>
      <c r="I597" s="49" t="s">
        <v>13640</v>
      </c>
      <c r="J597" s="49" t="s">
        <v>13641</v>
      </c>
      <c r="K597" s="44"/>
      <c r="L597" s="44"/>
    </row>
    <row r="598">
      <c r="A598" s="48" t="s">
        <v>9440</v>
      </c>
      <c r="B598" s="48"/>
      <c r="C598" s="48" t="s">
        <v>13642</v>
      </c>
      <c r="D598" s="48"/>
      <c r="E598" s="48" t="s">
        <v>12356</v>
      </c>
      <c r="F598" s="64" t="s">
        <v>686</v>
      </c>
      <c r="G598" s="60" t="s">
        <v>96</v>
      </c>
      <c r="H598" s="88">
        <v>0.03291</v>
      </c>
      <c r="I598" s="49" t="s">
        <v>13643</v>
      </c>
      <c r="J598" s="49" t="s">
        <v>13644</v>
      </c>
      <c r="K598" s="44"/>
      <c r="L598" s="44"/>
    </row>
    <row r="599">
      <c r="A599" s="48" t="s">
        <v>4472</v>
      </c>
      <c r="B599" s="48"/>
      <c r="C599" s="64" t="s">
        <v>13645</v>
      </c>
      <c r="D599" s="48"/>
      <c r="E599" s="48" t="s">
        <v>5609</v>
      </c>
      <c r="F599" s="64" t="s">
        <v>622</v>
      </c>
      <c r="G599" s="60" t="s">
        <v>96</v>
      </c>
      <c r="H599" s="88">
        <v>0.03289</v>
      </c>
      <c r="I599" s="49" t="s">
        <v>13646</v>
      </c>
      <c r="J599" s="49" t="s">
        <v>13647</v>
      </c>
      <c r="K599" s="44"/>
      <c r="L599" s="44"/>
    </row>
    <row r="600">
      <c r="A600" s="48" t="s">
        <v>9140</v>
      </c>
      <c r="B600" s="48"/>
      <c r="C600" s="48" t="s">
        <v>9141</v>
      </c>
      <c r="D600" s="48"/>
      <c r="E600" s="48" t="s">
        <v>12246</v>
      </c>
      <c r="F600" s="64" t="s">
        <v>1352</v>
      </c>
      <c r="G600" s="60" t="s">
        <v>96</v>
      </c>
      <c r="H600" s="88">
        <v>0.03275</v>
      </c>
      <c r="I600" s="49" t="s">
        <v>13648</v>
      </c>
      <c r="J600" s="49" t="s">
        <v>13649</v>
      </c>
      <c r="K600" s="44"/>
      <c r="L600" s="44"/>
    </row>
    <row r="601">
      <c r="A601" s="48" t="s">
        <v>4516</v>
      </c>
      <c r="B601" s="48"/>
      <c r="C601" s="64" t="s">
        <v>13650</v>
      </c>
      <c r="D601" s="48"/>
      <c r="E601" s="48" t="s">
        <v>11959</v>
      </c>
      <c r="F601" s="64" t="s">
        <v>622</v>
      </c>
      <c r="G601" s="60" t="s">
        <v>96</v>
      </c>
      <c r="H601" s="88">
        <v>0.03273</v>
      </c>
      <c r="I601" s="49" t="s">
        <v>13651</v>
      </c>
      <c r="J601" s="49" t="s">
        <v>13652</v>
      </c>
      <c r="K601" s="44"/>
      <c r="L601" s="44"/>
    </row>
    <row r="602">
      <c r="A602" s="48" t="s">
        <v>9396</v>
      </c>
      <c r="B602" s="48"/>
      <c r="C602" s="48" t="s">
        <v>9397</v>
      </c>
      <c r="D602" s="48"/>
      <c r="E602" s="48" t="s">
        <v>11942</v>
      </c>
      <c r="F602" s="64" t="s">
        <v>11998</v>
      </c>
      <c r="G602" s="60" t="s">
        <v>96</v>
      </c>
      <c r="H602" s="88">
        <v>0.03262</v>
      </c>
      <c r="I602" s="49" t="s">
        <v>13653</v>
      </c>
      <c r="J602" s="49" t="s">
        <v>13654</v>
      </c>
      <c r="K602" s="44"/>
      <c r="L602" s="44"/>
    </row>
    <row r="603">
      <c r="A603" s="48" t="s">
        <v>4521</v>
      </c>
      <c r="B603" s="48"/>
      <c r="C603" s="64" t="s">
        <v>13655</v>
      </c>
      <c r="D603" s="48"/>
      <c r="E603" s="48" t="s">
        <v>5288</v>
      </c>
      <c r="F603" s="64" t="s">
        <v>622</v>
      </c>
      <c r="G603" s="60" t="s">
        <v>96</v>
      </c>
      <c r="H603" s="88">
        <v>0.03258</v>
      </c>
      <c r="I603" s="49" t="s">
        <v>13656</v>
      </c>
      <c r="J603" s="49" t="s">
        <v>13657</v>
      </c>
      <c r="K603" s="44"/>
      <c r="L603" s="44"/>
    </row>
    <row r="604">
      <c r="A604" s="48" t="s">
        <v>9334</v>
      </c>
      <c r="B604" s="48"/>
      <c r="C604" s="48" t="s">
        <v>9335</v>
      </c>
      <c r="D604" s="48"/>
      <c r="E604" s="48" t="s">
        <v>13002</v>
      </c>
      <c r="F604" s="64" t="s">
        <v>639</v>
      </c>
      <c r="G604" s="60" t="s">
        <v>96</v>
      </c>
      <c r="H604" s="88">
        <v>0.0325</v>
      </c>
      <c r="I604" s="49" t="s">
        <v>13658</v>
      </c>
      <c r="J604" s="49" t="s">
        <v>13659</v>
      </c>
      <c r="K604" s="44"/>
      <c r="L604" s="44"/>
    </row>
    <row r="605">
      <c r="A605" s="48" t="s">
        <v>9329</v>
      </c>
      <c r="B605" s="48"/>
      <c r="C605" s="64" t="s">
        <v>13660</v>
      </c>
      <c r="D605" s="48"/>
      <c r="E605" s="48" t="s">
        <v>12283</v>
      </c>
      <c r="F605" s="64" t="s">
        <v>622</v>
      </c>
      <c r="G605" s="60" t="s">
        <v>96</v>
      </c>
      <c r="H605" s="88">
        <v>0.03246</v>
      </c>
      <c r="I605" s="49" t="s">
        <v>13661</v>
      </c>
      <c r="J605" s="49" t="s">
        <v>13662</v>
      </c>
      <c r="K605" s="44"/>
      <c r="L605" s="44"/>
    </row>
    <row r="606">
      <c r="A606" s="48" t="s">
        <v>4564</v>
      </c>
      <c r="B606" s="48"/>
      <c r="C606" s="64" t="s">
        <v>13663</v>
      </c>
      <c r="D606" s="48"/>
      <c r="E606" s="48" t="s">
        <v>11959</v>
      </c>
      <c r="F606" s="64" t="s">
        <v>622</v>
      </c>
      <c r="G606" s="60" t="s">
        <v>96</v>
      </c>
      <c r="H606" s="88">
        <v>0.03241</v>
      </c>
      <c r="I606" s="49" t="s">
        <v>13664</v>
      </c>
      <c r="J606" s="49" t="s">
        <v>13665</v>
      </c>
      <c r="K606" s="44"/>
      <c r="L606" s="44"/>
    </row>
    <row r="607">
      <c r="A607" s="48" t="s">
        <v>4526</v>
      </c>
      <c r="B607" s="48"/>
      <c r="C607" s="64" t="s">
        <v>13666</v>
      </c>
      <c r="D607" s="48"/>
      <c r="E607" s="48" t="s">
        <v>13257</v>
      </c>
      <c r="F607" s="64" t="s">
        <v>622</v>
      </c>
      <c r="G607" s="60" t="s">
        <v>96</v>
      </c>
      <c r="H607" s="88">
        <v>0.03237</v>
      </c>
      <c r="I607" s="49" t="s">
        <v>13667</v>
      </c>
      <c r="J607" s="49" t="s">
        <v>13668</v>
      </c>
      <c r="K607" s="44"/>
      <c r="L607" s="44"/>
    </row>
    <row r="608">
      <c r="A608" s="48" t="s">
        <v>4438</v>
      </c>
      <c r="B608" s="48"/>
      <c r="C608" s="64" t="s">
        <v>13669</v>
      </c>
      <c r="D608" s="48"/>
      <c r="E608" s="48" t="s">
        <v>12918</v>
      </c>
      <c r="F608" s="64" t="s">
        <v>622</v>
      </c>
      <c r="G608" s="60" t="s">
        <v>96</v>
      </c>
      <c r="H608" s="88">
        <v>0.03232</v>
      </c>
      <c r="I608" s="49" t="s">
        <v>13670</v>
      </c>
      <c r="J608" s="49" t="s">
        <v>13671</v>
      </c>
      <c r="K608" s="44"/>
      <c r="L608" s="44"/>
    </row>
    <row r="609">
      <c r="A609" s="48" t="s">
        <v>9364</v>
      </c>
      <c r="B609" s="48"/>
      <c r="C609" s="64" t="s">
        <v>13672</v>
      </c>
      <c r="D609" s="48"/>
      <c r="E609" s="48" t="s">
        <v>11907</v>
      </c>
      <c r="F609" s="64" t="s">
        <v>694</v>
      </c>
      <c r="G609" s="60" t="s">
        <v>96</v>
      </c>
      <c r="H609" s="88">
        <v>0.03224</v>
      </c>
      <c r="I609" s="49" t="s">
        <v>13673</v>
      </c>
      <c r="J609" s="49" t="s">
        <v>13674</v>
      </c>
      <c r="K609" s="44"/>
      <c r="L609" s="44"/>
    </row>
    <row r="610">
      <c r="A610" s="48" t="s">
        <v>9578</v>
      </c>
      <c r="B610" s="48"/>
      <c r="C610" s="48" t="s">
        <v>13675</v>
      </c>
      <c r="D610" s="48"/>
      <c r="E610" s="48" t="s">
        <v>11942</v>
      </c>
      <c r="F610" s="64" t="s">
        <v>1740</v>
      </c>
      <c r="G610" s="60" t="s">
        <v>96</v>
      </c>
      <c r="H610" s="88">
        <v>0.03219</v>
      </c>
      <c r="I610" s="49" t="s">
        <v>13676</v>
      </c>
      <c r="J610" s="49" t="s">
        <v>13677</v>
      </c>
      <c r="K610" s="44"/>
      <c r="L610" s="44"/>
    </row>
    <row r="611">
      <c r="A611" s="48" t="s">
        <v>4467</v>
      </c>
      <c r="B611" s="48"/>
      <c r="C611" s="64" t="s">
        <v>13678</v>
      </c>
      <c r="D611" s="48"/>
      <c r="E611" s="48" t="s">
        <v>12309</v>
      </c>
      <c r="F611" s="64" t="s">
        <v>694</v>
      </c>
      <c r="G611" s="60" t="s">
        <v>96</v>
      </c>
      <c r="H611" s="88">
        <v>0.03217</v>
      </c>
      <c r="I611" s="49" t="s">
        <v>13679</v>
      </c>
      <c r="J611" s="49" t="s">
        <v>13680</v>
      </c>
      <c r="K611" s="44"/>
      <c r="L611" s="44"/>
    </row>
    <row r="612">
      <c r="A612" s="48" t="s">
        <v>9388</v>
      </c>
      <c r="B612" s="48"/>
      <c r="C612" s="48" t="s">
        <v>9389</v>
      </c>
      <c r="D612" s="48"/>
      <c r="E612" s="48" t="s">
        <v>12163</v>
      </c>
      <c r="F612" s="64" t="s">
        <v>11998</v>
      </c>
      <c r="G612" s="60" t="s">
        <v>96</v>
      </c>
      <c r="H612" s="88">
        <v>0.03176</v>
      </c>
      <c r="I612" s="49" t="s">
        <v>13681</v>
      </c>
      <c r="J612" s="49" t="s">
        <v>13682</v>
      </c>
      <c r="K612" s="44"/>
      <c r="L612" s="44"/>
    </row>
    <row r="613">
      <c r="A613" s="48" t="s">
        <v>9386</v>
      </c>
      <c r="B613" s="48"/>
      <c r="C613" s="64" t="s">
        <v>13683</v>
      </c>
      <c r="D613" s="48"/>
      <c r="E613" s="48" t="s">
        <v>12163</v>
      </c>
      <c r="F613" s="64" t="s">
        <v>629</v>
      </c>
      <c r="G613" s="60" t="s">
        <v>96</v>
      </c>
      <c r="H613" s="88">
        <v>0.03175</v>
      </c>
      <c r="I613" s="49" t="s">
        <v>13684</v>
      </c>
      <c r="J613" s="49" t="s">
        <v>13685</v>
      </c>
      <c r="K613" s="44"/>
      <c r="L613" s="44"/>
    </row>
    <row r="614">
      <c r="A614" s="48" t="s">
        <v>4515</v>
      </c>
      <c r="B614" s="48"/>
      <c r="C614" s="64" t="s">
        <v>13686</v>
      </c>
      <c r="D614" s="48"/>
      <c r="E614" s="48" t="s">
        <v>5650</v>
      </c>
      <c r="F614" s="64" t="s">
        <v>622</v>
      </c>
      <c r="G614" s="60" t="s">
        <v>96</v>
      </c>
      <c r="H614" s="88">
        <v>0.03172</v>
      </c>
      <c r="I614" s="49" t="s">
        <v>13687</v>
      </c>
      <c r="J614" s="49" t="s">
        <v>13688</v>
      </c>
      <c r="K614" s="44"/>
      <c r="L614" s="44"/>
    </row>
    <row r="615">
      <c r="A615" s="48" t="s">
        <v>4471</v>
      </c>
      <c r="B615" s="48"/>
      <c r="C615" s="48" t="s">
        <v>9324</v>
      </c>
      <c r="D615" s="48"/>
      <c r="E615" s="48" t="s">
        <v>11942</v>
      </c>
      <c r="F615" s="64" t="s">
        <v>622</v>
      </c>
      <c r="G615" s="60" t="s">
        <v>96</v>
      </c>
      <c r="H615" s="88">
        <v>0.03171</v>
      </c>
      <c r="I615" s="49" t="s">
        <v>13689</v>
      </c>
      <c r="J615" s="49" t="s">
        <v>13690</v>
      </c>
      <c r="K615" s="44"/>
      <c r="L615" s="44"/>
    </row>
    <row r="616">
      <c r="A616" s="48" t="s">
        <v>9309</v>
      </c>
      <c r="B616" s="48"/>
      <c r="C616" s="64" t="s">
        <v>13691</v>
      </c>
      <c r="D616" s="48"/>
      <c r="E616" s="48" t="s">
        <v>12136</v>
      </c>
      <c r="F616" s="64" t="s">
        <v>629</v>
      </c>
      <c r="G616" s="60" t="s">
        <v>96</v>
      </c>
      <c r="H616" s="88">
        <v>0.0317</v>
      </c>
      <c r="I616" s="49" t="s">
        <v>13692</v>
      </c>
      <c r="J616" s="49" t="s">
        <v>13693</v>
      </c>
      <c r="K616" s="44"/>
      <c r="L616" s="44"/>
    </row>
    <row r="617">
      <c r="A617" s="48" t="s">
        <v>9408</v>
      </c>
      <c r="B617" s="48"/>
      <c r="C617" s="64" t="s">
        <v>13694</v>
      </c>
      <c r="D617" s="48"/>
      <c r="E617" s="48" t="s">
        <v>12283</v>
      </c>
      <c r="F617" s="64" t="s">
        <v>694</v>
      </c>
      <c r="G617" s="60" t="s">
        <v>96</v>
      </c>
      <c r="H617" s="88">
        <v>0.03167</v>
      </c>
      <c r="I617" s="49" t="s">
        <v>13695</v>
      </c>
      <c r="J617" s="49" t="s">
        <v>13696</v>
      </c>
      <c r="K617" s="44"/>
      <c r="L617" s="44"/>
    </row>
    <row r="618">
      <c r="A618" s="48" t="s">
        <v>11458</v>
      </c>
      <c r="B618" s="48"/>
      <c r="C618" s="48" t="s">
        <v>11459</v>
      </c>
      <c r="D618" s="48"/>
      <c r="E618" s="48" t="s">
        <v>12078</v>
      </c>
      <c r="F618" s="64" t="s">
        <v>883</v>
      </c>
      <c r="G618" s="60" t="s">
        <v>96</v>
      </c>
      <c r="H618" s="88">
        <v>0.03165</v>
      </c>
      <c r="I618" s="49" t="s">
        <v>13697</v>
      </c>
      <c r="J618" s="49" t="s">
        <v>13698</v>
      </c>
      <c r="K618" s="44"/>
      <c r="L618" s="44"/>
    </row>
    <row r="619">
      <c r="A619" s="48" t="s">
        <v>9430</v>
      </c>
      <c r="B619" s="48"/>
      <c r="C619" s="48" t="s">
        <v>9431</v>
      </c>
      <c r="D619" s="48"/>
      <c r="E619" s="48" t="s">
        <v>12046</v>
      </c>
      <c r="F619" s="64" t="s">
        <v>645</v>
      </c>
      <c r="G619" s="60" t="s">
        <v>96</v>
      </c>
      <c r="H619" s="88">
        <v>0.03151</v>
      </c>
      <c r="I619" s="49" t="s">
        <v>13699</v>
      </c>
      <c r="J619" s="49" t="s">
        <v>13700</v>
      </c>
      <c r="K619" s="44"/>
      <c r="L619" s="44"/>
    </row>
    <row r="620">
      <c r="A620" s="48" t="s">
        <v>4496</v>
      </c>
      <c r="B620" s="48"/>
      <c r="C620" s="64" t="s">
        <v>13701</v>
      </c>
      <c r="D620" s="48"/>
      <c r="E620" s="48" t="s">
        <v>12004</v>
      </c>
      <c r="F620" s="64" t="s">
        <v>622</v>
      </c>
      <c r="G620" s="60" t="s">
        <v>96</v>
      </c>
      <c r="H620" s="88">
        <v>0.03149</v>
      </c>
      <c r="I620" s="49" t="s">
        <v>13702</v>
      </c>
      <c r="J620" s="49" t="s">
        <v>13703</v>
      </c>
      <c r="K620" s="44"/>
      <c r="L620" s="44"/>
    </row>
    <row r="621">
      <c r="A621" s="48" t="s">
        <v>9522</v>
      </c>
      <c r="B621" s="48"/>
      <c r="C621" s="48" t="s">
        <v>9523</v>
      </c>
      <c r="D621" s="48"/>
      <c r="E621" s="48" t="s">
        <v>11942</v>
      </c>
      <c r="F621" s="64" t="s">
        <v>1201</v>
      </c>
      <c r="G621" s="60" t="s">
        <v>96</v>
      </c>
      <c r="H621" s="88">
        <v>0.03138</v>
      </c>
      <c r="I621" s="49" t="s">
        <v>13704</v>
      </c>
      <c r="J621" s="49" t="s">
        <v>13705</v>
      </c>
      <c r="K621" s="44"/>
      <c r="L621" s="44"/>
    </row>
    <row r="622">
      <c r="A622" s="48" t="s">
        <v>9452</v>
      </c>
      <c r="B622" s="48"/>
      <c r="C622" s="64" t="s">
        <v>13706</v>
      </c>
      <c r="D622" s="48"/>
      <c r="E622" s="48" t="s">
        <v>5478</v>
      </c>
      <c r="F622" s="64" t="s">
        <v>622</v>
      </c>
      <c r="G622" s="60" t="s">
        <v>96</v>
      </c>
      <c r="H622" s="88">
        <v>0.03133</v>
      </c>
      <c r="I622" s="49" t="s">
        <v>13707</v>
      </c>
      <c r="J622" s="49" t="s">
        <v>13708</v>
      </c>
      <c r="K622" s="44"/>
      <c r="L622" s="44"/>
    </row>
    <row r="623">
      <c r="A623" s="48" t="s">
        <v>4514</v>
      </c>
      <c r="B623" s="48"/>
      <c r="C623" s="64" t="s">
        <v>13709</v>
      </c>
      <c r="D623" s="48"/>
      <c r="E623" s="48" t="s">
        <v>13710</v>
      </c>
      <c r="F623" s="64" t="s">
        <v>622</v>
      </c>
      <c r="G623" s="60" t="s">
        <v>96</v>
      </c>
      <c r="H623" s="88">
        <v>0.03129</v>
      </c>
      <c r="I623" s="49" t="s">
        <v>13711</v>
      </c>
      <c r="J623" s="49" t="s">
        <v>13712</v>
      </c>
      <c r="K623" s="44"/>
      <c r="L623" s="44"/>
    </row>
    <row r="624">
      <c r="A624" s="48" t="s">
        <v>9469</v>
      </c>
      <c r="B624" s="48"/>
      <c r="C624" s="48" t="s">
        <v>9470</v>
      </c>
      <c r="D624" s="48"/>
      <c r="E624" s="48" t="s">
        <v>12072</v>
      </c>
      <c r="F624" s="64" t="s">
        <v>645</v>
      </c>
      <c r="G624" s="60" t="s">
        <v>96</v>
      </c>
      <c r="H624" s="88">
        <v>0.03123</v>
      </c>
      <c r="I624" s="49" t="s">
        <v>13713</v>
      </c>
      <c r="J624" s="49" t="s">
        <v>13714</v>
      </c>
      <c r="K624" s="44"/>
      <c r="L624" s="44"/>
    </row>
    <row r="625">
      <c r="A625" s="48" t="s">
        <v>9412</v>
      </c>
      <c r="B625" s="48"/>
      <c r="C625" s="48" t="s">
        <v>9413</v>
      </c>
      <c r="D625" s="48"/>
      <c r="E625" s="48" t="s">
        <v>11942</v>
      </c>
      <c r="F625" s="64" t="s">
        <v>1374</v>
      </c>
      <c r="G625" s="60" t="s">
        <v>96</v>
      </c>
      <c r="H625" s="88">
        <v>0.03117</v>
      </c>
      <c r="I625" s="49" t="s">
        <v>13715</v>
      </c>
      <c r="J625" s="49" t="s">
        <v>13716</v>
      </c>
      <c r="K625" s="44"/>
      <c r="L625" s="44"/>
    </row>
    <row r="626">
      <c r="A626" s="48" t="s">
        <v>9456</v>
      </c>
      <c r="B626" s="48"/>
      <c r="C626" s="48" t="s">
        <v>13717</v>
      </c>
      <c r="D626" s="48"/>
      <c r="E626" s="48" t="s">
        <v>11956</v>
      </c>
      <c r="F626" s="64" t="s">
        <v>1740</v>
      </c>
      <c r="G626" s="60" t="s">
        <v>96</v>
      </c>
      <c r="H626" s="88">
        <v>0.03115</v>
      </c>
      <c r="I626" s="49" t="s">
        <v>13718</v>
      </c>
      <c r="J626" s="49" t="s">
        <v>13719</v>
      </c>
      <c r="K626" s="44"/>
      <c r="L626" s="44"/>
    </row>
    <row r="627">
      <c r="A627" s="48" t="s">
        <v>4447</v>
      </c>
      <c r="B627" s="48"/>
      <c r="C627" s="64" t="s">
        <v>13720</v>
      </c>
      <c r="D627" s="48"/>
      <c r="E627" s="48" t="s">
        <v>12182</v>
      </c>
      <c r="F627" s="64" t="s">
        <v>622</v>
      </c>
      <c r="G627" s="60" t="s">
        <v>96</v>
      </c>
      <c r="H627" s="88">
        <v>0.03114</v>
      </c>
      <c r="I627" s="49" t="s">
        <v>13721</v>
      </c>
      <c r="J627" s="49" t="s">
        <v>13722</v>
      </c>
      <c r="K627" s="44"/>
      <c r="L627" s="44"/>
    </row>
    <row r="628">
      <c r="A628" s="48" t="s">
        <v>4456</v>
      </c>
      <c r="B628" s="48"/>
      <c r="C628" s="64" t="s">
        <v>13723</v>
      </c>
      <c r="D628" s="48"/>
      <c r="E628" s="48" t="s">
        <v>12090</v>
      </c>
      <c r="F628" s="64" t="s">
        <v>622</v>
      </c>
      <c r="G628" s="60" t="s">
        <v>96</v>
      </c>
      <c r="H628" s="88">
        <v>0.03107</v>
      </c>
      <c r="I628" s="49" t="s">
        <v>13724</v>
      </c>
      <c r="J628" s="49" t="s">
        <v>13725</v>
      </c>
      <c r="K628" s="44"/>
      <c r="L628" s="44"/>
    </row>
    <row r="629">
      <c r="A629" s="48" t="s">
        <v>4507</v>
      </c>
      <c r="B629" s="48"/>
      <c r="C629" s="64" t="s">
        <v>13726</v>
      </c>
      <c r="D629" s="48"/>
      <c r="E629" s="48" t="s">
        <v>12729</v>
      </c>
      <c r="F629" s="64" t="s">
        <v>622</v>
      </c>
      <c r="G629" s="60" t="s">
        <v>96</v>
      </c>
      <c r="H629" s="88">
        <v>0.03105</v>
      </c>
      <c r="I629" s="49" t="s">
        <v>13727</v>
      </c>
      <c r="J629" s="49" t="s">
        <v>13728</v>
      </c>
      <c r="K629" s="44"/>
      <c r="L629" s="44"/>
    </row>
    <row r="630">
      <c r="A630" s="48" t="s">
        <v>9350</v>
      </c>
      <c r="B630" s="48"/>
      <c r="C630" s="48" t="s">
        <v>9351</v>
      </c>
      <c r="D630" s="48"/>
      <c r="E630" s="48" t="s">
        <v>11942</v>
      </c>
      <c r="F630" s="64" t="s">
        <v>639</v>
      </c>
      <c r="G630" s="60" t="s">
        <v>96</v>
      </c>
      <c r="H630" s="88">
        <v>0.03104</v>
      </c>
      <c r="I630" s="49" t="s">
        <v>13729</v>
      </c>
      <c r="J630" s="49" t="s">
        <v>13730</v>
      </c>
      <c r="K630" s="44"/>
      <c r="L630" s="44"/>
    </row>
    <row r="631">
      <c r="A631" s="48" t="s">
        <v>9416</v>
      </c>
      <c r="B631" s="48"/>
      <c r="C631" s="64" t="s">
        <v>13731</v>
      </c>
      <c r="D631" s="48"/>
      <c r="E631" s="48" t="s">
        <v>5218</v>
      </c>
      <c r="F631" s="64" t="s">
        <v>629</v>
      </c>
      <c r="G631" s="60" t="s">
        <v>96</v>
      </c>
      <c r="H631" s="88">
        <v>0.03097</v>
      </c>
      <c r="I631" s="49" t="s">
        <v>13732</v>
      </c>
      <c r="J631" s="49" t="s">
        <v>13733</v>
      </c>
      <c r="K631" s="44"/>
      <c r="L631" s="44"/>
    </row>
    <row r="632">
      <c r="A632" s="48" t="s">
        <v>4444</v>
      </c>
      <c r="B632" s="48"/>
      <c r="C632" s="64" t="s">
        <v>13734</v>
      </c>
      <c r="D632" s="48"/>
      <c r="E632" s="48" t="s">
        <v>11928</v>
      </c>
      <c r="F632" s="64" t="s">
        <v>622</v>
      </c>
      <c r="G632" s="60" t="s">
        <v>96</v>
      </c>
      <c r="H632" s="88">
        <v>0.03096</v>
      </c>
      <c r="I632" s="49" t="s">
        <v>13735</v>
      </c>
      <c r="J632" s="49" t="s">
        <v>13736</v>
      </c>
      <c r="K632" s="44"/>
      <c r="L632" s="44"/>
    </row>
    <row r="633">
      <c r="A633" s="48" t="s">
        <v>9424</v>
      </c>
      <c r="B633" s="48"/>
      <c r="C633" s="64" t="s">
        <v>13737</v>
      </c>
      <c r="D633" s="48"/>
      <c r="E633" s="48" t="s">
        <v>12325</v>
      </c>
      <c r="F633" s="64" t="s">
        <v>629</v>
      </c>
      <c r="G633" s="60" t="s">
        <v>96</v>
      </c>
      <c r="H633" s="88">
        <v>0.03094</v>
      </c>
      <c r="I633" s="49" t="s">
        <v>13738</v>
      </c>
      <c r="J633" s="49" t="s">
        <v>13739</v>
      </c>
      <c r="K633" s="44"/>
      <c r="L633" s="44"/>
    </row>
    <row r="634">
      <c r="A634" s="48" t="s">
        <v>9463</v>
      </c>
      <c r="B634" s="48"/>
      <c r="C634" s="48" t="s">
        <v>9464</v>
      </c>
      <c r="D634" s="48"/>
      <c r="E634" s="48" t="s">
        <v>11946</v>
      </c>
      <c r="F634" s="64" t="s">
        <v>639</v>
      </c>
      <c r="G634" s="60" t="s">
        <v>96</v>
      </c>
      <c r="H634" s="88">
        <v>0.03093</v>
      </c>
      <c r="I634" s="49" t="s">
        <v>13740</v>
      </c>
      <c r="J634" s="49" t="s">
        <v>13741</v>
      </c>
      <c r="K634" s="44"/>
      <c r="L634" s="44"/>
    </row>
    <row r="635">
      <c r="A635" s="48" t="s">
        <v>4449</v>
      </c>
      <c r="B635" s="48"/>
      <c r="C635" s="64" t="s">
        <v>13742</v>
      </c>
      <c r="D635" s="48"/>
      <c r="E635" s="48" t="s">
        <v>11946</v>
      </c>
      <c r="F635" s="64" t="s">
        <v>622</v>
      </c>
      <c r="G635" s="60" t="s">
        <v>96</v>
      </c>
      <c r="H635" s="88">
        <v>0.03086</v>
      </c>
      <c r="I635" s="49" t="s">
        <v>13743</v>
      </c>
      <c r="J635" s="49" t="s">
        <v>13744</v>
      </c>
      <c r="K635" s="44"/>
      <c r="L635" s="44"/>
    </row>
    <row r="636">
      <c r="A636" s="48" t="s">
        <v>4556</v>
      </c>
      <c r="B636" s="48"/>
      <c r="C636" s="64" t="s">
        <v>13745</v>
      </c>
      <c r="D636" s="48"/>
      <c r="E636" s="48" t="s">
        <v>11959</v>
      </c>
      <c r="F636" s="64" t="s">
        <v>622</v>
      </c>
      <c r="G636" s="60" t="s">
        <v>96</v>
      </c>
      <c r="H636" s="88">
        <v>0.03075</v>
      </c>
      <c r="I636" s="49" t="s">
        <v>13746</v>
      </c>
      <c r="J636" s="49" t="s">
        <v>13747</v>
      </c>
      <c r="K636" s="44"/>
      <c r="L636" s="44"/>
    </row>
    <row r="637">
      <c r="A637" s="48" t="s">
        <v>4504</v>
      </c>
      <c r="B637" s="48"/>
      <c r="C637" s="64" t="s">
        <v>13748</v>
      </c>
      <c r="D637" s="48"/>
      <c r="E637" s="48" t="s">
        <v>12163</v>
      </c>
      <c r="F637" s="64" t="s">
        <v>622</v>
      </c>
      <c r="G637" s="60" t="s">
        <v>96</v>
      </c>
      <c r="H637" s="88">
        <v>0.03069</v>
      </c>
      <c r="I637" s="49" t="s">
        <v>13749</v>
      </c>
      <c r="J637" s="49" t="s">
        <v>13750</v>
      </c>
      <c r="K637" s="44"/>
      <c r="L637" s="44"/>
    </row>
    <row r="638">
      <c r="A638" s="48" t="s">
        <v>9366</v>
      </c>
      <c r="B638" s="48"/>
      <c r="C638" s="64" t="s">
        <v>13751</v>
      </c>
      <c r="D638" s="48"/>
      <c r="E638" s="48" t="s">
        <v>12004</v>
      </c>
      <c r="F638" s="64" t="s">
        <v>622</v>
      </c>
      <c r="G638" s="60" t="s">
        <v>96</v>
      </c>
      <c r="H638" s="88">
        <v>0.03065</v>
      </c>
      <c r="I638" s="49" t="s">
        <v>13752</v>
      </c>
      <c r="J638" s="49" t="s">
        <v>13753</v>
      </c>
      <c r="K638" s="44"/>
      <c r="L638" s="44"/>
    </row>
    <row r="639">
      <c r="A639" s="48" t="s">
        <v>4493</v>
      </c>
      <c r="B639" s="48"/>
      <c r="C639" s="64" t="s">
        <v>13754</v>
      </c>
      <c r="D639" s="48"/>
      <c r="E639" s="48" t="s">
        <v>12908</v>
      </c>
      <c r="F639" s="64" t="s">
        <v>622</v>
      </c>
      <c r="G639" s="60" t="s">
        <v>96</v>
      </c>
      <c r="H639" s="88">
        <v>0.03064</v>
      </c>
      <c r="I639" s="49" t="s">
        <v>13755</v>
      </c>
      <c r="J639" s="49" t="s">
        <v>13756</v>
      </c>
      <c r="K639" s="44"/>
      <c r="L639" s="44"/>
    </row>
    <row r="640">
      <c r="A640" s="48" t="s">
        <v>9427</v>
      </c>
      <c r="B640" s="48"/>
      <c r="C640" s="48" t="s">
        <v>9428</v>
      </c>
      <c r="D640" s="48"/>
      <c r="E640" s="48" t="s">
        <v>13757</v>
      </c>
      <c r="F640" s="64" t="s">
        <v>686</v>
      </c>
      <c r="G640" s="60" t="s">
        <v>96</v>
      </c>
      <c r="H640" s="88">
        <v>0.03058</v>
      </c>
      <c r="I640" s="49" t="s">
        <v>13758</v>
      </c>
      <c r="J640" s="49" t="s">
        <v>13759</v>
      </c>
      <c r="K640" s="44"/>
      <c r="L640" s="44"/>
    </row>
    <row r="641">
      <c r="A641" s="48" t="s">
        <v>4524</v>
      </c>
      <c r="B641" s="48"/>
      <c r="C641" s="64" t="s">
        <v>13760</v>
      </c>
      <c r="D641" s="48"/>
      <c r="E641" s="48" t="s">
        <v>13761</v>
      </c>
      <c r="F641" s="64" t="s">
        <v>622</v>
      </c>
      <c r="G641" s="60" t="s">
        <v>96</v>
      </c>
      <c r="H641" s="88">
        <v>0.03043</v>
      </c>
      <c r="I641" s="49" t="s">
        <v>13762</v>
      </c>
      <c r="J641" s="49" t="s">
        <v>13763</v>
      </c>
      <c r="K641" s="44"/>
      <c r="L641" s="44"/>
    </row>
    <row r="642">
      <c r="A642" s="48" t="s">
        <v>11480</v>
      </c>
      <c r="B642" s="48"/>
      <c r="C642" s="48" t="s">
        <v>11481</v>
      </c>
      <c r="D642" s="48"/>
      <c r="E642" s="48" t="s">
        <v>12566</v>
      </c>
      <c r="F642" s="64" t="s">
        <v>686</v>
      </c>
      <c r="G642" s="60" t="s">
        <v>96</v>
      </c>
      <c r="H642" s="88">
        <v>0.03042</v>
      </c>
      <c r="I642" s="49" t="s">
        <v>13764</v>
      </c>
      <c r="J642" s="49" t="s">
        <v>13765</v>
      </c>
      <c r="K642" s="44"/>
      <c r="L642" s="44"/>
    </row>
    <row r="643">
      <c r="A643" s="48" t="s">
        <v>11439</v>
      </c>
      <c r="B643" s="48"/>
      <c r="C643" s="64" t="s">
        <v>13766</v>
      </c>
      <c r="D643" s="48"/>
      <c r="E643" s="48" t="s">
        <v>12908</v>
      </c>
      <c r="F643" s="64" t="s">
        <v>629</v>
      </c>
      <c r="G643" s="60" t="s">
        <v>96</v>
      </c>
      <c r="H643" s="88">
        <v>0.03035</v>
      </c>
      <c r="I643" s="49" t="s">
        <v>13767</v>
      </c>
      <c r="J643" s="49" t="s">
        <v>13768</v>
      </c>
      <c r="K643" s="44"/>
      <c r="L643" s="44"/>
    </row>
    <row r="644">
      <c r="A644" s="48" t="s">
        <v>5278</v>
      </c>
      <c r="B644" s="48"/>
      <c r="C644" s="48" t="s">
        <v>9460</v>
      </c>
      <c r="D644" s="48"/>
      <c r="E644" s="48" t="s">
        <v>12046</v>
      </c>
      <c r="F644" s="64" t="s">
        <v>649</v>
      </c>
      <c r="G644" s="60" t="s">
        <v>96</v>
      </c>
      <c r="H644" s="88">
        <v>0.03034</v>
      </c>
      <c r="I644" s="49" t="s">
        <v>13769</v>
      </c>
      <c r="J644" s="49" t="s">
        <v>13770</v>
      </c>
      <c r="K644" s="44"/>
      <c r="L644" s="44"/>
    </row>
    <row r="645">
      <c r="A645" s="48" t="s">
        <v>4682</v>
      </c>
      <c r="B645" s="48"/>
      <c r="C645" s="64" t="s">
        <v>13771</v>
      </c>
      <c r="D645" s="48"/>
      <c r="E645" s="48" t="s">
        <v>11965</v>
      </c>
      <c r="F645" s="64" t="s">
        <v>622</v>
      </c>
      <c r="G645" s="60" t="s">
        <v>96</v>
      </c>
      <c r="H645" s="88">
        <v>0.03024</v>
      </c>
      <c r="I645" s="49" t="s">
        <v>13772</v>
      </c>
      <c r="J645" s="49" t="s">
        <v>13773</v>
      </c>
      <c r="K645" s="44"/>
      <c r="L645" s="44"/>
    </row>
    <row r="646">
      <c r="A646" s="48" t="s">
        <v>9442</v>
      </c>
      <c r="B646" s="48"/>
      <c r="C646" s="64" t="s">
        <v>13774</v>
      </c>
      <c r="D646" s="48"/>
      <c r="E646" s="48" t="s">
        <v>13574</v>
      </c>
      <c r="F646" s="64" t="s">
        <v>629</v>
      </c>
      <c r="G646" s="60" t="s">
        <v>96</v>
      </c>
      <c r="H646" s="88">
        <v>0.03016</v>
      </c>
      <c r="I646" s="49" t="s">
        <v>13775</v>
      </c>
      <c r="J646" s="49" t="s">
        <v>13776</v>
      </c>
      <c r="K646" s="44"/>
      <c r="L646" s="44"/>
    </row>
    <row r="647">
      <c r="A647" s="48" t="s">
        <v>11460</v>
      </c>
      <c r="B647" s="48"/>
      <c r="C647" s="64" t="s">
        <v>13777</v>
      </c>
      <c r="D647" s="48"/>
      <c r="E647" s="48" t="s">
        <v>11965</v>
      </c>
      <c r="F647" s="64" t="s">
        <v>622</v>
      </c>
      <c r="G647" s="60" t="s">
        <v>96</v>
      </c>
      <c r="H647" s="88">
        <v>0.03015</v>
      </c>
      <c r="I647" s="49" t="s">
        <v>13778</v>
      </c>
      <c r="J647" s="49" t="s">
        <v>13779</v>
      </c>
      <c r="K647" s="44"/>
      <c r="L647" s="44"/>
    </row>
    <row r="648">
      <c r="A648" s="48" t="s">
        <v>9445</v>
      </c>
      <c r="B648" s="48"/>
      <c r="C648" s="64" t="s">
        <v>13780</v>
      </c>
      <c r="D648" s="48"/>
      <c r="E648" s="48" t="s">
        <v>13457</v>
      </c>
      <c r="F648" s="64" t="s">
        <v>622</v>
      </c>
      <c r="G648" s="60" t="s">
        <v>96</v>
      </c>
      <c r="H648" s="88">
        <v>0.03013</v>
      </c>
      <c r="I648" s="49" t="s">
        <v>13781</v>
      </c>
      <c r="J648" s="49" t="s">
        <v>13782</v>
      </c>
      <c r="K648" s="44"/>
      <c r="L648" s="44"/>
    </row>
    <row r="649">
      <c r="A649" s="48" t="s">
        <v>11478</v>
      </c>
      <c r="B649" s="48"/>
      <c r="C649" s="64" t="s">
        <v>13783</v>
      </c>
      <c r="D649" s="48"/>
      <c r="E649" s="48" t="s">
        <v>12268</v>
      </c>
      <c r="F649" s="64" t="s">
        <v>694</v>
      </c>
      <c r="G649" s="60" t="s">
        <v>96</v>
      </c>
      <c r="H649" s="88">
        <v>0.0301</v>
      </c>
      <c r="I649" s="49" t="s">
        <v>13784</v>
      </c>
      <c r="J649" s="49" t="s">
        <v>13785</v>
      </c>
      <c r="K649" s="44"/>
      <c r="L649" s="44"/>
    </row>
    <row r="650">
      <c r="A650" s="48" t="s">
        <v>4570</v>
      </c>
      <c r="B650" s="48"/>
      <c r="C650" s="64" t="s">
        <v>13786</v>
      </c>
      <c r="D650" s="48"/>
      <c r="E650" s="48" t="s">
        <v>11959</v>
      </c>
      <c r="F650" s="64" t="s">
        <v>622</v>
      </c>
      <c r="G650" s="60" t="s">
        <v>96</v>
      </c>
      <c r="H650" s="88">
        <v>0.03007</v>
      </c>
      <c r="I650" s="49" t="s">
        <v>13787</v>
      </c>
      <c r="J650" s="49" t="s">
        <v>13788</v>
      </c>
      <c r="K650" s="44"/>
      <c r="L650" s="44"/>
    </row>
    <row r="651">
      <c r="A651" s="48" t="s">
        <v>11450</v>
      </c>
      <c r="B651" s="48"/>
      <c r="C651" s="64" t="s">
        <v>13789</v>
      </c>
      <c r="D651" s="48"/>
      <c r="E651" s="48" t="s">
        <v>12409</v>
      </c>
      <c r="F651" s="64" t="s">
        <v>694</v>
      </c>
      <c r="G651" s="60" t="s">
        <v>96</v>
      </c>
      <c r="H651" s="88">
        <v>0.02998</v>
      </c>
      <c r="I651" s="49" t="s">
        <v>13790</v>
      </c>
      <c r="J651" s="49" t="s">
        <v>13791</v>
      </c>
      <c r="K651" s="44"/>
      <c r="L651" s="44"/>
    </row>
    <row r="652">
      <c r="A652" s="48" t="s">
        <v>9374</v>
      </c>
      <c r="B652" s="48"/>
      <c r="C652" s="64" t="s">
        <v>13792</v>
      </c>
      <c r="D652" s="48"/>
      <c r="E652" s="48" t="s">
        <v>12175</v>
      </c>
      <c r="F652" s="64" t="s">
        <v>622</v>
      </c>
      <c r="G652" s="60" t="s">
        <v>96</v>
      </c>
      <c r="H652" s="88">
        <v>0.02995</v>
      </c>
      <c r="I652" s="49" t="s">
        <v>13793</v>
      </c>
      <c r="J652" s="49" t="s">
        <v>13794</v>
      </c>
      <c r="K652" s="44"/>
      <c r="L652" s="44"/>
    </row>
    <row r="653">
      <c r="A653" s="48" t="s">
        <v>4522</v>
      </c>
      <c r="B653" s="48"/>
      <c r="C653" s="64" t="s">
        <v>13795</v>
      </c>
      <c r="D653" s="48"/>
      <c r="E653" s="48" t="s">
        <v>11965</v>
      </c>
      <c r="F653" s="64" t="s">
        <v>622</v>
      </c>
      <c r="G653" s="60" t="s">
        <v>96</v>
      </c>
      <c r="H653" s="88">
        <v>0.02975</v>
      </c>
      <c r="I653" s="49" t="s">
        <v>13796</v>
      </c>
      <c r="J653" s="49" t="s">
        <v>13797</v>
      </c>
      <c r="K653" s="44"/>
      <c r="L653" s="44"/>
    </row>
    <row r="654">
      <c r="A654" s="48" t="s">
        <v>11492</v>
      </c>
      <c r="B654" s="48"/>
      <c r="C654" s="64" t="s">
        <v>13798</v>
      </c>
      <c r="D654" s="48"/>
      <c r="E654" s="48" t="s">
        <v>12105</v>
      </c>
      <c r="F654" s="64" t="s">
        <v>822</v>
      </c>
      <c r="G654" s="60" t="s">
        <v>96</v>
      </c>
      <c r="H654" s="88">
        <v>0.02973</v>
      </c>
      <c r="I654" s="49" t="s">
        <v>13799</v>
      </c>
      <c r="J654" s="49" t="s">
        <v>13800</v>
      </c>
      <c r="K654" s="44"/>
      <c r="L654" s="44"/>
    </row>
    <row r="655">
      <c r="A655" s="48" t="s">
        <v>4462</v>
      </c>
      <c r="B655" s="48"/>
      <c r="C655" s="64" t="s">
        <v>13801</v>
      </c>
      <c r="D655" s="48"/>
      <c r="E655" s="48" t="s">
        <v>13047</v>
      </c>
      <c r="F655" s="64" t="s">
        <v>622</v>
      </c>
      <c r="G655" s="60" t="s">
        <v>96</v>
      </c>
      <c r="H655" s="88">
        <v>0.02971</v>
      </c>
      <c r="I655" s="49" t="s">
        <v>13802</v>
      </c>
      <c r="J655" s="49" t="s">
        <v>13803</v>
      </c>
      <c r="K655" s="44"/>
      <c r="L655" s="44"/>
    </row>
    <row r="656">
      <c r="A656" s="48" t="s">
        <v>4505</v>
      </c>
      <c r="B656" s="48"/>
      <c r="C656" s="64" t="s">
        <v>13804</v>
      </c>
      <c r="D656" s="48"/>
      <c r="E656" s="48" t="s">
        <v>6275</v>
      </c>
      <c r="F656" s="64" t="s">
        <v>622</v>
      </c>
      <c r="G656" s="60" t="s">
        <v>96</v>
      </c>
      <c r="H656" s="88">
        <v>0.0296</v>
      </c>
      <c r="I656" s="49" t="s">
        <v>13805</v>
      </c>
      <c r="J656" s="49" t="s">
        <v>13806</v>
      </c>
      <c r="K656" s="44"/>
      <c r="L656" s="44"/>
    </row>
    <row r="657">
      <c r="A657" s="48" t="s">
        <v>9297</v>
      </c>
      <c r="B657" s="48"/>
      <c r="C657" s="48" t="s">
        <v>9298</v>
      </c>
      <c r="D657" s="48"/>
      <c r="E657" s="48" t="s">
        <v>11942</v>
      </c>
      <c r="F657" s="64" t="s">
        <v>1673</v>
      </c>
      <c r="G657" s="60" t="s">
        <v>96</v>
      </c>
      <c r="H657" s="88">
        <v>0.02956</v>
      </c>
      <c r="I657" s="49" t="s">
        <v>13807</v>
      </c>
      <c r="J657" s="49" t="s">
        <v>13808</v>
      </c>
      <c r="K657" s="44"/>
      <c r="L657" s="44"/>
    </row>
    <row r="658">
      <c r="A658" s="48" t="s">
        <v>9490</v>
      </c>
      <c r="B658" s="48"/>
      <c r="C658" s="64" t="s">
        <v>13809</v>
      </c>
      <c r="D658" s="48"/>
      <c r="E658" s="48" t="s">
        <v>12072</v>
      </c>
      <c r="F658" s="64" t="s">
        <v>738</v>
      </c>
      <c r="G658" s="60" t="s">
        <v>96</v>
      </c>
      <c r="H658" s="88">
        <v>0.02956</v>
      </c>
      <c r="I658" s="49" t="s">
        <v>13810</v>
      </c>
      <c r="J658" s="49" t="s">
        <v>13811</v>
      </c>
      <c r="K658" s="44"/>
      <c r="L658" s="44"/>
    </row>
    <row r="659">
      <c r="A659" s="48" t="s">
        <v>11452</v>
      </c>
      <c r="B659" s="48"/>
      <c r="C659" s="64" t="s">
        <v>13812</v>
      </c>
      <c r="D659" s="48"/>
      <c r="E659" s="48" t="s">
        <v>12229</v>
      </c>
      <c r="F659" s="64" t="s">
        <v>622</v>
      </c>
      <c r="G659" s="60" t="s">
        <v>96</v>
      </c>
      <c r="H659" s="88">
        <v>0.02939</v>
      </c>
      <c r="I659" s="49" t="s">
        <v>13813</v>
      </c>
      <c r="J659" s="49" t="s">
        <v>13814</v>
      </c>
      <c r="K659" s="44"/>
      <c r="L659" s="44"/>
    </row>
    <row r="660">
      <c r="A660" s="48" t="s">
        <v>4545</v>
      </c>
      <c r="B660" s="48"/>
      <c r="C660" s="64" t="s">
        <v>13815</v>
      </c>
      <c r="D660" s="48"/>
      <c r="E660" s="48" t="s">
        <v>5775</v>
      </c>
      <c r="F660" s="64" t="s">
        <v>622</v>
      </c>
      <c r="G660" s="60" t="s">
        <v>96</v>
      </c>
      <c r="H660" s="88">
        <v>0.02935</v>
      </c>
      <c r="I660" s="49" t="s">
        <v>13816</v>
      </c>
      <c r="J660" s="49" t="s">
        <v>13817</v>
      </c>
      <c r="K660" s="44"/>
      <c r="L660" s="44"/>
    </row>
    <row r="661">
      <c r="A661" s="48" t="s">
        <v>9466</v>
      </c>
      <c r="B661" s="48"/>
      <c r="C661" s="48" t="s">
        <v>13818</v>
      </c>
      <c r="D661" s="48"/>
      <c r="E661" s="48" t="s">
        <v>11959</v>
      </c>
      <c r="F661" s="64" t="s">
        <v>1666</v>
      </c>
      <c r="G661" s="60" t="s">
        <v>96</v>
      </c>
      <c r="H661" s="88">
        <v>0.02932</v>
      </c>
      <c r="I661" s="49" t="s">
        <v>13819</v>
      </c>
      <c r="J661" s="49" t="s">
        <v>13820</v>
      </c>
      <c r="K661" s="44"/>
      <c r="L661" s="44"/>
    </row>
    <row r="662">
      <c r="A662" s="48" t="s">
        <v>9507</v>
      </c>
      <c r="B662" s="48"/>
      <c r="C662" s="64" t="s">
        <v>13821</v>
      </c>
      <c r="D662" s="48"/>
      <c r="E662" s="48" t="s">
        <v>11956</v>
      </c>
      <c r="F662" s="64" t="s">
        <v>629</v>
      </c>
      <c r="G662" s="60" t="s">
        <v>96</v>
      </c>
      <c r="H662" s="88">
        <v>0.0293</v>
      </c>
      <c r="I662" s="49" t="s">
        <v>13822</v>
      </c>
      <c r="J662" s="49" t="s">
        <v>13823</v>
      </c>
      <c r="K662" s="44"/>
      <c r="L662" s="44"/>
    </row>
    <row r="663">
      <c r="A663" s="48" t="s">
        <v>9492</v>
      </c>
      <c r="B663" s="48"/>
      <c r="C663" s="48" t="s">
        <v>9493</v>
      </c>
      <c r="D663" s="48"/>
      <c r="E663" s="48" t="s">
        <v>5756</v>
      </c>
      <c r="F663" s="64" t="s">
        <v>645</v>
      </c>
      <c r="G663" s="60" t="s">
        <v>96</v>
      </c>
      <c r="H663" s="88">
        <v>0.02918</v>
      </c>
      <c r="I663" s="49" t="s">
        <v>13824</v>
      </c>
      <c r="J663" s="49" t="s">
        <v>13825</v>
      </c>
      <c r="K663" s="44"/>
      <c r="L663" s="44"/>
    </row>
    <row r="664">
      <c r="A664" s="48" t="s">
        <v>9209</v>
      </c>
      <c r="B664" s="48"/>
      <c r="C664" s="64" t="s">
        <v>13826</v>
      </c>
      <c r="D664" s="48"/>
      <c r="E664" s="48" t="s">
        <v>12014</v>
      </c>
      <c r="F664" s="64" t="s">
        <v>622</v>
      </c>
      <c r="G664" s="60" t="s">
        <v>96</v>
      </c>
      <c r="H664" s="88">
        <v>0.02911</v>
      </c>
      <c r="I664" s="49" t="s">
        <v>13827</v>
      </c>
      <c r="J664" s="49" t="s">
        <v>13828</v>
      </c>
      <c r="K664" s="44"/>
      <c r="L664" s="44"/>
    </row>
    <row r="665">
      <c r="A665" s="48" t="s">
        <v>4512</v>
      </c>
      <c r="B665" s="48"/>
      <c r="C665" s="64" t="s">
        <v>13829</v>
      </c>
      <c r="D665" s="48"/>
      <c r="E665" s="48" t="s">
        <v>12356</v>
      </c>
      <c r="F665" s="64" t="s">
        <v>622</v>
      </c>
      <c r="G665" s="60" t="s">
        <v>96</v>
      </c>
      <c r="H665" s="88">
        <v>0.02906</v>
      </c>
      <c r="I665" s="49" t="s">
        <v>13830</v>
      </c>
      <c r="J665" s="49" t="s">
        <v>13831</v>
      </c>
      <c r="K665" s="44"/>
      <c r="L665" s="44"/>
    </row>
    <row r="666">
      <c r="A666" s="48" t="s">
        <v>9569</v>
      </c>
      <c r="B666" s="48"/>
      <c r="C666" s="64" t="s">
        <v>13832</v>
      </c>
      <c r="D666" s="48"/>
      <c r="E666" s="48" t="s">
        <v>5961</v>
      </c>
      <c r="F666" s="64" t="s">
        <v>629</v>
      </c>
      <c r="G666" s="60" t="s">
        <v>96</v>
      </c>
      <c r="H666" s="88">
        <v>0.02904</v>
      </c>
      <c r="I666" s="49" t="s">
        <v>13833</v>
      </c>
      <c r="J666" s="49" t="s">
        <v>13834</v>
      </c>
      <c r="K666" s="44"/>
      <c r="L666" s="44"/>
    </row>
    <row r="667">
      <c r="A667" s="48" t="s">
        <v>4479</v>
      </c>
      <c r="B667" s="48"/>
      <c r="C667" s="64" t="s">
        <v>13835</v>
      </c>
      <c r="D667" s="48"/>
      <c r="E667" s="48" t="s">
        <v>12004</v>
      </c>
      <c r="F667" s="64" t="s">
        <v>622</v>
      </c>
      <c r="G667" s="60" t="s">
        <v>96</v>
      </c>
      <c r="H667" s="88">
        <v>0.02898</v>
      </c>
      <c r="I667" s="49" t="s">
        <v>13836</v>
      </c>
      <c r="J667" s="49" t="s">
        <v>13837</v>
      </c>
      <c r="K667" s="44"/>
      <c r="L667" s="44"/>
    </row>
    <row r="668">
      <c r="A668" s="48" t="s">
        <v>4495</v>
      </c>
      <c r="B668" s="48"/>
      <c r="C668" s="64" t="s">
        <v>13838</v>
      </c>
      <c r="D668" s="48"/>
      <c r="E668" s="48" t="s">
        <v>12918</v>
      </c>
      <c r="F668" s="64" t="s">
        <v>622</v>
      </c>
      <c r="G668" s="60" t="s">
        <v>96</v>
      </c>
      <c r="H668" s="88">
        <v>0.02892</v>
      </c>
      <c r="I668" s="49" t="s">
        <v>13839</v>
      </c>
      <c r="J668" s="49" t="s">
        <v>13840</v>
      </c>
      <c r="K668" s="44"/>
      <c r="L668" s="44"/>
    </row>
    <row r="669">
      <c r="A669" s="48" t="s">
        <v>4481</v>
      </c>
      <c r="B669" s="48"/>
      <c r="C669" s="64" t="s">
        <v>13841</v>
      </c>
      <c r="D669" s="48"/>
      <c r="E669" s="48" t="s">
        <v>5387</v>
      </c>
      <c r="F669" s="64" t="s">
        <v>622</v>
      </c>
      <c r="G669" s="60" t="s">
        <v>96</v>
      </c>
      <c r="H669" s="88">
        <v>0.02892</v>
      </c>
      <c r="I669" s="49" t="s">
        <v>13842</v>
      </c>
      <c r="J669" s="49" t="s">
        <v>13843</v>
      </c>
      <c r="K669" s="44"/>
      <c r="L669" s="44"/>
    </row>
    <row r="670">
      <c r="A670" s="48" t="s">
        <v>11464</v>
      </c>
      <c r="B670" s="48"/>
      <c r="C670" s="48" t="s">
        <v>11465</v>
      </c>
      <c r="D670" s="48"/>
      <c r="E670" s="48" t="s">
        <v>12409</v>
      </c>
      <c r="F670" s="64" t="s">
        <v>1201</v>
      </c>
      <c r="G670" s="60" t="s">
        <v>96</v>
      </c>
      <c r="H670" s="88">
        <v>0.0289</v>
      </c>
      <c r="I670" s="49" t="s">
        <v>13844</v>
      </c>
      <c r="J670" s="49" t="s">
        <v>13845</v>
      </c>
      <c r="K670" s="44"/>
      <c r="L670" s="44"/>
    </row>
    <row r="671">
      <c r="A671" s="48" t="s">
        <v>9546</v>
      </c>
      <c r="B671" s="48"/>
      <c r="C671" s="48" t="s">
        <v>13846</v>
      </c>
      <c r="D671" s="48"/>
      <c r="E671" s="48" t="s">
        <v>12501</v>
      </c>
      <c r="F671" s="64" t="s">
        <v>883</v>
      </c>
      <c r="G671" s="60" t="s">
        <v>96</v>
      </c>
      <c r="H671" s="88">
        <v>0.0287</v>
      </c>
      <c r="I671" s="49" t="s">
        <v>13847</v>
      </c>
      <c r="J671" s="49" t="s">
        <v>13848</v>
      </c>
      <c r="K671" s="44"/>
      <c r="L671" s="44"/>
    </row>
    <row r="672">
      <c r="A672" s="48" t="s">
        <v>9379</v>
      </c>
      <c r="B672" s="48"/>
      <c r="C672" s="64" t="s">
        <v>13849</v>
      </c>
      <c r="D672" s="48"/>
      <c r="E672" s="48" t="s">
        <v>12004</v>
      </c>
      <c r="F672" s="64" t="s">
        <v>622</v>
      </c>
      <c r="G672" s="60" t="s">
        <v>96</v>
      </c>
      <c r="H672" s="88">
        <v>0.02867</v>
      </c>
      <c r="I672" s="49" t="s">
        <v>13850</v>
      </c>
      <c r="J672" s="49" t="s">
        <v>13851</v>
      </c>
      <c r="K672" s="44"/>
      <c r="L672" s="44"/>
    </row>
    <row r="673">
      <c r="A673" s="48" t="s">
        <v>9575</v>
      </c>
      <c r="B673" s="48"/>
      <c r="C673" s="48" t="s">
        <v>13852</v>
      </c>
      <c r="D673" s="48"/>
      <c r="E673" s="48" t="s">
        <v>12018</v>
      </c>
      <c r="F673" s="64" t="s">
        <v>1740</v>
      </c>
      <c r="G673" s="60" t="s">
        <v>96</v>
      </c>
      <c r="H673" s="88">
        <v>0.02861</v>
      </c>
      <c r="I673" s="49" t="s">
        <v>13853</v>
      </c>
      <c r="J673" s="49" t="s">
        <v>13854</v>
      </c>
      <c r="K673" s="44"/>
      <c r="L673" s="44"/>
    </row>
    <row r="674">
      <c r="A674" s="48" t="s">
        <v>4525</v>
      </c>
      <c r="B674" s="48"/>
      <c r="C674" s="64" t="s">
        <v>13855</v>
      </c>
      <c r="D674" s="48"/>
      <c r="E674" s="48" t="s">
        <v>12031</v>
      </c>
      <c r="F674" s="64" t="s">
        <v>622</v>
      </c>
      <c r="G674" s="60" t="s">
        <v>96</v>
      </c>
      <c r="H674" s="88">
        <v>0.02846</v>
      </c>
      <c r="I674" s="49" t="s">
        <v>13856</v>
      </c>
      <c r="J674" s="49" t="s">
        <v>13857</v>
      </c>
      <c r="K674" s="44"/>
      <c r="L674" s="44"/>
    </row>
    <row r="675">
      <c r="A675" s="48" t="s">
        <v>11472</v>
      </c>
      <c r="B675" s="48"/>
      <c r="C675" s="48" t="s">
        <v>11473</v>
      </c>
      <c r="D675" s="48"/>
      <c r="E675" s="48" t="s">
        <v>12090</v>
      </c>
      <c r="F675" s="64" t="s">
        <v>639</v>
      </c>
      <c r="G675" s="60" t="s">
        <v>96</v>
      </c>
      <c r="H675" s="88">
        <v>0.02843</v>
      </c>
      <c r="I675" s="49" t="s">
        <v>13858</v>
      </c>
      <c r="J675" s="49" t="s">
        <v>13859</v>
      </c>
      <c r="K675" s="44"/>
      <c r="L675" s="44"/>
    </row>
    <row r="676">
      <c r="A676" s="48" t="s">
        <v>4500</v>
      </c>
      <c r="B676" s="48"/>
      <c r="C676" s="64" t="s">
        <v>13860</v>
      </c>
      <c r="D676" s="48"/>
      <c r="E676" s="48" t="s">
        <v>12025</v>
      </c>
      <c r="F676" s="64" t="s">
        <v>622</v>
      </c>
      <c r="G676" s="60" t="s">
        <v>96</v>
      </c>
      <c r="H676" s="88">
        <v>0.02841</v>
      </c>
      <c r="I676" s="49" t="s">
        <v>13861</v>
      </c>
      <c r="J676" s="49" t="s">
        <v>13862</v>
      </c>
      <c r="K676" s="44"/>
      <c r="L676" s="44"/>
    </row>
    <row r="677">
      <c r="A677" s="48" t="s">
        <v>4476</v>
      </c>
      <c r="B677" s="48"/>
      <c r="C677" s="64" t="s">
        <v>13863</v>
      </c>
      <c r="D677" s="48"/>
      <c r="E677" s="48" t="s">
        <v>12116</v>
      </c>
      <c r="F677" s="64" t="s">
        <v>622</v>
      </c>
      <c r="G677" s="60" t="s">
        <v>96</v>
      </c>
      <c r="H677" s="88">
        <v>0.0284</v>
      </c>
      <c r="I677" s="49" t="s">
        <v>13864</v>
      </c>
      <c r="J677" s="49" t="s">
        <v>13865</v>
      </c>
      <c r="K677" s="44"/>
      <c r="L677" s="44"/>
    </row>
    <row r="678">
      <c r="A678" s="48" t="s">
        <v>11432</v>
      </c>
      <c r="B678" s="48"/>
      <c r="C678" s="48" t="s">
        <v>11433</v>
      </c>
      <c r="D678" s="48"/>
      <c r="E678" s="48" t="s">
        <v>12090</v>
      </c>
      <c r="F678" s="64" t="s">
        <v>11998</v>
      </c>
      <c r="G678" s="60" t="s">
        <v>96</v>
      </c>
      <c r="H678" s="88">
        <v>0.02839</v>
      </c>
      <c r="I678" s="49" t="s">
        <v>13866</v>
      </c>
      <c r="J678" s="49" t="s">
        <v>13867</v>
      </c>
      <c r="K678" s="44"/>
      <c r="L678" s="44"/>
    </row>
    <row r="679">
      <c r="A679" s="48" t="s">
        <v>4533</v>
      </c>
      <c r="B679" s="48"/>
      <c r="C679" s="64" t="s">
        <v>13868</v>
      </c>
      <c r="D679" s="48"/>
      <c r="E679" s="48" t="s">
        <v>12729</v>
      </c>
      <c r="F679" s="64" t="s">
        <v>622</v>
      </c>
      <c r="G679" s="60" t="s">
        <v>96</v>
      </c>
      <c r="H679" s="88">
        <v>0.02834</v>
      </c>
      <c r="I679" s="49" t="s">
        <v>13869</v>
      </c>
      <c r="J679" s="49" t="s">
        <v>13870</v>
      </c>
      <c r="K679" s="44"/>
      <c r="L679" s="44"/>
    </row>
    <row r="680">
      <c r="A680" s="48" t="s">
        <v>11494</v>
      </c>
      <c r="B680" s="48"/>
      <c r="C680" s="48" t="s">
        <v>13871</v>
      </c>
      <c r="D680" s="48"/>
      <c r="E680" s="48" t="s">
        <v>6110</v>
      </c>
      <c r="F680" s="64" t="s">
        <v>883</v>
      </c>
      <c r="G680" s="60" t="s">
        <v>96</v>
      </c>
      <c r="H680" s="88">
        <v>0.02832</v>
      </c>
      <c r="I680" s="49" t="s">
        <v>13872</v>
      </c>
      <c r="J680" s="49" t="s">
        <v>13873</v>
      </c>
      <c r="K680" s="44"/>
      <c r="L680" s="44"/>
    </row>
    <row r="681">
      <c r="A681" s="48" t="s">
        <v>4441</v>
      </c>
      <c r="B681" s="48"/>
      <c r="C681" s="64" t="s">
        <v>13874</v>
      </c>
      <c r="D681" s="48"/>
      <c r="E681" s="48" t="s">
        <v>12309</v>
      </c>
      <c r="F681" s="64" t="s">
        <v>622</v>
      </c>
      <c r="G681" s="60" t="s">
        <v>96</v>
      </c>
      <c r="H681" s="88">
        <v>0.02814</v>
      </c>
      <c r="I681" s="49" t="s">
        <v>13875</v>
      </c>
      <c r="J681" s="49" t="s">
        <v>13876</v>
      </c>
      <c r="K681" s="44"/>
      <c r="L681" s="44"/>
    </row>
    <row r="682">
      <c r="A682" s="48" t="s">
        <v>4597</v>
      </c>
      <c r="B682" s="48"/>
      <c r="C682" s="64" t="s">
        <v>13877</v>
      </c>
      <c r="D682" s="48"/>
      <c r="E682" s="48" t="s">
        <v>13002</v>
      </c>
      <c r="F682" s="64" t="s">
        <v>622</v>
      </c>
      <c r="G682" s="60" t="s">
        <v>96</v>
      </c>
      <c r="H682" s="88">
        <v>0.02801</v>
      </c>
      <c r="I682" s="49" t="s">
        <v>13878</v>
      </c>
      <c r="J682" s="49" t="s">
        <v>13879</v>
      </c>
      <c r="K682" s="44"/>
      <c r="L682" s="44"/>
    </row>
    <row r="683">
      <c r="A683" s="48" t="s">
        <v>4560</v>
      </c>
      <c r="B683" s="48"/>
      <c r="C683" s="64" t="s">
        <v>13880</v>
      </c>
      <c r="D683" s="48"/>
      <c r="E683" s="48" t="s">
        <v>13881</v>
      </c>
      <c r="F683" s="64" t="s">
        <v>622</v>
      </c>
      <c r="G683" s="60" t="s">
        <v>96</v>
      </c>
      <c r="H683" s="88">
        <v>0.028</v>
      </c>
      <c r="I683" s="49" t="s">
        <v>13882</v>
      </c>
      <c r="J683" s="49" t="s">
        <v>13883</v>
      </c>
      <c r="K683" s="44"/>
      <c r="L683" s="44"/>
    </row>
    <row r="684">
      <c r="A684" s="48" t="s">
        <v>9421</v>
      </c>
      <c r="B684" s="48"/>
      <c r="C684" s="64" t="s">
        <v>13884</v>
      </c>
      <c r="D684" s="48"/>
      <c r="E684" s="48" t="s">
        <v>12283</v>
      </c>
      <c r="F684" s="64" t="s">
        <v>629</v>
      </c>
      <c r="G684" s="60" t="s">
        <v>96</v>
      </c>
      <c r="H684" s="88">
        <v>0.02799</v>
      </c>
      <c r="I684" s="49" t="s">
        <v>13885</v>
      </c>
      <c r="J684" s="49" t="s">
        <v>13886</v>
      </c>
      <c r="K684" s="44"/>
      <c r="L684" s="44"/>
    </row>
    <row r="685">
      <c r="A685" s="48" t="s">
        <v>9488</v>
      </c>
      <c r="B685" s="48"/>
      <c r="C685" s="48" t="s">
        <v>9489</v>
      </c>
      <c r="D685" s="48"/>
      <c r="E685" s="48" t="s">
        <v>5291</v>
      </c>
      <c r="F685" s="64" t="s">
        <v>822</v>
      </c>
      <c r="G685" s="60" t="s">
        <v>96</v>
      </c>
      <c r="H685" s="88">
        <v>0.02787</v>
      </c>
      <c r="I685" s="49" t="s">
        <v>13887</v>
      </c>
      <c r="J685" s="49" t="s">
        <v>13888</v>
      </c>
      <c r="K685" s="44"/>
      <c r="L685" s="44"/>
    </row>
    <row r="686">
      <c r="A686" s="48" t="s">
        <v>4543</v>
      </c>
      <c r="B686" s="48"/>
      <c r="C686" s="64" t="s">
        <v>13889</v>
      </c>
      <c r="D686" s="48"/>
      <c r="E686" s="48" t="s">
        <v>12216</v>
      </c>
      <c r="F686" s="64" t="s">
        <v>622</v>
      </c>
      <c r="G686" s="60" t="s">
        <v>96</v>
      </c>
      <c r="H686" s="88">
        <v>0.0278</v>
      </c>
      <c r="I686" s="49" t="s">
        <v>13890</v>
      </c>
      <c r="J686" s="49" t="s">
        <v>13891</v>
      </c>
      <c r="K686" s="44"/>
      <c r="L686" s="44"/>
    </row>
    <row r="687">
      <c r="A687" s="48" t="s">
        <v>4541</v>
      </c>
      <c r="B687" s="48"/>
      <c r="C687" s="64" t="s">
        <v>13892</v>
      </c>
      <c r="D687" s="48"/>
      <c r="E687" s="48" t="s">
        <v>11959</v>
      </c>
      <c r="F687" s="64" t="s">
        <v>622</v>
      </c>
      <c r="G687" s="60" t="s">
        <v>96</v>
      </c>
      <c r="H687" s="88">
        <v>0.0278</v>
      </c>
      <c r="I687" s="49" t="s">
        <v>13893</v>
      </c>
      <c r="J687" s="49" t="s">
        <v>13894</v>
      </c>
      <c r="K687" s="44"/>
      <c r="L687" s="44"/>
    </row>
    <row r="688">
      <c r="A688" s="48" t="s">
        <v>4555</v>
      </c>
      <c r="B688" s="48"/>
      <c r="C688" s="48" t="s">
        <v>5328</v>
      </c>
      <c r="D688" s="48"/>
      <c r="E688" s="48" t="s">
        <v>13895</v>
      </c>
      <c r="F688" s="64" t="s">
        <v>622</v>
      </c>
      <c r="G688" s="60" t="s">
        <v>96</v>
      </c>
      <c r="H688" s="88">
        <v>0.02775</v>
      </c>
      <c r="I688" s="49" t="s">
        <v>13896</v>
      </c>
      <c r="J688" s="49" t="s">
        <v>13897</v>
      </c>
      <c r="K688" s="44"/>
      <c r="L688" s="44"/>
    </row>
    <row r="689">
      <c r="A689" s="48" t="s">
        <v>9410</v>
      </c>
      <c r="B689" s="48"/>
      <c r="C689" s="64" t="s">
        <v>13898</v>
      </c>
      <c r="D689" s="48"/>
      <c r="E689" s="48" t="s">
        <v>5478</v>
      </c>
      <c r="F689" s="64" t="s">
        <v>622</v>
      </c>
      <c r="G689" s="60" t="s">
        <v>96</v>
      </c>
      <c r="H689" s="88">
        <v>0.02774</v>
      </c>
      <c r="I689" s="49" t="s">
        <v>13098</v>
      </c>
      <c r="J689" s="49" t="s">
        <v>13899</v>
      </c>
      <c r="K689" s="44"/>
      <c r="L689" s="44"/>
    </row>
    <row r="690">
      <c r="A690" s="48" t="s">
        <v>4501</v>
      </c>
      <c r="B690" s="48"/>
      <c r="C690" s="64" t="s">
        <v>13900</v>
      </c>
      <c r="D690" s="48"/>
      <c r="E690" s="48" t="s">
        <v>12283</v>
      </c>
      <c r="F690" s="64" t="s">
        <v>622</v>
      </c>
      <c r="G690" s="60" t="s">
        <v>96</v>
      </c>
      <c r="H690" s="88">
        <v>0.02772</v>
      </c>
      <c r="I690" s="49" t="s">
        <v>13901</v>
      </c>
      <c r="J690" s="49" t="s">
        <v>13902</v>
      </c>
      <c r="K690" s="44"/>
      <c r="L690" s="44"/>
    </row>
    <row r="691">
      <c r="A691" s="48" t="s">
        <v>4506</v>
      </c>
      <c r="B691" s="48"/>
      <c r="C691" s="64" t="s">
        <v>13903</v>
      </c>
      <c r="D691" s="48"/>
      <c r="E691" s="48" t="s">
        <v>11899</v>
      </c>
      <c r="F691" s="64" t="s">
        <v>622</v>
      </c>
      <c r="G691" s="60" t="s">
        <v>96</v>
      </c>
      <c r="H691" s="88">
        <v>0.02772</v>
      </c>
      <c r="I691" s="49" t="s">
        <v>13904</v>
      </c>
      <c r="J691" s="49" t="s">
        <v>13905</v>
      </c>
      <c r="K691" s="44"/>
      <c r="L691" s="44"/>
    </row>
    <row r="692">
      <c r="A692" s="48" t="s">
        <v>4572</v>
      </c>
      <c r="B692" s="48"/>
      <c r="C692" s="64" t="s">
        <v>13906</v>
      </c>
      <c r="D692" s="48"/>
      <c r="E692" s="48" t="s">
        <v>12243</v>
      </c>
      <c r="F692" s="64" t="s">
        <v>622</v>
      </c>
      <c r="G692" s="60" t="s">
        <v>96</v>
      </c>
      <c r="H692" s="88">
        <v>0.02762</v>
      </c>
      <c r="I692" s="49" t="s">
        <v>13907</v>
      </c>
      <c r="J692" s="49" t="s">
        <v>13908</v>
      </c>
      <c r="K692" s="44"/>
      <c r="L692" s="44"/>
    </row>
    <row r="693">
      <c r="A693" s="48" t="s">
        <v>5610</v>
      </c>
      <c r="B693" s="48"/>
      <c r="C693" s="48" t="s">
        <v>9349</v>
      </c>
      <c r="D693" s="48"/>
      <c r="E693" s="48" t="s">
        <v>12043</v>
      </c>
      <c r="F693" s="64" t="s">
        <v>668</v>
      </c>
      <c r="G693" s="60" t="s">
        <v>96</v>
      </c>
      <c r="H693" s="88">
        <v>0.02757</v>
      </c>
      <c r="I693" s="49" t="s">
        <v>13909</v>
      </c>
      <c r="J693" s="49" t="s">
        <v>13910</v>
      </c>
      <c r="K693" s="44"/>
      <c r="L693" s="44"/>
    </row>
    <row r="694">
      <c r="A694" s="48" t="s">
        <v>9447</v>
      </c>
      <c r="B694" s="48"/>
      <c r="C694" s="64" t="s">
        <v>13911</v>
      </c>
      <c r="D694" s="48"/>
      <c r="E694" s="48" t="s">
        <v>5218</v>
      </c>
      <c r="F694" s="64" t="s">
        <v>629</v>
      </c>
      <c r="G694" s="60" t="s">
        <v>96</v>
      </c>
      <c r="H694" s="88">
        <v>0.02748</v>
      </c>
      <c r="I694" s="49" t="s">
        <v>13912</v>
      </c>
      <c r="J694" s="49" t="s">
        <v>13913</v>
      </c>
      <c r="K694" s="44"/>
      <c r="L694" s="44"/>
    </row>
    <row r="695">
      <c r="A695" s="48" t="s">
        <v>4540</v>
      </c>
      <c r="B695" s="48"/>
      <c r="C695" s="64" t="s">
        <v>13914</v>
      </c>
      <c r="D695" s="48"/>
      <c r="E695" s="48" t="s">
        <v>12205</v>
      </c>
      <c r="F695" s="64" t="s">
        <v>622</v>
      </c>
      <c r="G695" s="60" t="s">
        <v>96</v>
      </c>
      <c r="H695" s="88">
        <v>0.02746</v>
      </c>
      <c r="I695" s="49" t="s">
        <v>13915</v>
      </c>
      <c r="J695" s="49" t="s">
        <v>13916</v>
      </c>
      <c r="K695" s="44"/>
      <c r="L695" s="44"/>
    </row>
    <row r="696">
      <c r="A696" s="48" t="s">
        <v>9584</v>
      </c>
      <c r="B696" s="48"/>
      <c r="C696" s="48" t="s">
        <v>13917</v>
      </c>
      <c r="D696" s="48"/>
      <c r="E696" s="48" t="s">
        <v>12559</v>
      </c>
      <c r="F696" s="64" t="s">
        <v>1740</v>
      </c>
      <c r="G696" s="60" t="s">
        <v>96</v>
      </c>
      <c r="H696" s="88">
        <v>0.02745</v>
      </c>
      <c r="I696" s="49" t="s">
        <v>13918</v>
      </c>
      <c r="J696" s="49" t="s">
        <v>13919</v>
      </c>
      <c r="K696" s="44"/>
      <c r="L696" s="44"/>
    </row>
    <row r="697">
      <c r="A697" s="48" t="s">
        <v>4499</v>
      </c>
      <c r="B697" s="48"/>
      <c r="C697" s="64" t="s">
        <v>13920</v>
      </c>
      <c r="D697" s="48"/>
      <c r="E697" s="48" t="s">
        <v>12339</v>
      </c>
      <c r="F697" s="64" t="s">
        <v>622</v>
      </c>
      <c r="G697" s="60" t="s">
        <v>96</v>
      </c>
      <c r="H697" s="88">
        <v>0.02741</v>
      </c>
      <c r="I697" s="49" t="s">
        <v>13921</v>
      </c>
      <c r="J697" s="49" t="s">
        <v>13922</v>
      </c>
      <c r="K697" s="44"/>
      <c r="L697" s="44"/>
    </row>
    <row r="698">
      <c r="A698" s="48" t="s">
        <v>9739</v>
      </c>
      <c r="B698" s="48"/>
      <c r="C698" s="64" t="s">
        <v>13923</v>
      </c>
      <c r="D698" s="48"/>
      <c r="E698" s="48" t="s">
        <v>11956</v>
      </c>
      <c r="F698" s="64" t="s">
        <v>649</v>
      </c>
      <c r="G698" s="60" t="s">
        <v>96</v>
      </c>
      <c r="H698" s="88">
        <v>0.02736</v>
      </c>
      <c r="I698" s="49" t="s">
        <v>13924</v>
      </c>
      <c r="J698" s="49" t="s">
        <v>13925</v>
      </c>
      <c r="K698" s="44"/>
      <c r="L698" s="44"/>
    </row>
    <row r="699">
      <c r="A699" s="48" t="s">
        <v>4589</v>
      </c>
      <c r="B699" s="48"/>
      <c r="C699" s="64" t="s">
        <v>13926</v>
      </c>
      <c r="D699" s="48"/>
      <c r="E699" s="48" t="s">
        <v>12777</v>
      </c>
      <c r="F699" s="64" t="s">
        <v>694</v>
      </c>
      <c r="G699" s="60" t="s">
        <v>96</v>
      </c>
      <c r="H699" s="88">
        <v>0.02733</v>
      </c>
      <c r="I699" s="49" t="s">
        <v>13927</v>
      </c>
      <c r="J699" s="49" t="s">
        <v>13928</v>
      </c>
      <c r="K699" s="44"/>
      <c r="L699" s="44"/>
    </row>
    <row r="700">
      <c r="A700" s="48" t="s">
        <v>9454</v>
      </c>
      <c r="B700" s="48"/>
      <c r="C700" s="64" t="s">
        <v>13929</v>
      </c>
      <c r="D700" s="48"/>
      <c r="E700" s="48" t="s">
        <v>12163</v>
      </c>
      <c r="F700" s="64" t="s">
        <v>629</v>
      </c>
      <c r="G700" s="60" t="s">
        <v>96</v>
      </c>
      <c r="H700" s="88">
        <v>0.02731</v>
      </c>
      <c r="I700" s="49" t="s">
        <v>13930</v>
      </c>
      <c r="J700" s="49" t="s">
        <v>13931</v>
      </c>
      <c r="K700" s="44"/>
      <c r="L700" s="44"/>
    </row>
    <row r="701">
      <c r="A701" s="48" t="s">
        <v>9499</v>
      </c>
      <c r="B701" s="48"/>
      <c r="C701" s="48" t="s">
        <v>13932</v>
      </c>
      <c r="D701" s="48"/>
      <c r="E701" s="48" t="s">
        <v>6012</v>
      </c>
      <c r="F701" s="64" t="s">
        <v>649</v>
      </c>
      <c r="G701" s="60" t="s">
        <v>96</v>
      </c>
      <c r="H701" s="88">
        <v>0.02727</v>
      </c>
      <c r="I701" s="49" t="s">
        <v>13933</v>
      </c>
      <c r="J701" s="49" t="s">
        <v>13934</v>
      </c>
      <c r="K701" s="44"/>
      <c r="L701" s="44"/>
    </row>
    <row r="702">
      <c r="A702" s="48" t="s">
        <v>9406</v>
      </c>
      <c r="B702" s="48"/>
      <c r="C702" s="64" t="s">
        <v>13935</v>
      </c>
      <c r="D702" s="48"/>
      <c r="E702" s="48" t="s">
        <v>11914</v>
      </c>
      <c r="F702" s="64" t="s">
        <v>622</v>
      </c>
      <c r="G702" s="60" t="s">
        <v>96</v>
      </c>
      <c r="H702" s="88">
        <v>0.02719</v>
      </c>
      <c r="I702" s="49" t="s">
        <v>13936</v>
      </c>
      <c r="J702" s="49" t="s">
        <v>13937</v>
      </c>
      <c r="K702" s="44"/>
      <c r="L702" s="44"/>
    </row>
    <row r="703">
      <c r="A703" s="48" t="s">
        <v>11484</v>
      </c>
      <c r="B703" s="48"/>
      <c r="C703" s="64" t="s">
        <v>13938</v>
      </c>
      <c r="D703" s="48"/>
      <c r="E703" s="48" t="s">
        <v>12163</v>
      </c>
      <c r="F703" s="64" t="s">
        <v>694</v>
      </c>
      <c r="G703" s="60" t="s">
        <v>96</v>
      </c>
      <c r="H703" s="88">
        <v>0.02707</v>
      </c>
      <c r="I703" s="49" t="s">
        <v>13939</v>
      </c>
      <c r="J703" s="49" t="s">
        <v>13940</v>
      </c>
      <c r="K703" s="44"/>
      <c r="L703" s="44"/>
    </row>
    <row r="704">
      <c r="A704" s="48" t="s">
        <v>4485</v>
      </c>
      <c r="B704" s="48"/>
      <c r="C704" s="64" t="s">
        <v>13941</v>
      </c>
      <c r="D704" s="48"/>
      <c r="E704" s="48" t="s">
        <v>12123</v>
      </c>
      <c r="F704" s="64" t="s">
        <v>622</v>
      </c>
      <c r="G704" s="60" t="s">
        <v>96</v>
      </c>
      <c r="H704" s="88">
        <v>0.02696</v>
      </c>
      <c r="I704" s="49" t="s">
        <v>13942</v>
      </c>
      <c r="J704" s="49" t="s">
        <v>13943</v>
      </c>
      <c r="K704" s="44"/>
      <c r="L704" s="44"/>
    </row>
    <row r="705">
      <c r="A705" s="48" t="s">
        <v>11506</v>
      </c>
      <c r="B705" s="48"/>
      <c r="C705" s="48" t="s">
        <v>13944</v>
      </c>
      <c r="D705" s="48"/>
      <c r="E705" s="48" t="s">
        <v>11924</v>
      </c>
      <c r="F705" s="64" t="s">
        <v>649</v>
      </c>
      <c r="G705" s="60" t="s">
        <v>96</v>
      </c>
      <c r="H705" s="88">
        <v>0.02683</v>
      </c>
      <c r="I705" s="49" t="s">
        <v>13945</v>
      </c>
      <c r="J705" s="49" t="s">
        <v>13946</v>
      </c>
      <c r="K705" s="44"/>
      <c r="L705" s="44"/>
    </row>
    <row r="706">
      <c r="A706" s="48" t="s">
        <v>4492</v>
      </c>
      <c r="B706" s="48"/>
      <c r="C706" s="64" t="s">
        <v>13947</v>
      </c>
      <c r="D706" s="48"/>
      <c r="E706" s="48" t="s">
        <v>12116</v>
      </c>
      <c r="F706" s="64" t="s">
        <v>622</v>
      </c>
      <c r="G706" s="60" t="s">
        <v>96</v>
      </c>
      <c r="H706" s="88">
        <v>0.02682</v>
      </c>
      <c r="I706" s="49" t="s">
        <v>13948</v>
      </c>
      <c r="J706" s="49" t="s">
        <v>13949</v>
      </c>
      <c r="K706" s="44"/>
      <c r="L706" s="44"/>
    </row>
    <row r="707">
      <c r="A707" s="48" t="s">
        <v>4523</v>
      </c>
      <c r="B707" s="48"/>
      <c r="C707" s="64" t="s">
        <v>13950</v>
      </c>
      <c r="D707" s="48"/>
      <c r="E707" s="48" t="s">
        <v>13069</v>
      </c>
      <c r="F707" s="64" t="s">
        <v>622</v>
      </c>
      <c r="G707" s="60" t="s">
        <v>96</v>
      </c>
      <c r="H707" s="88">
        <v>0.02677</v>
      </c>
      <c r="I707" s="49" t="s">
        <v>13951</v>
      </c>
      <c r="J707" s="49" t="s">
        <v>13952</v>
      </c>
      <c r="K707" s="44"/>
      <c r="L707" s="44"/>
    </row>
    <row r="708">
      <c r="A708" s="48" t="s">
        <v>11503</v>
      </c>
      <c r="B708" s="48"/>
      <c r="C708" s="48" t="s">
        <v>2583</v>
      </c>
      <c r="D708" s="48"/>
      <c r="E708" s="48" t="s">
        <v>12437</v>
      </c>
      <c r="F708" s="64" t="s">
        <v>645</v>
      </c>
      <c r="G708" s="60" t="s">
        <v>96</v>
      </c>
      <c r="H708" s="88">
        <v>0.02671</v>
      </c>
      <c r="I708" s="49" t="s">
        <v>13953</v>
      </c>
      <c r="J708" s="49" t="s">
        <v>13954</v>
      </c>
      <c r="K708" s="44"/>
      <c r="L708" s="44"/>
    </row>
    <row r="709">
      <c r="A709" s="48" t="s">
        <v>9600</v>
      </c>
      <c r="B709" s="48"/>
      <c r="C709" s="64" t="s">
        <v>13955</v>
      </c>
      <c r="D709" s="48"/>
      <c r="E709" s="48" t="s">
        <v>13956</v>
      </c>
      <c r="F709" s="64" t="s">
        <v>629</v>
      </c>
      <c r="G709" s="60" t="s">
        <v>96</v>
      </c>
      <c r="H709" s="88">
        <v>0.02671</v>
      </c>
      <c r="I709" s="49" t="s">
        <v>13957</v>
      </c>
      <c r="J709" s="49" t="s">
        <v>13958</v>
      </c>
      <c r="K709" s="44"/>
      <c r="L709" s="44"/>
    </row>
    <row r="710">
      <c r="A710" s="48" t="s">
        <v>11499</v>
      </c>
      <c r="B710" s="48"/>
      <c r="C710" s="48" t="s">
        <v>13959</v>
      </c>
      <c r="D710" s="48"/>
      <c r="E710" s="48" t="s">
        <v>12043</v>
      </c>
      <c r="F710" s="64" t="s">
        <v>622</v>
      </c>
      <c r="G710" s="60" t="s">
        <v>96</v>
      </c>
      <c r="H710" s="88">
        <v>0.02664</v>
      </c>
      <c r="I710" s="49" t="s">
        <v>13960</v>
      </c>
      <c r="J710" s="49" t="s">
        <v>13961</v>
      </c>
      <c r="K710" s="44"/>
      <c r="L710" s="44"/>
    </row>
    <row r="711">
      <c r="A711" s="48" t="s">
        <v>9497</v>
      </c>
      <c r="B711" s="48"/>
      <c r="C711" s="48" t="s">
        <v>9498</v>
      </c>
      <c r="D711" s="48"/>
      <c r="E711" s="48" t="s">
        <v>11991</v>
      </c>
      <c r="F711" s="64" t="s">
        <v>1352</v>
      </c>
      <c r="G711" s="60" t="s">
        <v>96</v>
      </c>
      <c r="H711" s="88">
        <v>0.02658</v>
      </c>
      <c r="I711" s="49" t="s">
        <v>13962</v>
      </c>
      <c r="J711" s="49" t="s">
        <v>13963</v>
      </c>
      <c r="K711" s="44"/>
      <c r="L711" s="44"/>
    </row>
    <row r="712">
      <c r="A712" s="48" t="s">
        <v>9392</v>
      </c>
      <c r="B712" s="48"/>
      <c r="C712" s="48" t="s">
        <v>13964</v>
      </c>
      <c r="D712" s="48"/>
      <c r="E712" s="48" t="s">
        <v>11942</v>
      </c>
      <c r="F712" s="64" t="s">
        <v>1740</v>
      </c>
      <c r="G712" s="60" t="s">
        <v>96</v>
      </c>
      <c r="H712" s="88">
        <v>0.02655</v>
      </c>
      <c r="I712" s="49" t="s">
        <v>13965</v>
      </c>
      <c r="J712" s="49" t="s">
        <v>13966</v>
      </c>
      <c r="K712" s="44"/>
      <c r="L712" s="44"/>
    </row>
    <row r="713">
      <c r="A713" s="48" t="s">
        <v>11466</v>
      </c>
      <c r="B713" s="48"/>
      <c r="C713" s="48" t="s">
        <v>11467</v>
      </c>
      <c r="D713" s="48"/>
      <c r="E713" s="48" t="s">
        <v>11942</v>
      </c>
      <c r="F713" s="64" t="s">
        <v>883</v>
      </c>
      <c r="G713" s="60" t="s">
        <v>96</v>
      </c>
      <c r="H713" s="88">
        <v>0.02652</v>
      </c>
      <c r="I713" s="49" t="s">
        <v>13967</v>
      </c>
      <c r="J713" s="49" t="s">
        <v>13968</v>
      </c>
      <c r="K713" s="44"/>
      <c r="L713" s="44"/>
    </row>
    <row r="714">
      <c r="A714" s="48" t="s">
        <v>4469</v>
      </c>
      <c r="B714" s="48"/>
      <c r="C714" s="64" t="s">
        <v>13969</v>
      </c>
      <c r="D714" s="48"/>
      <c r="E714" s="48" t="s">
        <v>12437</v>
      </c>
      <c r="F714" s="64" t="s">
        <v>622</v>
      </c>
      <c r="G714" s="60" t="s">
        <v>96</v>
      </c>
      <c r="H714" s="88">
        <v>0.02649</v>
      </c>
      <c r="I714" s="49" t="s">
        <v>13970</v>
      </c>
      <c r="J714" s="49" t="s">
        <v>13971</v>
      </c>
      <c r="K714" s="44"/>
      <c r="L714" s="44"/>
    </row>
    <row r="715">
      <c r="A715" s="48" t="s">
        <v>4483</v>
      </c>
      <c r="B715" s="48"/>
      <c r="C715" s="64" t="s">
        <v>13972</v>
      </c>
      <c r="D715" s="48"/>
      <c r="E715" s="48" t="s">
        <v>12766</v>
      </c>
      <c r="F715" s="64" t="s">
        <v>622</v>
      </c>
      <c r="G715" s="60" t="s">
        <v>96</v>
      </c>
      <c r="H715" s="88">
        <v>0.02648</v>
      </c>
      <c r="I715" s="49" t="s">
        <v>13973</v>
      </c>
      <c r="J715" s="49" t="s">
        <v>13974</v>
      </c>
      <c r="K715" s="44"/>
      <c r="L715" s="44"/>
    </row>
    <row r="716">
      <c r="A716" s="48" t="s">
        <v>9458</v>
      </c>
      <c r="B716" s="48"/>
      <c r="C716" s="48" t="s">
        <v>9459</v>
      </c>
      <c r="D716" s="48"/>
      <c r="E716" s="48" t="s">
        <v>12437</v>
      </c>
      <c r="F716" s="64" t="s">
        <v>622</v>
      </c>
      <c r="G716" s="60" t="s">
        <v>96</v>
      </c>
      <c r="H716" s="88">
        <v>0.02647</v>
      </c>
      <c r="I716" s="49" t="s">
        <v>13975</v>
      </c>
      <c r="J716" s="49" t="s">
        <v>13976</v>
      </c>
      <c r="K716" s="44"/>
      <c r="L716" s="44"/>
    </row>
    <row r="717">
      <c r="A717" s="48" t="s">
        <v>9537</v>
      </c>
      <c r="B717" s="48"/>
      <c r="C717" s="48" t="s">
        <v>9538</v>
      </c>
      <c r="D717" s="48"/>
      <c r="E717" s="48" t="s">
        <v>12246</v>
      </c>
      <c r="F717" s="64" t="s">
        <v>11998</v>
      </c>
      <c r="G717" s="60" t="s">
        <v>96</v>
      </c>
      <c r="H717" s="88">
        <v>0.02647</v>
      </c>
      <c r="I717" s="49" t="s">
        <v>13977</v>
      </c>
      <c r="J717" s="49" t="s">
        <v>13978</v>
      </c>
      <c r="K717" s="44"/>
      <c r="L717" s="44"/>
    </row>
    <row r="718">
      <c r="A718" s="48" t="s">
        <v>11486</v>
      </c>
      <c r="B718" s="48"/>
      <c r="C718" s="64" t="s">
        <v>13979</v>
      </c>
      <c r="D718" s="48"/>
      <c r="E718" s="48" t="s">
        <v>12356</v>
      </c>
      <c r="F718" s="64" t="s">
        <v>629</v>
      </c>
      <c r="G718" s="60" t="s">
        <v>96</v>
      </c>
      <c r="H718" s="88">
        <v>0.02639</v>
      </c>
      <c r="I718" s="49" t="s">
        <v>13980</v>
      </c>
      <c r="J718" s="49" t="s">
        <v>13981</v>
      </c>
      <c r="K718" s="44"/>
      <c r="L718" s="44"/>
    </row>
    <row r="719">
      <c r="A719" s="48" t="s">
        <v>4553</v>
      </c>
      <c r="B719" s="48"/>
      <c r="C719" s="64" t="s">
        <v>13982</v>
      </c>
      <c r="D719" s="48"/>
      <c r="E719" s="48" t="s">
        <v>13257</v>
      </c>
      <c r="F719" s="64" t="s">
        <v>622</v>
      </c>
      <c r="G719" s="60" t="s">
        <v>96</v>
      </c>
      <c r="H719" s="88">
        <v>0.02634</v>
      </c>
      <c r="I719" s="49" t="s">
        <v>13983</v>
      </c>
      <c r="J719" s="49" t="s">
        <v>13984</v>
      </c>
      <c r="K719" s="44"/>
      <c r="L719" s="44"/>
    </row>
    <row r="720">
      <c r="A720" s="48" t="s">
        <v>11516</v>
      </c>
      <c r="B720" s="48"/>
      <c r="C720" s="48" t="s">
        <v>11517</v>
      </c>
      <c r="D720" s="48"/>
      <c r="E720" s="48" t="s">
        <v>12078</v>
      </c>
      <c r="F720" s="64" t="s">
        <v>2709</v>
      </c>
      <c r="G720" s="60" t="s">
        <v>96</v>
      </c>
      <c r="H720" s="88">
        <v>0.02632</v>
      </c>
      <c r="I720" s="49" t="s">
        <v>13985</v>
      </c>
      <c r="J720" s="49" t="s">
        <v>13986</v>
      </c>
      <c r="K720" s="44"/>
      <c r="L720" s="44"/>
    </row>
    <row r="721">
      <c r="A721" s="48" t="s">
        <v>9641</v>
      </c>
      <c r="B721" s="48"/>
      <c r="C721" s="64" t="s">
        <v>13987</v>
      </c>
      <c r="D721" s="48"/>
      <c r="E721" s="48" t="s">
        <v>12339</v>
      </c>
      <c r="F721" s="64" t="s">
        <v>622</v>
      </c>
      <c r="G721" s="60" t="s">
        <v>96</v>
      </c>
      <c r="H721" s="88">
        <v>0.02631</v>
      </c>
      <c r="I721" s="49" t="s">
        <v>13988</v>
      </c>
      <c r="J721" s="49" t="s">
        <v>13989</v>
      </c>
      <c r="K721" s="44"/>
      <c r="L721" s="44"/>
    </row>
    <row r="722">
      <c r="A722" s="48" t="s">
        <v>9528</v>
      </c>
      <c r="B722" s="48"/>
      <c r="C722" s="48" t="s">
        <v>9529</v>
      </c>
      <c r="D722" s="48"/>
      <c r="E722" s="48" t="s">
        <v>6012</v>
      </c>
      <c r="F722" s="64" t="s">
        <v>668</v>
      </c>
      <c r="G722" s="60" t="s">
        <v>96</v>
      </c>
      <c r="H722" s="88">
        <v>0.02629</v>
      </c>
      <c r="I722" s="49" t="s">
        <v>13990</v>
      </c>
      <c r="J722" s="49" t="s">
        <v>13991</v>
      </c>
      <c r="K722" s="44"/>
      <c r="L722" s="44"/>
    </row>
    <row r="723">
      <c r="A723" s="48" t="s">
        <v>4568</v>
      </c>
      <c r="B723" s="48"/>
      <c r="C723" s="48" t="s">
        <v>9482</v>
      </c>
      <c r="D723" s="48"/>
      <c r="E723" s="48" t="s">
        <v>12196</v>
      </c>
      <c r="F723" s="64" t="s">
        <v>622</v>
      </c>
      <c r="G723" s="60" t="s">
        <v>96</v>
      </c>
      <c r="H723" s="88">
        <v>0.02625</v>
      </c>
      <c r="I723" s="49" t="s">
        <v>13992</v>
      </c>
      <c r="J723" s="49" t="s">
        <v>13993</v>
      </c>
      <c r="K723" s="44"/>
      <c r="L723" s="44"/>
    </row>
    <row r="724">
      <c r="A724" s="48" t="s">
        <v>9518</v>
      </c>
      <c r="B724" s="48"/>
      <c r="C724" s="48" t="s">
        <v>9519</v>
      </c>
      <c r="D724" s="48"/>
      <c r="E724" s="48" t="s">
        <v>11942</v>
      </c>
      <c r="F724" s="64" t="s">
        <v>639</v>
      </c>
      <c r="G724" s="60" t="s">
        <v>96</v>
      </c>
      <c r="H724" s="88">
        <v>0.02618</v>
      </c>
      <c r="I724" s="49" t="s">
        <v>13994</v>
      </c>
      <c r="J724" s="49" t="s">
        <v>13995</v>
      </c>
      <c r="K724" s="44"/>
      <c r="L724" s="44"/>
    </row>
    <row r="725">
      <c r="A725" s="48" t="s">
        <v>11482</v>
      </c>
      <c r="B725" s="48"/>
      <c r="C725" s="64" t="s">
        <v>13996</v>
      </c>
      <c r="D725" s="48"/>
      <c r="E725" s="48" t="s">
        <v>12205</v>
      </c>
      <c r="F725" s="64" t="s">
        <v>622</v>
      </c>
      <c r="G725" s="60" t="s">
        <v>96</v>
      </c>
      <c r="H725" s="88">
        <v>0.02611</v>
      </c>
      <c r="I725" s="49" t="s">
        <v>13997</v>
      </c>
      <c r="J725" s="49" t="s">
        <v>13998</v>
      </c>
      <c r="K725" s="44"/>
      <c r="L725" s="44"/>
    </row>
    <row r="726">
      <c r="A726" s="48" t="s">
        <v>9618</v>
      </c>
      <c r="B726" s="48"/>
      <c r="C726" s="64" t="s">
        <v>13999</v>
      </c>
      <c r="D726" s="48"/>
      <c r="E726" s="48" t="s">
        <v>12025</v>
      </c>
      <c r="F726" s="64" t="s">
        <v>622</v>
      </c>
      <c r="G726" s="60" t="s">
        <v>96</v>
      </c>
      <c r="H726" s="88">
        <v>0.0261</v>
      </c>
      <c r="I726" s="49" t="s">
        <v>14000</v>
      </c>
      <c r="J726" s="49" t="s">
        <v>14001</v>
      </c>
      <c r="K726" s="44"/>
      <c r="L726" s="44"/>
    </row>
    <row r="727">
      <c r="A727" s="48" t="s">
        <v>9610</v>
      </c>
      <c r="B727" s="48"/>
      <c r="C727" s="64" t="s">
        <v>14002</v>
      </c>
      <c r="D727" s="48"/>
      <c r="E727" s="48" t="s">
        <v>14003</v>
      </c>
      <c r="F727" s="64" t="s">
        <v>629</v>
      </c>
      <c r="G727" s="60" t="s">
        <v>96</v>
      </c>
      <c r="H727" s="88">
        <v>0.02599</v>
      </c>
      <c r="I727" s="49" t="s">
        <v>14004</v>
      </c>
      <c r="J727" s="49" t="s">
        <v>14005</v>
      </c>
      <c r="K727" s="44"/>
      <c r="L727" s="44"/>
    </row>
    <row r="728">
      <c r="A728" s="48" t="s">
        <v>11474</v>
      </c>
      <c r="B728" s="48"/>
      <c r="C728" s="64" t="s">
        <v>14006</v>
      </c>
      <c r="D728" s="48"/>
      <c r="E728" s="48" t="s">
        <v>13231</v>
      </c>
      <c r="F728" s="64" t="s">
        <v>822</v>
      </c>
      <c r="G728" s="60" t="s">
        <v>96</v>
      </c>
      <c r="H728" s="88">
        <v>0.02599</v>
      </c>
      <c r="I728" s="49" t="s">
        <v>14007</v>
      </c>
      <c r="J728" s="49" t="s">
        <v>14008</v>
      </c>
      <c r="K728" s="44"/>
      <c r="L728" s="44"/>
    </row>
    <row r="729">
      <c r="A729" s="48" t="s">
        <v>9589</v>
      </c>
      <c r="B729" s="48"/>
      <c r="C729" s="48" t="s">
        <v>9590</v>
      </c>
      <c r="D729" s="48"/>
      <c r="E729" s="48" t="s">
        <v>11959</v>
      </c>
      <c r="F729" s="64" t="s">
        <v>645</v>
      </c>
      <c r="G729" s="60" t="s">
        <v>96</v>
      </c>
      <c r="H729" s="88">
        <v>0.02596</v>
      </c>
      <c r="I729" s="49" t="s">
        <v>14009</v>
      </c>
      <c r="J729" s="49" t="s">
        <v>14010</v>
      </c>
      <c r="K729" s="44"/>
      <c r="L729" s="44"/>
    </row>
    <row r="730">
      <c r="A730" s="48" t="s">
        <v>11454</v>
      </c>
      <c r="B730" s="48"/>
      <c r="C730" s="64" t="s">
        <v>14011</v>
      </c>
      <c r="D730" s="48"/>
      <c r="E730" s="48" t="s">
        <v>12123</v>
      </c>
      <c r="F730" s="64" t="s">
        <v>694</v>
      </c>
      <c r="G730" s="60" t="s">
        <v>96</v>
      </c>
      <c r="H730" s="88">
        <v>0.02593</v>
      </c>
      <c r="I730" s="49" t="s">
        <v>14012</v>
      </c>
      <c r="J730" s="49" t="s">
        <v>14013</v>
      </c>
      <c r="K730" s="44"/>
      <c r="L730" s="44"/>
    </row>
    <row r="731">
      <c r="A731" s="48" t="s">
        <v>4581</v>
      </c>
      <c r="B731" s="48"/>
      <c r="C731" s="64" t="s">
        <v>14014</v>
      </c>
      <c r="D731" s="48"/>
      <c r="E731" s="48" t="s">
        <v>12220</v>
      </c>
      <c r="F731" s="64" t="s">
        <v>622</v>
      </c>
      <c r="G731" s="60" t="s">
        <v>96</v>
      </c>
      <c r="H731" s="88">
        <v>0.02592</v>
      </c>
      <c r="I731" s="49" t="s">
        <v>14015</v>
      </c>
      <c r="J731" s="49" t="s">
        <v>14016</v>
      </c>
      <c r="K731" s="44"/>
      <c r="L731" s="44"/>
    </row>
    <row r="732">
      <c r="A732" s="48" t="s">
        <v>9520</v>
      </c>
      <c r="B732" s="48"/>
      <c r="C732" s="64" t="s">
        <v>14017</v>
      </c>
      <c r="D732" s="48"/>
      <c r="E732" s="48" t="s">
        <v>5249</v>
      </c>
      <c r="F732" s="64" t="s">
        <v>622</v>
      </c>
      <c r="G732" s="60" t="s">
        <v>96</v>
      </c>
      <c r="H732" s="88">
        <v>0.02591</v>
      </c>
      <c r="I732" s="49" t="s">
        <v>14018</v>
      </c>
      <c r="J732" s="49" t="s">
        <v>14019</v>
      </c>
      <c r="K732" s="44"/>
      <c r="L732" s="44"/>
    </row>
    <row r="733">
      <c r="A733" s="48" t="s">
        <v>11462</v>
      </c>
      <c r="B733" s="48"/>
      <c r="C733" s="64" t="s">
        <v>14020</v>
      </c>
      <c r="D733" s="48"/>
      <c r="E733" s="48" t="s">
        <v>12437</v>
      </c>
      <c r="F733" s="64" t="s">
        <v>622</v>
      </c>
      <c r="G733" s="60" t="s">
        <v>96</v>
      </c>
      <c r="H733" s="88">
        <v>0.0259</v>
      </c>
      <c r="I733" s="49" t="s">
        <v>14021</v>
      </c>
      <c r="J733" s="49" t="s">
        <v>14022</v>
      </c>
      <c r="K733" s="44"/>
      <c r="L733" s="44"/>
    </row>
    <row r="734">
      <c r="A734" s="48" t="s">
        <v>14023</v>
      </c>
      <c r="B734" s="48"/>
      <c r="C734" s="64" t="s">
        <v>14024</v>
      </c>
      <c r="D734" s="48"/>
      <c r="E734" s="48" t="s">
        <v>9144</v>
      </c>
      <c r="F734" s="64" t="s">
        <v>622</v>
      </c>
      <c r="G734" s="60" t="s">
        <v>96</v>
      </c>
      <c r="H734" s="88">
        <v>0.02582</v>
      </c>
      <c r="I734" s="49" t="s">
        <v>14025</v>
      </c>
      <c r="J734" s="49" t="s">
        <v>14026</v>
      </c>
      <c r="K734" s="44"/>
      <c r="L734" s="44"/>
    </row>
    <row r="735">
      <c r="A735" s="48" t="s">
        <v>4588</v>
      </c>
      <c r="B735" s="48"/>
      <c r="C735" s="64" t="s">
        <v>14027</v>
      </c>
      <c r="D735" s="48"/>
      <c r="E735" s="48" t="s">
        <v>12043</v>
      </c>
      <c r="F735" s="64" t="s">
        <v>622</v>
      </c>
      <c r="G735" s="60" t="s">
        <v>96</v>
      </c>
      <c r="H735" s="88">
        <v>0.02574</v>
      </c>
      <c r="I735" s="49" t="s">
        <v>14028</v>
      </c>
      <c r="J735" s="49" t="s">
        <v>14029</v>
      </c>
      <c r="K735" s="44"/>
      <c r="L735" s="44"/>
    </row>
    <row r="736">
      <c r="A736" s="48" t="s">
        <v>11490</v>
      </c>
      <c r="B736" s="48"/>
      <c r="C736" s="64" t="s">
        <v>14030</v>
      </c>
      <c r="D736" s="48"/>
      <c r="E736" s="48" t="s">
        <v>11942</v>
      </c>
      <c r="F736" s="64" t="s">
        <v>622</v>
      </c>
      <c r="G736" s="60" t="s">
        <v>96</v>
      </c>
      <c r="H736" s="88">
        <v>0.02567</v>
      </c>
      <c r="I736" s="49" t="s">
        <v>14031</v>
      </c>
      <c r="J736" s="49" t="s">
        <v>14032</v>
      </c>
      <c r="K736" s="44"/>
      <c r="L736" s="44"/>
    </row>
    <row r="737">
      <c r="A737" s="48" t="s">
        <v>4551</v>
      </c>
      <c r="B737" s="48"/>
      <c r="C737" s="64" t="s">
        <v>14033</v>
      </c>
      <c r="D737" s="48"/>
      <c r="E737" s="48" t="s">
        <v>12356</v>
      </c>
      <c r="F737" s="64" t="s">
        <v>622</v>
      </c>
      <c r="G737" s="60" t="s">
        <v>96</v>
      </c>
      <c r="H737" s="88">
        <v>0.02561</v>
      </c>
      <c r="I737" s="49" t="s">
        <v>14034</v>
      </c>
      <c r="J737" s="49" t="s">
        <v>14035</v>
      </c>
      <c r="K737" s="44"/>
      <c r="L737" s="44"/>
    </row>
    <row r="738">
      <c r="A738" s="48" t="s">
        <v>9662</v>
      </c>
      <c r="B738" s="48"/>
      <c r="C738" s="48" t="s">
        <v>9663</v>
      </c>
      <c r="D738" s="48"/>
      <c r="E738" s="48" t="s">
        <v>12518</v>
      </c>
      <c r="F738" s="64" t="s">
        <v>11998</v>
      </c>
      <c r="G738" s="60" t="s">
        <v>96</v>
      </c>
      <c r="H738" s="88">
        <v>0.02545</v>
      </c>
      <c r="I738" s="49" t="s">
        <v>14036</v>
      </c>
      <c r="J738" s="49" t="s">
        <v>14037</v>
      </c>
      <c r="K738" s="44"/>
      <c r="L738" s="44"/>
    </row>
    <row r="739">
      <c r="A739" s="48" t="s">
        <v>4660</v>
      </c>
      <c r="B739" s="48"/>
      <c r="C739" s="64" t="s">
        <v>14038</v>
      </c>
      <c r="D739" s="48"/>
      <c r="E739" s="48" t="s">
        <v>12787</v>
      </c>
      <c r="F739" s="64" t="s">
        <v>622</v>
      </c>
      <c r="G739" s="60" t="s">
        <v>96</v>
      </c>
      <c r="H739" s="88">
        <v>0.02544</v>
      </c>
      <c r="I739" s="49" t="s">
        <v>14039</v>
      </c>
      <c r="J739" s="49" t="s">
        <v>14040</v>
      </c>
      <c r="K739" s="44"/>
      <c r="L739" s="44"/>
    </row>
    <row r="740">
      <c r="A740" s="48" t="s">
        <v>4595</v>
      </c>
      <c r="B740" s="48"/>
      <c r="C740" s="64" t="s">
        <v>14041</v>
      </c>
      <c r="D740" s="48"/>
      <c r="E740" s="48" t="s">
        <v>12078</v>
      </c>
      <c r="F740" s="64" t="s">
        <v>622</v>
      </c>
      <c r="G740" s="60" t="s">
        <v>96</v>
      </c>
      <c r="H740" s="88">
        <v>0.02542</v>
      </c>
      <c r="I740" s="49" t="s">
        <v>14042</v>
      </c>
      <c r="J740" s="49" t="s">
        <v>14043</v>
      </c>
      <c r="K740" s="44"/>
      <c r="L740" s="44"/>
    </row>
    <row r="741">
      <c r="A741" s="48" t="s">
        <v>4518</v>
      </c>
      <c r="B741" s="48"/>
      <c r="C741" s="64" t="s">
        <v>14044</v>
      </c>
      <c r="D741" s="48"/>
      <c r="E741" s="48" t="s">
        <v>12090</v>
      </c>
      <c r="F741" s="64" t="s">
        <v>622</v>
      </c>
      <c r="G741" s="60" t="s">
        <v>96</v>
      </c>
      <c r="H741" s="88">
        <v>0.02539</v>
      </c>
      <c r="I741" s="49" t="s">
        <v>14045</v>
      </c>
      <c r="J741" s="49" t="s">
        <v>14046</v>
      </c>
      <c r="K741" s="44"/>
      <c r="L741" s="44"/>
    </row>
    <row r="742">
      <c r="A742" s="48" t="s">
        <v>4550</v>
      </c>
      <c r="B742" s="48"/>
      <c r="C742" s="64" t="s">
        <v>14047</v>
      </c>
      <c r="D742" s="48"/>
      <c r="E742" s="48" t="s">
        <v>12025</v>
      </c>
      <c r="F742" s="64" t="s">
        <v>622</v>
      </c>
      <c r="G742" s="60" t="s">
        <v>96</v>
      </c>
      <c r="H742" s="88">
        <v>0.02539</v>
      </c>
      <c r="I742" s="49" t="s">
        <v>14048</v>
      </c>
      <c r="J742" s="49" t="s">
        <v>14049</v>
      </c>
      <c r="K742" s="44"/>
      <c r="L742" s="44"/>
    </row>
    <row r="743">
      <c r="A743" s="48" t="s">
        <v>4561</v>
      </c>
      <c r="B743" s="48"/>
      <c r="C743" s="64" t="s">
        <v>14050</v>
      </c>
      <c r="D743" s="48"/>
      <c r="E743" s="48" t="s">
        <v>13439</v>
      </c>
      <c r="F743" s="64" t="s">
        <v>622</v>
      </c>
      <c r="G743" s="60" t="s">
        <v>96</v>
      </c>
      <c r="H743" s="88">
        <v>0.02538</v>
      </c>
      <c r="I743" s="49" t="s">
        <v>14051</v>
      </c>
      <c r="J743" s="49" t="s">
        <v>14052</v>
      </c>
      <c r="K743" s="44"/>
      <c r="L743" s="44"/>
    </row>
    <row r="744">
      <c r="A744" s="48" t="s">
        <v>9548</v>
      </c>
      <c r="B744" s="48"/>
      <c r="C744" s="48" t="s">
        <v>9549</v>
      </c>
      <c r="D744" s="48"/>
      <c r="E744" s="48" t="s">
        <v>12046</v>
      </c>
      <c r="F744" s="64" t="s">
        <v>645</v>
      </c>
      <c r="G744" s="60" t="s">
        <v>96</v>
      </c>
      <c r="H744" s="88">
        <v>0.02535</v>
      </c>
      <c r="I744" s="49" t="s">
        <v>14053</v>
      </c>
      <c r="J744" s="49" t="s">
        <v>14054</v>
      </c>
      <c r="K744" s="44"/>
      <c r="L744" s="44"/>
    </row>
    <row r="745">
      <c r="A745" s="48" t="s">
        <v>9503</v>
      </c>
      <c r="B745" s="48"/>
      <c r="C745" s="64" t="s">
        <v>14055</v>
      </c>
      <c r="D745" s="48"/>
      <c r="E745" s="48" t="s">
        <v>12205</v>
      </c>
      <c r="F745" s="64" t="s">
        <v>645</v>
      </c>
      <c r="G745" s="60" t="s">
        <v>96</v>
      </c>
      <c r="H745" s="88">
        <v>0.02531</v>
      </c>
      <c r="I745" s="49" t="s">
        <v>14056</v>
      </c>
      <c r="J745" s="49" t="s">
        <v>14057</v>
      </c>
      <c r="K745" s="44"/>
      <c r="L745" s="44"/>
    </row>
    <row r="746">
      <c r="A746" s="48" t="s">
        <v>4627</v>
      </c>
      <c r="B746" s="48"/>
      <c r="C746" s="64" t="s">
        <v>14058</v>
      </c>
      <c r="D746" s="48"/>
      <c r="E746" s="48" t="s">
        <v>13155</v>
      </c>
      <c r="F746" s="64" t="s">
        <v>622</v>
      </c>
      <c r="G746" s="60" t="s">
        <v>96</v>
      </c>
      <c r="H746" s="88">
        <v>0.02529</v>
      </c>
      <c r="I746" s="49" t="s">
        <v>14059</v>
      </c>
      <c r="J746" s="49" t="s">
        <v>14060</v>
      </c>
      <c r="K746" s="44"/>
      <c r="L746" s="44"/>
    </row>
    <row r="747">
      <c r="A747" s="48" t="s">
        <v>9531</v>
      </c>
      <c r="B747" s="48"/>
      <c r="C747" s="48" t="s">
        <v>9532</v>
      </c>
      <c r="D747" s="48"/>
      <c r="E747" s="48" t="s">
        <v>14061</v>
      </c>
      <c r="F747" s="64" t="s">
        <v>649</v>
      </c>
      <c r="G747" s="60" t="s">
        <v>96</v>
      </c>
      <c r="H747" s="88">
        <v>0.02529</v>
      </c>
      <c r="I747" s="49" t="s">
        <v>14062</v>
      </c>
      <c r="J747" s="49" t="s">
        <v>14063</v>
      </c>
      <c r="K747" s="44"/>
      <c r="L747" s="44"/>
    </row>
    <row r="748">
      <c r="A748" s="48" t="s">
        <v>11496</v>
      </c>
      <c r="B748" s="48"/>
      <c r="C748" s="48" t="s">
        <v>11497</v>
      </c>
      <c r="D748" s="48"/>
      <c r="E748" s="48" t="s">
        <v>12908</v>
      </c>
      <c r="F748" s="64" t="s">
        <v>639</v>
      </c>
      <c r="G748" s="60" t="s">
        <v>96</v>
      </c>
      <c r="H748" s="88">
        <v>0.02524</v>
      </c>
      <c r="I748" s="49" t="s">
        <v>14064</v>
      </c>
      <c r="J748" s="49" t="s">
        <v>14065</v>
      </c>
      <c r="K748" s="44"/>
      <c r="L748" s="44"/>
    </row>
    <row r="749">
      <c r="A749" s="48" t="s">
        <v>9480</v>
      </c>
      <c r="B749" s="48"/>
      <c r="C749" s="64" t="s">
        <v>14066</v>
      </c>
      <c r="D749" s="48"/>
      <c r="E749" s="48" t="s">
        <v>13171</v>
      </c>
      <c r="F749" s="64" t="s">
        <v>694</v>
      </c>
      <c r="G749" s="60" t="s">
        <v>96</v>
      </c>
      <c r="H749" s="88">
        <v>0.02522</v>
      </c>
      <c r="I749" s="49" t="s">
        <v>14067</v>
      </c>
      <c r="J749" s="49" t="s">
        <v>14068</v>
      </c>
      <c r="K749" s="44"/>
      <c r="L749" s="44"/>
    </row>
    <row r="750">
      <c r="A750" s="48" t="s">
        <v>9501</v>
      </c>
      <c r="B750" s="48"/>
      <c r="C750" s="48" t="s">
        <v>9502</v>
      </c>
      <c r="D750" s="48"/>
      <c r="E750" s="48" t="s">
        <v>12209</v>
      </c>
      <c r="F750" s="64" t="s">
        <v>1352</v>
      </c>
      <c r="G750" s="60" t="s">
        <v>96</v>
      </c>
      <c r="H750" s="88">
        <v>0.02511</v>
      </c>
      <c r="I750" s="49" t="s">
        <v>14069</v>
      </c>
      <c r="J750" s="49" t="s">
        <v>14070</v>
      </c>
      <c r="K750" s="44"/>
      <c r="L750" s="44"/>
    </row>
    <row r="751">
      <c r="A751" s="48" t="s">
        <v>4583</v>
      </c>
      <c r="B751" s="48"/>
      <c r="C751" s="64" t="s">
        <v>14071</v>
      </c>
      <c r="D751" s="48"/>
      <c r="E751" s="48" t="s">
        <v>12078</v>
      </c>
      <c r="F751" s="64" t="s">
        <v>622</v>
      </c>
      <c r="G751" s="60" t="s">
        <v>96</v>
      </c>
      <c r="H751" s="88">
        <v>0.0251</v>
      </c>
      <c r="I751" s="49" t="s">
        <v>14072</v>
      </c>
      <c r="J751" s="49" t="s">
        <v>14073</v>
      </c>
      <c r="K751" s="44"/>
      <c r="L751" s="44"/>
    </row>
    <row r="752">
      <c r="A752" s="48" t="s">
        <v>9533</v>
      </c>
      <c r="B752" s="48"/>
      <c r="C752" s="64" t="s">
        <v>14074</v>
      </c>
      <c r="D752" s="48"/>
      <c r="E752" s="48" t="s">
        <v>12004</v>
      </c>
      <c r="F752" s="64" t="s">
        <v>679</v>
      </c>
      <c r="G752" s="60" t="s">
        <v>96</v>
      </c>
      <c r="H752" s="88">
        <v>0.02504</v>
      </c>
      <c r="I752" s="49" t="s">
        <v>14075</v>
      </c>
      <c r="J752" s="49" t="s">
        <v>14076</v>
      </c>
      <c r="K752" s="44"/>
      <c r="L752" s="44"/>
    </row>
    <row r="753">
      <c r="A753" s="48" t="s">
        <v>9471</v>
      </c>
      <c r="B753" s="48"/>
      <c r="C753" s="64" t="s">
        <v>14077</v>
      </c>
      <c r="D753" s="48"/>
      <c r="E753" s="48" t="s">
        <v>12209</v>
      </c>
      <c r="F753" s="64" t="s">
        <v>629</v>
      </c>
      <c r="G753" s="60" t="s">
        <v>96</v>
      </c>
      <c r="H753" s="88">
        <v>0.02498</v>
      </c>
      <c r="I753" s="49" t="s">
        <v>14078</v>
      </c>
      <c r="J753" s="49" t="s">
        <v>14079</v>
      </c>
      <c r="K753" s="44"/>
      <c r="L753" s="44"/>
    </row>
    <row r="754">
      <c r="A754" s="48" t="s">
        <v>4607</v>
      </c>
      <c r="B754" s="48"/>
      <c r="C754" s="64" t="s">
        <v>14080</v>
      </c>
      <c r="D754" s="48"/>
      <c r="E754" s="48" t="s">
        <v>13257</v>
      </c>
      <c r="F754" s="64" t="s">
        <v>622</v>
      </c>
      <c r="G754" s="60" t="s">
        <v>96</v>
      </c>
      <c r="H754" s="88">
        <v>0.02495</v>
      </c>
      <c r="I754" s="49" t="s">
        <v>14081</v>
      </c>
      <c r="J754" s="49" t="s">
        <v>14082</v>
      </c>
      <c r="K754" s="44"/>
      <c r="L754" s="44"/>
    </row>
    <row r="755">
      <c r="A755" s="48" t="s">
        <v>9591</v>
      </c>
      <c r="B755" s="48"/>
      <c r="C755" s="48" t="s">
        <v>9592</v>
      </c>
      <c r="D755" s="48"/>
      <c r="E755" s="48" t="s">
        <v>12325</v>
      </c>
      <c r="F755" s="64" t="s">
        <v>649</v>
      </c>
      <c r="G755" s="60" t="s">
        <v>96</v>
      </c>
      <c r="H755" s="88">
        <v>0.02494</v>
      </c>
      <c r="I755" s="49" t="s">
        <v>14083</v>
      </c>
      <c r="J755" s="49" t="s">
        <v>14084</v>
      </c>
      <c r="K755" s="44"/>
      <c r="L755" s="44"/>
    </row>
    <row r="756">
      <c r="A756" s="48" t="s">
        <v>11468</v>
      </c>
      <c r="B756" s="48"/>
      <c r="C756" s="64" t="s">
        <v>14085</v>
      </c>
      <c r="D756" s="48"/>
      <c r="E756" s="48" t="s">
        <v>12559</v>
      </c>
      <c r="F756" s="64" t="s">
        <v>622</v>
      </c>
      <c r="G756" s="60" t="s">
        <v>96</v>
      </c>
      <c r="H756" s="88">
        <v>0.02483</v>
      </c>
      <c r="I756" s="49" t="s">
        <v>14086</v>
      </c>
      <c r="J756" s="49" t="s">
        <v>14087</v>
      </c>
      <c r="K756" s="44"/>
      <c r="L756" s="44"/>
    </row>
    <row r="757">
      <c r="A757" s="48" t="s">
        <v>4531</v>
      </c>
      <c r="B757" s="48"/>
      <c r="C757" s="64" t="s">
        <v>14088</v>
      </c>
      <c r="D757" s="48"/>
      <c r="E757" s="48" t="s">
        <v>13895</v>
      </c>
      <c r="F757" s="64" t="s">
        <v>622</v>
      </c>
      <c r="G757" s="60" t="s">
        <v>96</v>
      </c>
      <c r="H757" s="88">
        <v>0.02482</v>
      </c>
      <c r="I757" s="49" t="s">
        <v>14089</v>
      </c>
      <c r="J757" s="49" t="s">
        <v>14090</v>
      </c>
      <c r="K757" s="44"/>
      <c r="L757" s="44"/>
    </row>
    <row r="758">
      <c r="A758" s="48" t="s">
        <v>9483</v>
      </c>
      <c r="B758" s="48"/>
      <c r="C758" s="64" t="s">
        <v>14091</v>
      </c>
      <c r="D758" s="48"/>
      <c r="E758" s="48" t="s">
        <v>11995</v>
      </c>
      <c r="F758" s="64" t="s">
        <v>629</v>
      </c>
      <c r="G758" s="60" t="s">
        <v>96</v>
      </c>
      <c r="H758" s="88">
        <v>0.0247</v>
      </c>
      <c r="I758" s="49" t="s">
        <v>14092</v>
      </c>
      <c r="J758" s="49" t="s">
        <v>14093</v>
      </c>
      <c r="K758" s="44"/>
      <c r="L758" s="44"/>
    </row>
    <row r="759">
      <c r="A759" s="48" t="s">
        <v>4611</v>
      </c>
      <c r="B759" s="48"/>
      <c r="C759" s="64" t="s">
        <v>14094</v>
      </c>
      <c r="D759" s="48"/>
      <c r="E759" s="48" t="s">
        <v>12025</v>
      </c>
      <c r="F759" s="64" t="s">
        <v>622</v>
      </c>
      <c r="G759" s="60" t="s">
        <v>96</v>
      </c>
      <c r="H759" s="88">
        <v>0.02451</v>
      </c>
      <c r="I759" s="49" t="s">
        <v>14095</v>
      </c>
      <c r="J759" s="49" t="s">
        <v>14096</v>
      </c>
      <c r="K759" s="44"/>
      <c r="L759" s="44"/>
    </row>
    <row r="760">
      <c r="A760" s="48" t="s">
        <v>9620</v>
      </c>
      <c r="B760" s="48"/>
      <c r="C760" s="48" t="s">
        <v>9621</v>
      </c>
      <c r="D760" s="48"/>
      <c r="E760" s="48" t="s">
        <v>11982</v>
      </c>
      <c r="F760" s="64" t="s">
        <v>668</v>
      </c>
      <c r="G760" s="60" t="s">
        <v>96</v>
      </c>
      <c r="H760" s="88">
        <v>0.02442</v>
      </c>
      <c r="I760" s="49" t="s">
        <v>14097</v>
      </c>
      <c r="J760" s="49" t="s">
        <v>14098</v>
      </c>
      <c r="K760" s="44"/>
      <c r="L760" s="44"/>
    </row>
    <row r="761">
      <c r="A761" s="48" t="s">
        <v>9608</v>
      </c>
      <c r="B761" s="48"/>
      <c r="C761" s="64" t="s">
        <v>14099</v>
      </c>
      <c r="D761" s="48"/>
      <c r="E761" s="48" t="s">
        <v>12777</v>
      </c>
      <c r="F761" s="64" t="s">
        <v>694</v>
      </c>
      <c r="G761" s="60" t="s">
        <v>96</v>
      </c>
      <c r="H761" s="88">
        <v>0.0244</v>
      </c>
      <c r="I761" s="49" t="s">
        <v>14100</v>
      </c>
      <c r="J761" s="49" t="s">
        <v>14101</v>
      </c>
      <c r="K761" s="44"/>
      <c r="L761" s="44"/>
    </row>
    <row r="762">
      <c r="A762" s="48" t="s">
        <v>9541</v>
      </c>
      <c r="B762" s="48"/>
      <c r="C762" s="64" t="s">
        <v>14102</v>
      </c>
      <c r="D762" s="48"/>
      <c r="E762" s="48" t="s">
        <v>12283</v>
      </c>
      <c r="F762" s="64" t="s">
        <v>629</v>
      </c>
      <c r="G762" s="60" t="s">
        <v>96</v>
      </c>
      <c r="H762" s="88">
        <v>0.0244</v>
      </c>
      <c r="I762" s="49" t="s">
        <v>14103</v>
      </c>
      <c r="J762" s="49" t="s">
        <v>14104</v>
      </c>
      <c r="K762" s="44"/>
      <c r="L762" s="44"/>
    </row>
    <row r="763">
      <c r="A763" s="48" t="s">
        <v>9562</v>
      </c>
      <c r="B763" s="48"/>
      <c r="C763" s="48" t="s">
        <v>9563</v>
      </c>
      <c r="D763" s="48"/>
      <c r="E763" s="48" t="s">
        <v>12046</v>
      </c>
      <c r="F763" s="64" t="s">
        <v>11998</v>
      </c>
      <c r="G763" s="60" t="s">
        <v>96</v>
      </c>
      <c r="H763" s="88">
        <v>0.02439</v>
      </c>
      <c r="I763" s="49" t="s">
        <v>14105</v>
      </c>
      <c r="J763" s="49" t="s">
        <v>14106</v>
      </c>
      <c r="K763" s="44"/>
      <c r="L763" s="44"/>
    </row>
    <row r="764">
      <c r="A764" s="48" t="s">
        <v>9624</v>
      </c>
      <c r="B764" s="48"/>
      <c r="C764" s="48" t="s">
        <v>9625</v>
      </c>
      <c r="D764" s="48"/>
      <c r="E764" s="48" t="s">
        <v>9144</v>
      </c>
      <c r="F764" s="64" t="s">
        <v>649</v>
      </c>
      <c r="G764" s="60" t="s">
        <v>96</v>
      </c>
      <c r="H764" s="88">
        <v>0.02439</v>
      </c>
      <c r="I764" s="49" t="s">
        <v>14107</v>
      </c>
      <c r="J764" s="49" t="s">
        <v>14108</v>
      </c>
      <c r="K764" s="44"/>
      <c r="L764" s="44"/>
    </row>
    <row r="765">
      <c r="A765" s="48" t="s">
        <v>9511</v>
      </c>
      <c r="B765" s="48"/>
      <c r="C765" s="64" t="s">
        <v>14109</v>
      </c>
      <c r="D765" s="48"/>
      <c r="E765" s="48" t="s">
        <v>11903</v>
      </c>
      <c r="F765" s="64" t="s">
        <v>679</v>
      </c>
      <c r="G765" s="60" t="s">
        <v>96</v>
      </c>
      <c r="H765" s="88">
        <v>0.02439</v>
      </c>
      <c r="I765" s="49" t="s">
        <v>14110</v>
      </c>
      <c r="J765" s="49" t="s">
        <v>14111</v>
      </c>
      <c r="K765" s="44"/>
      <c r="L765" s="44"/>
    </row>
    <row r="766">
      <c r="A766" s="48" t="s">
        <v>9476</v>
      </c>
      <c r="B766" s="48"/>
      <c r="C766" s="64" t="s">
        <v>14112</v>
      </c>
      <c r="D766" s="48"/>
      <c r="E766" s="48" t="s">
        <v>12356</v>
      </c>
      <c r="F766" s="64" t="s">
        <v>822</v>
      </c>
      <c r="G766" s="60" t="s">
        <v>96</v>
      </c>
      <c r="H766" s="88">
        <v>0.02425</v>
      </c>
      <c r="I766" s="49" t="s">
        <v>14113</v>
      </c>
      <c r="J766" s="49" t="s">
        <v>14114</v>
      </c>
      <c r="K766" s="44"/>
      <c r="L766" s="44"/>
    </row>
    <row r="767">
      <c r="A767" s="48" t="s">
        <v>9573</v>
      </c>
      <c r="B767" s="48"/>
      <c r="C767" s="64" t="s">
        <v>14115</v>
      </c>
      <c r="D767" s="48"/>
      <c r="E767" s="48" t="s">
        <v>13634</v>
      </c>
      <c r="F767" s="64" t="s">
        <v>622</v>
      </c>
      <c r="G767" s="60" t="s">
        <v>96</v>
      </c>
      <c r="H767" s="88">
        <v>0.02425</v>
      </c>
      <c r="I767" s="49" t="s">
        <v>14116</v>
      </c>
      <c r="J767" s="49" t="s">
        <v>14117</v>
      </c>
      <c r="K767" s="44"/>
      <c r="L767" s="44"/>
    </row>
    <row r="768">
      <c r="A768" s="48" t="s">
        <v>9516</v>
      </c>
      <c r="B768" s="48"/>
      <c r="C768" s="64" t="s">
        <v>14118</v>
      </c>
      <c r="D768" s="48"/>
      <c r="E768" s="48" t="s">
        <v>13574</v>
      </c>
      <c r="F768" s="64" t="s">
        <v>629</v>
      </c>
      <c r="G768" s="60" t="s">
        <v>96</v>
      </c>
      <c r="H768" s="88">
        <v>0.02423</v>
      </c>
      <c r="I768" s="49" t="s">
        <v>14119</v>
      </c>
      <c r="J768" s="49" t="s">
        <v>14120</v>
      </c>
      <c r="K768" s="44"/>
      <c r="L768" s="44"/>
    </row>
    <row r="769">
      <c r="A769" s="48" t="s">
        <v>9702</v>
      </c>
      <c r="B769" s="48"/>
      <c r="C769" s="48" t="s">
        <v>9703</v>
      </c>
      <c r="D769" s="48"/>
      <c r="E769" s="48" t="s">
        <v>12072</v>
      </c>
      <c r="F769" s="64" t="s">
        <v>11998</v>
      </c>
      <c r="G769" s="60" t="s">
        <v>96</v>
      </c>
      <c r="H769" s="88">
        <v>0.02422</v>
      </c>
      <c r="I769" s="49" t="s">
        <v>14121</v>
      </c>
      <c r="J769" s="49" t="s">
        <v>14122</v>
      </c>
      <c r="K769" s="44"/>
      <c r="L769" s="44"/>
    </row>
    <row r="770">
      <c r="A770" s="48" t="s">
        <v>11527</v>
      </c>
      <c r="B770" s="48"/>
      <c r="C770" s="64" t="s">
        <v>14123</v>
      </c>
      <c r="D770" s="48"/>
      <c r="E770" s="48" t="s">
        <v>12105</v>
      </c>
      <c r="F770" s="64" t="s">
        <v>629</v>
      </c>
      <c r="G770" s="60" t="s">
        <v>96</v>
      </c>
      <c r="H770" s="88">
        <v>0.02415</v>
      </c>
      <c r="I770" s="49" t="s">
        <v>14124</v>
      </c>
      <c r="J770" s="49" t="s">
        <v>14125</v>
      </c>
      <c r="K770" s="44"/>
      <c r="L770" s="44"/>
    </row>
    <row r="771">
      <c r="A771" s="48" t="s">
        <v>4577</v>
      </c>
      <c r="B771" s="48"/>
      <c r="C771" s="64" t="s">
        <v>14126</v>
      </c>
      <c r="D771" s="48"/>
      <c r="E771" s="48" t="s">
        <v>12729</v>
      </c>
      <c r="F771" s="64" t="s">
        <v>622</v>
      </c>
      <c r="G771" s="60" t="s">
        <v>96</v>
      </c>
      <c r="H771" s="88">
        <v>0.02415</v>
      </c>
      <c r="I771" s="49" t="s">
        <v>14127</v>
      </c>
      <c r="J771" s="49" t="s">
        <v>14128</v>
      </c>
      <c r="K771" s="44"/>
      <c r="L771" s="44"/>
    </row>
    <row r="772">
      <c r="A772" s="48" t="s">
        <v>9539</v>
      </c>
      <c r="B772" s="48"/>
      <c r="C772" s="64" t="s">
        <v>14129</v>
      </c>
      <c r="D772" s="48"/>
      <c r="E772" s="48" t="s">
        <v>11965</v>
      </c>
      <c r="F772" s="64" t="s">
        <v>629</v>
      </c>
      <c r="G772" s="60" t="s">
        <v>96</v>
      </c>
      <c r="H772" s="88">
        <v>0.02407</v>
      </c>
      <c r="I772" s="49" t="s">
        <v>14130</v>
      </c>
      <c r="J772" s="49" t="s">
        <v>14131</v>
      </c>
      <c r="K772" s="44"/>
      <c r="L772" s="44"/>
    </row>
    <row r="773">
      <c r="A773" s="48" t="s">
        <v>11532</v>
      </c>
      <c r="B773" s="48"/>
      <c r="C773" s="64" t="s">
        <v>14132</v>
      </c>
      <c r="D773" s="48"/>
      <c r="E773" s="48" t="s">
        <v>13047</v>
      </c>
      <c r="F773" s="64" t="s">
        <v>622</v>
      </c>
      <c r="G773" s="60" t="s">
        <v>96</v>
      </c>
      <c r="H773" s="88">
        <v>0.02399</v>
      </c>
      <c r="I773" s="49" t="s">
        <v>14133</v>
      </c>
      <c r="J773" s="49" t="s">
        <v>14134</v>
      </c>
      <c r="K773" s="44"/>
      <c r="L773" s="44"/>
    </row>
    <row r="774">
      <c r="A774" s="48" t="s">
        <v>11525</v>
      </c>
      <c r="B774" s="48"/>
      <c r="C774" s="48" t="s">
        <v>11526</v>
      </c>
      <c r="D774" s="48"/>
      <c r="E774" s="48" t="s">
        <v>12090</v>
      </c>
      <c r="F774" s="64" t="s">
        <v>649</v>
      </c>
      <c r="G774" s="60" t="s">
        <v>96</v>
      </c>
      <c r="H774" s="88">
        <v>0.02392</v>
      </c>
      <c r="I774" s="49" t="s">
        <v>14135</v>
      </c>
      <c r="J774" s="49" t="s">
        <v>14136</v>
      </c>
      <c r="K774" s="44"/>
      <c r="L774" s="44"/>
    </row>
    <row r="775">
      <c r="A775" s="48" t="s">
        <v>4547</v>
      </c>
      <c r="B775" s="48"/>
      <c r="C775" s="64" t="s">
        <v>14137</v>
      </c>
      <c r="D775" s="48"/>
      <c r="E775" s="48" t="s">
        <v>13439</v>
      </c>
      <c r="F775" s="64" t="s">
        <v>622</v>
      </c>
      <c r="G775" s="60" t="s">
        <v>96</v>
      </c>
      <c r="H775" s="88">
        <v>0.02384</v>
      </c>
      <c r="I775" s="49" t="s">
        <v>14138</v>
      </c>
      <c r="J775" s="49" t="s">
        <v>14139</v>
      </c>
      <c r="K775" s="44"/>
      <c r="L775" s="44"/>
    </row>
    <row r="776">
      <c r="A776" s="48" t="s">
        <v>11539</v>
      </c>
      <c r="B776" s="48"/>
      <c r="C776" s="64" t="s">
        <v>14140</v>
      </c>
      <c r="D776" s="48"/>
      <c r="E776" s="48" t="s">
        <v>6110</v>
      </c>
      <c r="F776" s="64" t="s">
        <v>629</v>
      </c>
      <c r="G776" s="60" t="s">
        <v>96</v>
      </c>
      <c r="H776" s="88">
        <v>0.02378</v>
      </c>
      <c r="I776" s="49" t="s">
        <v>14141</v>
      </c>
      <c r="J776" s="49" t="s">
        <v>14142</v>
      </c>
      <c r="K776" s="44"/>
      <c r="L776" s="44"/>
    </row>
    <row r="777">
      <c r="A777" s="48" t="s">
        <v>11447</v>
      </c>
      <c r="B777" s="48"/>
      <c r="C777" s="64" t="s">
        <v>14143</v>
      </c>
      <c r="D777" s="48"/>
      <c r="E777" s="48" t="s">
        <v>5462</v>
      </c>
      <c r="F777" s="64" t="s">
        <v>694</v>
      </c>
      <c r="G777" s="60" t="s">
        <v>96</v>
      </c>
      <c r="H777" s="88">
        <v>0.02377</v>
      </c>
      <c r="I777" s="49" t="s">
        <v>14144</v>
      </c>
      <c r="J777" s="49" t="s">
        <v>14145</v>
      </c>
      <c r="K777" s="44"/>
      <c r="L777" s="44"/>
    </row>
    <row r="778">
      <c r="A778" s="48" t="s">
        <v>9668</v>
      </c>
      <c r="B778" s="48"/>
      <c r="C778" s="64" t="s">
        <v>14146</v>
      </c>
      <c r="D778" s="48"/>
      <c r="E778" s="48" t="s">
        <v>12339</v>
      </c>
      <c r="F778" s="64" t="s">
        <v>622</v>
      </c>
      <c r="G778" s="60" t="s">
        <v>96</v>
      </c>
      <c r="H778" s="88">
        <v>0.02368</v>
      </c>
      <c r="I778" s="49" t="s">
        <v>14147</v>
      </c>
      <c r="J778" s="49" t="s">
        <v>14148</v>
      </c>
      <c r="K778" s="44"/>
      <c r="L778" s="44"/>
    </row>
    <row r="779">
      <c r="A779" s="48" t="s">
        <v>4535</v>
      </c>
      <c r="B779" s="48"/>
      <c r="C779" s="64" t="s">
        <v>14149</v>
      </c>
      <c r="D779" s="48"/>
      <c r="E779" s="48" t="s">
        <v>11899</v>
      </c>
      <c r="F779" s="64" t="s">
        <v>622</v>
      </c>
      <c r="G779" s="60" t="s">
        <v>96</v>
      </c>
      <c r="H779" s="88">
        <v>0.0236</v>
      </c>
      <c r="I779" s="49" t="s">
        <v>14150</v>
      </c>
      <c r="J779" s="49" t="s">
        <v>14151</v>
      </c>
      <c r="K779" s="44"/>
      <c r="L779" s="44"/>
    </row>
    <row r="780">
      <c r="A780" s="48" t="s">
        <v>4618</v>
      </c>
      <c r="B780" s="48"/>
      <c r="C780" s="48" t="s">
        <v>11476</v>
      </c>
      <c r="D780" s="48"/>
      <c r="E780" s="48" t="s">
        <v>13231</v>
      </c>
      <c r="F780" s="64" t="s">
        <v>622</v>
      </c>
      <c r="G780" s="60" t="s">
        <v>96</v>
      </c>
      <c r="H780" s="88">
        <v>0.0235</v>
      </c>
      <c r="I780" s="49" t="s">
        <v>14152</v>
      </c>
      <c r="J780" s="49" t="s">
        <v>14153</v>
      </c>
      <c r="K780" s="44"/>
      <c r="L780" s="44"/>
    </row>
    <row r="781">
      <c r="A781" s="48" t="s">
        <v>9535</v>
      </c>
      <c r="B781" s="48"/>
      <c r="C781" s="48" t="s">
        <v>9252</v>
      </c>
      <c r="D781" s="48"/>
      <c r="E781" s="48" t="s">
        <v>11924</v>
      </c>
      <c r="F781" s="64" t="s">
        <v>1352</v>
      </c>
      <c r="G781" s="60" t="s">
        <v>96</v>
      </c>
      <c r="H781" s="88">
        <v>0.02348</v>
      </c>
      <c r="I781" s="49" t="s">
        <v>14154</v>
      </c>
      <c r="J781" s="49" t="s">
        <v>14155</v>
      </c>
      <c r="K781" s="44"/>
      <c r="L781" s="44"/>
    </row>
    <row r="782">
      <c r="A782" s="48" t="s">
        <v>9587</v>
      </c>
      <c r="B782" s="48"/>
      <c r="C782" s="48" t="s">
        <v>9588</v>
      </c>
      <c r="D782" s="48"/>
      <c r="E782" s="48" t="s">
        <v>13002</v>
      </c>
      <c r="F782" s="64" t="s">
        <v>11998</v>
      </c>
      <c r="G782" s="60" t="s">
        <v>96</v>
      </c>
      <c r="H782" s="88">
        <v>0.02341</v>
      </c>
      <c r="I782" s="49" t="s">
        <v>14156</v>
      </c>
      <c r="J782" s="49" t="s">
        <v>14157</v>
      </c>
      <c r="K782" s="44"/>
      <c r="L782" s="44"/>
    </row>
    <row r="783">
      <c r="A783" s="48" t="s">
        <v>9368</v>
      </c>
      <c r="B783" s="48"/>
      <c r="C783" s="64" t="s">
        <v>14158</v>
      </c>
      <c r="D783" s="48"/>
      <c r="E783" s="48" t="s">
        <v>11924</v>
      </c>
      <c r="F783" s="64" t="s">
        <v>629</v>
      </c>
      <c r="G783" s="60" t="s">
        <v>96</v>
      </c>
      <c r="H783" s="88">
        <v>0.0233</v>
      </c>
      <c r="I783" s="49" t="s">
        <v>14159</v>
      </c>
      <c r="J783" s="49" t="s">
        <v>14160</v>
      </c>
      <c r="K783" s="44"/>
      <c r="L783" s="44"/>
    </row>
    <row r="784">
      <c r="A784" s="48" t="s">
        <v>11514</v>
      </c>
      <c r="B784" s="48"/>
      <c r="C784" s="64" t="s">
        <v>14161</v>
      </c>
      <c r="D784" s="48"/>
      <c r="E784" s="48" t="s">
        <v>12078</v>
      </c>
      <c r="F784" s="64" t="s">
        <v>822</v>
      </c>
      <c r="G784" s="60" t="s">
        <v>96</v>
      </c>
      <c r="H784" s="88">
        <v>0.02322</v>
      </c>
      <c r="I784" s="49" t="s">
        <v>14162</v>
      </c>
      <c r="J784" s="49" t="s">
        <v>14163</v>
      </c>
      <c r="K784" s="44"/>
      <c r="L784" s="44"/>
    </row>
    <row r="785">
      <c r="A785" s="48" t="s">
        <v>9678</v>
      </c>
      <c r="B785" s="48"/>
      <c r="C785" s="64" t="s">
        <v>14164</v>
      </c>
      <c r="D785" s="48"/>
      <c r="E785" s="48" t="s">
        <v>12918</v>
      </c>
      <c r="F785" s="64" t="s">
        <v>629</v>
      </c>
      <c r="G785" s="60" t="s">
        <v>96</v>
      </c>
      <c r="H785" s="88">
        <v>0.02318</v>
      </c>
      <c r="I785" s="49" t="s">
        <v>14165</v>
      </c>
      <c r="J785" s="49" t="s">
        <v>14166</v>
      </c>
      <c r="K785" s="44"/>
      <c r="L785" s="44"/>
    </row>
    <row r="786">
      <c r="A786" s="48" t="s">
        <v>4487</v>
      </c>
      <c r="B786" s="48"/>
      <c r="C786" s="64" t="s">
        <v>14167</v>
      </c>
      <c r="D786" s="48"/>
      <c r="E786" s="48" t="s">
        <v>12787</v>
      </c>
      <c r="F786" s="64" t="s">
        <v>622</v>
      </c>
      <c r="G786" s="60" t="s">
        <v>96</v>
      </c>
      <c r="H786" s="88">
        <v>0.02315</v>
      </c>
      <c r="I786" s="49" t="s">
        <v>14168</v>
      </c>
      <c r="J786" s="49" t="s">
        <v>14169</v>
      </c>
      <c r="K786" s="44"/>
      <c r="L786" s="44"/>
    </row>
    <row r="787">
      <c r="A787" s="48" t="s">
        <v>9671</v>
      </c>
      <c r="B787" s="48"/>
      <c r="C787" s="48" t="s">
        <v>9672</v>
      </c>
      <c r="D787" s="48"/>
      <c r="E787" s="48" t="s">
        <v>5564</v>
      </c>
      <c r="F787" s="64" t="s">
        <v>11998</v>
      </c>
      <c r="G787" s="60" t="s">
        <v>96</v>
      </c>
      <c r="H787" s="88">
        <v>0.02314</v>
      </c>
      <c r="I787" s="49" t="s">
        <v>14170</v>
      </c>
      <c r="J787" s="49" t="s">
        <v>14171</v>
      </c>
      <c r="K787" s="44"/>
      <c r="L787" s="44"/>
    </row>
    <row r="788">
      <c r="A788" s="48" t="s">
        <v>4593</v>
      </c>
      <c r="B788" s="48"/>
      <c r="C788" s="64" t="s">
        <v>14172</v>
      </c>
      <c r="D788" s="48"/>
      <c r="E788" s="48" t="s">
        <v>6110</v>
      </c>
      <c r="F788" s="64" t="s">
        <v>622</v>
      </c>
      <c r="G788" s="60" t="s">
        <v>96</v>
      </c>
      <c r="H788" s="88">
        <v>0.02303</v>
      </c>
      <c r="I788" s="49" t="s">
        <v>14173</v>
      </c>
      <c r="J788" s="49" t="s">
        <v>14174</v>
      </c>
      <c r="K788" s="44"/>
      <c r="L788" s="44"/>
    </row>
    <row r="789">
      <c r="A789" s="48" t="s">
        <v>9634</v>
      </c>
      <c r="B789" s="48"/>
      <c r="C789" s="48" t="s">
        <v>9635</v>
      </c>
      <c r="D789" s="48"/>
      <c r="E789" s="48" t="s">
        <v>12518</v>
      </c>
      <c r="F789" s="64" t="s">
        <v>649</v>
      </c>
      <c r="G789" s="60" t="s">
        <v>96</v>
      </c>
      <c r="H789" s="88">
        <v>0.02294</v>
      </c>
      <c r="I789" s="49" t="s">
        <v>14175</v>
      </c>
      <c r="J789" s="49" t="s">
        <v>14176</v>
      </c>
      <c r="K789" s="44"/>
      <c r="L789" s="44"/>
    </row>
    <row r="790">
      <c r="A790" s="48" t="s">
        <v>4591</v>
      </c>
      <c r="B790" s="48"/>
      <c r="C790" s="64" t="s">
        <v>14177</v>
      </c>
      <c r="D790" s="48"/>
      <c r="E790" s="48" t="s">
        <v>14178</v>
      </c>
      <c r="F790" s="64" t="s">
        <v>622</v>
      </c>
      <c r="G790" s="60" t="s">
        <v>96</v>
      </c>
      <c r="H790" s="88">
        <v>0.02282</v>
      </c>
      <c r="I790" s="49" t="s">
        <v>14179</v>
      </c>
      <c r="J790" s="49" t="s">
        <v>14180</v>
      </c>
      <c r="K790" s="44"/>
      <c r="L790" s="44"/>
    </row>
    <row r="791">
      <c r="A791" s="48" t="s">
        <v>11504</v>
      </c>
      <c r="B791" s="48"/>
      <c r="C791" s="64" t="s">
        <v>14181</v>
      </c>
      <c r="D791" s="48"/>
      <c r="E791" s="48" t="s">
        <v>11899</v>
      </c>
      <c r="F791" s="64" t="s">
        <v>622</v>
      </c>
      <c r="G791" s="60" t="s">
        <v>96</v>
      </c>
      <c r="H791" s="88">
        <v>0.02273</v>
      </c>
      <c r="I791" s="49" t="s">
        <v>14182</v>
      </c>
      <c r="J791" s="49" t="s">
        <v>14183</v>
      </c>
      <c r="K791" s="44"/>
      <c r="L791" s="44"/>
    </row>
    <row r="792">
      <c r="A792" s="48" t="s">
        <v>9580</v>
      </c>
      <c r="B792" s="48"/>
      <c r="C792" s="48" t="s">
        <v>9581</v>
      </c>
      <c r="D792" s="48"/>
      <c r="E792" s="48" t="s">
        <v>14184</v>
      </c>
      <c r="F792" s="64" t="s">
        <v>1201</v>
      </c>
      <c r="G792" s="60" t="s">
        <v>96</v>
      </c>
      <c r="H792" s="88">
        <v>0.02272</v>
      </c>
      <c r="I792" s="49" t="s">
        <v>14185</v>
      </c>
      <c r="J792" s="49" t="s">
        <v>14186</v>
      </c>
      <c r="K792" s="44"/>
      <c r="L792" s="44"/>
    </row>
    <row r="793">
      <c r="A793" s="48" t="s">
        <v>9567</v>
      </c>
      <c r="B793" s="48"/>
      <c r="C793" s="64" t="s">
        <v>14187</v>
      </c>
      <c r="D793" s="48"/>
      <c r="E793" s="48" t="s">
        <v>11903</v>
      </c>
      <c r="F793" s="64" t="s">
        <v>622</v>
      </c>
      <c r="G793" s="60" t="s">
        <v>96</v>
      </c>
      <c r="H793" s="88">
        <v>0.02269</v>
      </c>
      <c r="I793" s="49" t="s">
        <v>14188</v>
      </c>
      <c r="J793" s="49" t="s">
        <v>14189</v>
      </c>
      <c r="K793" s="44"/>
      <c r="L793" s="44"/>
    </row>
    <row r="794">
      <c r="A794" s="48" t="s">
        <v>11488</v>
      </c>
      <c r="B794" s="48"/>
      <c r="C794" s="64" t="s">
        <v>14190</v>
      </c>
      <c r="D794" s="48"/>
      <c r="E794" s="48" t="s">
        <v>14191</v>
      </c>
      <c r="F794" s="64" t="s">
        <v>694</v>
      </c>
      <c r="G794" s="60" t="s">
        <v>96</v>
      </c>
      <c r="H794" s="88">
        <v>0.02267</v>
      </c>
      <c r="I794" s="49" t="s">
        <v>14192</v>
      </c>
      <c r="J794" s="49" t="s">
        <v>14193</v>
      </c>
      <c r="K794" s="44"/>
      <c r="L794" s="44"/>
    </row>
    <row r="795">
      <c r="A795" s="48" t="s">
        <v>4606</v>
      </c>
      <c r="B795" s="48"/>
      <c r="C795" s="64" t="s">
        <v>14194</v>
      </c>
      <c r="D795" s="48"/>
      <c r="E795" s="48" t="s">
        <v>5478</v>
      </c>
      <c r="F795" s="64" t="s">
        <v>622</v>
      </c>
      <c r="G795" s="60" t="s">
        <v>96</v>
      </c>
      <c r="H795" s="88">
        <v>0.02261</v>
      </c>
      <c r="I795" s="49" t="s">
        <v>14195</v>
      </c>
      <c r="J795" s="49" t="s">
        <v>14196</v>
      </c>
      <c r="K795" s="44"/>
      <c r="L795" s="44"/>
    </row>
    <row r="796">
      <c r="A796" s="48" t="s">
        <v>9689</v>
      </c>
      <c r="B796" s="48"/>
      <c r="C796" s="64" t="s">
        <v>14197</v>
      </c>
      <c r="D796" s="48"/>
      <c r="E796" s="48" t="s">
        <v>5218</v>
      </c>
      <c r="F796" s="64" t="s">
        <v>629</v>
      </c>
      <c r="G796" s="60" t="s">
        <v>96</v>
      </c>
      <c r="H796" s="88">
        <v>0.02259</v>
      </c>
      <c r="I796" s="49" t="s">
        <v>14198</v>
      </c>
      <c r="J796" s="49" t="s">
        <v>14199</v>
      </c>
      <c r="K796" s="44"/>
      <c r="L796" s="44"/>
    </row>
    <row r="797">
      <c r="A797" s="48" t="s">
        <v>9694</v>
      </c>
      <c r="B797" s="48"/>
      <c r="C797" s="64" t="s">
        <v>14200</v>
      </c>
      <c r="D797" s="48"/>
      <c r="E797" s="48" t="s">
        <v>11965</v>
      </c>
      <c r="F797" s="64" t="s">
        <v>629</v>
      </c>
      <c r="G797" s="60" t="s">
        <v>96</v>
      </c>
      <c r="H797" s="88">
        <v>0.02256</v>
      </c>
      <c r="I797" s="49" t="s">
        <v>14201</v>
      </c>
      <c r="J797" s="49" t="s">
        <v>14202</v>
      </c>
      <c r="K797" s="44"/>
      <c r="L797" s="44"/>
    </row>
    <row r="798">
      <c r="A798" s="48" t="s">
        <v>9629</v>
      </c>
      <c r="B798" s="48"/>
      <c r="C798" s="48" t="s">
        <v>9590</v>
      </c>
      <c r="D798" s="48"/>
      <c r="E798" s="48" t="s">
        <v>11959</v>
      </c>
      <c r="F798" s="64" t="s">
        <v>645</v>
      </c>
      <c r="G798" s="60" t="s">
        <v>96</v>
      </c>
      <c r="H798" s="88">
        <v>0.02253</v>
      </c>
      <c r="I798" s="49" t="s">
        <v>14203</v>
      </c>
      <c r="J798" s="49" t="s">
        <v>14204</v>
      </c>
      <c r="K798" s="44"/>
      <c r="L798" s="44"/>
    </row>
    <row r="799">
      <c r="A799" s="48" t="s">
        <v>4573</v>
      </c>
      <c r="B799" s="48"/>
      <c r="C799" s="48" t="s">
        <v>9586</v>
      </c>
      <c r="D799" s="48"/>
      <c r="E799" s="48" t="s">
        <v>11899</v>
      </c>
      <c r="F799" s="64" t="s">
        <v>622</v>
      </c>
      <c r="G799" s="60" t="s">
        <v>96</v>
      </c>
      <c r="H799" s="88">
        <v>0.02252</v>
      </c>
      <c r="I799" s="49" t="s">
        <v>14205</v>
      </c>
      <c r="J799" s="49" t="s">
        <v>14206</v>
      </c>
      <c r="K799" s="44"/>
      <c r="L799" s="44"/>
    </row>
    <row r="800">
      <c r="A800" s="48" t="s">
        <v>11676</v>
      </c>
      <c r="B800" s="48"/>
      <c r="C800" s="48" t="s">
        <v>11677</v>
      </c>
      <c r="D800" s="48"/>
      <c r="E800" s="48" t="s">
        <v>13103</v>
      </c>
      <c r="F800" s="64" t="s">
        <v>649</v>
      </c>
      <c r="G800" s="60" t="s">
        <v>96</v>
      </c>
      <c r="H800" s="88">
        <v>0.02248</v>
      </c>
      <c r="I800" s="49" t="s">
        <v>14207</v>
      </c>
      <c r="J800" s="49" t="s">
        <v>14208</v>
      </c>
      <c r="K800" s="44"/>
      <c r="L800" s="44"/>
    </row>
    <row r="801">
      <c r="A801" s="48" t="s">
        <v>4537</v>
      </c>
      <c r="B801" s="48"/>
      <c r="C801" s="64" t="s">
        <v>14209</v>
      </c>
      <c r="D801" s="48"/>
      <c r="E801" s="48" t="s">
        <v>12123</v>
      </c>
      <c r="F801" s="64" t="s">
        <v>622</v>
      </c>
      <c r="G801" s="60" t="s">
        <v>96</v>
      </c>
      <c r="H801" s="88">
        <v>0.02239</v>
      </c>
      <c r="I801" s="49" t="s">
        <v>14210</v>
      </c>
      <c r="J801" s="49" t="s">
        <v>14211</v>
      </c>
      <c r="K801" s="44"/>
      <c r="L801" s="44"/>
    </row>
    <row r="802">
      <c r="A802" s="48" t="s">
        <v>4562</v>
      </c>
      <c r="B802" s="48"/>
      <c r="C802" s="64" t="s">
        <v>14212</v>
      </c>
      <c r="D802" s="48"/>
      <c r="E802" s="48" t="s">
        <v>12283</v>
      </c>
      <c r="F802" s="64" t="s">
        <v>622</v>
      </c>
      <c r="G802" s="60" t="s">
        <v>96</v>
      </c>
      <c r="H802" s="88">
        <v>0.02238</v>
      </c>
      <c r="I802" s="49" t="s">
        <v>14213</v>
      </c>
      <c r="J802" s="49" t="s">
        <v>14214</v>
      </c>
      <c r="K802" s="44"/>
      <c r="L802" s="44"/>
    </row>
    <row r="803">
      <c r="A803" s="48" t="s">
        <v>4565</v>
      </c>
      <c r="B803" s="48"/>
      <c r="C803" s="64" t="s">
        <v>14215</v>
      </c>
      <c r="D803" s="48"/>
      <c r="E803" s="48" t="s">
        <v>12220</v>
      </c>
      <c r="F803" s="64" t="s">
        <v>622</v>
      </c>
      <c r="G803" s="60" t="s">
        <v>96</v>
      </c>
      <c r="H803" s="88">
        <v>0.02235</v>
      </c>
      <c r="I803" s="49" t="s">
        <v>14216</v>
      </c>
      <c r="J803" s="49" t="s">
        <v>14217</v>
      </c>
      <c r="K803" s="44"/>
      <c r="L803" s="44"/>
    </row>
    <row r="804">
      <c r="A804" s="48" t="s">
        <v>9685</v>
      </c>
      <c r="B804" s="48"/>
      <c r="C804" s="48" t="s">
        <v>9686</v>
      </c>
      <c r="D804" s="48"/>
      <c r="E804" s="48" t="s">
        <v>12078</v>
      </c>
      <c r="F804" s="64" t="s">
        <v>1352</v>
      </c>
      <c r="G804" s="60" t="s">
        <v>96</v>
      </c>
      <c r="H804" s="88">
        <v>0.02227</v>
      </c>
      <c r="I804" s="49" t="s">
        <v>14218</v>
      </c>
      <c r="J804" s="49" t="s">
        <v>14219</v>
      </c>
      <c r="K804" s="44"/>
      <c r="L804" s="44"/>
    </row>
    <row r="805">
      <c r="A805" s="48" t="s">
        <v>9432</v>
      </c>
      <c r="B805" s="48"/>
      <c r="C805" s="48" t="s">
        <v>9433</v>
      </c>
      <c r="D805" s="48"/>
      <c r="E805" s="48" t="s">
        <v>12182</v>
      </c>
      <c r="F805" s="64" t="s">
        <v>649</v>
      </c>
      <c r="G805" s="60" t="s">
        <v>96</v>
      </c>
      <c r="H805" s="88">
        <v>0.02224</v>
      </c>
      <c r="I805" s="49" t="s">
        <v>14220</v>
      </c>
      <c r="J805" s="49" t="s">
        <v>14221</v>
      </c>
      <c r="K805" s="44"/>
      <c r="L805" s="44"/>
    </row>
    <row r="806">
      <c r="A806" s="48" t="s">
        <v>4605</v>
      </c>
      <c r="B806" s="48"/>
      <c r="C806" s="64" t="s">
        <v>14222</v>
      </c>
      <c r="D806" s="48"/>
      <c r="E806" s="48" t="s">
        <v>12460</v>
      </c>
      <c r="F806" s="64" t="s">
        <v>622</v>
      </c>
      <c r="G806" s="60" t="s">
        <v>96</v>
      </c>
      <c r="H806" s="88">
        <v>0.02224</v>
      </c>
      <c r="I806" s="49" t="s">
        <v>14223</v>
      </c>
      <c r="J806" s="49" t="s">
        <v>14224</v>
      </c>
      <c r="K806" s="44"/>
      <c r="L806" s="44"/>
    </row>
    <row r="807">
      <c r="A807" s="48" t="s">
        <v>9656</v>
      </c>
      <c r="B807" s="48"/>
      <c r="C807" s="48" t="s">
        <v>14225</v>
      </c>
      <c r="D807" s="48"/>
      <c r="E807" s="48" t="s">
        <v>5218</v>
      </c>
      <c r="F807" s="64" t="s">
        <v>622</v>
      </c>
      <c r="G807" s="60" t="s">
        <v>96</v>
      </c>
      <c r="H807" s="88">
        <v>0.02209</v>
      </c>
      <c r="I807" s="49" t="s">
        <v>14226</v>
      </c>
      <c r="J807" s="49" t="s">
        <v>14227</v>
      </c>
      <c r="K807" s="44"/>
      <c r="L807" s="44"/>
    </row>
    <row r="808">
      <c r="A808" s="48" t="s">
        <v>9434</v>
      </c>
      <c r="B808" s="48"/>
      <c r="C808" s="48" t="s">
        <v>14228</v>
      </c>
      <c r="D808" s="48"/>
      <c r="E808" s="48" t="s">
        <v>12182</v>
      </c>
      <c r="F808" s="64" t="s">
        <v>1740</v>
      </c>
      <c r="G808" s="60" t="s">
        <v>96</v>
      </c>
      <c r="H808" s="88">
        <v>0.02208</v>
      </c>
      <c r="I808" s="49" t="s">
        <v>14229</v>
      </c>
      <c r="J808" s="49" t="s">
        <v>14230</v>
      </c>
      <c r="K808" s="44"/>
      <c r="L808" s="44"/>
    </row>
    <row r="809">
      <c r="A809" s="48" t="s">
        <v>9806</v>
      </c>
      <c r="B809" s="48"/>
      <c r="C809" s="48" t="s">
        <v>14231</v>
      </c>
      <c r="D809" s="48"/>
      <c r="E809" s="48" t="s">
        <v>11942</v>
      </c>
      <c r="F809" s="64" t="s">
        <v>1740</v>
      </c>
      <c r="G809" s="60" t="s">
        <v>96</v>
      </c>
      <c r="H809" s="88">
        <v>0.02208</v>
      </c>
      <c r="I809" s="49" t="s">
        <v>14232</v>
      </c>
      <c r="J809" s="49" t="s">
        <v>14233</v>
      </c>
      <c r="K809" s="44"/>
      <c r="L809" s="44"/>
    </row>
    <row r="810">
      <c r="A810" s="48" t="s">
        <v>9526</v>
      </c>
      <c r="B810" s="48"/>
      <c r="C810" s="64" t="s">
        <v>14234</v>
      </c>
      <c r="D810" s="48"/>
      <c r="E810" s="48" t="s">
        <v>11942</v>
      </c>
      <c r="F810" s="64" t="s">
        <v>629</v>
      </c>
      <c r="G810" s="60" t="s">
        <v>96</v>
      </c>
      <c r="H810" s="88">
        <v>0.02207</v>
      </c>
      <c r="I810" s="49" t="s">
        <v>14235</v>
      </c>
      <c r="J810" s="49" t="s">
        <v>14236</v>
      </c>
      <c r="K810" s="44"/>
      <c r="L810" s="44"/>
    </row>
    <row r="811">
      <c r="A811" s="48" t="s">
        <v>9626</v>
      </c>
      <c r="B811" s="48"/>
      <c r="C811" s="64" t="s">
        <v>14237</v>
      </c>
      <c r="D811" s="48"/>
      <c r="E811" s="48" t="s">
        <v>12339</v>
      </c>
      <c r="F811" s="64" t="s">
        <v>622</v>
      </c>
      <c r="G811" s="60" t="s">
        <v>96</v>
      </c>
      <c r="H811" s="88">
        <v>0.02204</v>
      </c>
      <c r="I811" s="49" t="s">
        <v>14238</v>
      </c>
      <c r="J811" s="49" t="s">
        <v>14239</v>
      </c>
      <c r="K811" s="44"/>
      <c r="L811" s="44"/>
    </row>
    <row r="812">
      <c r="A812" s="48" t="s">
        <v>9750</v>
      </c>
      <c r="B812" s="48"/>
      <c r="C812" s="48" t="s">
        <v>9751</v>
      </c>
      <c r="D812" s="48"/>
      <c r="E812" s="48" t="s">
        <v>12216</v>
      </c>
      <c r="F812" s="64" t="s">
        <v>11998</v>
      </c>
      <c r="G812" s="60" t="s">
        <v>96</v>
      </c>
      <c r="H812" s="88">
        <v>0.02199</v>
      </c>
      <c r="I812" s="49" t="s">
        <v>12712</v>
      </c>
      <c r="J812" s="49" t="s">
        <v>14240</v>
      </c>
      <c r="K812" s="44"/>
      <c r="L812" s="44"/>
    </row>
    <row r="813">
      <c r="A813" s="48" t="s">
        <v>4546</v>
      </c>
      <c r="B813" s="48"/>
      <c r="C813" s="64" t="s">
        <v>14241</v>
      </c>
      <c r="D813" s="48"/>
      <c r="E813" s="48" t="s">
        <v>13895</v>
      </c>
      <c r="F813" s="64" t="s">
        <v>622</v>
      </c>
      <c r="G813" s="60" t="s">
        <v>96</v>
      </c>
      <c r="H813" s="88">
        <v>0.02194</v>
      </c>
      <c r="I813" s="49" t="s">
        <v>14242</v>
      </c>
      <c r="J813" s="49" t="s">
        <v>14243</v>
      </c>
      <c r="K813" s="44"/>
      <c r="L813" s="44"/>
    </row>
    <row r="814">
      <c r="A814" s="48" t="s">
        <v>4601</v>
      </c>
      <c r="B814" s="48"/>
      <c r="C814" s="64" t="s">
        <v>14244</v>
      </c>
      <c r="D814" s="48"/>
      <c r="E814" s="48" t="s">
        <v>11959</v>
      </c>
      <c r="F814" s="64" t="s">
        <v>622</v>
      </c>
      <c r="G814" s="60" t="s">
        <v>96</v>
      </c>
      <c r="H814" s="88">
        <v>0.02194</v>
      </c>
      <c r="I814" s="49" t="s">
        <v>14245</v>
      </c>
      <c r="J814" s="49" t="s">
        <v>14246</v>
      </c>
      <c r="K814" s="44"/>
      <c r="L814" s="44"/>
    </row>
    <row r="815">
      <c r="A815" s="48" t="s">
        <v>4603</v>
      </c>
      <c r="B815" s="48"/>
      <c r="C815" s="64" t="s">
        <v>14247</v>
      </c>
      <c r="D815" s="48"/>
      <c r="E815" s="48" t="s">
        <v>5291</v>
      </c>
      <c r="F815" s="64" t="s">
        <v>622</v>
      </c>
      <c r="G815" s="60" t="s">
        <v>96</v>
      </c>
      <c r="H815" s="88">
        <v>0.02194</v>
      </c>
      <c r="I815" s="49" t="s">
        <v>14248</v>
      </c>
      <c r="J815" s="49" t="s">
        <v>14249</v>
      </c>
      <c r="K815" s="44"/>
      <c r="L815" s="44"/>
    </row>
    <row r="816">
      <c r="A816" s="48" t="s">
        <v>4576</v>
      </c>
      <c r="B816" s="48"/>
      <c r="C816" s="64" t="s">
        <v>14250</v>
      </c>
      <c r="D816" s="48"/>
      <c r="E816" s="48" t="s">
        <v>6012</v>
      </c>
      <c r="F816" s="64" t="s">
        <v>622</v>
      </c>
      <c r="G816" s="60" t="s">
        <v>96</v>
      </c>
      <c r="H816" s="88">
        <v>0.0219</v>
      </c>
      <c r="I816" s="49" t="s">
        <v>14251</v>
      </c>
      <c r="J816" s="49" t="s">
        <v>14252</v>
      </c>
      <c r="K816" s="44"/>
      <c r="L816" s="44"/>
    </row>
    <row r="817">
      <c r="A817" s="48" t="s">
        <v>9602</v>
      </c>
      <c r="B817" s="48"/>
      <c r="C817" s="64" t="s">
        <v>14253</v>
      </c>
      <c r="D817" s="48"/>
      <c r="E817" s="48" t="s">
        <v>5775</v>
      </c>
      <c r="F817" s="64" t="s">
        <v>649</v>
      </c>
      <c r="G817" s="60" t="s">
        <v>96</v>
      </c>
      <c r="H817" s="88">
        <v>0.0219</v>
      </c>
      <c r="I817" s="49" t="s">
        <v>14254</v>
      </c>
      <c r="J817" s="49" t="s">
        <v>14255</v>
      </c>
      <c r="K817" s="44"/>
      <c r="L817" s="44"/>
    </row>
    <row r="818">
      <c r="A818" s="48" t="s">
        <v>9710</v>
      </c>
      <c r="B818" s="48"/>
      <c r="C818" s="64" t="s">
        <v>14256</v>
      </c>
      <c r="D818" s="48"/>
      <c r="E818" s="48" t="s">
        <v>12031</v>
      </c>
      <c r="F818" s="64" t="s">
        <v>629</v>
      </c>
      <c r="G818" s="60" t="s">
        <v>96</v>
      </c>
      <c r="H818" s="88">
        <v>0.02184</v>
      </c>
      <c r="I818" s="49" t="s">
        <v>14257</v>
      </c>
      <c r="J818" s="49" t="s">
        <v>14258</v>
      </c>
      <c r="K818" s="44"/>
      <c r="L818" s="44"/>
    </row>
    <row r="819">
      <c r="A819" s="48" t="s">
        <v>9673</v>
      </c>
      <c r="B819" s="48"/>
      <c r="C819" s="48" t="s">
        <v>9674</v>
      </c>
      <c r="D819" s="48"/>
      <c r="E819" s="48" t="s">
        <v>13002</v>
      </c>
      <c r="F819" s="64" t="s">
        <v>11998</v>
      </c>
      <c r="G819" s="60" t="s">
        <v>96</v>
      </c>
      <c r="H819" s="88">
        <v>0.02184</v>
      </c>
      <c r="I819" s="49" t="s">
        <v>14259</v>
      </c>
      <c r="J819" s="49" t="s">
        <v>14260</v>
      </c>
      <c r="K819" s="44"/>
      <c r="L819" s="44"/>
    </row>
    <row r="820">
      <c r="A820" s="48" t="s">
        <v>9571</v>
      </c>
      <c r="B820" s="48"/>
      <c r="C820" s="64" t="s">
        <v>14261</v>
      </c>
      <c r="D820" s="48"/>
      <c r="E820" s="48" t="s">
        <v>12031</v>
      </c>
      <c r="F820" s="64" t="s">
        <v>629</v>
      </c>
      <c r="G820" s="60" t="s">
        <v>96</v>
      </c>
      <c r="H820" s="88">
        <v>0.02183</v>
      </c>
      <c r="I820" s="49" t="s">
        <v>14262</v>
      </c>
      <c r="J820" s="49" t="s">
        <v>14263</v>
      </c>
      <c r="K820" s="44"/>
      <c r="L820" s="44"/>
    </row>
    <row r="821">
      <c r="A821" s="48" t="s">
        <v>9773</v>
      </c>
      <c r="B821" s="48"/>
      <c r="C821" s="64" t="s">
        <v>14264</v>
      </c>
      <c r="D821" s="48"/>
      <c r="E821" s="48" t="s">
        <v>5961</v>
      </c>
      <c r="F821" s="64" t="s">
        <v>629</v>
      </c>
      <c r="G821" s="60" t="s">
        <v>96</v>
      </c>
      <c r="H821" s="88">
        <v>0.02181</v>
      </c>
      <c r="I821" s="49" t="s">
        <v>14265</v>
      </c>
      <c r="J821" s="49" t="s">
        <v>14266</v>
      </c>
      <c r="K821" s="44"/>
      <c r="L821" s="44"/>
    </row>
    <row r="822">
      <c r="A822" s="48" t="s">
        <v>9722</v>
      </c>
      <c r="B822" s="48"/>
      <c r="C822" s="64" t="s">
        <v>14267</v>
      </c>
      <c r="D822" s="48"/>
      <c r="E822" s="48" t="s">
        <v>12004</v>
      </c>
      <c r="F822" s="64" t="s">
        <v>622</v>
      </c>
      <c r="G822" s="60" t="s">
        <v>96</v>
      </c>
      <c r="H822" s="88">
        <v>0.02179</v>
      </c>
      <c r="I822" s="49" t="s">
        <v>14268</v>
      </c>
      <c r="J822" s="49" t="s">
        <v>14269</v>
      </c>
      <c r="K822" s="44"/>
      <c r="L822" s="44"/>
    </row>
    <row r="823">
      <c r="A823" s="48" t="s">
        <v>11544</v>
      </c>
      <c r="B823" s="48"/>
      <c r="C823" s="64" t="s">
        <v>14270</v>
      </c>
      <c r="D823" s="48"/>
      <c r="E823" s="48" t="s">
        <v>12004</v>
      </c>
      <c r="F823" s="64" t="s">
        <v>694</v>
      </c>
      <c r="G823" s="60" t="s">
        <v>96</v>
      </c>
      <c r="H823" s="88">
        <v>0.02174</v>
      </c>
      <c r="I823" s="49" t="s">
        <v>14271</v>
      </c>
      <c r="J823" s="49" t="s">
        <v>14272</v>
      </c>
      <c r="K823" s="44"/>
      <c r="L823" s="44"/>
    </row>
    <row r="824">
      <c r="A824" s="48" t="s">
        <v>9649</v>
      </c>
      <c r="B824" s="48"/>
      <c r="C824" s="48" t="s">
        <v>9650</v>
      </c>
      <c r="D824" s="48"/>
      <c r="E824" s="48" t="s">
        <v>12072</v>
      </c>
      <c r="F824" s="64" t="s">
        <v>668</v>
      </c>
      <c r="G824" s="60" t="s">
        <v>96</v>
      </c>
      <c r="H824" s="88">
        <v>0.02169</v>
      </c>
      <c r="I824" s="49" t="s">
        <v>14273</v>
      </c>
      <c r="J824" s="49" t="s">
        <v>14274</v>
      </c>
      <c r="K824" s="44"/>
      <c r="L824" s="44"/>
    </row>
    <row r="825">
      <c r="A825" s="48" t="s">
        <v>9582</v>
      </c>
      <c r="B825" s="48"/>
      <c r="C825" s="64" t="s">
        <v>14275</v>
      </c>
      <c r="D825" s="48"/>
      <c r="E825" s="48" t="s">
        <v>13457</v>
      </c>
      <c r="F825" s="64" t="s">
        <v>622</v>
      </c>
      <c r="G825" s="60" t="s">
        <v>96</v>
      </c>
      <c r="H825" s="88">
        <v>0.02167</v>
      </c>
      <c r="I825" s="49" t="s">
        <v>14276</v>
      </c>
      <c r="J825" s="49" t="s">
        <v>14277</v>
      </c>
      <c r="K825" s="44"/>
      <c r="L825" s="44"/>
    </row>
    <row r="826">
      <c r="A826" s="48" t="s">
        <v>9714</v>
      </c>
      <c r="B826" s="48"/>
      <c r="C826" s="48" t="s">
        <v>9715</v>
      </c>
      <c r="D826" s="48"/>
      <c r="E826" s="48" t="s">
        <v>12356</v>
      </c>
      <c r="F826" s="64" t="s">
        <v>645</v>
      </c>
      <c r="G826" s="60" t="s">
        <v>96</v>
      </c>
      <c r="H826" s="88">
        <v>0.02165</v>
      </c>
      <c r="I826" s="49" t="s">
        <v>14278</v>
      </c>
      <c r="J826" s="49" t="s">
        <v>14279</v>
      </c>
      <c r="K826" s="44"/>
      <c r="L826" s="44"/>
    </row>
    <row r="827">
      <c r="A827" s="48" t="s">
        <v>4539</v>
      </c>
      <c r="B827" s="48"/>
      <c r="C827" s="64" t="s">
        <v>14280</v>
      </c>
      <c r="D827" s="48"/>
      <c r="E827" s="48" t="s">
        <v>12216</v>
      </c>
      <c r="F827" s="64" t="s">
        <v>622</v>
      </c>
      <c r="G827" s="60" t="s">
        <v>96</v>
      </c>
      <c r="H827" s="88">
        <v>0.02165</v>
      </c>
      <c r="I827" s="49" t="s">
        <v>14281</v>
      </c>
      <c r="J827" s="49" t="s">
        <v>14282</v>
      </c>
      <c r="K827" s="44"/>
      <c r="L827" s="44"/>
    </row>
    <row r="828">
      <c r="A828" s="48" t="s">
        <v>4569</v>
      </c>
      <c r="B828" s="48"/>
      <c r="C828" s="64" t="s">
        <v>14283</v>
      </c>
      <c r="D828" s="48"/>
      <c r="E828" s="48" t="s">
        <v>12356</v>
      </c>
      <c r="F828" s="64" t="s">
        <v>622</v>
      </c>
      <c r="G828" s="60" t="s">
        <v>96</v>
      </c>
      <c r="H828" s="88">
        <v>0.0216</v>
      </c>
      <c r="I828" s="49" t="s">
        <v>14284</v>
      </c>
      <c r="J828" s="49" t="s">
        <v>14285</v>
      </c>
      <c r="K828" s="44"/>
      <c r="L828" s="44"/>
    </row>
    <row r="829">
      <c r="A829" s="48" t="s">
        <v>4590</v>
      </c>
      <c r="B829" s="48"/>
      <c r="C829" s="64" t="s">
        <v>14286</v>
      </c>
      <c r="D829" s="48"/>
      <c r="E829" s="48" t="s">
        <v>5218</v>
      </c>
      <c r="F829" s="64" t="s">
        <v>622</v>
      </c>
      <c r="G829" s="60" t="s">
        <v>96</v>
      </c>
      <c r="H829" s="88">
        <v>0.0216</v>
      </c>
      <c r="I829" s="49" t="s">
        <v>14287</v>
      </c>
      <c r="J829" s="49" t="s">
        <v>14288</v>
      </c>
      <c r="K829" s="44"/>
      <c r="L829" s="44"/>
    </row>
    <row r="830">
      <c r="A830" s="48" t="s">
        <v>9675</v>
      </c>
      <c r="B830" s="48"/>
      <c r="C830" s="64" t="s">
        <v>14289</v>
      </c>
      <c r="D830" s="48"/>
      <c r="E830" s="48" t="s">
        <v>13956</v>
      </c>
      <c r="F830" s="64" t="s">
        <v>629</v>
      </c>
      <c r="G830" s="60" t="s">
        <v>96</v>
      </c>
      <c r="H830" s="88">
        <v>0.02158</v>
      </c>
      <c r="I830" s="49" t="s">
        <v>14290</v>
      </c>
      <c r="J830" s="49" t="s">
        <v>14291</v>
      </c>
      <c r="K830" s="44"/>
      <c r="L830" s="44"/>
    </row>
    <row r="831">
      <c r="A831" s="48" t="s">
        <v>4599</v>
      </c>
      <c r="B831" s="48"/>
      <c r="C831" s="64" t="s">
        <v>14292</v>
      </c>
      <c r="D831" s="48"/>
      <c r="E831" s="48" t="s">
        <v>11946</v>
      </c>
      <c r="F831" s="64" t="s">
        <v>622</v>
      </c>
      <c r="G831" s="60" t="s">
        <v>96</v>
      </c>
      <c r="H831" s="88">
        <v>0.02155</v>
      </c>
      <c r="I831" s="49" t="s">
        <v>14293</v>
      </c>
      <c r="J831" s="49" t="s">
        <v>14294</v>
      </c>
      <c r="K831" s="44"/>
      <c r="L831" s="44"/>
    </row>
    <row r="832">
      <c r="A832" s="48" t="s">
        <v>10728</v>
      </c>
      <c r="B832" s="48"/>
      <c r="C832" s="48" t="s">
        <v>14295</v>
      </c>
      <c r="D832" s="48"/>
      <c r="E832" s="48" t="s">
        <v>11932</v>
      </c>
      <c r="F832" s="64" t="s">
        <v>1740</v>
      </c>
      <c r="G832" s="60" t="s">
        <v>96</v>
      </c>
      <c r="H832" s="88">
        <v>0.02153</v>
      </c>
      <c r="I832" s="49" t="s">
        <v>14296</v>
      </c>
      <c r="J832" s="49" t="s">
        <v>14297</v>
      </c>
      <c r="K832" s="44"/>
      <c r="L832" s="44"/>
    </row>
    <row r="833">
      <c r="A833" s="48" t="s">
        <v>4584</v>
      </c>
      <c r="B833" s="48"/>
      <c r="C833" s="64" t="s">
        <v>14298</v>
      </c>
      <c r="D833" s="48"/>
      <c r="E833" s="48" t="s">
        <v>12356</v>
      </c>
      <c r="F833" s="64" t="s">
        <v>622</v>
      </c>
      <c r="G833" s="60" t="s">
        <v>96</v>
      </c>
      <c r="H833" s="88">
        <v>0.02144</v>
      </c>
      <c r="I833" s="49" t="s">
        <v>14299</v>
      </c>
      <c r="J833" s="49" t="s">
        <v>14300</v>
      </c>
      <c r="K833" s="44"/>
      <c r="L833" s="44"/>
    </row>
    <row r="834">
      <c r="A834" s="48" t="s">
        <v>9727</v>
      </c>
      <c r="B834" s="48"/>
      <c r="C834" s="48" t="s">
        <v>9728</v>
      </c>
      <c r="D834" s="48"/>
      <c r="E834" s="48" t="s">
        <v>12220</v>
      </c>
      <c r="F834" s="64" t="s">
        <v>11998</v>
      </c>
      <c r="G834" s="60" t="s">
        <v>96</v>
      </c>
      <c r="H834" s="88">
        <v>0.02144</v>
      </c>
      <c r="I834" s="49" t="s">
        <v>14301</v>
      </c>
      <c r="J834" s="49" t="s">
        <v>14302</v>
      </c>
      <c r="K834" s="44"/>
      <c r="L834" s="44"/>
    </row>
    <row r="835">
      <c r="A835" s="48" t="s">
        <v>11529</v>
      </c>
      <c r="B835" s="48"/>
      <c r="C835" s="48" t="s">
        <v>11530</v>
      </c>
      <c r="D835" s="48"/>
      <c r="E835" s="48" t="s">
        <v>12090</v>
      </c>
      <c r="F835" s="64" t="s">
        <v>649</v>
      </c>
      <c r="G835" s="60" t="s">
        <v>96</v>
      </c>
      <c r="H835" s="88">
        <v>0.02135</v>
      </c>
      <c r="I835" s="49" t="s">
        <v>14303</v>
      </c>
      <c r="J835" s="49" t="s">
        <v>14304</v>
      </c>
      <c r="K835" s="44"/>
      <c r="L835" s="44"/>
    </row>
    <row r="836">
      <c r="A836" s="48" t="s">
        <v>9699</v>
      </c>
      <c r="B836" s="48"/>
      <c r="C836" s="48" t="s">
        <v>14305</v>
      </c>
      <c r="D836" s="48"/>
      <c r="E836" s="48" t="s">
        <v>5218</v>
      </c>
      <c r="F836" s="64" t="s">
        <v>1374</v>
      </c>
      <c r="G836" s="60" t="s">
        <v>96</v>
      </c>
      <c r="H836" s="88">
        <v>0.02131</v>
      </c>
      <c r="I836" s="49" t="s">
        <v>14306</v>
      </c>
      <c r="J836" s="49" t="s">
        <v>14307</v>
      </c>
      <c r="K836" s="44"/>
      <c r="L836" s="44"/>
    </row>
    <row r="837">
      <c r="A837" s="48" t="s">
        <v>11576</v>
      </c>
      <c r="B837" s="48"/>
      <c r="C837" s="64" t="s">
        <v>14308</v>
      </c>
      <c r="D837" s="48"/>
      <c r="E837" s="48" t="s">
        <v>12078</v>
      </c>
      <c r="F837" s="64" t="s">
        <v>694</v>
      </c>
      <c r="G837" s="60" t="s">
        <v>96</v>
      </c>
      <c r="H837" s="88">
        <v>0.02119</v>
      </c>
      <c r="I837" s="49" t="s">
        <v>14309</v>
      </c>
      <c r="J837" s="49" t="s">
        <v>14310</v>
      </c>
      <c r="K837" s="44"/>
      <c r="L837" s="44"/>
    </row>
    <row r="838">
      <c r="A838" s="48" t="s">
        <v>4620</v>
      </c>
      <c r="B838" s="48"/>
      <c r="C838" s="64" t="s">
        <v>14311</v>
      </c>
      <c r="D838" s="48"/>
      <c r="E838" s="48" t="s">
        <v>12120</v>
      </c>
      <c r="F838" s="64" t="s">
        <v>622</v>
      </c>
      <c r="G838" s="60" t="s">
        <v>96</v>
      </c>
      <c r="H838" s="88">
        <v>0.02115</v>
      </c>
      <c r="I838" s="49" t="s">
        <v>14312</v>
      </c>
      <c r="J838" s="49" t="s">
        <v>14313</v>
      </c>
      <c r="K838" s="44"/>
      <c r="L838" s="44"/>
    </row>
    <row r="839">
      <c r="A839" s="48" t="s">
        <v>9683</v>
      </c>
      <c r="B839" s="48"/>
      <c r="C839" s="48" t="s">
        <v>9684</v>
      </c>
      <c r="D839" s="48"/>
      <c r="E839" s="48" t="s">
        <v>12004</v>
      </c>
      <c r="F839" s="64" t="s">
        <v>11998</v>
      </c>
      <c r="G839" s="60" t="s">
        <v>96</v>
      </c>
      <c r="H839" s="88">
        <v>0.02115</v>
      </c>
      <c r="I839" s="49" t="s">
        <v>14314</v>
      </c>
      <c r="J839" s="49" t="s">
        <v>14315</v>
      </c>
      <c r="K839" s="44"/>
      <c r="L839" s="44"/>
    </row>
    <row r="840">
      <c r="A840" s="48" t="s">
        <v>4589</v>
      </c>
      <c r="B840" s="48"/>
      <c r="C840" s="64" t="s">
        <v>14316</v>
      </c>
      <c r="D840" s="48"/>
      <c r="E840" s="48" t="s">
        <v>12283</v>
      </c>
      <c r="F840" s="64" t="s">
        <v>622</v>
      </c>
      <c r="G840" s="60" t="s">
        <v>96</v>
      </c>
      <c r="H840" s="88">
        <v>0.02111</v>
      </c>
      <c r="I840" s="49" t="s">
        <v>14317</v>
      </c>
      <c r="J840" s="49" t="s">
        <v>14318</v>
      </c>
      <c r="K840" s="44"/>
      <c r="L840" s="44"/>
    </row>
    <row r="841">
      <c r="A841" s="48" t="s">
        <v>4580</v>
      </c>
      <c r="B841" s="48"/>
      <c r="C841" s="64" t="s">
        <v>14319</v>
      </c>
      <c r="D841" s="48"/>
      <c r="E841" s="48" t="s">
        <v>12559</v>
      </c>
      <c r="F841" s="64" t="s">
        <v>622</v>
      </c>
      <c r="G841" s="60" t="s">
        <v>96</v>
      </c>
      <c r="H841" s="88">
        <v>0.02107</v>
      </c>
      <c r="I841" s="49" t="s">
        <v>14320</v>
      </c>
      <c r="J841" s="49" t="s">
        <v>14321</v>
      </c>
      <c r="K841" s="44"/>
      <c r="L841" s="44"/>
    </row>
    <row r="842">
      <c r="A842" s="48" t="s">
        <v>11534</v>
      </c>
      <c r="B842" s="48"/>
      <c r="C842" s="64" t="s">
        <v>14322</v>
      </c>
      <c r="D842" s="48"/>
      <c r="E842" s="48" t="s">
        <v>12205</v>
      </c>
      <c r="F842" s="64" t="s">
        <v>694</v>
      </c>
      <c r="G842" s="60" t="s">
        <v>96</v>
      </c>
      <c r="H842" s="88">
        <v>0.02099</v>
      </c>
      <c r="I842" s="49" t="s">
        <v>14323</v>
      </c>
      <c r="J842" s="49" t="s">
        <v>14324</v>
      </c>
      <c r="K842" s="44"/>
      <c r="L842" s="44"/>
    </row>
    <row r="843">
      <c r="A843" s="48" t="s">
        <v>9615</v>
      </c>
      <c r="B843" s="48"/>
      <c r="C843" s="48" t="s">
        <v>9616</v>
      </c>
      <c r="D843" s="48"/>
      <c r="E843" s="48" t="s">
        <v>11942</v>
      </c>
      <c r="F843" s="64" t="s">
        <v>2247</v>
      </c>
      <c r="G843" s="60" t="s">
        <v>96</v>
      </c>
      <c r="H843" s="88">
        <v>0.02093</v>
      </c>
      <c r="I843" s="49" t="s">
        <v>14325</v>
      </c>
      <c r="J843" s="49" t="s">
        <v>14326</v>
      </c>
      <c r="K843" s="44"/>
      <c r="L843" s="44"/>
    </row>
    <row r="844">
      <c r="A844" s="48" t="s">
        <v>4640</v>
      </c>
      <c r="B844" s="48"/>
      <c r="C844" s="64" t="s">
        <v>14327</v>
      </c>
      <c r="D844" s="48"/>
      <c r="E844" s="48" t="s">
        <v>12046</v>
      </c>
      <c r="F844" s="64" t="s">
        <v>622</v>
      </c>
      <c r="G844" s="60" t="s">
        <v>96</v>
      </c>
      <c r="H844" s="88">
        <v>0.02092</v>
      </c>
      <c r="I844" s="49" t="s">
        <v>14328</v>
      </c>
      <c r="J844" s="49" t="s">
        <v>14329</v>
      </c>
      <c r="K844" s="44"/>
      <c r="L844" s="44"/>
    </row>
    <row r="845">
      <c r="A845" s="48" t="s">
        <v>9758</v>
      </c>
      <c r="B845" s="48"/>
      <c r="C845" s="48" t="s">
        <v>9759</v>
      </c>
      <c r="D845" s="48"/>
      <c r="E845" s="48" t="s">
        <v>11899</v>
      </c>
      <c r="F845" s="64" t="s">
        <v>645</v>
      </c>
      <c r="G845" s="60" t="s">
        <v>96</v>
      </c>
      <c r="H845" s="88">
        <v>0.02092</v>
      </c>
      <c r="I845" s="49" t="s">
        <v>14330</v>
      </c>
      <c r="J845" s="49" t="s">
        <v>14331</v>
      </c>
      <c r="K845" s="44"/>
      <c r="L845" s="44"/>
    </row>
    <row r="846">
      <c r="A846" s="48" t="s">
        <v>4631</v>
      </c>
      <c r="B846" s="48"/>
      <c r="C846" s="64" t="s">
        <v>14332</v>
      </c>
      <c r="D846" s="48"/>
      <c r="E846" s="48" t="s">
        <v>5609</v>
      </c>
      <c r="F846" s="64" t="s">
        <v>622</v>
      </c>
      <c r="G846" s="60" t="s">
        <v>96</v>
      </c>
      <c r="H846" s="88">
        <v>0.02088</v>
      </c>
      <c r="I846" s="49" t="s">
        <v>14333</v>
      </c>
      <c r="J846" s="49" t="s">
        <v>14334</v>
      </c>
      <c r="K846" s="44"/>
      <c r="L846" s="44"/>
    </row>
    <row r="847">
      <c r="A847" s="48" t="s">
        <v>4619</v>
      </c>
      <c r="B847" s="48"/>
      <c r="C847" s="64" t="s">
        <v>14335</v>
      </c>
      <c r="D847" s="48"/>
      <c r="E847" s="48" t="s">
        <v>5288</v>
      </c>
      <c r="F847" s="64" t="s">
        <v>622</v>
      </c>
      <c r="G847" s="60" t="s">
        <v>96</v>
      </c>
      <c r="H847" s="88">
        <v>0.02087</v>
      </c>
      <c r="I847" s="49" t="s">
        <v>14336</v>
      </c>
      <c r="J847" s="49" t="s">
        <v>14337</v>
      </c>
      <c r="K847" s="44"/>
      <c r="L847" s="44"/>
    </row>
    <row r="848">
      <c r="A848" s="48" t="s">
        <v>5216</v>
      </c>
      <c r="B848" s="48"/>
      <c r="C848" s="64" t="s">
        <v>14338</v>
      </c>
      <c r="D848" s="48"/>
      <c r="E848" s="48" t="s">
        <v>12559</v>
      </c>
      <c r="F848" s="64" t="s">
        <v>622</v>
      </c>
      <c r="G848" s="60" t="s">
        <v>96</v>
      </c>
      <c r="H848" s="88">
        <v>0.02081</v>
      </c>
      <c r="I848" s="49" t="s">
        <v>14339</v>
      </c>
      <c r="J848" s="49" t="s">
        <v>14340</v>
      </c>
      <c r="K848" s="44"/>
      <c r="L848" s="44"/>
    </row>
    <row r="849">
      <c r="A849" s="48" t="s">
        <v>4647</v>
      </c>
      <c r="B849" s="48"/>
      <c r="C849" s="64" t="s">
        <v>14341</v>
      </c>
      <c r="D849" s="48"/>
      <c r="E849" s="48" t="s">
        <v>13231</v>
      </c>
      <c r="F849" s="64" t="s">
        <v>622</v>
      </c>
      <c r="G849" s="60" t="s">
        <v>96</v>
      </c>
      <c r="H849" s="88">
        <v>0.02072</v>
      </c>
      <c r="I849" s="49" t="s">
        <v>14342</v>
      </c>
      <c r="J849" s="49" t="s">
        <v>14343</v>
      </c>
      <c r="K849" s="44"/>
      <c r="L849" s="44"/>
    </row>
    <row r="850">
      <c r="A850" s="48" t="s">
        <v>9606</v>
      </c>
      <c r="B850" s="48"/>
      <c r="C850" s="64" t="s">
        <v>14344</v>
      </c>
      <c r="D850" s="48"/>
      <c r="E850" s="48" t="s">
        <v>12046</v>
      </c>
      <c r="F850" s="64" t="s">
        <v>629</v>
      </c>
      <c r="G850" s="60" t="s">
        <v>96</v>
      </c>
      <c r="H850" s="88">
        <v>0.02071</v>
      </c>
      <c r="I850" s="49" t="s">
        <v>14345</v>
      </c>
      <c r="J850" s="49" t="s">
        <v>14346</v>
      </c>
      <c r="K850" s="44"/>
      <c r="L850" s="44"/>
    </row>
    <row r="851">
      <c r="A851" s="48" t="s">
        <v>4586</v>
      </c>
      <c r="B851" s="48"/>
      <c r="C851" s="64" t="s">
        <v>14347</v>
      </c>
      <c r="D851" s="48"/>
      <c r="E851" s="48" t="s">
        <v>12787</v>
      </c>
      <c r="F851" s="64" t="s">
        <v>622</v>
      </c>
      <c r="G851" s="60" t="s">
        <v>96</v>
      </c>
      <c r="H851" s="88">
        <v>0.02067</v>
      </c>
      <c r="I851" s="49" t="s">
        <v>14348</v>
      </c>
      <c r="J851" s="49" t="s">
        <v>14349</v>
      </c>
      <c r="K851" s="44"/>
      <c r="L851" s="44"/>
    </row>
    <row r="852">
      <c r="A852" s="48" t="s">
        <v>5836</v>
      </c>
      <c r="B852" s="48"/>
      <c r="C852" s="48" t="s">
        <v>9677</v>
      </c>
      <c r="D852" s="48"/>
      <c r="E852" s="48" t="s">
        <v>11995</v>
      </c>
      <c r="F852" s="64" t="s">
        <v>639</v>
      </c>
      <c r="G852" s="60" t="s">
        <v>96</v>
      </c>
      <c r="H852" s="88">
        <v>0.02067</v>
      </c>
      <c r="I852" s="49" t="s">
        <v>14350</v>
      </c>
      <c r="J852" s="49" t="s">
        <v>14351</v>
      </c>
      <c r="K852" s="44"/>
      <c r="L852" s="44"/>
    </row>
    <row r="853">
      <c r="A853" s="48" t="s">
        <v>9565</v>
      </c>
      <c r="B853" s="48"/>
      <c r="C853" s="48" t="s">
        <v>9566</v>
      </c>
      <c r="D853" s="48"/>
      <c r="E853" s="48" t="s">
        <v>11942</v>
      </c>
      <c r="F853" s="64" t="s">
        <v>649</v>
      </c>
      <c r="G853" s="60" t="s">
        <v>96</v>
      </c>
      <c r="H853" s="88">
        <v>0.02063</v>
      </c>
      <c r="I853" s="49" t="s">
        <v>14352</v>
      </c>
      <c r="J853" s="49" t="s">
        <v>14353</v>
      </c>
      <c r="K853" s="44"/>
      <c r="L853" s="44"/>
    </row>
    <row r="854">
      <c r="A854" s="48" t="s">
        <v>9692</v>
      </c>
      <c r="B854" s="48"/>
      <c r="C854" s="48" t="s">
        <v>9693</v>
      </c>
      <c r="D854" s="48"/>
      <c r="E854" s="48" t="s">
        <v>6012</v>
      </c>
      <c r="F854" s="64" t="s">
        <v>11998</v>
      </c>
      <c r="G854" s="60" t="s">
        <v>96</v>
      </c>
      <c r="H854" s="88">
        <v>0.02053</v>
      </c>
      <c r="I854" s="49" t="s">
        <v>14354</v>
      </c>
      <c r="J854" s="49" t="s">
        <v>14355</v>
      </c>
      <c r="K854" s="44"/>
      <c r="L854" s="44"/>
    </row>
    <row r="855">
      <c r="A855" s="48" t="s">
        <v>11542</v>
      </c>
      <c r="B855" s="48"/>
      <c r="C855" s="64" t="s">
        <v>14356</v>
      </c>
      <c r="D855" s="48"/>
      <c r="E855" s="48" t="s">
        <v>11924</v>
      </c>
      <c r="F855" s="64" t="s">
        <v>629</v>
      </c>
      <c r="G855" s="60" t="s">
        <v>96</v>
      </c>
      <c r="H855" s="88">
        <v>0.02052</v>
      </c>
      <c r="I855" s="49" t="s">
        <v>14357</v>
      </c>
      <c r="J855" s="49" t="s">
        <v>14358</v>
      </c>
      <c r="K855" s="44"/>
      <c r="L855" s="44"/>
    </row>
    <row r="856">
      <c r="A856" s="48" t="s">
        <v>9612</v>
      </c>
      <c r="B856" s="48"/>
      <c r="C856" s="64" t="s">
        <v>14359</v>
      </c>
      <c r="D856" s="48"/>
      <c r="E856" s="48" t="s">
        <v>11942</v>
      </c>
      <c r="F856" s="64" t="s">
        <v>629</v>
      </c>
      <c r="G856" s="60" t="s">
        <v>96</v>
      </c>
      <c r="H856" s="88">
        <v>0.02052</v>
      </c>
      <c r="I856" s="49" t="s">
        <v>14360</v>
      </c>
      <c r="J856" s="49" t="s">
        <v>14361</v>
      </c>
      <c r="K856" s="44"/>
      <c r="L856" s="44"/>
    </row>
    <row r="857">
      <c r="A857" s="48" t="s">
        <v>4621</v>
      </c>
      <c r="B857" s="48"/>
      <c r="C857" s="48" t="s">
        <v>11563</v>
      </c>
      <c r="D857" s="48"/>
      <c r="E857" s="48" t="s">
        <v>13257</v>
      </c>
      <c r="F857" s="64" t="s">
        <v>622</v>
      </c>
      <c r="G857" s="60" t="s">
        <v>96</v>
      </c>
      <c r="H857" s="88">
        <v>0.02051</v>
      </c>
      <c r="I857" s="49" t="s">
        <v>14362</v>
      </c>
      <c r="J857" s="49" t="s">
        <v>14363</v>
      </c>
      <c r="K857" s="44"/>
      <c r="L857" s="44"/>
    </row>
    <row r="858">
      <c r="A858" s="48" t="s">
        <v>11548</v>
      </c>
      <c r="B858" s="48"/>
      <c r="C858" s="48" t="s">
        <v>14364</v>
      </c>
      <c r="D858" s="48"/>
      <c r="E858" s="48" t="s">
        <v>13457</v>
      </c>
      <c r="F858" s="64" t="s">
        <v>622</v>
      </c>
      <c r="G858" s="60" t="s">
        <v>96</v>
      </c>
      <c r="H858" s="88">
        <v>0.02051</v>
      </c>
      <c r="I858" s="49" t="s">
        <v>14365</v>
      </c>
      <c r="J858" s="49" t="s">
        <v>14366</v>
      </c>
      <c r="K858" s="44"/>
      <c r="L858" s="44"/>
    </row>
    <row r="859">
      <c r="A859" s="48" t="s">
        <v>11555</v>
      </c>
      <c r="B859" s="48"/>
      <c r="C859" s="64" t="s">
        <v>14367</v>
      </c>
      <c r="D859" s="48"/>
      <c r="E859" s="48" t="s">
        <v>11914</v>
      </c>
      <c r="F859" s="64" t="s">
        <v>622</v>
      </c>
      <c r="G859" s="60" t="s">
        <v>96</v>
      </c>
      <c r="H859" s="88">
        <v>0.02048</v>
      </c>
      <c r="I859" s="49" t="s">
        <v>14368</v>
      </c>
      <c r="J859" s="49" t="s">
        <v>14369</v>
      </c>
      <c r="K859" s="44"/>
      <c r="L859" s="44"/>
    </row>
    <row r="860">
      <c r="A860" s="48" t="s">
        <v>4636</v>
      </c>
      <c r="B860" s="48"/>
      <c r="C860" s="64" t="s">
        <v>14370</v>
      </c>
      <c r="D860" s="48"/>
      <c r="E860" s="48" t="s">
        <v>13171</v>
      </c>
      <c r="F860" s="64" t="s">
        <v>622</v>
      </c>
      <c r="G860" s="60" t="s">
        <v>96</v>
      </c>
      <c r="H860" s="88">
        <v>0.02041</v>
      </c>
      <c r="I860" s="49" t="s">
        <v>14371</v>
      </c>
      <c r="J860" s="49" t="s">
        <v>14372</v>
      </c>
      <c r="K860" s="44"/>
      <c r="L860" s="44"/>
    </row>
    <row r="861">
      <c r="A861" s="48" t="s">
        <v>9597</v>
      </c>
      <c r="B861" s="48"/>
      <c r="C861" s="48" t="s">
        <v>9598</v>
      </c>
      <c r="D861" s="48"/>
      <c r="E861" s="48" t="s">
        <v>11942</v>
      </c>
      <c r="F861" s="64" t="s">
        <v>679</v>
      </c>
      <c r="G861" s="60" t="s">
        <v>96</v>
      </c>
      <c r="H861" s="88">
        <v>0.02039</v>
      </c>
      <c r="I861" s="49" t="s">
        <v>14373</v>
      </c>
      <c r="J861" s="49" t="s">
        <v>14374</v>
      </c>
      <c r="K861" s="44"/>
      <c r="L861" s="44"/>
    </row>
    <row r="862">
      <c r="A862" s="48" t="s">
        <v>4548</v>
      </c>
      <c r="B862" s="48"/>
      <c r="C862" s="64" t="s">
        <v>14375</v>
      </c>
      <c r="D862" s="48"/>
      <c r="E862" s="48" t="s">
        <v>12090</v>
      </c>
      <c r="F862" s="64" t="s">
        <v>622</v>
      </c>
      <c r="G862" s="60" t="s">
        <v>96</v>
      </c>
      <c r="H862" s="88">
        <v>0.02036</v>
      </c>
      <c r="I862" s="49" t="s">
        <v>14376</v>
      </c>
      <c r="J862" s="49" t="s">
        <v>14377</v>
      </c>
      <c r="K862" s="44"/>
      <c r="L862" s="44"/>
    </row>
    <row r="863">
      <c r="A863" s="48" t="s">
        <v>6869</v>
      </c>
      <c r="B863" s="48"/>
      <c r="C863" s="64" t="s">
        <v>14378</v>
      </c>
      <c r="D863" s="48"/>
      <c r="E863" s="48" t="s">
        <v>12123</v>
      </c>
      <c r="F863" s="64" t="s">
        <v>629</v>
      </c>
      <c r="G863" s="60" t="s">
        <v>96</v>
      </c>
      <c r="H863" s="88">
        <v>0.02023</v>
      </c>
      <c r="I863" s="49" t="s">
        <v>14379</v>
      </c>
      <c r="J863" s="49" t="s">
        <v>14380</v>
      </c>
      <c r="K863" s="44"/>
      <c r="L863" s="44"/>
    </row>
    <row r="864">
      <c r="A864" s="48" t="s">
        <v>4663</v>
      </c>
      <c r="B864" s="48"/>
      <c r="C864" s="64" t="s">
        <v>14381</v>
      </c>
      <c r="D864" s="48"/>
      <c r="E864" s="48" t="s">
        <v>11959</v>
      </c>
      <c r="F864" s="64" t="s">
        <v>622</v>
      </c>
      <c r="G864" s="60" t="s">
        <v>96</v>
      </c>
      <c r="H864" s="88">
        <v>0.0202</v>
      </c>
      <c r="I864" s="49" t="s">
        <v>14382</v>
      </c>
      <c r="J864" s="49" t="s">
        <v>14383</v>
      </c>
      <c r="K864" s="44"/>
      <c r="L864" s="44"/>
    </row>
    <row r="865">
      <c r="A865" s="48" t="s">
        <v>9719</v>
      </c>
      <c r="B865" s="48"/>
      <c r="C865" s="64" t="s">
        <v>14384</v>
      </c>
      <c r="D865" s="48"/>
      <c r="E865" s="48" t="s">
        <v>11942</v>
      </c>
      <c r="F865" s="64" t="s">
        <v>822</v>
      </c>
      <c r="G865" s="60" t="s">
        <v>96</v>
      </c>
      <c r="H865" s="88">
        <v>0.02019</v>
      </c>
      <c r="I865" s="49" t="s">
        <v>14385</v>
      </c>
      <c r="J865" s="49" t="s">
        <v>14386</v>
      </c>
      <c r="K865" s="44"/>
      <c r="L865" s="44"/>
    </row>
    <row r="866">
      <c r="A866" s="48" t="s">
        <v>11566</v>
      </c>
      <c r="B866" s="48"/>
      <c r="C866" s="48" t="s">
        <v>11567</v>
      </c>
      <c r="D866" s="48"/>
      <c r="E866" s="48" t="s">
        <v>12356</v>
      </c>
      <c r="F866" s="64" t="s">
        <v>1740</v>
      </c>
      <c r="G866" s="60" t="s">
        <v>96</v>
      </c>
      <c r="H866" s="88">
        <v>0.02017</v>
      </c>
      <c r="I866" s="49" t="s">
        <v>14387</v>
      </c>
      <c r="J866" s="49" t="s">
        <v>14388</v>
      </c>
      <c r="K866" s="44"/>
      <c r="L866" s="44"/>
    </row>
    <row r="867">
      <c r="A867" s="48" t="s">
        <v>11511</v>
      </c>
      <c r="B867" s="48"/>
      <c r="C867" s="64" t="s">
        <v>14389</v>
      </c>
      <c r="D867" s="48"/>
      <c r="E867" s="48" t="s">
        <v>6012</v>
      </c>
      <c r="F867" s="64" t="s">
        <v>622</v>
      </c>
      <c r="G867" s="60" t="s">
        <v>96</v>
      </c>
      <c r="H867" s="88">
        <v>0.02011</v>
      </c>
      <c r="I867" s="49" t="s">
        <v>14390</v>
      </c>
      <c r="J867" s="49" t="s">
        <v>14391</v>
      </c>
      <c r="K867" s="44"/>
      <c r="L867" s="44"/>
    </row>
    <row r="868">
      <c r="A868" s="48" t="s">
        <v>9664</v>
      </c>
      <c r="B868" s="48"/>
      <c r="C868" s="48" t="s">
        <v>9665</v>
      </c>
      <c r="D868" s="48"/>
      <c r="E868" s="48" t="s">
        <v>12868</v>
      </c>
      <c r="F868" s="64" t="s">
        <v>649</v>
      </c>
      <c r="G868" s="60" t="s">
        <v>96</v>
      </c>
      <c r="H868" s="88">
        <v>0.02009</v>
      </c>
      <c r="I868" s="49" t="s">
        <v>14392</v>
      </c>
      <c r="J868" s="49" t="s">
        <v>14393</v>
      </c>
      <c r="K868" s="44"/>
      <c r="L868" s="44"/>
    </row>
    <row r="869">
      <c r="A869" s="48" t="s">
        <v>11520</v>
      </c>
      <c r="B869" s="48"/>
      <c r="C869" s="64" t="s">
        <v>14394</v>
      </c>
      <c r="D869" s="48"/>
      <c r="E869" s="48" t="s">
        <v>12908</v>
      </c>
      <c r="F869" s="64" t="s">
        <v>622</v>
      </c>
      <c r="G869" s="60" t="s">
        <v>96</v>
      </c>
      <c r="H869" s="88">
        <v>0.02006</v>
      </c>
      <c r="I869" s="49" t="s">
        <v>14395</v>
      </c>
      <c r="J869" s="49" t="s">
        <v>14396</v>
      </c>
      <c r="K869" s="44"/>
      <c r="L869" s="44"/>
    </row>
    <row r="870">
      <c r="A870" s="48" t="s">
        <v>11470</v>
      </c>
      <c r="B870" s="48"/>
      <c r="C870" s="64" t="s">
        <v>14397</v>
      </c>
      <c r="D870" s="48"/>
      <c r="E870" s="48" t="s">
        <v>12116</v>
      </c>
      <c r="F870" s="64" t="s">
        <v>622</v>
      </c>
      <c r="G870" s="60" t="s">
        <v>96</v>
      </c>
      <c r="H870" s="88">
        <v>0.02001</v>
      </c>
      <c r="I870" s="49" t="s">
        <v>14398</v>
      </c>
      <c r="J870" s="49" t="s">
        <v>14399</v>
      </c>
      <c r="K870" s="44"/>
      <c r="L870" s="44"/>
    </row>
    <row r="871">
      <c r="A871" s="48" t="s">
        <v>9680</v>
      </c>
      <c r="B871" s="48"/>
      <c r="C871" s="48" t="s">
        <v>9681</v>
      </c>
      <c r="D871" s="48"/>
      <c r="E871" s="48" t="s">
        <v>5756</v>
      </c>
      <c r="F871" s="64" t="s">
        <v>629</v>
      </c>
      <c r="G871" s="60" t="s">
        <v>96</v>
      </c>
      <c r="H871" s="88">
        <v>0.01999</v>
      </c>
      <c r="I871" s="49" t="s">
        <v>14400</v>
      </c>
      <c r="J871" s="49" t="s">
        <v>14401</v>
      </c>
      <c r="K871" s="44"/>
      <c r="L871" s="44"/>
    </row>
    <row r="872">
      <c r="A872" s="48" t="s">
        <v>9708</v>
      </c>
      <c r="B872" s="48"/>
      <c r="C872" s="48" t="s">
        <v>9709</v>
      </c>
      <c r="D872" s="48"/>
      <c r="E872" s="48" t="s">
        <v>11991</v>
      </c>
      <c r="F872" s="64" t="s">
        <v>11998</v>
      </c>
      <c r="G872" s="60" t="s">
        <v>96</v>
      </c>
      <c r="H872" s="88">
        <v>0.01992</v>
      </c>
      <c r="I872" s="49" t="s">
        <v>14402</v>
      </c>
      <c r="J872" s="49" t="s">
        <v>14403</v>
      </c>
      <c r="K872" s="44"/>
      <c r="L872" s="44"/>
    </row>
    <row r="873">
      <c r="A873" s="48" t="s">
        <v>4667</v>
      </c>
      <c r="B873" s="48"/>
      <c r="C873" s="64" t="s">
        <v>14404</v>
      </c>
      <c r="D873" s="48"/>
      <c r="E873" s="48" t="s">
        <v>12116</v>
      </c>
      <c r="F873" s="64" t="s">
        <v>622</v>
      </c>
      <c r="G873" s="60" t="s">
        <v>96</v>
      </c>
      <c r="H873" s="88">
        <v>0.01992</v>
      </c>
      <c r="I873" s="49" t="s">
        <v>14405</v>
      </c>
      <c r="J873" s="49" t="s">
        <v>14406</v>
      </c>
      <c r="K873" s="44"/>
      <c r="L873" s="44"/>
    </row>
    <row r="874">
      <c r="A874" s="48" t="s">
        <v>4624</v>
      </c>
      <c r="B874" s="48"/>
      <c r="C874" s="64" t="s">
        <v>14407</v>
      </c>
      <c r="D874" s="48"/>
      <c r="E874" s="48" t="s">
        <v>11903</v>
      </c>
      <c r="F874" s="64" t="s">
        <v>622</v>
      </c>
      <c r="G874" s="60" t="s">
        <v>96</v>
      </c>
      <c r="H874" s="88">
        <v>0.01991</v>
      </c>
      <c r="I874" s="49" t="s">
        <v>14408</v>
      </c>
      <c r="J874" s="49" t="s">
        <v>14409</v>
      </c>
      <c r="K874" s="44"/>
      <c r="L874" s="44"/>
    </row>
    <row r="875">
      <c r="A875" s="48" t="s">
        <v>9729</v>
      </c>
      <c r="B875" s="48"/>
      <c r="C875" s="64" t="s">
        <v>14410</v>
      </c>
      <c r="D875" s="48"/>
      <c r="E875" s="48" t="s">
        <v>12175</v>
      </c>
      <c r="F875" s="64" t="s">
        <v>629</v>
      </c>
      <c r="G875" s="60" t="s">
        <v>96</v>
      </c>
      <c r="H875" s="88">
        <v>0.0199</v>
      </c>
      <c r="I875" s="49" t="s">
        <v>14411</v>
      </c>
      <c r="J875" s="49" t="s">
        <v>14412</v>
      </c>
      <c r="K875" s="44"/>
      <c r="L875" s="44"/>
    </row>
    <row r="876">
      <c r="A876" s="48" t="s">
        <v>11578</v>
      </c>
      <c r="B876" s="48"/>
      <c r="C876" s="64" t="s">
        <v>14413</v>
      </c>
      <c r="D876" s="48"/>
      <c r="E876" s="48" t="s">
        <v>12356</v>
      </c>
      <c r="F876" s="64" t="s">
        <v>622</v>
      </c>
      <c r="G876" s="60" t="s">
        <v>96</v>
      </c>
      <c r="H876" s="88">
        <v>0.01988</v>
      </c>
      <c r="I876" s="49" t="s">
        <v>14414</v>
      </c>
      <c r="J876" s="49" t="s">
        <v>14415</v>
      </c>
      <c r="K876" s="44"/>
      <c r="L876" s="44"/>
    </row>
    <row r="877">
      <c r="A877" s="48" t="s">
        <v>11594</v>
      </c>
      <c r="B877" s="48"/>
      <c r="C877" s="48" t="s">
        <v>11595</v>
      </c>
      <c r="D877" s="48"/>
      <c r="E877" s="48" t="s">
        <v>13710</v>
      </c>
      <c r="F877" s="64" t="s">
        <v>1352</v>
      </c>
      <c r="G877" s="60" t="s">
        <v>96</v>
      </c>
      <c r="H877" s="88">
        <v>0.01983</v>
      </c>
      <c r="I877" s="49" t="s">
        <v>14416</v>
      </c>
      <c r="J877" s="49" t="s">
        <v>14417</v>
      </c>
      <c r="K877" s="44"/>
      <c r="L877" s="44"/>
    </row>
    <row r="878">
      <c r="A878" s="48" t="s">
        <v>11557</v>
      </c>
      <c r="B878" s="48"/>
      <c r="C878" s="64" t="s">
        <v>14418</v>
      </c>
      <c r="D878" s="48"/>
      <c r="E878" s="48" t="s">
        <v>12766</v>
      </c>
      <c r="F878" s="64" t="s">
        <v>622</v>
      </c>
      <c r="G878" s="60" t="s">
        <v>96</v>
      </c>
      <c r="H878" s="88">
        <v>0.0198</v>
      </c>
      <c r="I878" s="49" t="s">
        <v>14419</v>
      </c>
      <c r="J878" s="49" t="s">
        <v>14420</v>
      </c>
      <c r="K878" s="44"/>
      <c r="L878" s="44"/>
    </row>
    <row r="879">
      <c r="A879" s="48" t="s">
        <v>4558</v>
      </c>
      <c r="B879" s="48"/>
      <c r="C879" s="64" t="s">
        <v>14421</v>
      </c>
      <c r="D879" s="48"/>
      <c r="E879" s="48" t="s">
        <v>12014</v>
      </c>
      <c r="F879" s="64" t="s">
        <v>622</v>
      </c>
      <c r="G879" s="60" t="s">
        <v>96</v>
      </c>
      <c r="H879" s="88">
        <v>0.01977</v>
      </c>
      <c r="I879" s="49" t="s">
        <v>14422</v>
      </c>
      <c r="J879" s="49" t="s">
        <v>14423</v>
      </c>
      <c r="K879" s="44"/>
      <c r="L879" s="44"/>
    </row>
    <row r="880">
      <c r="A880" s="48" t="s">
        <v>5372</v>
      </c>
      <c r="B880" s="48"/>
      <c r="C880" s="48" t="s">
        <v>9682</v>
      </c>
      <c r="D880" s="48"/>
      <c r="E880" s="48" t="s">
        <v>11907</v>
      </c>
      <c r="F880" s="64" t="s">
        <v>11998</v>
      </c>
      <c r="G880" s="60" t="s">
        <v>96</v>
      </c>
      <c r="H880" s="88">
        <v>0.01976</v>
      </c>
      <c r="I880" s="49" t="s">
        <v>14424</v>
      </c>
      <c r="J880" s="49" t="s">
        <v>14425</v>
      </c>
      <c r="K880" s="44"/>
      <c r="L880" s="44"/>
    </row>
    <row r="881">
      <c r="A881" s="48" t="s">
        <v>9644</v>
      </c>
      <c r="B881" s="48"/>
      <c r="C881" s="48" t="s">
        <v>9645</v>
      </c>
      <c r="D881" s="48"/>
      <c r="E881" s="48" t="s">
        <v>11942</v>
      </c>
      <c r="F881" s="64" t="s">
        <v>679</v>
      </c>
      <c r="G881" s="60" t="s">
        <v>96</v>
      </c>
      <c r="H881" s="88">
        <v>0.01975</v>
      </c>
      <c r="I881" s="49" t="s">
        <v>14426</v>
      </c>
      <c r="J881" s="49" t="s">
        <v>14427</v>
      </c>
      <c r="K881" s="44"/>
      <c r="L881" s="44"/>
    </row>
    <row r="882">
      <c r="A882" s="48" t="s">
        <v>11602</v>
      </c>
      <c r="B882" s="48"/>
      <c r="C882" s="64" t="s">
        <v>14428</v>
      </c>
      <c r="D882" s="48"/>
      <c r="E882" s="48" t="s">
        <v>13710</v>
      </c>
      <c r="F882" s="64" t="s">
        <v>822</v>
      </c>
      <c r="G882" s="60" t="s">
        <v>96</v>
      </c>
      <c r="H882" s="88">
        <v>0.01969</v>
      </c>
      <c r="I882" s="49" t="s">
        <v>14429</v>
      </c>
      <c r="J882" s="49" t="s">
        <v>14430</v>
      </c>
      <c r="K882" s="44"/>
      <c r="L882" s="44"/>
    </row>
    <row r="883">
      <c r="A883" s="48" t="s">
        <v>11586</v>
      </c>
      <c r="B883" s="48"/>
      <c r="C883" s="64" t="s">
        <v>14431</v>
      </c>
      <c r="D883" s="48"/>
      <c r="E883" s="48" t="s">
        <v>13147</v>
      </c>
      <c r="F883" s="64" t="s">
        <v>622</v>
      </c>
      <c r="G883" s="60" t="s">
        <v>96</v>
      </c>
      <c r="H883" s="88">
        <v>0.01969</v>
      </c>
      <c r="I883" s="49" t="s">
        <v>14432</v>
      </c>
      <c r="J883" s="49" t="s">
        <v>14433</v>
      </c>
      <c r="K883" s="44"/>
      <c r="L883" s="44"/>
    </row>
    <row r="884">
      <c r="A884" s="48" t="s">
        <v>11568</v>
      </c>
      <c r="B884" s="48"/>
      <c r="C884" s="64" t="s">
        <v>14434</v>
      </c>
      <c r="D884" s="48"/>
      <c r="E884" s="48" t="s">
        <v>14435</v>
      </c>
      <c r="F884" s="64" t="s">
        <v>822</v>
      </c>
      <c r="G884" s="60" t="s">
        <v>96</v>
      </c>
      <c r="H884" s="88">
        <v>0.01967</v>
      </c>
      <c r="I884" s="49" t="s">
        <v>14436</v>
      </c>
      <c r="J884" s="49" t="s">
        <v>14437</v>
      </c>
      <c r="K884" s="44"/>
      <c r="L884" s="44"/>
    </row>
    <row r="885">
      <c r="A885" s="48" t="s">
        <v>4671</v>
      </c>
      <c r="B885" s="48"/>
      <c r="C885" s="64" t="s">
        <v>14438</v>
      </c>
      <c r="D885" s="48"/>
      <c r="E885" s="48" t="s">
        <v>11907</v>
      </c>
      <c r="F885" s="64" t="s">
        <v>622</v>
      </c>
      <c r="G885" s="60" t="s">
        <v>96</v>
      </c>
      <c r="H885" s="88">
        <v>0.01966</v>
      </c>
      <c r="I885" s="49" t="s">
        <v>14439</v>
      </c>
      <c r="J885" s="49" t="s">
        <v>14440</v>
      </c>
      <c r="K885" s="44"/>
      <c r="L885" s="44"/>
    </row>
    <row r="886">
      <c r="A886" s="48" t="s">
        <v>9639</v>
      </c>
      <c r="B886" s="48"/>
      <c r="C886" s="48" t="s">
        <v>9640</v>
      </c>
      <c r="D886" s="48"/>
      <c r="E886" s="48" t="s">
        <v>12559</v>
      </c>
      <c r="F886" s="64" t="s">
        <v>1666</v>
      </c>
      <c r="G886" s="60" t="s">
        <v>96</v>
      </c>
      <c r="H886" s="88">
        <v>0.01961</v>
      </c>
      <c r="I886" s="49" t="s">
        <v>14441</v>
      </c>
      <c r="J886" s="49" t="s">
        <v>14442</v>
      </c>
      <c r="K886" s="44"/>
      <c r="L886" s="44"/>
    </row>
    <row r="887">
      <c r="A887" s="48" t="s">
        <v>4566</v>
      </c>
      <c r="B887" s="48"/>
      <c r="C887" s="64" t="s">
        <v>14443</v>
      </c>
      <c r="D887" s="48"/>
      <c r="E887" s="48" t="s">
        <v>12123</v>
      </c>
      <c r="F887" s="64" t="s">
        <v>622</v>
      </c>
      <c r="G887" s="60" t="s">
        <v>96</v>
      </c>
      <c r="H887" s="88">
        <v>0.01955</v>
      </c>
      <c r="I887" s="49" t="s">
        <v>14444</v>
      </c>
      <c r="J887" s="49" t="s">
        <v>14445</v>
      </c>
      <c r="K887" s="44"/>
      <c r="L887" s="44"/>
    </row>
    <row r="888">
      <c r="A888" s="48" t="s">
        <v>11574</v>
      </c>
      <c r="B888" s="48"/>
      <c r="C888" s="64" t="s">
        <v>14446</v>
      </c>
      <c r="D888" s="48"/>
      <c r="E888" s="48" t="s">
        <v>12004</v>
      </c>
      <c r="F888" s="64" t="s">
        <v>622</v>
      </c>
      <c r="G888" s="60" t="s">
        <v>96</v>
      </c>
      <c r="H888" s="88">
        <v>0.01952</v>
      </c>
      <c r="I888" s="49" t="s">
        <v>14447</v>
      </c>
      <c r="J888" s="49" t="s">
        <v>14448</v>
      </c>
      <c r="K888" s="44"/>
      <c r="L888" s="44"/>
    </row>
    <row r="889">
      <c r="A889" s="48" t="s">
        <v>9658</v>
      </c>
      <c r="B889" s="48"/>
      <c r="C889" s="48" t="s">
        <v>9659</v>
      </c>
      <c r="D889" s="48"/>
      <c r="E889" s="48" t="s">
        <v>11942</v>
      </c>
      <c r="F889" s="64" t="s">
        <v>1666</v>
      </c>
      <c r="G889" s="60" t="s">
        <v>96</v>
      </c>
      <c r="H889" s="88">
        <v>0.0195</v>
      </c>
      <c r="I889" s="49" t="s">
        <v>14449</v>
      </c>
      <c r="J889" s="49" t="s">
        <v>14450</v>
      </c>
      <c r="K889" s="44"/>
      <c r="L889" s="44"/>
    </row>
    <row r="890">
      <c r="A890" s="48" t="s">
        <v>9725</v>
      </c>
      <c r="B890" s="48"/>
      <c r="C890" s="64" t="s">
        <v>14451</v>
      </c>
      <c r="D890" s="48"/>
      <c r="E890" s="48" t="s">
        <v>6012</v>
      </c>
      <c r="F890" s="64" t="s">
        <v>629</v>
      </c>
      <c r="G890" s="60" t="s">
        <v>96</v>
      </c>
      <c r="H890" s="88">
        <v>0.01939</v>
      </c>
      <c r="I890" s="49" t="s">
        <v>14452</v>
      </c>
      <c r="J890" s="49" t="s">
        <v>14453</v>
      </c>
      <c r="K890" s="44"/>
      <c r="L890" s="44"/>
    </row>
    <row r="891">
      <c r="A891" s="48" t="s">
        <v>9721</v>
      </c>
      <c r="B891" s="48"/>
      <c r="C891" s="48" t="s">
        <v>14454</v>
      </c>
      <c r="D891" s="48"/>
      <c r="E891" s="48" t="s">
        <v>12025</v>
      </c>
      <c r="F891" s="64" t="s">
        <v>649</v>
      </c>
      <c r="G891" s="60" t="s">
        <v>96</v>
      </c>
      <c r="H891" s="88">
        <v>0.01935</v>
      </c>
      <c r="I891" s="49" t="s">
        <v>14455</v>
      </c>
      <c r="J891" s="49" t="s">
        <v>14456</v>
      </c>
      <c r="K891" s="44"/>
      <c r="L891" s="44"/>
    </row>
    <row r="892">
      <c r="A892" s="48" t="s">
        <v>4665</v>
      </c>
      <c r="B892" s="48"/>
      <c r="C892" s="64" t="s">
        <v>14457</v>
      </c>
      <c r="D892" s="48"/>
      <c r="E892" s="48" t="s">
        <v>14458</v>
      </c>
      <c r="F892" s="64" t="s">
        <v>622</v>
      </c>
      <c r="G892" s="60" t="s">
        <v>96</v>
      </c>
      <c r="H892" s="88">
        <v>0.01934</v>
      </c>
      <c r="I892" s="49" t="s">
        <v>14459</v>
      </c>
      <c r="J892" s="49" t="s">
        <v>14460</v>
      </c>
      <c r="K892" s="44"/>
      <c r="L892" s="44"/>
    </row>
    <row r="893">
      <c r="A893" s="48" t="s">
        <v>11584</v>
      </c>
      <c r="B893" s="48"/>
      <c r="C893" s="64" t="s">
        <v>14461</v>
      </c>
      <c r="D893" s="48"/>
      <c r="E893" s="48" t="s">
        <v>12566</v>
      </c>
      <c r="F893" s="64" t="s">
        <v>629</v>
      </c>
      <c r="G893" s="60" t="s">
        <v>96</v>
      </c>
      <c r="H893" s="88">
        <v>0.01931</v>
      </c>
      <c r="I893" s="49" t="s">
        <v>14462</v>
      </c>
      <c r="J893" s="49" t="s">
        <v>14463</v>
      </c>
      <c r="K893" s="44"/>
      <c r="L893" s="44"/>
    </row>
    <row r="894">
      <c r="A894" s="48" t="s">
        <v>9652</v>
      </c>
      <c r="B894" s="48"/>
      <c r="C894" s="64" t="s">
        <v>14464</v>
      </c>
      <c r="D894" s="48"/>
      <c r="E894" s="48" t="s">
        <v>12356</v>
      </c>
      <c r="F894" s="64" t="s">
        <v>629</v>
      </c>
      <c r="G894" s="60" t="s">
        <v>96</v>
      </c>
      <c r="H894" s="88">
        <v>0.01927</v>
      </c>
      <c r="I894" s="49" t="s">
        <v>14465</v>
      </c>
      <c r="J894" s="49" t="s">
        <v>14466</v>
      </c>
      <c r="K894" s="44"/>
      <c r="L894" s="44"/>
    </row>
    <row r="895">
      <c r="A895" s="48" t="s">
        <v>11518</v>
      </c>
      <c r="B895" s="48"/>
      <c r="C895" s="48" t="s">
        <v>11519</v>
      </c>
      <c r="D895" s="48"/>
      <c r="E895" s="48" t="s">
        <v>12559</v>
      </c>
      <c r="F895" s="64" t="s">
        <v>622</v>
      </c>
      <c r="G895" s="60" t="s">
        <v>96</v>
      </c>
      <c r="H895" s="88">
        <v>0.01923</v>
      </c>
      <c r="I895" s="49" t="s">
        <v>14467</v>
      </c>
      <c r="J895" s="49" t="s">
        <v>14468</v>
      </c>
      <c r="K895" s="44"/>
      <c r="L895" s="44"/>
    </row>
    <row r="896">
      <c r="A896" s="48" t="s">
        <v>4575</v>
      </c>
      <c r="B896" s="48"/>
      <c r="C896" s="64" t="s">
        <v>14469</v>
      </c>
      <c r="D896" s="48"/>
      <c r="E896" s="48" t="s">
        <v>12437</v>
      </c>
      <c r="F896" s="64" t="s">
        <v>622</v>
      </c>
      <c r="G896" s="60" t="s">
        <v>96</v>
      </c>
      <c r="H896" s="88">
        <v>0.01921</v>
      </c>
      <c r="I896" s="49" t="s">
        <v>14470</v>
      </c>
      <c r="J896" s="49" t="s">
        <v>14471</v>
      </c>
      <c r="K896" s="44"/>
      <c r="L896" s="44"/>
    </row>
    <row r="897">
      <c r="A897" s="48" t="s">
        <v>4633</v>
      </c>
      <c r="B897" s="48"/>
      <c r="C897" s="64" t="s">
        <v>14472</v>
      </c>
      <c r="D897" s="48"/>
      <c r="E897" s="48" t="s">
        <v>12485</v>
      </c>
      <c r="F897" s="64" t="s">
        <v>622</v>
      </c>
      <c r="G897" s="60" t="s">
        <v>96</v>
      </c>
      <c r="H897" s="88">
        <v>0.0192</v>
      </c>
      <c r="I897" s="49" t="s">
        <v>14473</v>
      </c>
      <c r="J897" s="49" t="s">
        <v>14474</v>
      </c>
      <c r="K897" s="44"/>
      <c r="L897" s="44"/>
    </row>
    <row r="898">
      <c r="A898" s="48" t="s">
        <v>9797</v>
      </c>
      <c r="B898" s="48"/>
      <c r="C898" s="64" t="s">
        <v>14475</v>
      </c>
      <c r="D898" s="48"/>
      <c r="E898" s="48" t="s">
        <v>13306</v>
      </c>
      <c r="F898" s="64" t="s">
        <v>629</v>
      </c>
      <c r="G898" s="60" t="s">
        <v>96</v>
      </c>
      <c r="H898" s="88">
        <v>0.0192</v>
      </c>
      <c r="I898" s="49" t="s">
        <v>14476</v>
      </c>
      <c r="J898" s="49" t="s">
        <v>14477</v>
      </c>
      <c r="K898" s="44"/>
      <c r="L898" s="44"/>
    </row>
    <row r="899">
      <c r="A899" s="48" t="s">
        <v>4578</v>
      </c>
      <c r="B899" s="48"/>
      <c r="C899" s="64" t="s">
        <v>14478</v>
      </c>
      <c r="D899" s="48"/>
      <c r="E899" s="48" t="s">
        <v>13895</v>
      </c>
      <c r="F899" s="64" t="s">
        <v>622</v>
      </c>
      <c r="G899" s="60" t="s">
        <v>96</v>
      </c>
      <c r="H899" s="88">
        <v>0.01919</v>
      </c>
      <c r="I899" s="49" t="s">
        <v>14479</v>
      </c>
      <c r="J899" s="49" t="s">
        <v>14480</v>
      </c>
      <c r="K899" s="44"/>
      <c r="L899" s="44"/>
    </row>
    <row r="900">
      <c r="A900" s="48" t="s">
        <v>11580</v>
      </c>
      <c r="B900" s="48"/>
      <c r="C900" s="48" t="s">
        <v>11581</v>
      </c>
      <c r="D900" s="48"/>
      <c r="E900" s="48" t="s">
        <v>12356</v>
      </c>
      <c r="F900" s="64" t="s">
        <v>11998</v>
      </c>
      <c r="G900" s="60" t="s">
        <v>96</v>
      </c>
      <c r="H900" s="88">
        <v>0.01918</v>
      </c>
      <c r="I900" s="49" t="s">
        <v>14481</v>
      </c>
      <c r="J900" s="49" t="s">
        <v>14482</v>
      </c>
      <c r="K900" s="44"/>
      <c r="L900" s="44"/>
    </row>
    <row r="901">
      <c r="A901" s="48" t="s">
        <v>6138</v>
      </c>
      <c r="B901" s="48"/>
      <c r="C901" s="64" t="s">
        <v>14483</v>
      </c>
      <c r="D901" s="48"/>
      <c r="E901" s="48" t="s">
        <v>12818</v>
      </c>
      <c r="F901" s="64" t="s">
        <v>622</v>
      </c>
      <c r="G901" s="60" t="s">
        <v>96</v>
      </c>
      <c r="H901" s="88">
        <v>0.01918</v>
      </c>
      <c r="I901" s="49" t="s">
        <v>14484</v>
      </c>
      <c r="J901" s="49" t="s">
        <v>14485</v>
      </c>
      <c r="K901" s="44"/>
      <c r="L901" s="44"/>
    </row>
    <row r="902">
      <c r="A902" s="48" t="s">
        <v>9647</v>
      </c>
      <c r="B902" s="48"/>
      <c r="C902" s="64" t="s">
        <v>14486</v>
      </c>
      <c r="D902" s="48"/>
      <c r="E902" s="48" t="s">
        <v>12236</v>
      </c>
      <c r="F902" s="64" t="s">
        <v>622</v>
      </c>
      <c r="G902" s="60" t="s">
        <v>96</v>
      </c>
      <c r="H902" s="88">
        <v>0.01905</v>
      </c>
      <c r="I902" s="49" t="s">
        <v>14487</v>
      </c>
      <c r="J902" s="49" t="s">
        <v>14488</v>
      </c>
      <c r="K902" s="44"/>
      <c r="L902" s="44"/>
    </row>
    <row r="903">
      <c r="A903" s="48" t="s">
        <v>9632</v>
      </c>
      <c r="B903" s="48"/>
      <c r="C903" s="64" t="s">
        <v>14489</v>
      </c>
      <c r="D903" s="48"/>
      <c r="E903" s="48" t="s">
        <v>12729</v>
      </c>
      <c r="F903" s="64" t="s">
        <v>629</v>
      </c>
      <c r="G903" s="60" t="s">
        <v>96</v>
      </c>
      <c r="H903" s="88">
        <v>0.01905</v>
      </c>
      <c r="I903" s="49" t="s">
        <v>14490</v>
      </c>
      <c r="J903" s="49" t="s">
        <v>14491</v>
      </c>
      <c r="K903" s="44"/>
      <c r="L903" s="44"/>
    </row>
    <row r="904">
      <c r="A904" s="48" t="s">
        <v>9771</v>
      </c>
      <c r="B904" s="48"/>
      <c r="C904" s="64" t="s">
        <v>14492</v>
      </c>
      <c r="D904" s="48"/>
      <c r="E904" s="48" t="s">
        <v>14493</v>
      </c>
      <c r="F904" s="64" t="s">
        <v>629</v>
      </c>
      <c r="G904" s="60" t="s">
        <v>96</v>
      </c>
      <c r="H904" s="88">
        <v>0.019</v>
      </c>
      <c r="I904" s="49" t="s">
        <v>14494</v>
      </c>
      <c r="J904" s="49" t="s">
        <v>14495</v>
      </c>
      <c r="K904" s="44"/>
      <c r="L904" s="44"/>
    </row>
    <row r="905">
      <c r="A905" s="48" t="s">
        <v>4638</v>
      </c>
      <c r="B905" s="48"/>
      <c r="C905" s="64" t="s">
        <v>14496</v>
      </c>
      <c r="D905" s="48"/>
      <c r="E905" s="48" t="s">
        <v>5650</v>
      </c>
      <c r="F905" s="64" t="s">
        <v>622</v>
      </c>
      <c r="G905" s="60" t="s">
        <v>96</v>
      </c>
      <c r="H905" s="88">
        <v>0.01897</v>
      </c>
      <c r="I905" s="49" t="s">
        <v>14497</v>
      </c>
      <c r="J905" s="49" t="s">
        <v>14498</v>
      </c>
      <c r="K905" s="44"/>
      <c r="L905" s="44"/>
    </row>
    <row r="906">
      <c r="A906" s="48" t="s">
        <v>4646</v>
      </c>
      <c r="B906" s="48"/>
      <c r="C906" s="64" t="s">
        <v>14499</v>
      </c>
      <c r="D906" s="48"/>
      <c r="E906" s="48" t="s">
        <v>12018</v>
      </c>
      <c r="F906" s="64" t="s">
        <v>622</v>
      </c>
      <c r="G906" s="60" t="s">
        <v>96</v>
      </c>
      <c r="H906" s="88">
        <v>0.01894</v>
      </c>
      <c r="I906" s="49" t="s">
        <v>14500</v>
      </c>
      <c r="J906" s="49" t="s">
        <v>14501</v>
      </c>
      <c r="K906" s="44"/>
      <c r="L906" s="44"/>
    </row>
    <row r="907">
      <c r="A907" s="48" t="s">
        <v>9687</v>
      </c>
      <c r="B907" s="48"/>
      <c r="C907" s="64" t="s">
        <v>14502</v>
      </c>
      <c r="D907" s="48"/>
      <c r="E907" s="48" t="s">
        <v>11942</v>
      </c>
      <c r="F907" s="64" t="s">
        <v>822</v>
      </c>
      <c r="G907" s="60" t="s">
        <v>96</v>
      </c>
      <c r="H907" s="88">
        <v>0.0189</v>
      </c>
      <c r="I907" s="49" t="s">
        <v>14503</v>
      </c>
      <c r="J907" s="49" t="s">
        <v>14504</v>
      </c>
      <c r="K907" s="44"/>
      <c r="L907" s="44"/>
    </row>
    <row r="908">
      <c r="A908" s="48" t="s">
        <v>4625</v>
      </c>
      <c r="B908" s="48"/>
      <c r="C908" s="64" t="s">
        <v>14505</v>
      </c>
      <c r="D908" s="48"/>
      <c r="E908" s="48" t="s">
        <v>12025</v>
      </c>
      <c r="F908" s="64" t="s">
        <v>622</v>
      </c>
      <c r="G908" s="60" t="s">
        <v>96</v>
      </c>
      <c r="H908" s="88">
        <v>0.01883</v>
      </c>
      <c r="I908" s="49" t="s">
        <v>14506</v>
      </c>
      <c r="J908" s="49" t="s">
        <v>14507</v>
      </c>
      <c r="K908" s="44"/>
      <c r="L908" s="44"/>
    </row>
    <row r="909">
      <c r="A909" s="48" t="s">
        <v>9604</v>
      </c>
      <c r="B909" s="48"/>
      <c r="C909" s="64" t="s">
        <v>14508</v>
      </c>
      <c r="D909" s="48"/>
      <c r="E909" s="48" t="s">
        <v>12031</v>
      </c>
      <c r="F909" s="64" t="s">
        <v>629</v>
      </c>
      <c r="G909" s="60" t="s">
        <v>96</v>
      </c>
      <c r="H909" s="88">
        <v>0.01881</v>
      </c>
      <c r="I909" s="49" t="s">
        <v>14509</v>
      </c>
      <c r="J909" s="49" t="s">
        <v>14510</v>
      </c>
      <c r="K909" s="44"/>
      <c r="L909" s="44"/>
    </row>
    <row r="910">
      <c r="A910" s="48" t="s">
        <v>9637</v>
      </c>
      <c r="B910" s="48"/>
      <c r="C910" s="64" t="s">
        <v>14511</v>
      </c>
      <c r="D910" s="48"/>
      <c r="E910" s="48" t="s">
        <v>12004</v>
      </c>
      <c r="F910" s="64" t="s">
        <v>622</v>
      </c>
      <c r="G910" s="60" t="s">
        <v>96</v>
      </c>
      <c r="H910" s="88">
        <v>0.01873</v>
      </c>
      <c r="I910" s="49" t="s">
        <v>14512</v>
      </c>
      <c r="J910" s="49" t="s">
        <v>14513</v>
      </c>
      <c r="K910" s="44"/>
      <c r="L910" s="44"/>
    </row>
    <row r="911">
      <c r="A911" s="48" t="s">
        <v>9737</v>
      </c>
      <c r="B911" s="48"/>
      <c r="C911" s="48" t="s">
        <v>9738</v>
      </c>
      <c r="D911" s="48"/>
      <c r="E911" s="48" t="s">
        <v>6012</v>
      </c>
      <c r="F911" s="64" t="s">
        <v>883</v>
      </c>
      <c r="G911" s="60" t="s">
        <v>96</v>
      </c>
      <c r="H911" s="88">
        <v>0.01858</v>
      </c>
      <c r="I911" s="49" t="s">
        <v>14514</v>
      </c>
      <c r="J911" s="49" t="s">
        <v>14515</v>
      </c>
      <c r="K911" s="44"/>
      <c r="L911" s="44"/>
    </row>
    <row r="912">
      <c r="A912" s="48" t="s">
        <v>11560</v>
      </c>
      <c r="B912" s="48"/>
      <c r="C912" s="48" t="s">
        <v>11561</v>
      </c>
      <c r="D912" s="48"/>
      <c r="E912" s="48" t="s">
        <v>13231</v>
      </c>
      <c r="F912" s="64" t="s">
        <v>11998</v>
      </c>
      <c r="G912" s="60" t="s">
        <v>96</v>
      </c>
      <c r="H912" s="88">
        <v>0.01857</v>
      </c>
      <c r="I912" s="49" t="s">
        <v>14516</v>
      </c>
      <c r="J912" s="49" t="s">
        <v>14517</v>
      </c>
      <c r="K912" s="44"/>
      <c r="L912" s="44"/>
    </row>
    <row r="913">
      <c r="A913" s="48" t="s">
        <v>11564</v>
      </c>
      <c r="B913" s="48"/>
      <c r="C913" s="64" t="s">
        <v>14518</v>
      </c>
      <c r="D913" s="48"/>
      <c r="E913" s="48" t="s">
        <v>11936</v>
      </c>
      <c r="F913" s="64" t="s">
        <v>694</v>
      </c>
      <c r="G913" s="60" t="s">
        <v>96</v>
      </c>
      <c r="H913" s="88">
        <v>0.01841</v>
      </c>
      <c r="I913" s="49" t="s">
        <v>14519</v>
      </c>
      <c r="J913" s="49" t="s">
        <v>14520</v>
      </c>
      <c r="K913" s="44"/>
      <c r="L913" s="44"/>
    </row>
    <row r="914">
      <c r="A914" s="48" t="s">
        <v>9813</v>
      </c>
      <c r="B914" s="48"/>
      <c r="C914" s="64" t="s">
        <v>14521</v>
      </c>
      <c r="D914" s="48"/>
      <c r="E914" s="48" t="s">
        <v>12078</v>
      </c>
      <c r="F914" s="64" t="s">
        <v>694</v>
      </c>
      <c r="G914" s="60" t="s">
        <v>96</v>
      </c>
      <c r="H914" s="88">
        <v>0.0184</v>
      </c>
      <c r="I914" s="49" t="s">
        <v>14522</v>
      </c>
      <c r="J914" s="49" t="s">
        <v>14523</v>
      </c>
      <c r="K914" s="44"/>
      <c r="L914" s="44"/>
    </row>
    <row r="915">
      <c r="A915" s="48" t="s">
        <v>11612</v>
      </c>
      <c r="B915" s="48"/>
      <c r="C915" s="64" t="s">
        <v>14524</v>
      </c>
      <c r="D915" s="48"/>
      <c r="E915" s="48" t="s">
        <v>12220</v>
      </c>
      <c r="F915" s="64" t="s">
        <v>622</v>
      </c>
      <c r="G915" s="60" t="s">
        <v>96</v>
      </c>
      <c r="H915" s="88">
        <v>0.01836</v>
      </c>
      <c r="I915" s="49" t="s">
        <v>14525</v>
      </c>
      <c r="J915" s="49" t="s">
        <v>14526</v>
      </c>
      <c r="K915" s="44"/>
      <c r="L915" s="44"/>
    </row>
    <row r="916">
      <c r="A916" s="48" t="s">
        <v>11582</v>
      </c>
      <c r="B916" s="48"/>
      <c r="C916" s="64" t="s">
        <v>14527</v>
      </c>
      <c r="D916" s="48"/>
      <c r="E916" s="48" t="s">
        <v>12004</v>
      </c>
      <c r="F916" s="64" t="s">
        <v>622</v>
      </c>
      <c r="G916" s="60" t="s">
        <v>96</v>
      </c>
      <c r="H916" s="88">
        <v>0.01832</v>
      </c>
      <c r="I916" s="49" t="s">
        <v>14528</v>
      </c>
      <c r="J916" s="49" t="s">
        <v>14529</v>
      </c>
      <c r="K916" s="44"/>
      <c r="L916" s="44"/>
    </row>
    <row r="917">
      <c r="A917" s="48" t="s">
        <v>4634</v>
      </c>
      <c r="B917" s="48"/>
      <c r="C917" s="64" t="s">
        <v>14530</v>
      </c>
      <c r="D917" s="48"/>
      <c r="E917" s="48" t="s">
        <v>12163</v>
      </c>
      <c r="F917" s="64" t="s">
        <v>622</v>
      </c>
      <c r="G917" s="60" t="s">
        <v>96</v>
      </c>
      <c r="H917" s="88">
        <v>0.0183</v>
      </c>
      <c r="I917" s="49" t="s">
        <v>14531</v>
      </c>
      <c r="J917" s="49" t="s">
        <v>14532</v>
      </c>
      <c r="K917" s="44"/>
      <c r="L917" s="44"/>
    </row>
    <row r="918">
      <c r="A918" s="48" t="s">
        <v>4602</v>
      </c>
      <c r="B918" s="48"/>
      <c r="C918" s="64" t="s">
        <v>14533</v>
      </c>
      <c r="D918" s="48"/>
      <c r="E918" s="48" t="s">
        <v>11914</v>
      </c>
      <c r="F918" s="64" t="s">
        <v>622</v>
      </c>
      <c r="G918" s="60" t="s">
        <v>96</v>
      </c>
      <c r="H918" s="88">
        <v>0.0183</v>
      </c>
      <c r="I918" s="49" t="s">
        <v>14534</v>
      </c>
      <c r="J918" s="49" t="s">
        <v>14535</v>
      </c>
      <c r="K918" s="44"/>
      <c r="L918" s="44"/>
    </row>
    <row r="919">
      <c r="A919" s="48" t="s">
        <v>11590</v>
      </c>
      <c r="B919" s="48"/>
      <c r="C919" s="48" t="s">
        <v>11591</v>
      </c>
      <c r="D919" s="48"/>
      <c r="E919" s="48" t="s">
        <v>12229</v>
      </c>
      <c r="F919" s="64" t="s">
        <v>1352</v>
      </c>
      <c r="G919" s="60" t="s">
        <v>96</v>
      </c>
      <c r="H919" s="88">
        <v>0.01805</v>
      </c>
      <c r="I919" s="49" t="s">
        <v>14536</v>
      </c>
      <c r="J919" s="49" t="s">
        <v>14537</v>
      </c>
      <c r="K919" s="44"/>
      <c r="L919" s="44"/>
    </row>
    <row r="920">
      <c r="A920" s="48" t="s">
        <v>9614</v>
      </c>
      <c r="B920" s="48"/>
      <c r="C920" s="48" t="s">
        <v>14538</v>
      </c>
      <c r="D920" s="48"/>
      <c r="E920" s="48" t="s">
        <v>11924</v>
      </c>
      <c r="F920" s="64" t="s">
        <v>649</v>
      </c>
      <c r="G920" s="60" t="s">
        <v>96</v>
      </c>
      <c r="H920" s="88">
        <v>0.01795</v>
      </c>
      <c r="I920" s="49" t="s">
        <v>14539</v>
      </c>
      <c r="J920" s="49" t="s">
        <v>14540</v>
      </c>
      <c r="K920" s="44"/>
      <c r="L920" s="44"/>
    </row>
    <row r="921">
      <c r="A921" s="48" t="s">
        <v>9700</v>
      </c>
      <c r="B921" s="48"/>
      <c r="C921" s="48" t="s">
        <v>9701</v>
      </c>
      <c r="D921" s="48"/>
      <c r="E921" s="48" t="s">
        <v>12163</v>
      </c>
      <c r="F921" s="64" t="s">
        <v>668</v>
      </c>
      <c r="G921" s="60" t="s">
        <v>96</v>
      </c>
      <c r="H921" s="88">
        <v>0.01781</v>
      </c>
      <c r="I921" s="49" t="s">
        <v>14541</v>
      </c>
      <c r="J921" s="49" t="s">
        <v>14542</v>
      </c>
      <c r="K921" s="44"/>
      <c r="L921" s="44"/>
    </row>
    <row r="922">
      <c r="A922" s="48" t="s">
        <v>9786</v>
      </c>
      <c r="B922" s="48"/>
      <c r="C922" s="48" t="s">
        <v>9787</v>
      </c>
      <c r="D922" s="48"/>
      <c r="E922" s="48" t="s">
        <v>11946</v>
      </c>
      <c r="F922" s="64" t="s">
        <v>639</v>
      </c>
      <c r="G922" s="60" t="s">
        <v>96</v>
      </c>
      <c r="H922" s="88">
        <v>0.01778</v>
      </c>
      <c r="I922" s="49" t="s">
        <v>14543</v>
      </c>
      <c r="J922" s="49" t="s">
        <v>14544</v>
      </c>
      <c r="K922" s="44"/>
      <c r="L922" s="44"/>
    </row>
    <row r="923">
      <c r="A923" s="48" t="s">
        <v>9731</v>
      </c>
      <c r="B923" s="48"/>
      <c r="C923" s="64" t="s">
        <v>14545</v>
      </c>
      <c r="D923" s="48"/>
      <c r="E923" s="48" t="s">
        <v>5296</v>
      </c>
      <c r="F923" s="64" t="s">
        <v>622</v>
      </c>
      <c r="G923" s="60" t="s">
        <v>96</v>
      </c>
      <c r="H923" s="88">
        <v>0.01774</v>
      </c>
      <c r="I923" s="49" t="s">
        <v>14546</v>
      </c>
      <c r="J923" s="49" t="s">
        <v>14547</v>
      </c>
      <c r="K923" s="44"/>
      <c r="L923" s="44"/>
    </row>
    <row r="924">
      <c r="A924" s="48" t="s">
        <v>9764</v>
      </c>
      <c r="B924" s="48"/>
      <c r="C924" s="48" t="s">
        <v>9765</v>
      </c>
      <c r="D924" s="48"/>
      <c r="E924" s="48" t="s">
        <v>12014</v>
      </c>
      <c r="F924" s="64" t="s">
        <v>622</v>
      </c>
      <c r="G924" s="60" t="s">
        <v>96</v>
      </c>
      <c r="H924" s="88">
        <v>0.0177</v>
      </c>
      <c r="I924" s="49" t="s">
        <v>14548</v>
      </c>
      <c r="J924" s="49" t="s">
        <v>14549</v>
      </c>
      <c r="K924" s="44"/>
      <c r="L924" s="44"/>
    </row>
    <row r="925">
      <c r="A925" s="48" t="s">
        <v>4609</v>
      </c>
      <c r="B925" s="48"/>
      <c r="C925" s="48" t="s">
        <v>11550</v>
      </c>
      <c r="D925" s="48"/>
      <c r="E925" s="48" t="s">
        <v>12356</v>
      </c>
      <c r="F925" s="64" t="s">
        <v>622</v>
      </c>
      <c r="G925" s="60" t="s">
        <v>96</v>
      </c>
      <c r="H925" s="88">
        <v>0.01765</v>
      </c>
      <c r="I925" s="49" t="s">
        <v>14550</v>
      </c>
      <c r="J925" s="49" t="s">
        <v>14551</v>
      </c>
      <c r="K925" s="44"/>
      <c r="L925" s="44"/>
    </row>
    <row r="926">
      <c r="A926" s="48" t="s">
        <v>4644</v>
      </c>
      <c r="B926" s="48"/>
      <c r="C926" s="64" t="s">
        <v>14552</v>
      </c>
      <c r="D926" s="48"/>
      <c r="E926" s="48" t="s">
        <v>6012</v>
      </c>
      <c r="F926" s="64" t="s">
        <v>622</v>
      </c>
      <c r="G926" s="60" t="s">
        <v>96</v>
      </c>
      <c r="H926" s="88">
        <v>0.01761</v>
      </c>
      <c r="I926" s="49" t="s">
        <v>14553</v>
      </c>
      <c r="J926" s="49" t="s">
        <v>14554</v>
      </c>
      <c r="K926" s="44"/>
      <c r="L926" s="44"/>
    </row>
    <row r="927">
      <c r="A927" s="48" t="s">
        <v>9793</v>
      </c>
      <c r="B927" s="48"/>
      <c r="C927" s="64" t="s">
        <v>14555</v>
      </c>
      <c r="D927" s="48"/>
      <c r="E927" s="48" t="s">
        <v>12136</v>
      </c>
      <c r="F927" s="64" t="s">
        <v>629</v>
      </c>
      <c r="G927" s="60" t="s">
        <v>96</v>
      </c>
      <c r="H927" s="88">
        <v>0.01757</v>
      </c>
      <c r="I927" s="49" t="s">
        <v>14556</v>
      </c>
      <c r="J927" s="49" t="s">
        <v>14557</v>
      </c>
      <c r="K927" s="44"/>
      <c r="L927" s="44"/>
    </row>
    <row r="928">
      <c r="A928" s="48" t="s">
        <v>4643</v>
      </c>
      <c r="B928" s="48"/>
      <c r="C928" s="48" t="s">
        <v>9762</v>
      </c>
      <c r="D928" s="48"/>
      <c r="E928" s="48" t="s">
        <v>12559</v>
      </c>
      <c r="F928" s="64" t="s">
        <v>622</v>
      </c>
      <c r="G928" s="60" t="s">
        <v>96</v>
      </c>
      <c r="H928" s="88">
        <v>0.01745</v>
      </c>
      <c r="I928" s="49" t="s">
        <v>14558</v>
      </c>
      <c r="J928" s="49" t="s">
        <v>14559</v>
      </c>
      <c r="K928" s="44"/>
      <c r="L928" s="44"/>
    </row>
    <row r="929">
      <c r="A929" s="48" t="s">
        <v>11536</v>
      </c>
      <c r="B929" s="48"/>
      <c r="C929" s="64" t="s">
        <v>14560</v>
      </c>
      <c r="D929" s="48"/>
      <c r="E929" s="48" t="s">
        <v>12518</v>
      </c>
      <c r="F929" s="64" t="s">
        <v>629</v>
      </c>
      <c r="G929" s="60" t="s">
        <v>96</v>
      </c>
      <c r="H929" s="88">
        <v>0.0174</v>
      </c>
      <c r="I929" s="49" t="s">
        <v>14561</v>
      </c>
      <c r="J929" s="49" t="s">
        <v>14562</v>
      </c>
      <c r="K929" s="44"/>
      <c r="L929" s="44"/>
    </row>
    <row r="930">
      <c r="A930" s="48" t="s">
        <v>11570</v>
      </c>
      <c r="B930" s="48"/>
      <c r="C930" s="64" t="s">
        <v>14563</v>
      </c>
      <c r="D930" s="48"/>
      <c r="E930" s="48" t="s">
        <v>12004</v>
      </c>
      <c r="F930" s="64" t="s">
        <v>622</v>
      </c>
      <c r="G930" s="60" t="s">
        <v>96</v>
      </c>
      <c r="H930" s="88">
        <v>0.01729</v>
      </c>
      <c r="I930" s="49" t="s">
        <v>14564</v>
      </c>
      <c r="J930" s="49" t="s">
        <v>14565</v>
      </c>
      <c r="K930" s="44"/>
      <c r="L930" s="44"/>
    </row>
    <row r="931">
      <c r="A931" s="48" t="s">
        <v>11572</v>
      </c>
      <c r="B931" s="48"/>
      <c r="C931" s="64" t="s">
        <v>14566</v>
      </c>
      <c r="D931" s="48"/>
      <c r="E931" s="48" t="s">
        <v>13761</v>
      </c>
      <c r="F931" s="64" t="s">
        <v>622</v>
      </c>
      <c r="G931" s="60" t="s">
        <v>96</v>
      </c>
      <c r="H931" s="88">
        <v>0.01728</v>
      </c>
      <c r="I931" s="49" t="s">
        <v>14567</v>
      </c>
      <c r="J931" s="49" t="s">
        <v>14568</v>
      </c>
      <c r="K931" s="44"/>
      <c r="L931" s="44"/>
    </row>
    <row r="932">
      <c r="A932" s="48" t="s">
        <v>9868</v>
      </c>
      <c r="B932" s="48"/>
      <c r="C932" s="48" t="s">
        <v>9869</v>
      </c>
      <c r="D932" s="48"/>
      <c r="E932" s="48" t="s">
        <v>12025</v>
      </c>
      <c r="F932" s="64" t="s">
        <v>639</v>
      </c>
      <c r="G932" s="60" t="s">
        <v>96</v>
      </c>
      <c r="H932" s="88">
        <v>0.01727</v>
      </c>
      <c r="I932" s="49" t="s">
        <v>14569</v>
      </c>
      <c r="J932" s="49" t="s">
        <v>14570</v>
      </c>
      <c r="K932" s="44"/>
      <c r="L932" s="44"/>
    </row>
    <row r="933">
      <c r="A933" s="48" t="s">
        <v>11628</v>
      </c>
      <c r="B933" s="48"/>
      <c r="C933" s="64" t="s">
        <v>14571</v>
      </c>
      <c r="D933" s="48"/>
      <c r="E933" s="48" t="s">
        <v>12025</v>
      </c>
      <c r="F933" s="64" t="s">
        <v>622</v>
      </c>
      <c r="G933" s="60" t="s">
        <v>96</v>
      </c>
      <c r="H933" s="88">
        <v>0.01727</v>
      </c>
      <c r="I933" s="49" t="s">
        <v>14572</v>
      </c>
      <c r="J933" s="49" t="s">
        <v>14573</v>
      </c>
      <c r="K933" s="44"/>
      <c r="L933" s="44"/>
    </row>
    <row r="934">
      <c r="A934" s="48" t="s">
        <v>9782</v>
      </c>
      <c r="B934" s="48"/>
      <c r="C934" s="64" t="s">
        <v>14574</v>
      </c>
      <c r="D934" s="48"/>
      <c r="E934" s="48" t="s">
        <v>12056</v>
      </c>
      <c r="F934" s="64" t="s">
        <v>622</v>
      </c>
      <c r="G934" s="60" t="s">
        <v>96</v>
      </c>
      <c r="H934" s="88">
        <v>0.01726</v>
      </c>
      <c r="I934" s="49" t="s">
        <v>14575</v>
      </c>
      <c r="J934" s="49" t="s">
        <v>14576</v>
      </c>
      <c r="K934" s="44"/>
      <c r="L934" s="44"/>
    </row>
    <row r="935">
      <c r="A935" s="48" t="s">
        <v>9841</v>
      </c>
      <c r="B935" s="48"/>
      <c r="C935" s="48" t="s">
        <v>3008</v>
      </c>
      <c r="D935" s="48"/>
      <c r="E935" s="48" t="s">
        <v>11932</v>
      </c>
      <c r="F935" s="64" t="s">
        <v>668</v>
      </c>
      <c r="G935" s="60" t="s">
        <v>96</v>
      </c>
      <c r="H935" s="88">
        <v>0.01722</v>
      </c>
      <c r="I935" s="49" t="s">
        <v>14577</v>
      </c>
      <c r="J935" s="49" t="s">
        <v>14578</v>
      </c>
      <c r="K935" s="44"/>
      <c r="L935" s="44"/>
    </row>
    <row r="936">
      <c r="A936" s="48" t="s">
        <v>9741</v>
      </c>
      <c r="B936" s="48"/>
      <c r="C936" s="48" t="s">
        <v>14579</v>
      </c>
      <c r="D936" s="48"/>
      <c r="E936" s="48" t="s">
        <v>12236</v>
      </c>
      <c r="F936" s="64" t="s">
        <v>1740</v>
      </c>
      <c r="G936" s="60" t="s">
        <v>96</v>
      </c>
      <c r="H936" s="88">
        <v>0.01715</v>
      </c>
      <c r="I936" s="49" t="s">
        <v>14580</v>
      </c>
      <c r="J936" s="49" t="s">
        <v>14581</v>
      </c>
      <c r="K936" s="44"/>
      <c r="L936" s="44"/>
    </row>
    <row r="937">
      <c r="A937" s="48" t="s">
        <v>9752</v>
      </c>
      <c r="B937" s="48"/>
      <c r="C937" s="64" t="s">
        <v>14582</v>
      </c>
      <c r="D937" s="48"/>
      <c r="E937" s="48" t="s">
        <v>12283</v>
      </c>
      <c r="F937" s="64" t="s">
        <v>622</v>
      </c>
      <c r="G937" s="60" t="s">
        <v>96</v>
      </c>
      <c r="H937" s="88">
        <v>0.0171</v>
      </c>
      <c r="I937" s="49" t="s">
        <v>14583</v>
      </c>
      <c r="J937" s="49" t="s">
        <v>14584</v>
      </c>
      <c r="K937" s="44"/>
      <c r="L937" s="44"/>
    </row>
    <row r="938">
      <c r="A938" s="48" t="s">
        <v>9837</v>
      </c>
      <c r="B938" s="48"/>
      <c r="C938" s="64" t="s">
        <v>14585</v>
      </c>
      <c r="D938" s="48"/>
      <c r="E938" s="48" t="s">
        <v>12031</v>
      </c>
      <c r="F938" s="64" t="s">
        <v>629</v>
      </c>
      <c r="G938" s="60" t="s">
        <v>96</v>
      </c>
      <c r="H938" s="88">
        <v>0.0171</v>
      </c>
      <c r="I938" s="49" t="s">
        <v>14586</v>
      </c>
      <c r="J938" s="49" t="s">
        <v>14587</v>
      </c>
      <c r="K938" s="44"/>
      <c r="L938" s="44"/>
    </row>
    <row r="939">
      <c r="A939" s="48" t="s">
        <v>9716</v>
      </c>
      <c r="B939" s="48"/>
      <c r="C939" s="48" t="s">
        <v>14588</v>
      </c>
      <c r="D939" s="48"/>
      <c r="E939" s="48" t="s">
        <v>5756</v>
      </c>
      <c r="F939" s="64" t="s">
        <v>883</v>
      </c>
      <c r="G939" s="60" t="s">
        <v>96</v>
      </c>
      <c r="H939" s="88">
        <v>0.01709</v>
      </c>
      <c r="I939" s="49" t="s">
        <v>14589</v>
      </c>
      <c r="J939" s="49" t="s">
        <v>14590</v>
      </c>
      <c r="K939" s="44"/>
      <c r="L939" s="44"/>
    </row>
    <row r="940">
      <c r="A940" s="48" t="s">
        <v>4635</v>
      </c>
      <c r="B940" s="48"/>
      <c r="C940" s="64" t="s">
        <v>14591</v>
      </c>
      <c r="D940" s="48"/>
      <c r="E940" s="48" t="s">
        <v>12018</v>
      </c>
      <c r="F940" s="64" t="s">
        <v>622</v>
      </c>
      <c r="G940" s="60" t="s">
        <v>96</v>
      </c>
      <c r="H940" s="88">
        <v>0.01708</v>
      </c>
      <c r="I940" s="49" t="s">
        <v>14592</v>
      </c>
      <c r="J940" s="49" t="s">
        <v>14593</v>
      </c>
      <c r="K940" s="44"/>
      <c r="L940" s="44"/>
    </row>
    <row r="941">
      <c r="A941" s="48" t="s">
        <v>4623</v>
      </c>
      <c r="B941" s="48"/>
      <c r="C941" s="64" t="s">
        <v>14594</v>
      </c>
      <c r="D941" s="48"/>
      <c r="E941" s="48" t="s">
        <v>13231</v>
      </c>
      <c r="F941" s="64" t="s">
        <v>622</v>
      </c>
      <c r="G941" s="60" t="s">
        <v>96</v>
      </c>
      <c r="H941" s="88">
        <v>0.01701</v>
      </c>
      <c r="I941" s="49" t="s">
        <v>14595</v>
      </c>
      <c r="J941" s="49" t="s">
        <v>14596</v>
      </c>
      <c r="K941" s="44"/>
      <c r="L941" s="44"/>
    </row>
    <row r="942">
      <c r="A942" s="48" t="s">
        <v>9831</v>
      </c>
      <c r="B942" s="48"/>
      <c r="C942" s="64" t="s">
        <v>14597</v>
      </c>
      <c r="D942" s="48"/>
      <c r="E942" s="48" t="s">
        <v>11924</v>
      </c>
      <c r="F942" s="64" t="s">
        <v>629</v>
      </c>
      <c r="G942" s="60" t="s">
        <v>96</v>
      </c>
      <c r="H942" s="88">
        <v>0.017</v>
      </c>
      <c r="I942" s="49" t="s">
        <v>14598</v>
      </c>
      <c r="J942" s="49" t="s">
        <v>14599</v>
      </c>
      <c r="K942" s="44"/>
      <c r="L942" s="44"/>
    </row>
    <row r="943">
      <c r="A943" s="48" t="s">
        <v>9745</v>
      </c>
      <c r="B943" s="48"/>
      <c r="C943" s="64" t="s">
        <v>14600</v>
      </c>
      <c r="D943" s="48"/>
      <c r="E943" s="48" t="s">
        <v>12182</v>
      </c>
      <c r="F943" s="64" t="s">
        <v>629</v>
      </c>
      <c r="G943" s="60" t="s">
        <v>96</v>
      </c>
      <c r="H943" s="88">
        <v>0.01688</v>
      </c>
      <c r="I943" s="49" t="s">
        <v>14601</v>
      </c>
      <c r="J943" s="49" t="s">
        <v>14602</v>
      </c>
      <c r="K943" s="44"/>
      <c r="L943" s="44"/>
    </row>
    <row r="944">
      <c r="A944" s="48" t="s">
        <v>4629</v>
      </c>
      <c r="B944" s="48"/>
      <c r="C944" s="64" t="s">
        <v>14603</v>
      </c>
      <c r="D944" s="48"/>
      <c r="E944" s="48" t="s">
        <v>5291</v>
      </c>
      <c r="F944" s="64" t="s">
        <v>622</v>
      </c>
      <c r="G944" s="60" t="s">
        <v>96</v>
      </c>
      <c r="H944" s="88">
        <v>0.01688</v>
      </c>
      <c r="I944" s="49" t="s">
        <v>14604</v>
      </c>
      <c r="J944" s="49" t="s">
        <v>14605</v>
      </c>
      <c r="K944" s="44"/>
      <c r="L944" s="44"/>
    </row>
    <row r="945">
      <c r="A945" s="48" t="s">
        <v>11546</v>
      </c>
      <c r="B945" s="48"/>
      <c r="C945" s="64" t="s">
        <v>14606</v>
      </c>
      <c r="D945" s="48"/>
      <c r="E945" s="48" t="s">
        <v>12559</v>
      </c>
      <c r="F945" s="64" t="s">
        <v>622</v>
      </c>
      <c r="G945" s="60" t="s">
        <v>96</v>
      </c>
      <c r="H945" s="88">
        <v>0.01687</v>
      </c>
      <c r="I945" s="49" t="s">
        <v>14607</v>
      </c>
      <c r="J945" s="49" t="s">
        <v>14608</v>
      </c>
      <c r="K945" s="44"/>
      <c r="L945" s="44"/>
    </row>
    <row r="946">
      <c r="A946" s="48" t="s">
        <v>4632</v>
      </c>
      <c r="B946" s="48"/>
      <c r="C946" s="48" t="s">
        <v>9670</v>
      </c>
      <c r="D946" s="48"/>
      <c r="E946" s="48" t="s">
        <v>11942</v>
      </c>
      <c r="F946" s="64" t="s">
        <v>622</v>
      </c>
      <c r="G946" s="60" t="s">
        <v>96</v>
      </c>
      <c r="H946" s="88">
        <v>0.01685</v>
      </c>
      <c r="I946" s="49" t="s">
        <v>14609</v>
      </c>
      <c r="J946" s="49" t="s">
        <v>14610</v>
      </c>
      <c r="K946" s="44"/>
      <c r="L946" s="44"/>
    </row>
    <row r="947">
      <c r="A947" s="48" t="s">
        <v>11604</v>
      </c>
      <c r="B947" s="48"/>
      <c r="C947" s="64" t="s">
        <v>14611</v>
      </c>
      <c r="D947" s="48"/>
      <c r="E947" s="48" t="s">
        <v>13155</v>
      </c>
      <c r="F947" s="64" t="s">
        <v>622</v>
      </c>
      <c r="G947" s="60" t="s">
        <v>96</v>
      </c>
      <c r="H947" s="88">
        <v>0.01684</v>
      </c>
      <c r="I947" s="49" t="s">
        <v>14612</v>
      </c>
      <c r="J947" s="49" t="s">
        <v>14613</v>
      </c>
      <c r="K947" s="44"/>
      <c r="L947" s="44"/>
    </row>
    <row r="948">
      <c r="A948" s="48" t="s">
        <v>11598</v>
      </c>
      <c r="B948" s="48"/>
      <c r="C948" s="48" t="s">
        <v>11599</v>
      </c>
      <c r="D948" s="48"/>
      <c r="E948" s="48" t="s">
        <v>12182</v>
      </c>
      <c r="F948" s="64" t="s">
        <v>639</v>
      </c>
      <c r="G948" s="60" t="s">
        <v>96</v>
      </c>
      <c r="H948" s="88">
        <v>0.01682</v>
      </c>
      <c r="I948" s="49" t="s">
        <v>14614</v>
      </c>
      <c r="J948" s="49" t="s">
        <v>14615</v>
      </c>
      <c r="K948" s="44"/>
      <c r="L948" s="44"/>
    </row>
    <row r="949">
      <c r="A949" s="48" t="s">
        <v>9857</v>
      </c>
      <c r="B949" s="48"/>
      <c r="C949" s="48" t="s">
        <v>9858</v>
      </c>
      <c r="D949" s="48"/>
      <c r="E949" s="48" t="s">
        <v>13634</v>
      </c>
      <c r="F949" s="64" t="s">
        <v>639</v>
      </c>
      <c r="G949" s="60" t="s">
        <v>96</v>
      </c>
      <c r="H949" s="88">
        <v>0.01681</v>
      </c>
      <c r="I949" s="49" t="s">
        <v>14616</v>
      </c>
      <c r="J949" s="49" t="s">
        <v>14617</v>
      </c>
      <c r="K949" s="44"/>
      <c r="L949" s="44"/>
    </row>
    <row r="950">
      <c r="A950" s="48" t="s">
        <v>11600</v>
      </c>
      <c r="B950" s="48"/>
      <c r="C950" s="64" t="s">
        <v>14618</v>
      </c>
      <c r="D950" s="48"/>
      <c r="E950" s="48" t="s">
        <v>5650</v>
      </c>
      <c r="F950" s="64" t="s">
        <v>622</v>
      </c>
      <c r="G950" s="60" t="s">
        <v>96</v>
      </c>
      <c r="H950" s="88">
        <v>0.01679</v>
      </c>
      <c r="I950" s="49" t="s">
        <v>14619</v>
      </c>
      <c r="J950" s="49" t="s">
        <v>14620</v>
      </c>
      <c r="K950" s="44"/>
      <c r="L950" s="44"/>
    </row>
    <row r="951">
      <c r="A951" s="48" t="s">
        <v>9866</v>
      </c>
      <c r="B951" s="48"/>
      <c r="C951" s="64" t="s">
        <v>14621</v>
      </c>
      <c r="D951" s="48"/>
      <c r="E951" s="48" t="s">
        <v>12895</v>
      </c>
      <c r="F951" s="64" t="s">
        <v>629</v>
      </c>
      <c r="G951" s="60" t="s">
        <v>96</v>
      </c>
      <c r="H951" s="88">
        <v>0.01674</v>
      </c>
      <c r="I951" s="49" t="s">
        <v>14622</v>
      </c>
      <c r="J951" s="49" t="s">
        <v>14623</v>
      </c>
      <c r="K951" s="44"/>
      <c r="L951" s="44"/>
    </row>
    <row r="952">
      <c r="A952" s="48" t="s">
        <v>9808</v>
      </c>
      <c r="B952" s="48"/>
      <c r="C952" s="64" t="s">
        <v>14624</v>
      </c>
      <c r="D952" s="48"/>
      <c r="E952" s="48" t="s">
        <v>14625</v>
      </c>
      <c r="F952" s="64" t="s">
        <v>622</v>
      </c>
      <c r="G952" s="60" t="s">
        <v>96</v>
      </c>
      <c r="H952" s="88">
        <v>0.01673</v>
      </c>
      <c r="I952" s="49" t="s">
        <v>14626</v>
      </c>
      <c r="J952" s="49" t="s">
        <v>14627</v>
      </c>
      <c r="K952" s="44"/>
      <c r="L952" s="44"/>
    </row>
    <row r="953">
      <c r="A953" s="48" t="s">
        <v>9878</v>
      </c>
      <c r="B953" s="48"/>
      <c r="C953" s="64" t="s">
        <v>14628</v>
      </c>
      <c r="D953" s="48"/>
      <c r="E953" s="48" t="s">
        <v>12417</v>
      </c>
      <c r="F953" s="64" t="s">
        <v>629</v>
      </c>
      <c r="G953" s="60" t="s">
        <v>96</v>
      </c>
      <c r="H953" s="88">
        <v>0.01671</v>
      </c>
      <c r="I953" s="49" t="s">
        <v>14629</v>
      </c>
      <c r="J953" s="49" t="s">
        <v>14630</v>
      </c>
      <c r="K953" s="44"/>
      <c r="L953" s="44"/>
    </row>
    <row r="954">
      <c r="A954" s="48" t="s">
        <v>11653</v>
      </c>
      <c r="B954" s="48"/>
      <c r="C954" s="48" t="s">
        <v>11654</v>
      </c>
      <c r="D954" s="48"/>
      <c r="E954" s="48" t="s">
        <v>6110</v>
      </c>
      <c r="F954" s="64" t="s">
        <v>668</v>
      </c>
      <c r="G954" s="60" t="s">
        <v>96</v>
      </c>
      <c r="H954" s="88">
        <v>0.0167</v>
      </c>
      <c r="I954" s="49" t="s">
        <v>14631</v>
      </c>
      <c r="J954" s="49" t="s">
        <v>14632</v>
      </c>
      <c r="K954" s="44"/>
      <c r="L954" s="44"/>
    </row>
    <row r="955">
      <c r="A955" s="48" t="s">
        <v>9824</v>
      </c>
      <c r="B955" s="48"/>
      <c r="C955" s="48" t="s">
        <v>9825</v>
      </c>
      <c r="D955" s="48"/>
      <c r="E955" s="48" t="s">
        <v>13147</v>
      </c>
      <c r="F955" s="64" t="s">
        <v>11998</v>
      </c>
      <c r="G955" s="60" t="s">
        <v>96</v>
      </c>
      <c r="H955" s="88">
        <v>0.0167</v>
      </c>
      <c r="I955" s="49" t="s">
        <v>14633</v>
      </c>
      <c r="J955" s="49" t="s">
        <v>14634</v>
      </c>
      <c r="K955" s="44"/>
      <c r="L955" s="44"/>
    </row>
    <row r="956">
      <c r="A956" s="48" t="s">
        <v>4613</v>
      </c>
      <c r="B956" s="48"/>
      <c r="C956" s="64" t="s">
        <v>14635</v>
      </c>
      <c r="D956" s="48"/>
      <c r="E956" s="48" t="s">
        <v>12367</v>
      </c>
      <c r="F956" s="64" t="s">
        <v>622</v>
      </c>
      <c r="G956" s="60" t="s">
        <v>96</v>
      </c>
      <c r="H956" s="88">
        <v>0.01664</v>
      </c>
      <c r="I956" s="49" t="s">
        <v>14636</v>
      </c>
      <c r="J956" s="49" t="s">
        <v>14637</v>
      </c>
      <c r="K956" s="44"/>
      <c r="L956" s="44"/>
    </row>
    <row r="957">
      <c r="A957" s="48" t="s">
        <v>9755</v>
      </c>
      <c r="B957" s="48"/>
      <c r="C957" s="64" t="s">
        <v>14638</v>
      </c>
      <c r="D957" s="48"/>
      <c r="E957" s="48" t="s">
        <v>5775</v>
      </c>
      <c r="F957" s="64" t="s">
        <v>649</v>
      </c>
      <c r="G957" s="60" t="s">
        <v>96</v>
      </c>
      <c r="H957" s="88">
        <v>0.01664</v>
      </c>
      <c r="I957" s="49" t="s">
        <v>14639</v>
      </c>
      <c r="J957" s="49" t="s">
        <v>14640</v>
      </c>
      <c r="K957" s="44"/>
      <c r="L957" s="44"/>
    </row>
    <row r="958">
      <c r="A958" s="48" t="s">
        <v>10016</v>
      </c>
      <c r="B958" s="48"/>
      <c r="C958" s="48" t="s">
        <v>10017</v>
      </c>
      <c r="D958" s="48"/>
      <c r="E958" s="48" t="s">
        <v>13895</v>
      </c>
      <c r="F958" s="64" t="s">
        <v>1666</v>
      </c>
      <c r="G958" s="60" t="s">
        <v>96</v>
      </c>
      <c r="H958" s="88">
        <v>0.01661</v>
      </c>
      <c r="I958" s="49" t="s">
        <v>14641</v>
      </c>
      <c r="J958" s="49" t="s">
        <v>14642</v>
      </c>
      <c r="K958" s="44"/>
      <c r="L958" s="44"/>
    </row>
    <row r="959">
      <c r="A959" s="48" t="s">
        <v>4614</v>
      </c>
      <c r="B959" s="48"/>
      <c r="C959" s="64" t="s">
        <v>14643</v>
      </c>
      <c r="D959" s="48"/>
      <c r="E959" s="48" t="s">
        <v>12243</v>
      </c>
      <c r="F959" s="64" t="s">
        <v>622</v>
      </c>
      <c r="G959" s="60" t="s">
        <v>96</v>
      </c>
      <c r="H959" s="88">
        <v>0.0166</v>
      </c>
      <c r="I959" s="49" t="s">
        <v>14644</v>
      </c>
      <c r="J959" s="49" t="s">
        <v>14645</v>
      </c>
      <c r="K959" s="44"/>
      <c r="L959" s="44"/>
    </row>
    <row r="960">
      <c r="A960" s="48" t="s">
        <v>9706</v>
      </c>
      <c r="B960" s="48"/>
      <c r="C960" s="64" t="s">
        <v>14646</v>
      </c>
      <c r="D960" s="48"/>
      <c r="E960" s="48" t="s">
        <v>13171</v>
      </c>
      <c r="F960" s="64" t="s">
        <v>629</v>
      </c>
      <c r="G960" s="60" t="s">
        <v>96</v>
      </c>
      <c r="H960" s="88">
        <v>0.0166</v>
      </c>
      <c r="I960" s="49" t="s">
        <v>14647</v>
      </c>
      <c r="J960" s="49" t="s">
        <v>14648</v>
      </c>
      <c r="K960" s="44"/>
      <c r="L960" s="44"/>
    </row>
    <row r="961">
      <c r="A961" s="48" t="s">
        <v>11606</v>
      </c>
      <c r="B961" s="48"/>
      <c r="C961" s="48" t="s">
        <v>11607</v>
      </c>
      <c r="D961" s="48"/>
      <c r="E961" s="48" t="s">
        <v>12518</v>
      </c>
      <c r="F961" s="64" t="s">
        <v>668</v>
      </c>
      <c r="G961" s="60" t="s">
        <v>96</v>
      </c>
      <c r="H961" s="88">
        <v>0.01654</v>
      </c>
      <c r="I961" s="49" t="s">
        <v>14649</v>
      </c>
      <c r="J961" s="49" t="s">
        <v>14650</v>
      </c>
      <c r="K961" s="44"/>
      <c r="L961" s="44"/>
    </row>
    <row r="962">
      <c r="A962" s="48" t="s">
        <v>11596</v>
      </c>
      <c r="B962" s="48"/>
      <c r="C962" s="64" t="s">
        <v>14651</v>
      </c>
      <c r="D962" s="48"/>
      <c r="E962" s="48" t="s">
        <v>5478</v>
      </c>
      <c r="F962" s="64" t="s">
        <v>622</v>
      </c>
      <c r="G962" s="60" t="s">
        <v>96</v>
      </c>
      <c r="H962" s="88">
        <v>0.01653</v>
      </c>
      <c r="I962" s="49" t="s">
        <v>14652</v>
      </c>
      <c r="J962" s="49" t="s">
        <v>14653</v>
      </c>
      <c r="K962" s="44"/>
      <c r="L962" s="44"/>
    </row>
    <row r="963">
      <c r="A963" s="48" t="s">
        <v>6260</v>
      </c>
      <c r="B963" s="48"/>
      <c r="C963" s="48" t="s">
        <v>9059</v>
      </c>
      <c r="D963" s="48"/>
      <c r="E963" s="48" t="s">
        <v>12325</v>
      </c>
      <c r="F963" s="48" t="s">
        <v>6260</v>
      </c>
      <c r="G963" s="60" t="s">
        <v>96</v>
      </c>
      <c r="H963" s="88">
        <v>0.01652</v>
      </c>
      <c r="I963" s="49" t="s">
        <v>14654</v>
      </c>
      <c r="J963" s="49" t="s">
        <v>14655</v>
      </c>
      <c r="K963" s="44"/>
      <c r="L963" s="44"/>
    </row>
    <row r="964">
      <c r="A964" s="48" t="s">
        <v>11626</v>
      </c>
      <c r="B964" s="48"/>
      <c r="C964" s="48" t="s">
        <v>14656</v>
      </c>
      <c r="D964" s="48"/>
      <c r="E964" s="48" t="s">
        <v>11924</v>
      </c>
      <c r="F964" s="64" t="s">
        <v>649</v>
      </c>
      <c r="G964" s="60" t="s">
        <v>96</v>
      </c>
      <c r="H964" s="88">
        <v>0.01651</v>
      </c>
      <c r="I964" s="49" t="s">
        <v>14657</v>
      </c>
      <c r="J964" s="49" t="s">
        <v>14658</v>
      </c>
      <c r="K964" s="44"/>
      <c r="L964" s="44"/>
    </row>
    <row r="965">
      <c r="A965" s="48" t="s">
        <v>6880</v>
      </c>
      <c r="B965" s="48"/>
      <c r="C965" s="64" t="s">
        <v>14659</v>
      </c>
      <c r="D965" s="48"/>
      <c r="E965" s="48" t="s">
        <v>11959</v>
      </c>
      <c r="F965" s="64" t="s">
        <v>629</v>
      </c>
      <c r="G965" s="60" t="s">
        <v>96</v>
      </c>
      <c r="H965" s="88">
        <v>0.01649</v>
      </c>
      <c r="I965" s="49" t="s">
        <v>14660</v>
      </c>
      <c r="J965" s="49" t="s">
        <v>14661</v>
      </c>
      <c r="K965" s="44"/>
      <c r="L965" s="44"/>
    </row>
    <row r="966">
      <c r="A966" s="48" t="s">
        <v>4669</v>
      </c>
      <c r="B966" s="48"/>
      <c r="C966" s="64" t="s">
        <v>14662</v>
      </c>
      <c r="D966" s="48"/>
      <c r="E966" s="48" t="s">
        <v>5316</v>
      </c>
      <c r="F966" s="64" t="s">
        <v>622</v>
      </c>
      <c r="G966" s="60" t="s">
        <v>96</v>
      </c>
      <c r="H966" s="88">
        <v>0.01649</v>
      </c>
      <c r="I966" s="49" t="s">
        <v>14663</v>
      </c>
      <c r="J966" s="49" t="s">
        <v>14664</v>
      </c>
      <c r="K966" s="44"/>
      <c r="L966" s="44"/>
    </row>
    <row r="967">
      <c r="A967" s="48" t="s">
        <v>9882</v>
      </c>
      <c r="B967" s="48"/>
      <c r="C967" s="48" t="s">
        <v>14665</v>
      </c>
      <c r="D967" s="48"/>
      <c r="E967" s="48" t="s">
        <v>12518</v>
      </c>
      <c r="F967" s="64" t="s">
        <v>668</v>
      </c>
      <c r="G967" s="60" t="s">
        <v>96</v>
      </c>
      <c r="H967" s="88">
        <v>0.01645</v>
      </c>
      <c r="I967" s="49" t="s">
        <v>14666</v>
      </c>
      <c r="J967" s="49" t="s">
        <v>14667</v>
      </c>
      <c r="K967" s="44"/>
      <c r="L967" s="44"/>
    </row>
    <row r="968">
      <c r="A968" s="48" t="s">
        <v>9859</v>
      </c>
      <c r="B968" s="48"/>
      <c r="C968" s="48" t="s">
        <v>9860</v>
      </c>
      <c r="D968" s="48"/>
      <c r="E968" s="48" t="s">
        <v>13147</v>
      </c>
      <c r="F968" s="64" t="s">
        <v>11998</v>
      </c>
      <c r="G968" s="60" t="s">
        <v>96</v>
      </c>
      <c r="H968" s="88">
        <v>0.01642</v>
      </c>
      <c r="I968" s="49" t="s">
        <v>14668</v>
      </c>
      <c r="J968" s="49" t="s">
        <v>14669</v>
      </c>
      <c r="K968" s="44"/>
      <c r="L968" s="44"/>
    </row>
    <row r="969">
      <c r="A969" s="48" t="s">
        <v>9524</v>
      </c>
      <c r="B969" s="48"/>
      <c r="C969" s="64" t="s">
        <v>14670</v>
      </c>
      <c r="D969" s="48"/>
      <c r="E969" s="48" t="s">
        <v>11924</v>
      </c>
      <c r="F969" s="64" t="s">
        <v>622</v>
      </c>
      <c r="G969" s="60" t="s">
        <v>96</v>
      </c>
      <c r="H969" s="88">
        <v>0.0164</v>
      </c>
      <c r="I969" s="49" t="s">
        <v>14671</v>
      </c>
      <c r="J969" s="49" t="s">
        <v>14672</v>
      </c>
      <c r="K969" s="44"/>
      <c r="L969" s="44"/>
    </row>
    <row r="970">
      <c r="A970" s="48" t="s">
        <v>11680</v>
      </c>
      <c r="B970" s="48"/>
      <c r="C970" s="48" t="s">
        <v>11681</v>
      </c>
      <c r="D970" s="48"/>
      <c r="E970" s="48" t="s">
        <v>12409</v>
      </c>
      <c r="F970" s="64" t="s">
        <v>639</v>
      </c>
      <c r="G970" s="60" t="s">
        <v>96</v>
      </c>
      <c r="H970" s="88">
        <v>0.01624</v>
      </c>
      <c r="I970" s="49" t="s">
        <v>14673</v>
      </c>
      <c r="J970" s="49" t="s">
        <v>14674</v>
      </c>
      <c r="K970" s="44"/>
      <c r="L970" s="44"/>
    </row>
    <row r="971">
      <c r="A971" s="48" t="s">
        <v>11620</v>
      </c>
      <c r="B971" s="48"/>
      <c r="C971" s="64" t="s">
        <v>14675</v>
      </c>
      <c r="D971" s="48"/>
      <c r="E971" s="48" t="s">
        <v>13069</v>
      </c>
      <c r="F971" s="64" t="s">
        <v>622</v>
      </c>
      <c r="G971" s="60" t="s">
        <v>96</v>
      </c>
      <c r="H971" s="88">
        <v>0.01623</v>
      </c>
      <c r="I971" s="49" t="s">
        <v>14676</v>
      </c>
      <c r="J971" s="49" t="s">
        <v>14677</v>
      </c>
      <c r="K971" s="44"/>
      <c r="L971" s="44"/>
    </row>
    <row r="972">
      <c r="A972" s="48" t="s">
        <v>9904</v>
      </c>
      <c r="B972" s="48"/>
      <c r="C972" s="64" t="s">
        <v>14678</v>
      </c>
      <c r="D972" s="48"/>
      <c r="E972" s="48" t="s">
        <v>11959</v>
      </c>
      <c r="F972" s="64" t="s">
        <v>629</v>
      </c>
      <c r="G972" s="60" t="s">
        <v>96</v>
      </c>
      <c r="H972" s="88">
        <v>0.01614</v>
      </c>
      <c r="I972" s="49" t="s">
        <v>14679</v>
      </c>
      <c r="J972" s="49" t="s">
        <v>14680</v>
      </c>
      <c r="K972" s="44"/>
      <c r="L972" s="44"/>
    </row>
    <row r="973">
      <c r="A973" s="48" t="s">
        <v>9800</v>
      </c>
      <c r="B973" s="48"/>
      <c r="C973" s="48" t="s">
        <v>9801</v>
      </c>
      <c r="D973" s="48"/>
      <c r="E973" s="48" t="s">
        <v>13895</v>
      </c>
      <c r="F973" s="64" t="s">
        <v>645</v>
      </c>
      <c r="G973" s="60" t="s">
        <v>96</v>
      </c>
      <c r="H973" s="88">
        <v>0.01605</v>
      </c>
      <c r="I973" s="49" t="s">
        <v>14681</v>
      </c>
      <c r="J973" s="49" t="s">
        <v>14682</v>
      </c>
      <c r="K973" s="44"/>
      <c r="L973" s="44"/>
    </row>
    <row r="974">
      <c r="A974" s="48" t="s">
        <v>11634</v>
      </c>
      <c r="B974" s="48"/>
      <c r="C974" s="48" t="s">
        <v>11635</v>
      </c>
      <c r="D974" s="48"/>
      <c r="E974" s="48" t="s">
        <v>12437</v>
      </c>
      <c r="F974" s="64" t="s">
        <v>11998</v>
      </c>
      <c r="G974" s="60" t="s">
        <v>96</v>
      </c>
      <c r="H974" s="88">
        <v>0.01603</v>
      </c>
      <c r="I974" s="49" t="s">
        <v>14683</v>
      </c>
      <c r="J974" s="49" t="s">
        <v>14684</v>
      </c>
      <c r="K974" s="44"/>
      <c r="L974" s="44"/>
    </row>
    <row r="975">
      <c r="A975" s="48" t="s">
        <v>9925</v>
      </c>
      <c r="B975" s="48"/>
      <c r="C975" s="64" t="s">
        <v>14685</v>
      </c>
      <c r="D975" s="48"/>
      <c r="E975" s="48" t="s">
        <v>12116</v>
      </c>
      <c r="F975" s="64" t="s">
        <v>629</v>
      </c>
      <c r="G975" s="60" t="s">
        <v>96</v>
      </c>
      <c r="H975" s="88">
        <v>0.01595</v>
      </c>
      <c r="I975" s="49" t="s">
        <v>14686</v>
      </c>
      <c r="J975" s="49" t="s">
        <v>14687</v>
      </c>
      <c r="K975" s="44"/>
      <c r="L975" s="44"/>
    </row>
    <row r="976">
      <c r="A976" s="48" t="s">
        <v>4680</v>
      </c>
      <c r="B976" s="48"/>
      <c r="C976" s="64" t="s">
        <v>14688</v>
      </c>
      <c r="D976" s="48"/>
      <c r="E976" s="48" t="s">
        <v>12025</v>
      </c>
      <c r="F976" s="64" t="s">
        <v>622</v>
      </c>
      <c r="G976" s="60" t="s">
        <v>96</v>
      </c>
      <c r="H976" s="88">
        <v>0.01591</v>
      </c>
      <c r="I976" s="49" t="s">
        <v>14689</v>
      </c>
      <c r="J976" s="49" t="s">
        <v>14690</v>
      </c>
      <c r="K976" s="44"/>
      <c r="L976" s="44"/>
    </row>
    <row r="977">
      <c r="A977" s="48" t="s">
        <v>9833</v>
      </c>
      <c r="B977" s="48"/>
      <c r="C977" s="48" t="s">
        <v>9834</v>
      </c>
      <c r="D977" s="48"/>
      <c r="E977" s="48" t="s">
        <v>12352</v>
      </c>
      <c r="F977" s="64" t="s">
        <v>1740</v>
      </c>
      <c r="G977" s="60" t="s">
        <v>96</v>
      </c>
      <c r="H977" s="88">
        <v>0.0159</v>
      </c>
      <c r="I977" s="49" t="s">
        <v>14691</v>
      </c>
      <c r="J977" s="49" t="s">
        <v>14692</v>
      </c>
      <c r="K977" s="44"/>
      <c r="L977" s="44"/>
    </row>
    <row r="978">
      <c r="A978" s="48" t="s">
        <v>9938</v>
      </c>
      <c r="B978" s="48"/>
      <c r="C978" s="64" t="s">
        <v>14693</v>
      </c>
      <c r="D978" s="48"/>
      <c r="E978" s="48" t="s">
        <v>12777</v>
      </c>
      <c r="F978" s="64" t="s">
        <v>694</v>
      </c>
      <c r="G978" s="60" t="s">
        <v>96</v>
      </c>
      <c r="H978" s="88">
        <v>0.01589</v>
      </c>
      <c r="I978" s="49" t="s">
        <v>14694</v>
      </c>
      <c r="J978" s="49" t="s">
        <v>14695</v>
      </c>
      <c r="K978" s="44"/>
      <c r="L978" s="44"/>
    </row>
    <row r="979">
      <c r="A979" s="48" t="s">
        <v>9839</v>
      </c>
      <c r="B979" s="48"/>
      <c r="C979" s="64" t="s">
        <v>14696</v>
      </c>
      <c r="D979" s="48"/>
      <c r="E979" s="48" t="s">
        <v>14061</v>
      </c>
      <c r="F979" s="64" t="s">
        <v>822</v>
      </c>
      <c r="G979" s="60" t="s">
        <v>96</v>
      </c>
      <c r="H979" s="88">
        <v>0.01589</v>
      </c>
      <c r="I979" s="49" t="s">
        <v>14697</v>
      </c>
      <c r="J979" s="49" t="s">
        <v>14698</v>
      </c>
      <c r="K979" s="44"/>
      <c r="L979" s="44"/>
    </row>
    <row r="980">
      <c r="A980" s="48" t="s">
        <v>11551</v>
      </c>
      <c r="B980" s="48"/>
      <c r="C980" s="64" t="s">
        <v>14699</v>
      </c>
      <c r="D980" s="48"/>
      <c r="E980" s="48" t="s">
        <v>12123</v>
      </c>
      <c r="F980" s="64" t="s">
        <v>622</v>
      </c>
      <c r="G980" s="60" t="s">
        <v>96</v>
      </c>
      <c r="H980" s="88">
        <v>0.01585</v>
      </c>
      <c r="I980" s="49" t="s">
        <v>14700</v>
      </c>
      <c r="J980" s="49" t="s">
        <v>14701</v>
      </c>
      <c r="K980" s="44"/>
      <c r="L980" s="44"/>
    </row>
    <row r="981">
      <c r="A981" s="48" t="s">
        <v>11614</v>
      </c>
      <c r="B981" s="48"/>
      <c r="C981" s="64" t="s">
        <v>14702</v>
      </c>
      <c r="D981" s="48"/>
      <c r="E981" s="48" t="s">
        <v>12090</v>
      </c>
      <c r="F981" s="64" t="s">
        <v>622</v>
      </c>
      <c r="G981" s="60" t="s">
        <v>96</v>
      </c>
      <c r="H981" s="88">
        <v>0.01581</v>
      </c>
      <c r="I981" s="49" t="s">
        <v>14703</v>
      </c>
      <c r="J981" s="49" t="s">
        <v>14704</v>
      </c>
      <c r="K981" s="44"/>
      <c r="L981" s="44"/>
    </row>
    <row r="982">
      <c r="A982" s="48" t="s">
        <v>11592</v>
      </c>
      <c r="B982" s="48"/>
      <c r="C982" s="64" t="s">
        <v>14705</v>
      </c>
      <c r="D982" s="48"/>
      <c r="E982" s="48" t="s">
        <v>13069</v>
      </c>
      <c r="F982" s="64" t="s">
        <v>694</v>
      </c>
      <c r="G982" s="60" t="s">
        <v>96</v>
      </c>
      <c r="H982" s="88">
        <v>0.0158</v>
      </c>
      <c r="I982" s="49" t="s">
        <v>14706</v>
      </c>
      <c r="J982" s="49" t="s">
        <v>14707</v>
      </c>
      <c r="K982" s="44"/>
      <c r="L982" s="44"/>
    </row>
    <row r="983">
      <c r="A983" s="48" t="s">
        <v>5832</v>
      </c>
      <c r="B983" s="48"/>
      <c r="C983" s="64" t="s">
        <v>14708</v>
      </c>
      <c r="D983" s="48"/>
      <c r="E983" s="48" t="s">
        <v>12283</v>
      </c>
      <c r="F983" s="64" t="s">
        <v>622</v>
      </c>
      <c r="G983" s="60" t="s">
        <v>96</v>
      </c>
      <c r="H983" s="88">
        <v>0.01575</v>
      </c>
      <c r="I983" s="49" t="s">
        <v>14709</v>
      </c>
      <c r="J983" s="49" t="s">
        <v>14710</v>
      </c>
      <c r="K983" s="44"/>
      <c r="L983" s="44"/>
    </row>
    <row r="984">
      <c r="A984" s="48" t="s">
        <v>10060</v>
      </c>
      <c r="B984" s="48"/>
      <c r="C984" s="48" t="s">
        <v>10061</v>
      </c>
      <c r="D984" s="48"/>
      <c r="E984" s="48" t="s">
        <v>12283</v>
      </c>
      <c r="F984" s="64" t="s">
        <v>883</v>
      </c>
      <c r="G984" s="60" t="s">
        <v>96</v>
      </c>
      <c r="H984" s="88">
        <v>0.01575</v>
      </c>
      <c r="I984" s="49" t="s">
        <v>14711</v>
      </c>
      <c r="J984" s="49" t="s">
        <v>14712</v>
      </c>
      <c r="K984" s="44"/>
      <c r="L984" s="44"/>
    </row>
    <row r="985">
      <c r="A985" s="48" t="s">
        <v>11632</v>
      </c>
      <c r="B985" s="48"/>
      <c r="C985" s="48" t="s">
        <v>14713</v>
      </c>
      <c r="D985" s="48"/>
      <c r="E985" s="48" t="s">
        <v>12409</v>
      </c>
      <c r="F985" s="64" t="s">
        <v>622</v>
      </c>
      <c r="G985" s="60" t="s">
        <v>96</v>
      </c>
      <c r="H985" s="88">
        <v>0.0157</v>
      </c>
      <c r="I985" s="49" t="s">
        <v>14714</v>
      </c>
      <c r="J985" s="49" t="s">
        <v>14715</v>
      </c>
      <c r="K985" s="44"/>
      <c r="L985" s="44"/>
    </row>
    <row r="986">
      <c r="A986" s="48" t="s">
        <v>4661</v>
      </c>
      <c r="B986" s="48"/>
      <c r="C986" s="64" t="s">
        <v>14716</v>
      </c>
      <c r="D986" s="48"/>
      <c r="E986" s="48" t="s">
        <v>12090</v>
      </c>
      <c r="F986" s="64" t="s">
        <v>622</v>
      </c>
      <c r="G986" s="60" t="s">
        <v>96</v>
      </c>
      <c r="H986" s="88">
        <v>0.01569</v>
      </c>
      <c r="I986" s="49" t="s">
        <v>14717</v>
      </c>
      <c r="J986" s="49" t="s">
        <v>14718</v>
      </c>
      <c r="K986" s="44"/>
      <c r="L986" s="44"/>
    </row>
    <row r="987">
      <c r="A987" s="48" t="s">
        <v>5435</v>
      </c>
      <c r="B987" s="48"/>
      <c r="C987" s="64" t="s">
        <v>14719</v>
      </c>
      <c r="D987" s="48"/>
      <c r="E987" s="48" t="s">
        <v>12046</v>
      </c>
      <c r="F987" s="64" t="s">
        <v>2732</v>
      </c>
      <c r="G987" s="60" t="s">
        <v>96</v>
      </c>
      <c r="H987" s="88">
        <v>0.01568</v>
      </c>
      <c r="I987" s="49" t="s">
        <v>14720</v>
      </c>
      <c r="J987" s="49" t="s">
        <v>14721</v>
      </c>
      <c r="K987" s="44"/>
      <c r="L987" s="44"/>
    </row>
    <row r="988">
      <c r="A988" s="48" t="s">
        <v>9802</v>
      </c>
      <c r="B988" s="48"/>
      <c r="C988" s="48" t="s">
        <v>9803</v>
      </c>
      <c r="D988" s="48"/>
      <c r="E988" s="48" t="s">
        <v>11942</v>
      </c>
      <c r="F988" s="64" t="s">
        <v>1352</v>
      </c>
      <c r="G988" s="60" t="s">
        <v>96</v>
      </c>
      <c r="H988" s="88">
        <v>0.01566</v>
      </c>
      <c r="I988" s="49" t="s">
        <v>14722</v>
      </c>
      <c r="J988" s="49" t="s">
        <v>14723</v>
      </c>
      <c r="K988" s="44"/>
      <c r="L988" s="44"/>
    </row>
    <row r="989">
      <c r="A989" s="48" t="s">
        <v>11616</v>
      </c>
      <c r="B989" s="48"/>
      <c r="C989" s="64" t="s">
        <v>14724</v>
      </c>
      <c r="D989" s="48"/>
      <c r="E989" s="48" t="s">
        <v>12123</v>
      </c>
      <c r="F989" s="64" t="s">
        <v>622</v>
      </c>
      <c r="G989" s="60" t="s">
        <v>96</v>
      </c>
      <c r="H989" s="88">
        <v>0.01565</v>
      </c>
      <c r="I989" s="49" t="s">
        <v>14725</v>
      </c>
      <c r="J989" s="49" t="s">
        <v>14726</v>
      </c>
      <c r="K989" s="44"/>
      <c r="L989" s="44"/>
    </row>
    <row r="990">
      <c r="A990" s="48" t="s">
        <v>11644</v>
      </c>
      <c r="B990" s="48"/>
      <c r="C990" s="64" t="s">
        <v>14727</v>
      </c>
      <c r="D990" s="48"/>
      <c r="E990" s="48" t="s">
        <v>13710</v>
      </c>
      <c r="F990" s="64" t="s">
        <v>629</v>
      </c>
      <c r="G990" s="60" t="s">
        <v>96</v>
      </c>
      <c r="H990" s="88">
        <v>0.01563</v>
      </c>
      <c r="I990" s="49" t="s">
        <v>14728</v>
      </c>
      <c r="J990" s="49" t="s">
        <v>14729</v>
      </c>
      <c r="K990" s="44"/>
      <c r="L990" s="44"/>
    </row>
    <row r="991">
      <c r="A991" s="48" t="s">
        <v>9811</v>
      </c>
      <c r="B991" s="48"/>
      <c r="C991" s="48" t="s">
        <v>9812</v>
      </c>
      <c r="D991" s="48"/>
      <c r="E991" s="48" t="s">
        <v>5448</v>
      </c>
      <c r="F991" s="64" t="s">
        <v>1673</v>
      </c>
      <c r="G991" s="60" t="s">
        <v>96</v>
      </c>
      <c r="H991" s="88">
        <v>0.01562</v>
      </c>
      <c r="I991" s="49" t="s">
        <v>14730</v>
      </c>
      <c r="J991" s="49" t="s">
        <v>14731</v>
      </c>
      <c r="K991" s="44"/>
      <c r="L991" s="44"/>
    </row>
    <row r="992">
      <c r="A992" s="48" t="s">
        <v>6260</v>
      </c>
      <c r="B992" s="48"/>
      <c r="C992" s="64" t="s">
        <v>14732</v>
      </c>
      <c r="D992" s="48"/>
      <c r="E992" s="48" t="s">
        <v>12072</v>
      </c>
      <c r="F992" s="64" t="s">
        <v>694</v>
      </c>
      <c r="G992" s="60" t="s">
        <v>96</v>
      </c>
      <c r="H992" s="88">
        <v>0.01562</v>
      </c>
      <c r="I992" s="49" t="s">
        <v>14733</v>
      </c>
      <c r="J992" s="49" t="s">
        <v>14734</v>
      </c>
      <c r="K992" s="44"/>
      <c r="L992" s="44"/>
    </row>
    <row r="993">
      <c r="A993" s="48" t="s">
        <v>11651</v>
      </c>
      <c r="B993" s="48"/>
      <c r="C993" s="64" t="s">
        <v>14735</v>
      </c>
      <c r="D993" s="48"/>
      <c r="E993" s="48" t="s">
        <v>12209</v>
      </c>
      <c r="F993" s="64" t="s">
        <v>622</v>
      </c>
      <c r="G993" s="60" t="s">
        <v>96</v>
      </c>
      <c r="H993" s="88">
        <v>0.01559</v>
      </c>
      <c r="I993" s="49" t="s">
        <v>14736</v>
      </c>
      <c r="J993" s="49" t="s">
        <v>14737</v>
      </c>
      <c r="K993" s="44"/>
      <c r="L993" s="44"/>
    </row>
    <row r="994">
      <c r="A994" s="48" t="s">
        <v>9914</v>
      </c>
      <c r="B994" s="48"/>
      <c r="C994" s="48" t="s">
        <v>9915</v>
      </c>
      <c r="D994" s="48"/>
      <c r="E994" s="48" t="s">
        <v>12072</v>
      </c>
      <c r="F994" s="64" t="s">
        <v>686</v>
      </c>
      <c r="G994" s="60" t="s">
        <v>96</v>
      </c>
      <c r="H994" s="88">
        <v>0.01555</v>
      </c>
      <c r="I994" s="49" t="s">
        <v>14738</v>
      </c>
      <c r="J994" s="49" t="s">
        <v>14739</v>
      </c>
      <c r="K994" s="44"/>
      <c r="L994" s="44"/>
    </row>
    <row r="995">
      <c r="A995" s="48" t="s">
        <v>10121</v>
      </c>
      <c r="B995" s="48"/>
      <c r="C995" s="64" t="s">
        <v>14740</v>
      </c>
      <c r="D995" s="48"/>
      <c r="E995" s="48" t="s">
        <v>12046</v>
      </c>
      <c r="F995" s="64" t="s">
        <v>622</v>
      </c>
      <c r="G995" s="60" t="s">
        <v>96</v>
      </c>
      <c r="H995" s="88">
        <v>0.01549</v>
      </c>
      <c r="I995" s="49" t="s">
        <v>14741</v>
      </c>
      <c r="J995" s="49" t="s">
        <v>14742</v>
      </c>
      <c r="K995" s="44"/>
      <c r="L995" s="44"/>
    </row>
    <row r="996">
      <c r="A996" s="48" t="s">
        <v>9775</v>
      </c>
      <c r="B996" s="48"/>
      <c r="C996" s="48" t="s">
        <v>9776</v>
      </c>
      <c r="D996" s="48"/>
      <c r="E996" s="48" t="s">
        <v>12216</v>
      </c>
      <c r="F996" s="64" t="s">
        <v>11998</v>
      </c>
      <c r="G996" s="60" t="s">
        <v>96</v>
      </c>
      <c r="H996" s="88">
        <v>0.01548</v>
      </c>
      <c r="I996" s="49" t="s">
        <v>14743</v>
      </c>
      <c r="J996" s="49" t="s">
        <v>14744</v>
      </c>
      <c r="K996" s="44"/>
      <c r="L996" s="44"/>
    </row>
    <row r="997">
      <c r="A997" s="48" t="s">
        <v>11618</v>
      </c>
      <c r="B997" s="48"/>
      <c r="C997" s="64" t="s">
        <v>14745</v>
      </c>
      <c r="D997" s="48"/>
      <c r="E997" s="48" t="s">
        <v>5218</v>
      </c>
      <c r="F997" s="64" t="s">
        <v>679</v>
      </c>
      <c r="G997" s="60" t="s">
        <v>96</v>
      </c>
      <c r="H997" s="88">
        <v>0.01548</v>
      </c>
      <c r="I997" s="49" t="s">
        <v>14746</v>
      </c>
      <c r="J997" s="49" t="s">
        <v>14747</v>
      </c>
      <c r="K997" s="44"/>
      <c r="L997" s="44"/>
    </row>
    <row r="998">
      <c r="A998" s="48" t="s">
        <v>4658</v>
      </c>
      <c r="B998" s="48"/>
      <c r="C998" s="64" t="s">
        <v>14748</v>
      </c>
      <c r="D998" s="48"/>
      <c r="E998" s="48" t="s">
        <v>12559</v>
      </c>
      <c r="F998" s="64" t="s">
        <v>622</v>
      </c>
      <c r="G998" s="60" t="s">
        <v>96</v>
      </c>
      <c r="H998" s="88">
        <v>0.01543</v>
      </c>
      <c r="I998" s="49" t="s">
        <v>14749</v>
      </c>
      <c r="J998" s="49" t="s">
        <v>14750</v>
      </c>
      <c r="K998" s="44"/>
      <c r="L998" s="44"/>
    </row>
    <row r="999">
      <c r="A999" s="48" t="s">
        <v>9870</v>
      </c>
      <c r="B999" s="48"/>
      <c r="C999" s="48" t="s">
        <v>9871</v>
      </c>
      <c r="D999" s="48"/>
      <c r="E999" s="48" t="s">
        <v>5218</v>
      </c>
      <c r="F999" s="64" t="s">
        <v>622</v>
      </c>
      <c r="G999" s="60" t="s">
        <v>96</v>
      </c>
      <c r="H999" s="88">
        <v>0.01542</v>
      </c>
      <c r="I999" s="49" t="s">
        <v>14751</v>
      </c>
      <c r="J999" s="49" t="s">
        <v>14752</v>
      </c>
      <c r="K999" s="44"/>
      <c r="L999" s="44"/>
    </row>
    <row r="1000">
      <c r="A1000" s="48" t="s">
        <v>4678</v>
      </c>
      <c r="B1000" s="48"/>
      <c r="C1000" s="64" t="s">
        <v>14753</v>
      </c>
      <c r="D1000" s="48"/>
      <c r="E1000" s="48" t="s">
        <v>13324</v>
      </c>
      <c r="F1000" s="64" t="s">
        <v>622</v>
      </c>
      <c r="G1000" s="60" t="s">
        <v>96</v>
      </c>
      <c r="H1000" s="88">
        <v>0.01541</v>
      </c>
      <c r="I1000" s="49" t="s">
        <v>14754</v>
      </c>
      <c r="J1000" s="49" t="s">
        <v>14755</v>
      </c>
      <c r="K1000" s="44"/>
      <c r="L1000" s="44"/>
    </row>
    <row r="1001">
      <c r="A1001" s="48" t="s">
        <v>9987</v>
      </c>
      <c r="B1001" s="48"/>
      <c r="C1001" s="48" t="s">
        <v>14756</v>
      </c>
      <c r="D1001" s="48"/>
      <c r="E1001" s="48" t="s">
        <v>12025</v>
      </c>
      <c r="F1001" s="64" t="s">
        <v>649</v>
      </c>
      <c r="G1001" s="60" t="s">
        <v>96</v>
      </c>
      <c r="H1001" s="88">
        <v>0.01541</v>
      </c>
      <c r="I1001" s="49" t="s">
        <v>14757</v>
      </c>
      <c r="J1001" s="49" t="s">
        <v>14758</v>
      </c>
      <c r="K1001" s="44"/>
      <c r="L1001" s="44"/>
    </row>
    <row r="1002">
      <c r="A1002" s="48" t="s">
        <v>9874</v>
      </c>
      <c r="B1002" s="48"/>
      <c r="C1002" s="64" t="s">
        <v>14759</v>
      </c>
      <c r="D1002" s="48"/>
      <c r="E1002" s="48" t="s">
        <v>12163</v>
      </c>
      <c r="F1002" s="64" t="s">
        <v>694</v>
      </c>
      <c r="G1002" s="60" t="s">
        <v>96</v>
      </c>
      <c r="H1002" s="88">
        <v>0.0154</v>
      </c>
      <c r="I1002" s="49" t="s">
        <v>14760</v>
      </c>
      <c r="J1002" s="49" t="s">
        <v>14761</v>
      </c>
      <c r="K1002" s="44"/>
      <c r="L1002" s="44"/>
    </row>
    <row r="1003">
      <c r="A1003" s="48" t="s">
        <v>9735</v>
      </c>
      <c r="B1003" s="48"/>
      <c r="C1003" s="48" t="s">
        <v>9736</v>
      </c>
      <c r="D1003" s="48"/>
      <c r="E1003" s="48" t="s">
        <v>12163</v>
      </c>
      <c r="F1003" s="64" t="s">
        <v>668</v>
      </c>
      <c r="G1003" s="60" t="s">
        <v>96</v>
      </c>
      <c r="H1003" s="88">
        <v>0.01538</v>
      </c>
      <c r="I1003" s="49" t="s">
        <v>14762</v>
      </c>
      <c r="J1003" s="49" t="s">
        <v>14763</v>
      </c>
      <c r="K1003" s="44"/>
      <c r="L1003" s="44"/>
    </row>
    <row r="1004">
      <c r="A1004" s="48" t="s">
        <v>9842</v>
      </c>
      <c r="B1004" s="48"/>
      <c r="C1004" s="64" t="s">
        <v>14764</v>
      </c>
      <c r="D1004" s="48"/>
      <c r="E1004" s="48" t="s">
        <v>5756</v>
      </c>
      <c r="F1004" s="64" t="s">
        <v>629</v>
      </c>
      <c r="G1004" s="60" t="s">
        <v>96</v>
      </c>
      <c r="H1004" s="88">
        <v>0.01534</v>
      </c>
      <c r="I1004" s="49" t="s">
        <v>14765</v>
      </c>
      <c r="J1004" s="49" t="s">
        <v>14766</v>
      </c>
      <c r="K1004" s="44"/>
      <c r="L1004" s="44"/>
    </row>
    <row r="1005">
      <c r="A1005" s="48" t="s">
        <v>9819</v>
      </c>
      <c r="B1005" s="48"/>
      <c r="C1005" s="48" t="s">
        <v>9820</v>
      </c>
      <c r="D1005" s="48"/>
      <c r="E1005" s="48" t="s">
        <v>11959</v>
      </c>
      <c r="F1005" s="64" t="s">
        <v>11998</v>
      </c>
      <c r="G1005" s="60" t="s">
        <v>96</v>
      </c>
      <c r="H1005" s="88">
        <v>0.01533</v>
      </c>
      <c r="I1005" s="49" t="s">
        <v>14767</v>
      </c>
      <c r="J1005" s="49" t="s">
        <v>14768</v>
      </c>
      <c r="K1005" s="44"/>
      <c r="L1005" s="44"/>
    </row>
    <row r="1006">
      <c r="A1006" s="48" t="s">
        <v>10242</v>
      </c>
      <c r="B1006" s="48"/>
      <c r="C1006" s="48" t="s">
        <v>14769</v>
      </c>
      <c r="D1006" s="48"/>
      <c r="E1006" s="48" t="s">
        <v>11991</v>
      </c>
      <c r="F1006" s="64" t="s">
        <v>645</v>
      </c>
      <c r="G1006" s="60" t="s">
        <v>96</v>
      </c>
      <c r="H1006" s="88">
        <v>0.0153</v>
      </c>
      <c r="I1006" s="49" t="s">
        <v>14770</v>
      </c>
      <c r="J1006" s="49" t="s">
        <v>14771</v>
      </c>
      <c r="K1006" s="44"/>
      <c r="L1006" s="44"/>
    </row>
    <row r="1007">
      <c r="A1007" s="48" t="s">
        <v>9957</v>
      </c>
      <c r="B1007" s="48"/>
      <c r="C1007" s="48" t="s">
        <v>14772</v>
      </c>
      <c r="D1007" s="48"/>
      <c r="E1007" s="48" t="s">
        <v>14773</v>
      </c>
      <c r="F1007" s="64" t="s">
        <v>1740</v>
      </c>
      <c r="G1007" s="60" t="s">
        <v>96</v>
      </c>
      <c r="H1007" s="88">
        <v>0.01525</v>
      </c>
      <c r="I1007" s="49" t="s">
        <v>14774</v>
      </c>
      <c r="J1007" s="49" t="s">
        <v>14775</v>
      </c>
      <c r="K1007" s="44"/>
      <c r="L1007" s="44"/>
    </row>
    <row r="1008">
      <c r="A1008" s="48" t="s">
        <v>9791</v>
      </c>
      <c r="B1008" s="48"/>
      <c r="C1008" s="64" t="s">
        <v>14776</v>
      </c>
      <c r="D1008" s="48"/>
      <c r="E1008" s="48" t="s">
        <v>12196</v>
      </c>
      <c r="F1008" s="64" t="s">
        <v>622</v>
      </c>
      <c r="G1008" s="60" t="s">
        <v>96</v>
      </c>
      <c r="H1008" s="88">
        <v>0.01524</v>
      </c>
      <c r="I1008" s="49" t="s">
        <v>14777</v>
      </c>
      <c r="J1008" s="49" t="s">
        <v>14778</v>
      </c>
      <c r="K1008" s="44"/>
      <c r="L1008" s="44"/>
    </row>
    <row r="1009">
      <c r="A1009" s="48" t="s">
        <v>11623</v>
      </c>
      <c r="B1009" s="48"/>
      <c r="C1009" s="48" t="s">
        <v>9557</v>
      </c>
      <c r="D1009" s="48"/>
      <c r="E1009" s="48" t="s">
        <v>12356</v>
      </c>
      <c r="F1009" s="64" t="s">
        <v>645</v>
      </c>
      <c r="G1009" s="60" t="s">
        <v>96</v>
      </c>
      <c r="H1009" s="88">
        <v>0.0151</v>
      </c>
      <c r="I1009" s="49" t="s">
        <v>14779</v>
      </c>
      <c r="J1009" s="49" t="s">
        <v>14780</v>
      </c>
      <c r="K1009" s="44"/>
      <c r="L1009" s="44"/>
    </row>
    <row r="1010">
      <c r="A1010" s="48" t="s">
        <v>11636</v>
      </c>
      <c r="B1010" s="48"/>
      <c r="C1010" s="64" t="s">
        <v>14781</v>
      </c>
      <c r="D1010" s="48"/>
      <c r="E1010" s="48" t="s">
        <v>12078</v>
      </c>
      <c r="F1010" s="64" t="s">
        <v>629</v>
      </c>
      <c r="G1010" s="60" t="s">
        <v>96</v>
      </c>
      <c r="H1010" s="88">
        <v>0.0151</v>
      </c>
      <c r="I1010" s="49" t="s">
        <v>14782</v>
      </c>
      <c r="J1010" s="49" t="s">
        <v>14783</v>
      </c>
      <c r="K1010" s="44"/>
      <c r="L1010" s="44"/>
    </row>
    <row r="1011">
      <c r="A1011" s="48" t="s">
        <v>11642</v>
      </c>
      <c r="B1011" s="48"/>
      <c r="C1011" s="64" t="s">
        <v>14784</v>
      </c>
      <c r="D1011" s="48"/>
      <c r="E1011" s="48" t="s">
        <v>12123</v>
      </c>
      <c r="F1011" s="64" t="s">
        <v>622</v>
      </c>
      <c r="G1011" s="60" t="s">
        <v>96</v>
      </c>
      <c r="H1011" s="88">
        <v>0.01507</v>
      </c>
      <c r="I1011" s="49" t="s">
        <v>14785</v>
      </c>
      <c r="J1011" s="49" t="s">
        <v>14786</v>
      </c>
      <c r="K1011" s="44"/>
      <c r="L1011" s="44"/>
    </row>
    <row r="1012">
      <c r="A1012" s="48" t="s">
        <v>9822</v>
      </c>
      <c r="B1012" s="48"/>
      <c r="C1012" s="64" t="s">
        <v>14787</v>
      </c>
      <c r="D1012" s="48"/>
      <c r="E1012" s="48" t="s">
        <v>12559</v>
      </c>
      <c r="F1012" s="64" t="s">
        <v>622</v>
      </c>
      <c r="G1012" s="60" t="s">
        <v>96</v>
      </c>
      <c r="H1012" s="88">
        <v>0.01505</v>
      </c>
      <c r="I1012" s="49" t="s">
        <v>14788</v>
      </c>
      <c r="J1012" s="49" t="s">
        <v>14789</v>
      </c>
      <c r="K1012" s="44"/>
      <c r="L1012" s="44"/>
    </row>
    <row r="1013">
      <c r="A1013" s="48" t="s">
        <v>4698</v>
      </c>
      <c r="B1013" s="48"/>
      <c r="C1013" s="48" t="s">
        <v>14790</v>
      </c>
      <c r="D1013" s="48"/>
      <c r="E1013" s="48" t="s">
        <v>14458</v>
      </c>
      <c r="F1013" s="64" t="s">
        <v>622</v>
      </c>
      <c r="G1013" s="60" t="s">
        <v>96</v>
      </c>
      <c r="H1013" s="88">
        <v>0.01505</v>
      </c>
      <c r="I1013" s="49" t="s">
        <v>14791</v>
      </c>
      <c r="J1013" s="49" t="s">
        <v>14792</v>
      </c>
      <c r="K1013" s="44"/>
      <c r="L1013" s="44"/>
    </row>
    <row r="1014">
      <c r="A1014" s="48" t="s">
        <v>11663</v>
      </c>
      <c r="B1014" s="48"/>
      <c r="C1014" s="64" t="s">
        <v>14793</v>
      </c>
      <c r="D1014" s="48"/>
      <c r="E1014" s="48" t="s">
        <v>12078</v>
      </c>
      <c r="F1014" s="64" t="s">
        <v>629</v>
      </c>
      <c r="G1014" s="60" t="s">
        <v>96</v>
      </c>
      <c r="H1014" s="88">
        <v>0.01502</v>
      </c>
      <c r="I1014" s="49" t="s">
        <v>14794</v>
      </c>
      <c r="J1014" s="49" t="s">
        <v>14795</v>
      </c>
      <c r="K1014" s="44"/>
      <c r="L1014" s="44"/>
    </row>
    <row r="1015">
      <c r="A1015" s="48" t="s">
        <v>9900</v>
      </c>
      <c r="B1015" s="48"/>
      <c r="C1015" s="48" t="s">
        <v>9901</v>
      </c>
      <c r="D1015" s="48"/>
      <c r="E1015" s="48" t="s">
        <v>5291</v>
      </c>
      <c r="F1015" s="64" t="s">
        <v>738</v>
      </c>
      <c r="G1015" s="60" t="s">
        <v>96</v>
      </c>
      <c r="H1015" s="88">
        <v>0.01501</v>
      </c>
      <c r="I1015" s="49" t="s">
        <v>14796</v>
      </c>
      <c r="J1015" s="49" t="s">
        <v>14797</v>
      </c>
      <c r="K1015" s="44"/>
      <c r="L1015" s="44"/>
    </row>
    <row r="1016">
      <c r="A1016" s="48" t="s">
        <v>9863</v>
      </c>
      <c r="B1016" s="48"/>
      <c r="C1016" s="48" t="s">
        <v>14798</v>
      </c>
      <c r="D1016" s="48"/>
      <c r="E1016" s="48" t="s">
        <v>12660</v>
      </c>
      <c r="F1016" s="64" t="s">
        <v>1374</v>
      </c>
      <c r="G1016" s="60" t="s">
        <v>96</v>
      </c>
      <c r="H1016" s="88">
        <v>0.01499</v>
      </c>
      <c r="I1016" s="49" t="s">
        <v>14799</v>
      </c>
      <c r="J1016" s="49" t="s">
        <v>14800</v>
      </c>
      <c r="K1016" s="44"/>
      <c r="L1016" s="44"/>
    </row>
    <row r="1017">
      <c r="A1017" s="48" t="s">
        <v>11355</v>
      </c>
      <c r="B1017" s="48"/>
      <c r="C1017" s="48" t="s">
        <v>11356</v>
      </c>
      <c r="D1017" s="48"/>
      <c r="E1017" s="48" t="s">
        <v>13231</v>
      </c>
      <c r="F1017" s="64" t="s">
        <v>1666</v>
      </c>
      <c r="G1017" s="60" t="s">
        <v>96</v>
      </c>
      <c r="H1017" s="88">
        <v>0.01498</v>
      </c>
      <c r="I1017" s="49" t="s">
        <v>14801</v>
      </c>
      <c r="J1017" s="49" t="s">
        <v>14802</v>
      </c>
      <c r="K1017" s="44"/>
      <c r="L1017" s="44"/>
    </row>
    <row r="1018">
      <c r="A1018" s="48" t="s">
        <v>11666</v>
      </c>
      <c r="B1018" s="48"/>
      <c r="C1018" s="64" t="s">
        <v>14803</v>
      </c>
      <c r="D1018" s="48"/>
      <c r="E1018" s="48" t="s">
        <v>12105</v>
      </c>
      <c r="F1018" s="64" t="s">
        <v>822</v>
      </c>
      <c r="G1018" s="60" t="s">
        <v>96</v>
      </c>
      <c r="H1018" s="88">
        <v>0.01495</v>
      </c>
      <c r="I1018" s="49" t="s">
        <v>14804</v>
      </c>
      <c r="J1018" s="49" t="s">
        <v>14805</v>
      </c>
      <c r="K1018" s="44"/>
      <c r="L1018" s="44"/>
    </row>
    <row r="1019">
      <c r="A1019" s="48" t="s">
        <v>9678</v>
      </c>
      <c r="B1019" s="48"/>
      <c r="C1019" s="64" t="s">
        <v>14806</v>
      </c>
      <c r="D1019" s="48"/>
      <c r="E1019" s="48" t="s">
        <v>13231</v>
      </c>
      <c r="F1019" s="64" t="s">
        <v>822</v>
      </c>
      <c r="G1019" s="60" t="s">
        <v>96</v>
      </c>
      <c r="H1019" s="88">
        <v>0.01492</v>
      </c>
      <c r="I1019" s="49" t="s">
        <v>14807</v>
      </c>
      <c r="J1019" s="49" t="s">
        <v>14808</v>
      </c>
      <c r="K1019" s="44"/>
      <c r="L1019" s="44"/>
    </row>
    <row r="1020">
      <c r="A1020" s="48" t="s">
        <v>9784</v>
      </c>
      <c r="B1020" s="48"/>
      <c r="C1020" s="64" t="s">
        <v>14809</v>
      </c>
      <c r="D1020" s="48"/>
      <c r="E1020" s="48" t="s">
        <v>13310</v>
      </c>
      <c r="F1020" s="64" t="s">
        <v>622</v>
      </c>
      <c r="G1020" s="60" t="s">
        <v>96</v>
      </c>
      <c r="H1020" s="88">
        <v>0.01489</v>
      </c>
      <c r="I1020" s="49" t="s">
        <v>14810</v>
      </c>
      <c r="J1020" s="49" t="s">
        <v>14811</v>
      </c>
      <c r="K1020" s="44"/>
      <c r="L1020" s="44"/>
    </row>
    <row r="1021">
      <c r="A1021" s="48" t="s">
        <v>4651</v>
      </c>
      <c r="B1021" s="48"/>
      <c r="C1021" s="64" t="s">
        <v>14812</v>
      </c>
      <c r="D1021" s="48"/>
      <c r="E1021" s="48" t="s">
        <v>13956</v>
      </c>
      <c r="F1021" s="64" t="s">
        <v>622</v>
      </c>
      <c r="G1021" s="60" t="s">
        <v>96</v>
      </c>
      <c r="H1021" s="88">
        <v>0.01486</v>
      </c>
      <c r="I1021" s="49" t="s">
        <v>14813</v>
      </c>
      <c r="J1021" s="49" t="s">
        <v>14814</v>
      </c>
      <c r="K1021" s="44"/>
      <c r="L1021" s="44"/>
    </row>
    <row r="1022">
      <c r="A1022" s="48" t="s">
        <v>9748</v>
      </c>
      <c r="B1022" s="48"/>
      <c r="C1022" s="48" t="s">
        <v>9749</v>
      </c>
      <c r="D1022" s="48"/>
      <c r="E1022" s="48" t="s">
        <v>11932</v>
      </c>
      <c r="F1022" s="64" t="s">
        <v>1374</v>
      </c>
      <c r="G1022" s="60" t="s">
        <v>96</v>
      </c>
      <c r="H1022" s="88">
        <v>0.01486</v>
      </c>
      <c r="I1022" s="49" t="s">
        <v>14815</v>
      </c>
      <c r="J1022" s="49" t="s">
        <v>14816</v>
      </c>
      <c r="K1022" s="44"/>
      <c r="L1022" s="44"/>
    </row>
    <row r="1023">
      <c r="A1023" s="48" t="s">
        <v>4649</v>
      </c>
      <c r="B1023" s="48"/>
      <c r="C1023" s="64" t="s">
        <v>14817</v>
      </c>
      <c r="D1023" s="48"/>
      <c r="E1023" s="48" t="s">
        <v>12078</v>
      </c>
      <c r="F1023" s="64" t="s">
        <v>622</v>
      </c>
      <c r="G1023" s="60" t="s">
        <v>96</v>
      </c>
      <c r="H1023" s="88">
        <v>0.01471</v>
      </c>
      <c r="I1023" s="49" t="s">
        <v>14818</v>
      </c>
      <c r="J1023" s="49" t="s">
        <v>14819</v>
      </c>
      <c r="K1023" s="44"/>
      <c r="L1023" s="44"/>
    </row>
    <row r="1024">
      <c r="A1024" s="48" t="s">
        <v>4685</v>
      </c>
      <c r="B1024" s="48"/>
      <c r="C1024" s="64" t="s">
        <v>14820</v>
      </c>
      <c r="D1024" s="48"/>
      <c r="E1024" s="48" t="s">
        <v>12501</v>
      </c>
      <c r="F1024" s="64" t="s">
        <v>622</v>
      </c>
      <c r="G1024" s="60" t="s">
        <v>96</v>
      </c>
      <c r="H1024" s="88">
        <v>0.01469</v>
      </c>
      <c r="I1024" s="49" t="s">
        <v>14821</v>
      </c>
      <c r="J1024" s="49" t="s">
        <v>14822</v>
      </c>
      <c r="K1024" s="44"/>
      <c r="L1024" s="44"/>
    </row>
    <row r="1025">
      <c r="A1025" s="48" t="s">
        <v>11686</v>
      </c>
      <c r="B1025" s="48"/>
      <c r="C1025" s="64" t="s">
        <v>14823</v>
      </c>
      <c r="D1025" s="48"/>
      <c r="E1025" s="48" t="s">
        <v>12078</v>
      </c>
      <c r="F1025" s="64" t="s">
        <v>822</v>
      </c>
      <c r="G1025" s="60" t="s">
        <v>96</v>
      </c>
      <c r="H1025" s="88">
        <v>0.01467</v>
      </c>
      <c r="I1025" s="49" t="s">
        <v>14824</v>
      </c>
      <c r="J1025" s="49" t="s">
        <v>14825</v>
      </c>
      <c r="K1025" s="44"/>
      <c r="L1025" s="44"/>
    </row>
    <row r="1026">
      <c r="A1026" s="48" t="s">
        <v>11610</v>
      </c>
      <c r="B1026" s="48"/>
      <c r="C1026" s="64" t="s">
        <v>14826</v>
      </c>
      <c r="D1026" s="48"/>
      <c r="E1026" s="48" t="s">
        <v>12123</v>
      </c>
      <c r="F1026" s="64" t="s">
        <v>694</v>
      </c>
      <c r="G1026" s="60" t="s">
        <v>96</v>
      </c>
      <c r="H1026" s="88">
        <v>0.01459</v>
      </c>
      <c r="I1026" s="49" t="s">
        <v>14827</v>
      </c>
      <c r="J1026" s="49" t="s">
        <v>14828</v>
      </c>
      <c r="K1026" s="44"/>
      <c r="L1026" s="44"/>
    </row>
    <row r="1027">
      <c r="A1027" s="48" t="s">
        <v>11646</v>
      </c>
      <c r="B1027" s="48"/>
      <c r="C1027" s="64" t="s">
        <v>14829</v>
      </c>
      <c r="D1027" s="48"/>
      <c r="E1027" s="48" t="s">
        <v>12352</v>
      </c>
      <c r="F1027" s="64" t="s">
        <v>629</v>
      </c>
      <c r="G1027" s="60" t="s">
        <v>96</v>
      </c>
      <c r="H1027" s="88">
        <v>0.01455</v>
      </c>
      <c r="I1027" s="49" t="s">
        <v>14830</v>
      </c>
      <c r="J1027" s="49" t="s">
        <v>14831</v>
      </c>
      <c r="K1027" s="44"/>
      <c r="L1027" s="44"/>
    </row>
    <row r="1028">
      <c r="A1028" s="48" t="s">
        <v>9909</v>
      </c>
      <c r="B1028" s="48"/>
      <c r="C1028" s="48" t="s">
        <v>9910</v>
      </c>
      <c r="D1028" s="48"/>
      <c r="E1028" s="48" t="s">
        <v>6012</v>
      </c>
      <c r="F1028" s="64" t="s">
        <v>883</v>
      </c>
      <c r="G1028" s="60" t="s">
        <v>96</v>
      </c>
      <c r="H1028" s="88">
        <v>0.01454</v>
      </c>
      <c r="I1028" s="49" t="s">
        <v>14832</v>
      </c>
      <c r="J1028" s="49" t="s">
        <v>14833</v>
      </c>
      <c r="K1028" s="44"/>
      <c r="L1028" s="44"/>
    </row>
    <row r="1029">
      <c r="A1029" s="48" t="s">
        <v>9777</v>
      </c>
      <c r="B1029" s="48"/>
      <c r="C1029" s="48" t="s">
        <v>9778</v>
      </c>
      <c r="D1029" s="48"/>
      <c r="E1029" s="48" t="s">
        <v>6012</v>
      </c>
      <c r="F1029" s="64" t="s">
        <v>649</v>
      </c>
      <c r="G1029" s="60" t="s">
        <v>96</v>
      </c>
      <c r="H1029" s="88">
        <v>0.0145</v>
      </c>
      <c r="I1029" s="49" t="s">
        <v>14834</v>
      </c>
      <c r="J1029" s="49" t="s">
        <v>14835</v>
      </c>
      <c r="K1029" s="44"/>
      <c r="L1029" s="44"/>
    </row>
    <row r="1030">
      <c r="A1030" s="48" t="s">
        <v>9902</v>
      </c>
      <c r="B1030" s="48"/>
      <c r="C1030" s="64" t="s">
        <v>14836</v>
      </c>
      <c r="D1030" s="48"/>
      <c r="E1030" s="48" t="s">
        <v>5650</v>
      </c>
      <c r="F1030" s="64" t="s">
        <v>629</v>
      </c>
      <c r="G1030" s="60" t="s">
        <v>96</v>
      </c>
      <c r="H1030" s="88">
        <v>0.01441</v>
      </c>
      <c r="I1030" s="49" t="s">
        <v>14837</v>
      </c>
      <c r="J1030" s="49" t="s">
        <v>14838</v>
      </c>
      <c r="K1030" s="44"/>
      <c r="L1030" s="44"/>
    </row>
    <row r="1031">
      <c r="A1031" s="48" t="s">
        <v>9853</v>
      </c>
      <c r="B1031" s="48"/>
      <c r="C1031" s="64" t="s">
        <v>14839</v>
      </c>
      <c r="D1031" s="48"/>
      <c r="E1031" s="48" t="s">
        <v>12895</v>
      </c>
      <c r="F1031" s="64" t="s">
        <v>629</v>
      </c>
      <c r="G1031" s="60" t="s">
        <v>96</v>
      </c>
      <c r="H1031" s="88">
        <v>0.0144</v>
      </c>
      <c r="I1031" s="49" t="s">
        <v>14840</v>
      </c>
      <c r="J1031" s="49" t="s">
        <v>14841</v>
      </c>
      <c r="K1031" s="44"/>
      <c r="L1031" s="44"/>
    </row>
    <row r="1032">
      <c r="A1032" s="48" t="s">
        <v>9769</v>
      </c>
      <c r="B1032" s="48"/>
      <c r="C1032" s="64" t="s">
        <v>14842</v>
      </c>
      <c r="D1032" s="48"/>
      <c r="E1032" s="48" t="s">
        <v>14843</v>
      </c>
      <c r="F1032" s="64" t="s">
        <v>629</v>
      </c>
      <c r="G1032" s="60" t="s">
        <v>96</v>
      </c>
      <c r="H1032" s="88">
        <v>0.0144</v>
      </c>
      <c r="I1032" s="49" t="s">
        <v>14844</v>
      </c>
      <c r="J1032" s="49" t="s">
        <v>14845</v>
      </c>
      <c r="K1032" s="44"/>
      <c r="L1032" s="44"/>
    </row>
    <row r="1033">
      <c r="A1033" s="48" t="s">
        <v>9664</v>
      </c>
      <c r="B1033" s="48"/>
      <c r="C1033" s="64" t="s">
        <v>14846</v>
      </c>
      <c r="D1033" s="48"/>
      <c r="E1033" s="48" t="s">
        <v>12090</v>
      </c>
      <c r="F1033" s="64" t="s">
        <v>622</v>
      </c>
      <c r="G1033" s="60" t="s">
        <v>96</v>
      </c>
      <c r="H1033" s="88">
        <v>0.01438</v>
      </c>
      <c r="I1033" s="49" t="s">
        <v>14847</v>
      </c>
      <c r="J1033" s="49" t="s">
        <v>14848</v>
      </c>
      <c r="K1033" s="44"/>
      <c r="L1033" s="44"/>
    </row>
    <row r="1034">
      <c r="A1034" s="48" t="s">
        <v>9846</v>
      </c>
      <c r="B1034" s="48"/>
      <c r="C1034" s="48" t="s">
        <v>9847</v>
      </c>
      <c r="D1034" s="48"/>
      <c r="E1034" s="48" t="s">
        <v>13757</v>
      </c>
      <c r="F1034" s="64" t="s">
        <v>11998</v>
      </c>
      <c r="G1034" s="60" t="s">
        <v>96</v>
      </c>
      <c r="H1034" s="88">
        <v>0.01437</v>
      </c>
      <c r="I1034" s="49" t="s">
        <v>14849</v>
      </c>
      <c r="J1034" s="49" t="s">
        <v>14850</v>
      </c>
      <c r="K1034" s="44"/>
      <c r="L1034" s="44"/>
    </row>
    <row r="1035">
      <c r="A1035" s="48" t="s">
        <v>9964</v>
      </c>
      <c r="B1035" s="48"/>
      <c r="C1035" s="48" t="s">
        <v>9965</v>
      </c>
      <c r="D1035" s="48"/>
      <c r="E1035" s="48" t="s">
        <v>12205</v>
      </c>
      <c r="F1035" s="64" t="s">
        <v>11998</v>
      </c>
      <c r="G1035" s="60" t="s">
        <v>96</v>
      </c>
      <c r="H1035" s="88">
        <v>0.01427</v>
      </c>
      <c r="I1035" s="49" t="s">
        <v>14851</v>
      </c>
      <c r="J1035" s="49" t="s">
        <v>14852</v>
      </c>
      <c r="K1035" s="44"/>
      <c r="L1035" s="44"/>
    </row>
    <row r="1036">
      <c r="A1036" s="48" t="s">
        <v>9844</v>
      </c>
      <c r="B1036" s="48"/>
      <c r="C1036" s="48" t="s">
        <v>9845</v>
      </c>
      <c r="D1036" s="48"/>
      <c r="E1036" s="48" t="s">
        <v>13171</v>
      </c>
      <c r="F1036" s="64" t="s">
        <v>649</v>
      </c>
      <c r="G1036" s="60" t="s">
        <v>96</v>
      </c>
      <c r="H1036" s="88">
        <v>0.01426</v>
      </c>
      <c r="I1036" s="49" t="s">
        <v>14853</v>
      </c>
      <c r="J1036" s="49" t="s">
        <v>14854</v>
      </c>
      <c r="K1036" s="44"/>
      <c r="L1036" s="44"/>
    </row>
    <row r="1037">
      <c r="A1037" s="48" t="s">
        <v>9898</v>
      </c>
      <c r="B1037" s="48"/>
      <c r="C1037" s="64" t="s">
        <v>14855</v>
      </c>
      <c r="D1037" s="48"/>
      <c r="E1037" s="48" t="s">
        <v>12136</v>
      </c>
      <c r="F1037" s="64" t="s">
        <v>629</v>
      </c>
      <c r="G1037" s="60" t="s">
        <v>96</v>
      </c>
      <c r="H1037" s="88">
        <v>0.01415</v>
      </c>
      <c r="I1037" s="49" t="s">
        <v>14856</v>
      </c>
      <c r="J1037" s="49" t="s">
        <v>14857</v>
      </c>
      <c r="K1037" s="44"/>
      <c r="L1037" s="44"/>
    </row>
    <row r="1038">
      <c r="A1038" s="48" t="s">
        <v>9743</v>
      </c>
      <c r="B1038" s="48"/>
      <c r="C1038" s="64" t="s">
        <v>14858</v>
      </c>
      <c r="D1038" s="48"/>
      <c r="E1038" s="48" t="s">
        <v>13574</v>
      </c>
      <c r="F1038" s="64" t="s">
        <v>629</v>
      </c>
      <c r="G1038" s="60" t="s">
        <v>96</v>
      </c>
      <c r="H1038" s="88">
        <v>0.01414</v>
      </c>
      <c r="I1038" s="49" t="s">
        <v>14859</v>
      </c>
      <c r="J1038" s="49" t="s">
        <v>14860</v>
      </c>
      <c r="K1038" s="44"/>
      <c r="L1038" s="44"/>
    </row>
    <row r="1039">
      <c r="A1039" s="48" t="s">
        <v>9757</v>
      </c>
      <c r="B1039" s="48"/>
      <c r="C1039" s="64" t="s">
        <v>14861</v>
      </c>
      <c r="D1039" s="48"/>
      <c r="E1039" s="48" t="s">
        <v>11956</v>
      </c>
      <c r="F1039" s="64" t="s">
        <v>649</v>
      </c>
      <c r="G1039" s="60" t="s">
        <v>96</v>
      </c>
      <c r="H1039" s="88">
        <v>0.01408</v>
      </c>
      <c r="I1039" s="49" t="s">
        <v>14862</v>
      </c>
      <c r="J1039" s="49" t="s">
        <v>14863</v>
      </c>
      <c r="K1039" s="44"/>
      <c r="L1039" s="44"/>
    </row>
    <row r="1040">
      <c r="A1040" s="48" t="s">
        <v>4652</v>
      </c>
      <c r="B1040" s="48"/>
      <c r="C1040" s="64" t="s">
        <v>14864</v>
      </c>
      <c r="D1040" s="48"/>
      <c r="E1040" s="48" t="s">
        <v>5341</v>
      </c>
      <c r="F1040" s="64" t="s">
        <v>622</v>
      </c>
      <c r="G1040" s="60" t="s">
        <v>96</v>
      </c>
      <c r="H1040" s="88">
        <v>0.01405</v>
      </c>
      <c r="I1040" s="49" t="s">
        <v>14865</v>
      </c>
      <c r="J1040" s="49" t="s">
        <v>14866</v>
      </c>
      <c r="K1040" s="44"/>
      <c r="L1040" s="44"/>
    </row>
    <row r="1041">
      <c r="A1041" s="48" t="s">
        <v>9861</v>
      </c>
      <c r="B1041" s="48"/>
      <c r="C1041" s="64" t="s">
        <v>14867</v>
      </c>
      <c r="D1041" s="48"/>
      <c r="E1041" s="48" t="s">
        <v>12163</v>
      </c>
      <c r="F1041" s="64" t="s">
        <v>629</v>
      </c>
      <c r="G1041" s="60" t="s">
        <v>96</v>
      </c>
      <c r="H1041" s="88">
        <v>0.01404</v>
      </c>
      <c r="I1041" s="49" t="s">
        <v>14868</v>
      </c>
      <c r="J1041" s="49" t="s">
        <v>14869</v>
      </c>
      <c r="K1041" s="44"/>
      <c r="L1041" s="44"/>
    </row>
    <row r="1042">
      <c r="A1042" s="48" t="s">
        <v>11608</v>
      </c>
      <c r="B1042" s="48"/>
      <c r="C1042" s="64" t="s">
        <v>14870</v>
      </c>
      <c r="D1042" s="48"/>
      <c r="E1042" s="48" t="s">
        <v>12243</v>
      </c>
      <c r="F1042" s="64" t="s">
        <v>622</v>
      </c>
      <c r="G1042" s="60" t="s">
        <v>96</v>
      </c>
      <c r="H1042" s="88">
        <v>0.01401</v>
      </c>
      <c r="I1042" s="49" t="s">
        <v>14871</v>
      </c>
      <c r="J1042" s="49" t="s">
        <v>14872</v>
      </c>
      <c r="K1042" s="44"/>
      <c r="L1042" s="44"/>
    </row>
    <row r="1043">
      <c r="A1043" s="48" t="s">
        <v>9767</v>
      </c>
      <c r="B1043" s="48"/>
      <c r="C1043" s="48" t="s">
        <v>9768</v>
      </c>
      <c r="D1043" s="48"/>
      <c r="E1043" s="48" t="s">
        <v>11991</v>
      </c>
      <c r="F1043" s="64" t="s">
        <v>883</v>
      </c>
      <c r="G1043" s="60" t="s">
        <v>96</v>
      </c>
      <c r="H1043" s="88">
        <v>0.014</v>
      </c>
      <c r="I1043" s="49" t="s">
        <v>14873</v>
      </c>
      <c r="J1043" s="49" t="s">
        <v>14874</v>
      </c>
      <c r="K1043" s="44"/>
      <c r="L1043" s="44"/>
    </row>
    <row r="1044">
      <c r="A1044" s="48" t="s">
        <v>11624</v>
      </c>
      <c r="B1044" s="48"/>
      <c r="C1044" s="64" t="s">
        <v>14875</v>
      </c>
      <c r="D1044" s="48"/>
      <c r="E1044" s="48" t="s">
        <v>12908</v>
      </c>
      <c r="F1044" s="64" t="s">
        <v>622</v>
      </c>
      <c r="G1044" s="60" t="s">
        <v>96</v>
      </c>
      <c r="H1044" s="88">
        <v>0.01399</v>
      </c>
      <c r="I1044" s="49" t="s">
        <v>14876</v>
      </c>
      <c r="J1044" s="49" t="s">
        <v>14877</v>
      </c>
      <c r="K1044" s="44"/>
      <c r="L1044" s="44"/>
    </row>
    <row r="1045">
      <c r="A1045" s="48" t="s">
        <v>4258</v>
      </c>
      <c r="B1045" s="48"/>
      <c r="C1045" s="48" t="s">
        <v>9983</v>
      </c>
      <c r="D1045" s="48"/>
      <c r="E1045" s="48" t="s">
        <v>12072</v>
      </c>
      <c r="F1045" s="64" t="s">
        <v>1673</v>
      </c>
      <c r="G1045" s="60" t="s">
        <v>96</v>
      </c>
      <c r="H1045" s="88">
        <v>0.01399</v>
      </c>
      <c r="I1045" s="49" t="s">
        <v>14878</v>
      </c>
      <c r="J1045" s="49" t="s">
        <v>14879</v>
      </c>
      <c r="K1045" s="44"/>
      <c r="L1045" s="44"/>
    </row>
    <row r="1046">
      <c r="A1046" s="48" t="s">
        <v>10032</v>
      </c>
      <c r="B1046" s="48"/>
      <c r="C1046" s="48" t="s">
        <v>10033</v>
      </c>
      <c r="D1046" s="48"/>
      <c r="E1046" s="48" t="s">
        <v>11959</v>
      </c>
      <c r="F1046" s="64" t="s">
        <v>645</v>
      </c>
      <c r="G1046" s="60" t="s">
        <v>96</v>
      </c>
      <c r="H1046" s="88">
        <v>0.01397</v>
      </c>
      <c r="I1046" s="49" t="s">
        <v>14880</v>
      </c>
      <c r="J1046" s="49" t="s">
        <v>14881</v>
      </c>
      <c r="K1046" s="44"/>
      <c r="L1046" s="44"/>
    </row>
    <row r="1047">
      <c r="A1047" s="48" t="s">
        <v>11659</v>
      </c>
      <c r="B1047" s="48"/>
      <c r="C1047" s="48" t="s">
        <v>11660</v>
      </c>
      <c r="D1047" s="48"/>
      <c r="E1047" s="48" t="s">
        <v>12409</v>
      </c>
      <c r="F1047" s="64" t="s">
        <v>1201</v>
      </c>
      <c r="G1047" s="60" t="s">
        <v>96</v>
      </c>
      <c r="H1047" s="88">
        <v>0.01396</v>
      </c>
      <c r="I1047" s="49" t="s">
        <v>14882</v>
      </c>
      <c r="J1047" s="49" t="s">
        <v>14883</v>
      </c>
      <c r="K1047" s="44"/>
      <c r="L1047" s="44"/>
    </row>
    <row r="1048">
      <c r="A1048" s="48" t="s">
        <v>11655</v>
      </c>
      <c r="B1048" s="48"/>
      <c r="C1048" s="64" t="s">
        <v>14884</v>
      </c>
      <c r="D1048" s="48"/>
      <c r="E1048" s="48" t="s">
        <v>5478</v>
      </c>
      <c r="F1048" s="64" t="s">
        <v>622</v>
      </c>
      <c r="G1048" s="60" t="s">
        <v>96</v>
      </c>
      <c r="H1048" s="88">
        <v>0.01396</v>
      </c>
      <c r="I1048" s="49" t="s">
        <v>14885</v>
      </c>
      <c r="J1048" s="49" t="s">
        <v>14886</v>
      </c>
      <c r="K1048" s="44"/>
      <c r="L1048" s="44"/>
    </row>
    <row r="1049">
      <c r="A1049" s="48" t="s">
        <v>11670</v>
      </c>
      <c r="B1049" s="48"/>
      <c r="C1049" s="48" t="s">
        <v>11671</v>
      </c>
      <c r="D1049" s="48"/>
      <c r="E1049" s="48" t="s">
        <v>12105</v>
      </c>
      <c r="F1049" s="64" t="s">
        <v>11998</v>
      </c>
      <c r="G1049" s="60" t="s">
        <v>96</v>
      </c>
      <c r="H1049" s="88">
        <v>0.01395</v>
      </c>
      <c r="I1049" s="49" t="s">
        <v>14887</v>
      </c>
      <c r="J1049" s="49" t="s">
        <v>14888</v>
      </c>
      <c r="K1049" s="44"/>
      <c r="L1049" s="44"/>
    </row>
    <row r="1050">
      <c r="A1050" s="48" t="s">
        <v>9816</v>
      </c>
      <c r="B1050" s="48"/>
      <c r="C1050" s="64" t="s">
        <v>14889</v>
      </c>
      <c r="D1050" s="48"/>
      <c r="E1050" s="48" t="s">
        <v>13171</v>
      </c>
      <c r="F1050" s="64" t="s">
        <v>622</v>
      </c>
      <c r="G1050" s="60" t="s">
        <v>96</v>
      </c>
      <c r="H1050" s="88">
        <v>0.01391</v>
      </c>
      <c r="I1050" s="49" t="s">
        <v>14890</v>
      </c>
      <c r="J1050" s="49" t="s">
        <v>14891</v>
      </c>
      <c r="K1050" s="44"/>
      <c r="L1050" s="44"/>
    </row>
    <row r="1051">
      <c r="A1051" s="48" t="s">
        <v>9886</v>
      </c>
      <c r="B1051" s="48"/>
      <c r="C1051" s="48" t="s">
        <v>9887</v>
      </c>
      <c r="D1051" s="48"/>
      <c r="E1051" s="48" t="s">
        <v>12025</v>
      </c>
      <c r="F1051" s="64" t="s">
        <v>639</v>
      </c>
      <c r="G1051" s="60" t="s">
        <v>96</v>
      </c>
      <c r="H1051" s="88">
        <v>0.01391</v>
      </c>
      <c r="I1051" s="49" t="s">
        <v>14892</v>
      </c>
      <c r="J1051" s="49" t="s">
        <v>14893</v>
      </c>
      <c r="K1051" s="44"/>
      <c r="L1051" s="44"/>
    </row>
    <row r="1052">
      <c r="A1052" s="48" t="s">
        <v>4672</v>
      </c>
      <c r="B1052" s="48"/>
      <c r="C1052" s="64" t="s">
        <v>14894</v>
      </c>
      <c r="D1052" s="48"/>
      <c r="E1052" s="48" t="s">
        <v>12243</v>
      </c>
      <c r="F1052" s="64" t="s">
        <v>622</v>
      </c>
      <c r="G1052" s="60" t="s">
        <v>96</v>
      </c>
      <c r="H1052" s="88">
        <v>0.01386</v>
      </c>
      <c r="I1052" s="49" t="s">
        <v>14895</v>
      </c>
      <c r="J1052" s="49" t="s">
        <v>14896</v>
      </c>
      <c r="K1052" s="44"/>
      <c r="L1052" s="44"/>
    </row>
    <row r="1053">
      <c r="A1053" s="48" t="s">
        <v>11674</v>
      </c>
      <c r="B1053" s="48"/>
      <c r="C1053" s="48" t="s">
        <v>11675</v>
      </c>
      <c r="D1053" s="48"/>
      <c r="E1053" s="48" t="s">
        <v>12437</v>
      </c>
      <c r="F1053" s="64" t="s">
        <v>639</v>
      </c>
      <c r="G1053" s="60" t="s">
        <v>96</v>
      </c>
      <c r="H1053" s="88">
        <v>0.01385</v>
      </c>
      <c r="I1053" s="49" t="s">
        <v>14897</v>
      </c>
      <c r="J1053" s="49" t="s">
        <v>14898</v>
      </c>
      <c r="K1053" s="44"/>
      <c r="L1053" s="44"/>
    </row>
    <row r="1054">
      <c r="A1054" s="48" t="s">
        <v>5924</v>
      </c>
      <c r="B1054" s="48"/>
      <c r="C1054" s="64" t="s">
        <v>14899</v>
      </c>
      <c r="D1054" s="48"/>
      <c r="E1054" s="48" t="s">
        <v>12116</v>
      </c>
      <c r="F1054" s="64" t="s">
        <v>622</v>
      </c>
      <c r="G1054" s="60" t="s">
        <v>96</v>
      </c>
      <c r="H1054" s="88">
        <v>0.01383</v>
      </c>
      <c r="I1054" s="49" t="s">
        <v>14900</v>
      </c>
      <c r="J1054" s="49" t="s">
        <v>14901</v>
      </c>
      <c r="K1054" s="44"/>
      <c r="L1054" s="44"/>
    </row>
    <row r="1055">
      <c r="A1055" s="48" t="s">
        <v>10028</v>
      </c>
      <c r="B1055" s="48"/>
      <c r="C1055" s="48" t="s">
        <v>10029</v>
      </c>
      <c r="D1055" s="48"/>
      <c r="E1055" s="48" t="s">
        <v>5564</v>
      </c>
      <c r="F1055" s="64" t="s">
        <v>738</v>
      </c>
      <c r="G1055" s="60" t="s">
        <v>96</v>
      </c>
      <c r="H1055" s="88">
        <v>0.01383</v>
      </c>
      <c r="I1055" s="49" t="s">
        <v>14902</v>
      </c>
      <c r="J1055" s="49" t="s">
        <v>14903</v>
      </c>
      <c r="K1055" s="44"/>
      <c r="L1055" s="44"/>
    </row>
    <row r="1056">
      <c r="A1056" s="48" t="s">
        <v>4689</v>
      </c>
      <c r="B1056" s="48"/>
      <c r="C1056" s="64" t="s">
        <v>14904</v>
      </c>
      <c r="D1056" s="48"/>
      <c r="E1056" s="48" t="s">
        <v>12205</v>
      </c>
      <c r="F1056" s="64" t="s">
        <v>622</v>
      </c>
      <c r="G1056" s="60" t="s">
        <v>96</v>
      </c>
      <c r="H1056" s="88">
        <v>0.01378</v>
      </c>
      <c r="I1056" s="49" t="s">
        <v>14905</v>
      </c>
      <c r="J1056" s="49" t="s">
        <v>14906</v>
      </c>
      <c r="K1056" s="44"/>
      <c r="L1056" s="44"/>
    </row>
    <row r="1057">
      <c r="A1057" s="48" t="s">
        <v>4676</v>
      </c>
      <c r="B1057" s="48"/>
      <c r="C1057" s="64" t="s">
        <v>14907</v>
      </c>
      <c r="D1057" s="48"/>
      <c r="E1057" s="48" t="s">
        <v>5670</v>
      </c>
      <c r="F1057" s="64" t="s">
        <v>622</v>
      </c>
      <c r="G1057" s="60" t="s">
        <v>96</v>
      </c>
      <c r="H1057" s="88">
        <v>0.01376</v>
      </c>
      <c r="I1057" s="49" t="s">
        <v>14908</v>
      </c>
      <c r="J1057" s="49" t="s">
        <v>14909</v>
      </c>
      <c r="K1057" s="44"/>
      <c r="L1057" s="44"/>
    </row>
    <row r="1058">
      <c r="A1058" s="48" t="s">
        <v>9989</v>
      </c>
      <c r="B1058" s="48"/>
      <c r="C1058" s="48" t="s">
        <v>9990</v>
      </c>
      <c r="D1058" s="48"/>
      <c r="E1058" s="48" t="s">
        <v>11914</v>
      </c>
      <c r="F1058" s="64" t="s">
        <v>11998</v>
      </c>
      <c r="G1058" s="60" t="s">
        <v>96</v>
      </c>
      <c r="H1058" s="88">
        <v>0.01372</v>
      </c>
      <c r="I1058" s="49" t="s">
        <v>14910</v>
      </c>
      <c r="J1058" s="49" t="s">
        <v>14911</v>
      </c>
      <c r="K1058" s="44"/>
      <c r="L1058" s="44"/>
    </row>
    <row r="1059">
      <c r="A1059" s="48" t="s">
        <v>9920</v>
      </c>
      <c r="B1059" s="48"/>
      <c r="C1059" s="64" t="s">
        <v>14912</v>
      </c>
      <c r="D1059" s="48"/>
      <c r="E1059" s="48" t="s">
        <v>12220</v>
      </c>
      <c r="F1059" s="64" t="s">
        <v>629</v>
      </c>
      <c r="G1059" s="60" t="s">
        <v>96</v>
      </c>
      <c r="H1059" s="88">
        <v>0.01371</v>
      </c>
      <c r="I1059" s="49" t="s">
        <v>14913</v>
      </c>
      <c r="J1059" s="49" t="s">
        <v>14914</v>
      </c>
      <c r="K1059" s="44"/>
      <c r="L1059" s="44"/>
    </row>
    <row r="1060">
      <c r="A1060" s="48" t="s">
        <v>9918</v>
      </c>
      <c r="B1060" s="48"/>
      <c r="C1060" s="64" t="s">
        <v>14915</v>
      </c>
      <c r="D1060" s="48"/>
      <c r="E1060" s="48" t="s">
        <v>12660</v>
      </c>
      <c r="F1060" s="64" t="s">
        <v>629</v>
      </c>
      <c r="G1060" s="60" t="s">
        <v>96</v>
      </c>
      <c r="H1060" s="88">
        <v>0.01369</v>
      </c>
      <c r="I1060" s="49" t="s">
        <v>14916</v>
      </c>
      <c r="J1060" s="49" t="s">
        <v>14917</v>
      </c>
      <c r="K1060" s="44"/>
      <c r="L1060" s="44"/>
    </row>
    <row r="1061">
      <c r="A1061" s="48" t="s">
        <v>9995</v>
      </c>
      <c r="B1061" s="48"/>
      <c r="C1061" s="64" t="s">
        <v>14918</v>
      </c>
      <c r="D1061" s="48"/>
      <c r="E1061" s="48" t="s">
        <v>12356</v>
      </c>
      <c r="F1061" s="64" t="s">
        <v>629</v>
      </c>
      <c r="G1061" s="60" t="s">
        <v>96</v>
      </c>
      <c r="H1061" s="88">
        <v>0.01364</v>
      </c>
      <c r="I1061" s="49" t="s">
        <v>14919</v>
      </c>
      <c r="J1061" s="49" t="s">
        <v>14920</v>
      </c>
      <c r="K1061" s="44"/>
      <c r="L1061" s="44"/>
    </row>
    <row r="1062">
      <c r="A1062" s="48" t="s">
        <v>4684</v>
      </c>
      <c r="B1062" s="48"/>
      <c r="C1062" s="64" t="s">
        <v>14921</v>
      </c>
      <c r="D1062" s="48"/>
      <c r="E1062" s="48" t="s">
        <v>14922</v>
      </c>
      <c r="F1062" s="64" t="s">
        <v>622</v>
      </c>
      <c r="G1062" s="60" t="s">
        <v>96</v>
      </c>
      <c r="H1062" s="88">
        <v>0.01364</v>
      </c>
      <c r="I1062" s="49" t="s">
        <v>14923</v>
      </c>
      <c r="J1062" s="49" t="s">
        <v>14924</v>
      </c>
      <c r="K1062" s="44"/>
      <c r="L1062" s="44"/>
    </row>
    <row r="1063">
      <c r="A1063" s="48" t="s">
        <v>9543</v>
      </c>
      <c r="B1063" s="48"/>
      <c r="C1063" s="48" t="s">
        <v>14925</v>
      </c>
      <c r="D1063" s="48"/>
      <c r="E1063" s="48" t="s">
        <v>5218</v>
      </c>
      <c r="F1063" s="64" t="s">
        <v>645</v>
      </c>
      <c r="G1063" s="60" t="s">
        <v>96</v>
      </c>
      <c r="H1063" s="88">
        <v>0.01364</v>
      </c>
      <c r="I1063" s="49" t="s">
        <v>14926</v>
      </c>
      <c r="J1063" s="49" t="s">
        <v>14927</v>
      </c>
      <c r="K1063" s="44"/>
      <c r="L1063" s="44"/>
    </row>
    <row r="1064">
      <c r="A1064" s="48" t="s">
        <v>10064</v>
      </c>
      <c r="B1064" s="48"/>
      <c r="C1064" s="48" t="s">
        <v>10065</v>
      </c>
      <c r="D1064" s="48"/>
      <c r="E1064" s="48" t="s">
        <v>5961</v>
      </c>
      <c r="F1064" s="64" t="s">
        <v>629</v>
      </c>
      <c r="G1064" s="60" t="s">
        <v>96</v>
      </c>
      <c r="H1064" s="88">
        <v>0.01363</v>
      </c>
      <c r="I1064" s="49" t="s">
        <v>14928</v>
      </c>
      <c r="J1064" s="49" t="s">
        <v>14929</v>
      </c>
      <c r="K1064" s="44"/>
      <c r="L1064" s="44"/>
    </row>
    <row r="1065">
      <c r="A1065" s="48" t="s">
        <v>11707</v>
      </c>
      <c r="B1065" s="48"/>
      <c r="C1065" s="64" t="s">
        <v>14930</v>
      </c>
      <c r="D1065" s="48"/>
      <c r="E1065" s="48" t="s">
        <v>12559</v>
      </c>
      <c r="F1065" s="64" t="s">
        <v>629</v>
      </c>
      <c r="G1065" s="60" t="s">
        <v>96</v>
      </c>
      <c r="H1065" s="88">
        <v>0.01362</v>
      </c>
      <c r="I1065" s="49" t="s">
        <v>14931</v>
      </c>
      <c r="J1065" s="49" t="s">
        <v>14932</v>
      </c>
      <c r="K1065" s="44"/>
      <c r="L1065" s="44"/>
    </row>
    <row r="1066">
      <c r="A1066" s="48" t="s">
        <v>9872</v>
      </c>
      <c r="B1066" s="48"/>
      <c r="C1066" s="48" t="s">
        <v>9873</v>
      </c>
      <c r="D1066" s="48"/>
      <c r="E1066" s="48" t="s">
        <v>12246</v>
      </c>
      <c r="F1066" s="64" t="s">
        <v>645</v>
      </c>
      <c r="G1066" s="60" t="s">
        <v>96</v>
      </c>
      <c r="H1066" s="88">
        <v>0.01362</v>
      </c>
      <c r="I1066" s="49" t="s">
        <v>14933</v>
      </c>
      <c r="J1066" s="49" t="s">
        <v>14934</v>
      </c>
      <c r="K1066" s="44"/>
      <c r="L1066" s="44"/>
    </row>
    <row r="1067">
      <c r="A1067" s="48" t="s">
        <v>9654</v>
      </c>
      <c r="B1067" s="48"/>
      <c r="C1067" s="64" t="s">
        <v>14935</v>
      </c>
      <c r="D1067" s="48"/>
      <c r="E1067" s="48" t="s">
        <v>12004</v>
      </c>
      <c r="F1067" s="64" t="s">
        <v>622</v>
      </c>
      <c r="G1067" s="60" t="s">
        <v>96</v>
      </c>
      <c r="H1067" s="88">
        <v>0.01354</v>
      </c>
      <c r="I1067" s="49" t="s">
        <v>14936</v>
      </c>
      <c r="J1067" s="49" t="s">
        <v>14937</v>
      </c>
      <c r="K1067" s="44"/>
      <c r="L1067" s="44"/>
    </row>
    <row r="1068">
      <c r="A1068" s="48" t="s">
        <v>11688</v>
      </c>
      <c r="B1068" s="48"/>
      <c r="C1068" s="64" t="s">
        <v>14938</v>
      </c>
      <c r="D1068" s="48"/>
      <c r="E1068" s="48" t="s">
        <v>5609</v>
      </c>
      <c r="F1068" s="64" t="s">
        <v>622</v>
      </c>
      <c r="G1068" s="60" t="s">
        <v>96</v>
      </c>
      <c r="H1068" s="88">
        <v>0.0135</v>
      </c>
      <c r="I1068" s="49" t="s">
        <v>14939</v>
      </c>
      <c r="J1068" s="49" t="s">
        <v>14940</v>
      </c>
      <c r="K1068" s="44"/>
      <c r="L1068" s="44"/>
    </row>
    <row r="1069">
      <c r="A1069" s="48" t="s">
        <v>9894</v>
      </c>
      <c r="B1069" s="48"/>
      <c r="C1069" s="64" t="s">
        <v>14941</v>
      </c>
      <c r="D1069" s="48"/>
      <c r="E1069" s="48" t="s">
        <v>12136</v>
      </c>
      <c r="F1069" s="64" t="s">
        <v>629</v>
      </c>
      <c r="G1069" s="60" t="s">
        <v>96</v>
      </c>
      <c r="H1069" s="88">
        <v>0.01344</v>
      </c>
      <c r="I1069" s="49" t="s">
        <v>14942</v>
      </c>
      <c r="J1069" s="49" t="s">
        <v>14943</v>
      </c>
      <c r="K1069" s="44"/>
      <c r="L1069" s="44"/>
    </row>
    <row r="1070">
      <c r="A1070" s="48" t="s">
        <v>4690</v>
      </c>
      <c r="B1070" s="48"/>
      <c r="C1070" s="64" t="s">
        <v>14944</v>
      </c>
      <c r="D1070" s="48"/>
      <c r="E1070" s="48" t="s">
        <v>12229</v>
      </c>
      <c r="F1070" s="64" t="s">
        <v>622</v>
      </c>
      <c r="G1070" s="60" t="s">
        <v>96</v>
      </c>
      <c r="H1070" s="88">
        <v>0.01341</v>
      </c>
      <c r="I1070" s="49" t="s">
        <v>14945</v>
      </c>
      <c r="J1070" s="49" t="s">
        <v>14946</v>
      </c>
      <c r="K1070" s="44"/>
      <c r="L1070" s="44"/>
    </row>
    <row r="1071">
      <c r="A1071" s="48" t="s">
        <v>9906</v>
      </c>
      <c r="B1071" s="48"/>
      <c r="C1071" s="48" t="s">
        <v>9907</v>
      </c>
      <c r="D1071" s="48"/>
      <c r="E1071" s="48" t="s">
        <v>12777</v>
      </c>
      <c r="F1071" s="64" t="s">
        <v>2709</v>
      </c>
      <c r="G1071" s="60" t="s">
        <v>96</v>
      </c>
      <c r="H1071" s="88">
        <v>0.01341</v>
      </c>
      <c r="I1071" s="49" t="s">
        <v>14947</v>
      </c>
      <c r="J1071" s="49" t="s">
        <v>14948</v>
      </c>
      <c r="K1071" s="44"/>
      <c r="L1071" s="44"/>
    </row>
    <row r="1072">
      <c r="A1072" s="48" t="s">
        <v>10080</v>
      </c>
      <c r="B1072" s="48"/>
      <c r="C1072" s="64" t="s">
        <v>14949</v>
      </c>
      <c r="D1072" s="48"/>
      <c r="E1072" s="48" t="s">
        <v>5348</v>
      </c>
      <c r="F1072" s="64" t="s">
        <v>622</v>
      </c>
      <c r="G1072" s="60" t="s">
        <v>96</v>
      </c>
      <c r="H1072" s="88">
        <v>0.01339</v>
      </c>
      <c r="I1072" s="49" t="s">
        <v>14950</v>
      </c>
      <c r="J1072" s="49" t="s">
        <v>14951</v>
      </c>
      <c r="K1072" s="44"/>
      <c r="L1072" s="44"/>
    </row>
    <row r="1073">
      <c r="A1073" s="48" t="s">
        <v>7191</v>
      </c>
      <c r="B1073" s="48"/>
      <c r="C1073" s="64" t="s">
        <v>14952</v>
      </c>
      <c r="D1073" s="48"/>
      <c r="E1073" s="48" t="s">
        <v>11924</v>
      </c>
      <c r="F1073" s="64" t="s">
        <v>629</v>
      </c>
      <c r="G1073" s="60" t="s">
        <v>96</v>
      </c>
      <c r="H1073" s="88">
        <v>0.01338</v>
      </c>
      <c r="I1073" s="49" t="s">
        <v>14953</v>
      </c>
      <c r="J1073" s="49" t="s">
        <v>14954</v>
      </c>
      <c r="K1073" s="44"/>
      <c r="L1073" s="44"/>
    </row>
    <row r="1074">
      <c r="A1074" s="48" t="s">
        <v>4641</v>
      </c>
      <c r="B1074" s="48"/>
      <c r="C1074" s="64" t="s">
        <v>14955</v>
      </c>
      <c r="D1074" s="48"/>
      <c r="E1074" s="48" t="s">
        <v>13895</v>
      </c>
      <c r="F1074" s="64" t="s">
        <v>622</v>
      </c>
      <c r="G1074" s="60" t="s">
        <v>96</v>
      </c>
      <c r="H1074" s="88">
        <v>0.01337</v>
      </c>
      <c r="I1074" s="49" t="s">
        <v>14956</v>
      </c>
      <c r="J1074" s="49" t="s">
        <v>14957</v>
      </c>
      <c r="K1074" s="44"/>
      <c r="L1074" s="44"/>
    </row>
    <row r="1075">
      <c r="A1075" s="48" t="s">
        <v>11684</v>
      </c>
      <c r="B1075" s="48"/>
      <c r="C1075" s="48" t="s">
        <v>11685</v>
      </c>
      <c r="D1075" s="48"/>
      <c r="E1075" s="48" t="s">
        <v>12409</v>
      </c>
      <c r="F1075" s="64" t="s">
        <v>639</v>
      </c>
      <c r="G1075" s="60" t="s">
        <v>96</v>
      </c>
      <c r="H1075" s="88">
        <v>0.01335</v>
      </c>
      <c r="I1075" s="49" t="s">
        <v>14958</v>
      </c>
      <c r="J1075" s="49" t="s">
        <v>14959</v>
      </c>
      <c r="K1075" s="44"/>
      <c r="L1075" s="44"/>
    </row>
    <row r="1076">
      <c r="A1076" s="48" t="s">
        <v>10036</v>
      </c>
      <c r="B1076" s="48"/>
      <c r="C1076" s="64" t="s">
        <v>14960</v>
      </c>
      <c r="D1076" s="48"/>
      <c r="E1076" s="48" t="s">
        <v>12136</v>
      </c>
      <c r="F1076" s="64" t="s">
        <v>822</v>
      </c>
      <c r="G1076" s="60" t="s">
        <v>96</v>
      </c>
      <c r="H1076" s="88">
        <v>0.01335</v>
      </c>
      <c r="I1076" s="49" t="s">
        <v>14961</v>
      </c>
      <c r="J1076" s="49" t="s">
        <v>14962</v>
      </c>
      <c r="K1076" s="44"/>
      <c r="L1076" s="44"/>
    </row>
    <row r="1077">
      <c r="A1077" s="48" t="s">
        <v>9888</v>
      </c>
      <c r="B1077" s="48"/>
      <c r="C1077" s="48" t="s">
        <v>9889</v>
      </c>
      <c r="D1077" s="48"/>
      <c r="E1077" s="48" t="s">
        <v>11959</v>
      </c>
      <c r="F1077" s="64" t="s">
        <v>1673</v>
      </c>
      <c r="G1077" s="60" t="s">
        <v>96</v>
      </c>
      <c r="H1077" s="88">
        <v>0.01334</v>
      </c>
      <c r="I1077" s="49" t="s">
        <v>14963</v>
      </c>
      <c r="J1077" s="49" t="s">
        <v>14964</v>
      </c>
      <c r="K1077" s="44"/>
      <c r="L1077" s="44"/>
    </row>
    <row r="1078">
      <c r="A1078" s="48" t="s">
        <v>9972</v>
      </c>
      <c r="B1078" s="48"/>
      <c r="C1078" s="48" t="s">
        <v>9973</v>
      </c>
      <c r="D1078" s="48"/>
      <c r="E1078" s="48" t="s">
        <v>13757</v>
      </c>
      <c r="F1078" s="64" t="s">
        <v>686</v>
      </c>
      <c r="G1078" s="60" t="s">
        <v>96</v>
      </c>
      <c r="H1078" s="88">
        <v>0.01332</v>
      </c>
      <c r="I1078" s="49" t="s">
        <v>14965</v>
      </c>
      <c r="J1078" s="49" t="s">
        <v>14966</v>
      </c>
      <c r="K1078" s="44"/>
      <c r="L1078" s="44"/>
    </row>
    <row r="1079">
      <c r="A1079" s="48" t="s">
        <v>11553</v>
      </c>
      <c r="B1079" s="48"/>
      <c r="C1079" s="64" t="s">
        <v>14967</v>
      </c>
      <c r="D1079" s="48"/>
      <c r="E1079" s="48" t="s">
        <v>12043</v>
      </c>
      <c r="F1079" s="64" t="s">
        <v>622</v>
      </c>
      <c r="G1079" s="60" t="s">
        <v>96</v>
      </c>
      <c r="H1079" s="88">
        <v>0.0133</v>
      </c>
      <c r="I1079" s="49" t="s">
        <v>14968</v>
      </c>
      <c r="J1079" s="49" t="s">
        <v>14969</v>
      </c>
      <c r="K1079" s="44"/>
      <c r="L1079" s="44"/>
    </row>
    <row r="1080">
      <c r="A1080" s="48" t="s">
        <v>11638</v>
      </c>
      <c r="B1080" s="48"/>
      <c r="C1080" s="48" t="s">
        <v>11639</v>
      </c>
      <c r="D1080" s="48"/>
      <c r="E1080" s="48" t="s">
        <v>12123</v>
      </c>
      <c r="F1080" s="64" t="s">
        <v>1673</v>
      </c>
      <c r="G1080" s="60" t="s">
        <v>96</v>
      </c>
      <c r="H1080" s="88">
        <v>0.01328</v>
      </c>
      <c r="I1080" s="49" t="s">
        <v>14970</v>
      </c>
      <c r="J1080" s="49" t="s">
        <v>14971</v>
      </c>
      <c r="K1080" s="44"/>
      <c r="L1080" s="44"/>
    </row>
    <row r="1081">
      <c r="A1081" s="48" t="s">
        <v>11672</v>
      </c>
      <c r="B1081" s="48"/>
      <c r="C1081" s="64" t="s">
        <v>14972</v>
      </c>
      <c r="D1081" s="48"/>
      <c r="E1081" s="48" t="s">
        <v>6947</v>
      </c>
      <c r="F1081" s="64" t="s">
        <v>622</v>
      </c>
      <c r="G1081" s="60" t="s">
        <v>96</v>
      </c>
      <c r="H1081" s="88">
        <v>0.01326</v>
      </c>
      <c r="I1081" s="49" t="s">
        <v>14973</v>
      </c>
      <c r="J1081" s="49" t="s">
        <v>14974</v>
      </c>
      <c r="K1081" s="44"/>
      <c r="L1081" s="44"/>
    </row>
    <row r="1082">
      <c r="A1082" s="48" t="s">
        <v>10357</v>
      </c>
      <c r="B1082" s="48"/>
      <c r="C1082" s="64" t="s">
        <v>14975</v>
      </c>
      <c r="D1082" s="48"/>
      <c r="E1082" s="48" t="s">
        <v>12046</v>
      </c>
      <c r="F1082" s="64" t="s">
        <v>622</v>
      </c>
      <c r="G1082" s="60" t="s">
        <v>96</v>
      </c>
      <c r="H1082" s="88">
        <v>0.01316</v>
      </c>
      <c r="I1082" s="49" t="s">
        <v>14976</v>
      </c>
      <c r="J1082" s="49" t="s">
        <v>14977</v>
      </c>
      <c r="K1082" s="44"/>
      <c r="L1082" s="44"/>
    </row>
    <row r="1083">
      <c r="A1083" s="48" t="s">
        <v>9829</v>
      </c>
      <c r="B1083" s="48"/>
      <c r="C1083" s="64" t="s">
        <v>14978</v>
      </c>
      <c r="D1083" s="48"/>
      <c r="E1083" s="48" t="s">
        <v>12417</v>
      </c>
      <c r="F1083" s="64" t="s">
        <v>629</v>
      </c>
      <c r="G1083" s="60" t="s">
        <v>96</v>
      </c>
      <c r="H1083" s="88">
        <v>0.0131</v>
      </c>
      <c r="I1083" s="49" t="s">
        <v>14979</v>
      </c>
      <c r="J1083" s="49" t="s">
        <v>14980</v>
      </c>
      <c r="K1083" s="44"/>
      <c r="L1083" s="44"/>
    </row>
    <row r="1084">
      <c r="A1084" s="48" t="s">
        <v>11713</v>
      </c>
      <c r="B1084" s="48"/>
      <c r="C1084" s="48" t="s">
        <v>11714</v>
      </c>
      <c r="D1084" s="48"/>
      <c r="E1084" s="48" t="s">
        <v>12078</v>
      </c>
      <c r="F1084" s="64" t="s">
        <v>1201</v>
      </c>
      <c r="G1084" s="60" t="s">
        <v>96</v>
      </c>
      <c r="H1084" s="88">
        <v>0.0131</v>
      </c>
      <c r="I1084" s="49" t="s">
        <v>14981</v>
      </c>
      <c r="J1084" s="49" t="s">
        <v>14982</v>
      </c>
      <c r="K1084" s="44"/>
      <c r="L1084" s="44"/>
    </row>
    <row r="1085">
      <c r="A1085" s="48" t="s">
        <v>11705</v>
      </c>
      <c r="B1085" s="48"/>
      <c r="C1085" s="48" t="s">
        <v>11706</v>
      </c>
      <c r="D1085" s="48"/>
      <c r="E1085" s="48" t="s">
        <v>12223</v>
      </c>
      <c r="F1085" s="64" t="s">
        <v>1352</v>
      </c>
      <c r="G1085" s="60" t="s">
        <v>96</v>
      </c>
      <c r="H1085" s="88">
        <v>0.01309</v>
      </c>
      <c r="I1085" s="49" t="s">
        <v>14983</v>
      </c>
      <c r="J1085" s="49" t="s">
        <v>14984</v>
      </c>
      <c r="K1085" s="44"/>
      <c r="L1085" s="44"/>
    </row>
    <row r="1086">
      <c r="A1086" s="48" t="s">
        <v>11709</v>
      </c>
      <c r="B1086" s="48"/>
      <c r="C1086" s="64" t="s">
        <v>14985</v>
      </c>
      <c r="D1086" s="48"/>
      <c r="E1086" s="48" t="s">
        <v>13761</v>
      </c>
      <c r="F1086" s="64" t="s">
        <v>694</v>
      </c>
      <c r="G1086" s="60" t="s">
        <v>96</v>
      </c>
      <c r="H1086" s="88">
        <v>0.01304</v>
      </c>
      <c r="I1086" s="49" t="s">
        <v>14986</v>
      </c>
      <c r="J1086" s="49" t="s">
        <v>14987</v>
      </c>
      <c r="K1086" s="44"/>
      <c r="L1086" s="44"/>
    </row>
    <row r="1087">
      <c r="A1087" s="48" t="s">
        <v>9827</v>
      </c>
      <c r="B1087" s="48"/>
      <c r="C1087" s="64" t="s">
        <v>14988</v>
      </c>
      <c r="D1087" s="48"/>
      <c r="E1087" s="48" t="s">
        <v>12105</v>
      </c>
      <c r="F1087" s="64" t="s">
        <v>738</v>
      </c>
      <c r="G1087" s="60" t="s">
        <v>96</v>
      </c>
      <c r="H1087" s="88">
        <v>0.01302</v>
      </c>
      <c r="I1087" s="49" t="s">
        <v>14989</v>
      </c>
      <c r="J1087" s="49" t="s">
        <v>14990</v>
      </c>
      <c r="K1087" s="44"/>
      <c r="L1087" s="44"/>
    </row>
    <row r="1088">
      <c r="A1088" s="48" t="s">
        <v>11733</v>
      </c>
      <c r="B1088" s="48"/>
      <c r="C1088" s="64" t="s">
        <v>14991</v>
      </c>
      <c r="D1088" s="48"/>
      <c r="E1088" s="48" t="s">
        <v>12367</v>
      </c>
      <c r="F1088" s="64" t="s">
        <v>694</v>
      </c>
      <c r="G1088" s="60" t="s">
        <v>96</v>
      </c>
      <c r="H1088" s="88">
        <v>0.01299</v>
      </c>
      <c r="I1088" s="49" t="s">
        <v>14992</v>
      </c>
      <c r="J1088" s="49" t="s">
        <v>14993</v>
      </c>
      <c r="K1088" s="44"/>
      <c r="L1088" s="44"/>
    </row>
    <row r="1089">
      <c r="A1089" s="48" t="s">
        <v>9929</v>
      </c>
      <c r="B1089" s="48"/>
      <c r="C1089" s="64" t="s">
        <v>14994</v>
      </c>
      <c r="D1089" s="48"/>
      <c r="E1089" s="48" t="s">
        <v>5218</v>
      </c>
      <c r="F1089" s="64" t="s">
        <v>629</v>
      </c>
      <c r="G1089" s="60" t="s">
        <v>96</v>
      </c>
      <c r="H1089" s="88">
        <v>0.01293</v>
      </c>
      <c r="I1089" s="49" t="s">
        <v>14995</v>
      </c>
      <c r="J1089" s="49" t="s">
        <v>14996</v>
      </c>
      <c r="K1089" s="44"/>
      <c r="L1089" s="44"/>
    </row>
    <row r="1090">
      <c r="A1090" s="48" t="s">
        <v>9931</v>
      </c>
      <c r="B1090" s="48"/>
      <c r="C1090" s="48" t="s">
        <v>9932</v>
      </c>
      <c r="D1090" s="48"/>
      <c r="E1090" s="48" t="s">
        <v>5462</v>
      </c>
      <c r="F1090" s="64" t="s">
        <v>11998</v>
      </c>
      <c r="G1090" s="60" t="s">
        <v>96</v>
      </c>
      <c r="H1090" s="88">
        <v>0.0129</v>
      </c>
      <c r="I1090" s="49" t="s">
        <v>14997</v>
      </c>
      <c r="J1090" s="49" t="s">
        <v>14998</v>
      </c>
      <c r="K1090" s="44"/>
      <c r="L1090" s="44"/>
    </row>
    <row r="1091">
      <c r="A1091" s="48" t="s">
        <v>5546</v>
      </c>
      <c r="B1091" s="48"/>
      <c r="C1091" s="64" t="s">
        <v>14999</v>
      </c>
      <c r="D1091" s="48"/>
      <c r="E1091" s="48" t="s">
        <v>14184</v>
      </c>
      <c r="F1091" s="64" t="s">
        <v>2732</v>
      </c>
      <c r="G1091" s="60" t="s">
        <v>96</v>
      </c>
      <c r="H1091" s="88">
        <v>0.01281</v>
      </c>
      <c r="I1091" s="49" t="s">
        <v>15000</v>
      </c>
      <c r="J1091" s="49" t="s">
        <v>15001</v>
      </c>
      <c r="K1091" s="44"/>
      <c r="L1091" s="44"/>
    </row>
    <row r="1092">
      <c r="A1092" s="48" t="s">
        <v>5292</v>
      </c>
      <c r="B1092" s="48"/>
      <c r="C1092" s="64" t="s">
        <v>15002</v>
      </c>
      <c r="D1092" s="48"/>
      <c r="E1092" s="48" t="s">
        <v>12163</v>
      </c>
      <c r="F1092" s="64" t="s">
        <v>694</v>
      </c>
      <c r="G1092" s="60" t="s">
        <v>96</v>
      </c>
      <c r="H1092" s="88">
        <v>0.01278</v>
      </c>
      <c r="I1092" s="49" t="s">
        <v>15003</v>
      </c>
      <c r="J1092" s="49" t="s">
        <v>15004</v>
      </c>
      <c r="K1092" s="44"/>
      <c r="L1092" s="44"/>
    </row>
    <row r="1093">
      <c r="A1093" s="48" t="s">
        <v>8795</v>
      </c>
      <c r="B1093" s="48"/>
      <c r="C1093" s="64" t="s">
        <v>15005</v>
      </c>
      <c r="D1093" s="48"/>
      <c r="E1093" s="48" t="s">
        <v>11959</v>
      </c>
      <c r="F1093" s="64" t="s">
        <v>694</v>
      </c>
      <c r="G1093" s="60" t="s">
        <v>96</v>
      </c>
      <c r="H1093" s="88">
        <v>0.01271</v>
      </c>
      <c r="I1093" s="49" t="s">
        <v>15006</v>
      </c>
      <c r="J1093" s="49" t="s">
        <v>15007</v>
      </c>
      <c r="K1093" s="44"/>
      <c r="L1093" s="44"/>
    </row>
    <row r="1094">
      <c r="A1094" s="48" t="s">
        <v>10401</v>
      </c>
      <c r="B1094" s="48"/>
      <c r="C1094" s="64" t="s">
        <v>15008</v>
      </c>
      <c r="D1094" s="48"/>
      <c r="E1094" s="48" t="s">
        <v>12205</v>
      </c>
      <c r="F1094" s="64" t="s">
        <v>622</v>
      </c>
      <c r="G1094" s="60" t="s">
        <v>96</v>
      </c>
      <c r="H1094" s="88">
        <v>0.0127</v>
      </c>
      <c r="I1094" s="49" t="s">
        <v>15009</v>
      </c>
      <c r="J1094" s="49" t="s">
        <v>15010</v>
      </c>
      <c r="K1094" s="44"/>
      <c r="L1094" s="44"/>
    </row>
    <row r="1095">
      <c r="A1095" s="48" t="s">
        <v>5768</v>
      </c>
      <c r="B1095" s="48"/>
      <c r="C1095" s="64" t="s">
        <v>15011</v>
      </c>
      <c r="D1095" s="48"/>
      <c r="E1095" s="48" t="s">
        <v>12078</v>
      </c>
      <c r="F1095" s="64" t="s">
        <v>1201</v>
      </c>
      <c r="G1095" s="60" t="s">
        <v>96</v>
      </c>
      <c r="H1095" s="88">
        <v>0.01267</v>
      </c>
      <c r="I1095" s="49" t="s">
        <v>15012</v>
      </c>
      <c r="J1095" s="49" t="s">
        <v>15013</v>
      </c>
      <c r="K1095" s="44"/>
      <c r="L1095" s="44"/>
    </row>
    <row r="1096">
      <c r="A1096" s="48" t="s">
        <v>9993</v>
      </c>
      <c r="B1096" s="48"/>
      <c r="C1096" s="48" t="s">
        <v>9994</v>
      </c>
      <c r="D1096" s="48"/>
      <c r="E1096" s="48" t="s">
        <v>12356</v>
      </c>
      <c r="F1096" s="64" t="s">
        <v>649</v>
      </c>
      <c r="G1096" s="60" t="s">
        <v>96</v>
      </c>
      <c r="H1096" s="88">
        <v>0.01261</v>
      </c>
      <c r="I1096" s="49" t="s">
        <v>15014</v>
      </c>
      <c r="J1096" s="49" t="s">
        <v>15015</v>
      </c>
      <c r="K1096" s="44"/>
      <c r="L1096" s="44"/>
    </row>
    <row r="1097">
      <c r="A1097" s="48" t="s">
        <v>11682</v>
      </c>
      <c r="B1097" s="48"/>
      <c r="C1097" s="64" t="s">
        <v>15016</v>
      </c>
      <c r="D1097" s="48"/>
      <c r="E1097" s="48" t="s">
        <v>11907</v>
      </c>
      <c r="F1097" s="64" t="s">
        <v>694</v>
      </c>
      <c r="G1097" s="60" t="s">
        <v>96</v>
      </c>
      <c r="H1097" s="88">
        <v>0.01261</v>
      </c>
      <c r="I1097" s="49" t="s">
        <v>15017</v>
      </c>
      <c r="J1097" s="49" t="s">
        <v>15018</v>
      </c>
      <c r="K1097" s="44"/>
      <c r="L1097" s="44"/>
    </row>
    <row r="1098">
      <c r="A1098" s="48" t="s">
        <v>9985</v>
      </c>
      <c r="B1098" s="48"/>
      <c r="C1098" s="64" t="s">
        <v>15019</v>
      </c>
      <c r="D1098" s="48"/>
      <c r="E1098" s="48" t="s">
        <v>13002</v>
      </c>
      <c r="F1098" s="64" t="s">
        <v>629</v>
      </c>
      <c r="G1098" s="60" t="s">
        <v>96</v>
      </c>
      <c r="H1098" s="88">
        <v>0.01261</v>
      </c>
      <c r="I1098" s="49" t="s">
        <v>15020</v>
      </c>
      <c r="J1098" s="49" t="s">
        <v>15021</v>
      </c>
      <c r="K1098" s="44"/>
      <c r="L1098" s="44"/>
    </row>
    <row r="1099">
      <c r="A1099" s="48" t="s">
        <v>11715</v>
      </c>
      <c r="B1099" s="48"/>
      <c r="C1099" s="48" t="s">
        <v>11716</v>
      </c>
      <c r="D1099" s="48"/>
      <c r="E1099" s="48" t="s">
        <v>12229</v>
      </c>
      <c r="F1099" s="64" t="s">
        <v>622</v>
      </c>
      <c r="G1099" s="60" t="s">
        <v>96</v>
      </c>
      <c r="H1099" s="88">
        <v>0.01259</v>
      </c>
      <c r="I1099" s="49" t="s">
        <v>15022</v>
      </c>
      <c r="J1099" s="49" t="s">
        <v>15023</v>
      </c>
      <c r="K1099" s="44"/>
      <c r="L1099" s="44"/>
    </row>
    <row r="1100">
      <c r="A1100" s="48" t="s">
        <v>11759</v>
      </c>
      <c r="B1100" s="48"/>
      <c r="C1100" s="48" t="s">
        <v>11760</v>
      </c>
      <c r="D1100" s="48"/>
      <c r="E1100" s="48" t="s">
        <v>12356</v>
      </c>
      <c r="F1100" s="64" t="s">
        <v>1740</v>
      </c>
      <c r="G1100" s="60" t="s">
        <v>96</v>
      </c>
      <c r="H1100" s="88">
        <v>0.01259</v>
      </c>
      <c r="I1100" s="49" t="s">
        <v>15024</v>
      </c>
      <c r="J1100" s="49" t="s">
        <v>15025</v>
      </c>
      <c r="K1100" s="44"/>
      <c r="L1100" s="44"/>
    </row>
    <row r="1101">
      <c r="A1101" s="48" t="s">
        <v>9916</v>
      </c>
      <c r="B1101" s="48"/>
      <c r="C1101" s="48" t="s">
        <v>9917</v>
      </c>
      <c r="D1101" s="48"/>
      <c r="E1101" s="48" t="s">
        <v>12246</v>
      </c>
      <c r="F1101" s="64" t="s">
        <v>1374</v>
      </c>
      <c r="G1101" s="60" t="s">
        <v>96</v>
      </c>
      <c r="H1101" s="88">
        <v>0.01254</v>
      </c>
      <c r="I1101" s="49" t="s">
        <v>15026</v>
      </c>
      <c r="J1101" s="49" t="s">
        <v>15027</v>
      </c>
      <c r="K1101" s="44"/>
      <c r="L1101" s="44"/>
    </row>
    <row r="1102">
      <c r="A1102" s="48" t="s">
        <v>11701</v>
      </c>
      <c r="B1102" s="48"/>
      <c r="C1102" s="64" t="s">
        <v>15028</v>
      </c>
      <c r="D1102" s="48"/>
      <c r="E1102" s="48" t="s">
        <v>12518</v>
      </c>
      <c r="F1102" s="64" t="s">
        <v>694</v>
      </c>
      <c r="G1102" s="60" t="s">
        <v>96</v>
      </c>
      <c r="H1102" s="88">
        <v>0.0125</v>
      </c>
      <c r="I1102" s="49" t="s">
        <v>15029</v>
      </c>
      <c r="J1102" s="49" t="s">
        <v>15030</v>
      </c>
      <c r="K1102" s="44"/>
      <c r="L1102" s="44"/>
    </row>
    <row r="1103">
      <c r="A1103" s="48" t="s">
        <v>10086</v>
      </c>
      <c r="B1103" s="48"/>
      <c r="C1103" s="48" t="s">
        <v>10087</v>
      </c>
      <c r="D1103" s="48"/>
      <c r="E1103" s="48" t="s">
        <v>15031</v>
      </c>
      <c r="F1103" s="64" t="s">
        <v>639</v>
      </c>
      <c r="G1103" s="60" t="s">
        <v>96</v>
      </c>
      <c r="H1103" s="88">
        <v>0.0125</v>
      </c>
      <c r="I1103" s="49" t="s">
        <v>15032</v>
      </c>
      <c r="J1103" s="49" t="s">
        <v>15033</v>
      </c>
      <c r="K1103" s="44"/>
      <c r="L1103" s="44"/>
    </row>
    <row r="1104">
      <c r="A1104" s="48" t="s">
        <v>10179</v>
      </c>
      <c r="B1104" s="48"/>
      <c r="C1104" s="64" t="s">
        <v>15034</v>
      </c>
      <c r="D1104" s="48"/>
      <c r="E1104" s="48" t="s">
        <v>12031</v>
      </c>
      <c r="F1104" s="64" t="s">
        <v>629</v>
      </c>
      <c r="G1104" s="60" t="s">
        <v>96</v>
      </c>
      <c r="H1104" s="88">
        <v>0.0125</v>
      </c>
      <c r="I1104" s="49" t="s">
        <v>15035</v>
      </c>
      <c r="J1104" s="49" t="s">
        <v>15036</v>
      </c>
      <c r="K1104" s="44"/>
      <c r="L1104" s="44"/>
    </row>
    <row r="1105">
      <c r="A1105" s="48" t="s">
        <v>9884</v>
      </c>
      <c r="B1105" s="48"/>
      <c r="C1105" s="64" t="s">
        <v>15037</v>
      </c>
      <c r="D1105" s="48"/>
      <c r="E1105" s="48" t="s">
        <v>11914</v>
      </c>
      <c r="F1105" s="64" t="s">
        <v>629</v>
      </c>
      <c r="G1105" s="60" t="s">
        <v>96</v>
      </c>
      <c r="H1105" s="88">
        <v>0.01249</v>
      </c>
      <c r="I1105" s="49" t="s">
        <v>15038</v>
      </c>
      <c r="J1105" s="49" t="s">
        <v>15039</v>
      </c>
      <c r="K1105" s="44"/>
      <c r="L1105" s="44"/>
    </row>
    <row r="1106">
      <c r="A1106" s="48" t="s">
        <v>11649</v>
      </c>
      <c r="B1106" s="48"/>
      <c r="C1106" s="48" t="s">
        <v>11650</v>
      </c>
      <c r="D1106" s="48"/>
      <c r="E1106" s="48" t="s">
        <v>11924</v>
      </c>
      <c r="F1106" s="64" t="s">
        <v>639</v>
      </c>
      <c r="G1106" s="60" t="s">
        <v>96</v>
      </c>
      <c r="H1106" s="88">
        <v>0.01247</v>
      </c>
      <c r="I1106" s="49" t="s">
        <v>15040</v>
      </c>
      <c r="J1106" s="49" t="s">
        <v>15041</v>
      </c>
      <c r="K1106" s="44"/>
      <c r="L1106" s="44"/>
    </row>
    <row r="1107">
      <c r="A1107" s="48" t="s">
        <v>10436</v>
      </c>
      <c r="B1107" s="48"/>
      <c r="C1107" s="48" t="s">
        <v>15042</v>
      </c>
      <c r="D1107" s="48"/>
      <c r="E1107" s="48" t="s">
        <v>11932</v>
      </c>
      <c r="F1107" s="64" t="s">
        <v>1740</v>
      </c>
      <c r="G1107" s="60" t="s">
        <v>96</v>
      </c>
      <c r="H1107" s="88">
        <v>0.01247</v>
      </c>
      <c r="I1107" s="49" t="s">
        <v>15043</v>
      </c>
      <c r="J1107" s="49" t="s">
        <v>15044</v>
      </c>
      <c r="K1107" s="44"/>
      <c r="L1107" s="44"/>
    </row>
    <row r="1108">
      <c r="A1108" s="48" t="s">
        <v>9943</v>
      </c>
      <c r="B1108" s="48"/>
      <c r="C1108" s="64" t="s">
        <v>15045</v>
      </c>
      <c r="D1108" s="48"/>
      <c r="E1108" s="48" t="s">
        <v>11914</v>
      </c>
      <c r="F1108" s="64" t="s">
        <v>622</v>
      </c>
      <c r="G1108" s="60" t="s">
        <v>96</v>
      </c>
      <c r="H1108" s="88">
        <v>0.01247</v>
      </c>
      <c r="I1108" s="49" t="s">
        <v>15046</v>
      </c>
      <c r="J1108" s="49" t="s">
        <v>15047</v>
      </c>
      <c r="K1108" s="44"/>
      <c r="L1108" s="44"/>
    </row>
    <row r="1109">
      <c r="A1109" s="48" t="s">
        <v>9855</v>
      </c>
      <c r="B1109" s="48"/>
      <c r="C1109" s="64" t="s">
        <v>15048</v>
      </c>
      <c r="D1109" s="48"/>
      <c r="E1109" s="48" t="s">
        <v>11907</v>
      </c>
      <c r="F1109" s="64" t="s">
        <v>629</v>
      </c>
      <c r="G1109" s="60" t="s">
        <v>96</v>
      </c>
      <c r="H1109" s="88">
        <v>0.01243</v>
      </c>
      <c r="I1109" s="49" t="s">
        <v>15049</v>
      </c>
      <c r="J1109" s="49" t="s">
        <v>15050</v>
      </c>
      <c r="K1109" s="44"/>
      <c r="L1109" s="44"/>
    </row>
    <row r="1110">
      <c r="A1110" s="48" t="s">
        <v>11695</v>
      </c>
      <c r="B1110" s="48"/>
      <c r="C1110" s="64" t="s">
        <v>15051</v>
      </c>
      <c r="D1110" s="48"/>
      <c r="E1110" s="48" t="s">
        <v>12090</v>
      </c>
      <c r="F1110" s="64" t="s">
        <v>694</v>
      </c>
      <c r="G1110" s="60" t="s">
        <v>96</v>
      </c>
      <c r="H1110" s="88">
        <v>0.01237</v>
      </c>
      <c r="I1110" s="49" t="s">
        <v>15052</v>
      </c>
      <c r="J1110" s="49" t="s">
        <v>15053</v>
      </c>
      <c r="K1110" s="44"/>
      <c r="L1110" s="44"/>
    </row>
    <row r="1111">
      <c r="A1111" s="48" t="s">
        <v>9935</v>
      </c>
      <c r="B1111" s="48"/>
      <c r="C1111" s="64" t="s">
        <v>15054</v>
      </c>
      <c r="D1111" s="48"/>
      <c r="E1111" s="48" t="s">
        <v>15055</v>
      </c>
      <c r="F1111" s="64" t="s">
        <v>629</v>
      </c>
      <c r="G1111" s="60" t="s">
        <v>96</v>
      </c>
      <c r="H1111" s="88">
        <v>0.01237</v>
      </c>
      <c r="I1111" s="49" t="s">
        <v>15056</v>
      </c>
      <c r="J1111" s="49" t="s">
        <v>15057</v>
      </c>
      <c r="K1111" s="44"/>
      <c r="L1111" s="44"/>
    </row>
    <row r="1112">
      <c r="A1112" s="48" t="s">
        <v>9896</v>
      </c>
      <c r="B1112" s="48"/>
      <c r="C1112" s="48" t="s">
        <v>9897</v>
      </c>
      <c r="D1112" s="48"/>
      <c r="E1112" s="48" t="s">
        <v>12236</v>
      </c>
      <c r="F1112" s="64" t="s">
        <v>649</v>
      </c>
      <c r="G1112" s="60" t="s">
        <v>96</v>
      </c>
      <c r="H1112" s="88">
        <v>0.01237</v>
      </c>
      <c r="I1112" s="49" t="s">
        <v>15058</v>
      </c>
      <c r="J1112" s="49" t="s">
        <v>15059</v>
      </c>
      <c r="K1112" s="44"/>
      <c r="L1112" s="44"/>
    </row>
    <row r="1113">
      <c r="A1113" s="48" t="s">
        <v>10119</v>
      </c>
      <c r="B1113" s="48"/>
      <c r="C1113" s="64" t="s">
        <v>15060</v>
      </c>
      <c r="D1113" s="48"/>
      <c r="E1113" s="48" t="s">
        <v>5961</v>
      </c>
      <c r="F1113" s="64" t="s">
        <v>629</v>
      </c>
      <c r="G1113" s="60" t="s">
        <v>96</v>
      </c>
      <c r="H1113" s="88">
        <v>0.01237</v>
      </c>
      <c r="I1113" s="49" t="s">
        <v>15061</v>
      </c>
      <c r="J1113" s="49" t="s">
        <v>15062</v>
      </c>
      <c r="K1113" s="44"/>
      <c r="L1113" s="44"/>
    </row>
    <row r="1114">
      <c r="A1114" s="48" t="s">
        <v>9788</v>
      </c>
      <c r="B1114" s="48"/>
      <c r="C1114" s="48" t="s">
        <v>9789</v>
      </c>
      <c r="D1114" s="48"/>
      <c r="E1114" s="48" t="s">
        <v>12014</v>
      </c>
      <c r="F1114" s="64" t="s">
        <v>649</v>
      </c>
      <c r="G1114" s="60" t="s">
        <v>96</v>
      </c>
      <c r="H1114" s="88">
        <v>0.01236</v>
      </c>
      <c r="I1114" s="49" t="s">
        <v>15063</v>
      </c>
      <c r="J1114" s="49" t="s">
        <v>15064</v>
      </c>
      <c r="K1114" s="44"/>
      <c r="L1114" s="44"/>
    </row>
    <row r="1115">
      <c r="A1115" s="48" t="s">
        <v>11728</v>
      </c>
      <c r="B1115" s="48"/>
      <c r="C1115" s="64" t="s">
        <v>15065</v>
      </c>
      <c r="D1115" s="48"/>
      <c r="E1115" s="48" t="s">
        <v>12004</v>
      </c>
      <c r="F1115" s="64" t="s">
        <v>694</v>
      </c>
      <c r="G1115" s="60" t="s">
        <v>96</v>
      </c>
      <c r="H1115" s="88">
        <v>0.01234</v>
      </c>
      <c r="I1115" s="49" t="s">
        <v>15066</v>
      </c>
      <c r="J1115" s="49" t="s">
        <v>15067</v>
      </c>
      <c r="K1115" s="44"/>
      <c r="L1115" s="44"/>
    </row>
    <row r="1116">
      <c r="A1116" s="48" t="s">
        <v>11711</v>
      </c>
      <c r="B1116" s="48"/>
      <c r="C1116" s="64" t="s">
        <v>15068</v>
      </c>
      <c r="D1116" s="48"/>
      <c r="E1116" s="48" t="s">
        <v>11903</v>
      </c>
      <c r="F1116" s="64" t="s">
        <v>679</v>
      </c>
      <c r="G1116" s="60" t="s">
        <v>96</v>
      </c>
      <c r="H1116" s="88">
        <v>0.01233</v>
      </c>
      <c r="I1116" s="49" t="s">
        <v>15069</v>
      </c>
      <c r="J1116" s="49" t="s">
        <v>15070</v>
      </c>
      <c r="K1116" s="44"/>
      <c r="L1116" s="44"/>
    </row>
    <row r="1117">
      <c r="A1117" s="48" t="s">
        <v>10007</v>
      </c>
      <c r="B1117" s="48"/>
      <c r="C1117" s="64" t="s">
        <v>15071</v>
      </c>
      <c r="D1117" s="48"/>
      <c r="E1117" s="48" t="s">
        <v>14061</v>
      </c>
      <c r="F1117" s="64" t="s">
        <v>738</v>
      </c>
      <c r="G1117" s="60" t="s">
        <v>96</v>
      </c>
      <c r="H1117" s="88">
        <v>0.0123</v>
      </c>
      <c r="I1117" s="49" t="s">
        <v>15072</v>
      </c>
      <c r="J1117" s="49" t="s">
        <v>15073</v>
      </c>
      <c r="K1117" s="44"/>
      <c r="L1117" s="44"/>
    </row>
    <row r="1118">
      <c r="A1118" s="48" t="s">
        <v>10014</v>
      </c>
      <c r="B1118" s="48"/>
      <c r="C1118" s="64" t="s">
        <v>15074</v>
      </c>
      <c r="D1118" s="48"/>
      <c r="E1118" s="48" t="s">
        <v>12356</v>
      </c>
      <c r="F1118" s="64" t="s">
        <v>629</v>
      </c>
      <c r="G1118" s="60" t="s">
        <v>96</v>
      </c>
      <c r="H1118" s="88">
        <v>0.01228</v>
      </c>
      <c r="I1118" s="49" t="s">
        <v>15075</v>
      </c>
      <c r="J1118" s="49" t="s">
        <v>15076</v>
      </c>
      <c r="K1118" s="44"/>
      <c r="L1118" s="44"/>
    </row>
    <row r="1119">
      <c r="A1119" s="48" t="s">
        <v>9999</v>
      </c>
      <c r="B1119" s="48"/>
      <c r="C1119" s="64" t="s">
        <v>15077</v>
      </c>
      <c r="D1119" s="48"/>
      <c r="E1119" s="48" t="s">
        <v>11903</v>
      </c>
      <c r="F1119" s="64" t="s">
        <v>629</v>
      </c>
      <c r="G1119" s="60" t="s">
        <v>96</v>
      </c>
      <c r="H1119" s="88">
        <v>0.01228</v>
      </c>
      <c r="I1119" s="49" t="s">
        <v>15078</v>
      </c>
      <c r="J1119" s="49" t="s">
        <v>15079</v>
      </c>
      <c r="K1119" s="44"/>
      <c r="L1119" s="44"/>
    </row>
    <row r="1120">
      <c r="A1120" s="48" t="s">
        <v>9876</v>
      </c>
      <c r="B1120" s="48"/>
      <c r="C1120" s="48" t="s">
        <v>9877</v>
      </c>
      <c r="D1120" s="48"/>
      <c r="E1120" s="48" t="s">
        <v>5401</v>
      </c>
      <c r="F1120" s="64" t="s">
        <v>11998</v>
      </c>
      <c r="G1120" s="60" t="s">
        <v>96</v>
      </c>
      <c r="H1120" s="88">
        <v>0.01223</v>
      </c>
      <c r="I1120" s="49" t="s">
        <v>15080</v>
      </c>
      <c r="J1120" s="49" t="s">
        <v>15081</v>
      </c>
      <c r="K1120" s="44"/>
      <c r="L1120" s="44"/>
    </row>
    <row r="1121">
      <c r="A1121" s="48" t="s">
        <v>10003</v>
      </c>
      <c r="B1121" s="48"/>
      <c r="C1121" s="48" t="s">
        <v>10004</v>
      </c>
      <c r="D1121" s="48"/>
      <c r="E1121" s="48" t="s">
        <v>12787</v>
      </c>
      <c r="F1121" s="64" t="s">
        <v>1673</v>
      </c>
      <c r="G1121" s="60" t="s">
        <v>96</v>
      </c>
      <c r="H1121" s="88">
        <v>0.01221</v>
      </c>
      <c r="I1121" s="49" t="s">
        <v>15082</v>
      </c>
      <c r="J1121" s="49" t="s">
        <v>15083</v>
      </c>
      <c r="K1121" s="44"/>
      <c r="L1121" s="44"/>
    </row>
    <row r="1122">
      <c r="A1122" s="48" t="s">
        <v>4659</v>
      </c>
      <c r="B1122" s="48"/>
      <c r="C1122" s="64" t="s">
        <v>15084</v>
      </c>
      <c r="D1122" s="48"/>
      <c r="E1122" s="48" t="s">
        <v>5218</v>
      </c>
      <c r="F1122" s="64" t="s">
        <v>622</v>
      </c>
      <c r="G1122" s="60" t="s">
        <v>96</v>
      </c>
      <c r="H1122" s="88">
        <v>0.01221</v>
      </c>
      <c r="I1122" s="49" t="s">
        <v>15085</v>
      </c>
      <c r="J1122" s="49" t="s">
        <v>15086</v>
      </c>
      <c r="K1122" s="44"/>
      <c r="L1122" s="44"/>
    </row>
    <row r="1123">
      <c r="A1123" s="48" t="s">
        <v>9780</v>
      </c>
      <c r="B1123" s="48"/>
      <c r="C1123" s="64" t="s">
        <v>15087</v>
      </c>
      <c r="D1123" s="48"/>
      <c r="E1123" s="48" t="s">
        <v>6012</v>
      </c>
      <c r="F1123" s="64" t="s">
        <v>629</v>
      </c>
      <c r="G1123" s="60" t="s">
        <v>96</v>
      </c>
      <c r="H1123" s="88">
        <v>0.01214</v>
      </c>
      <c r="I1123" s="49" t="s">
        <v>15088</v>
      </c>
      <c r="J1123" s="49" t="s">
        <v>15089</v>
      </c>
      <c r="K1123" s="44"/>
      <c r="L1123" s="44"/>
    </row>
    <row r="1124">
      <c r="A1124" s="48" t="s">
        <v>10072</v>
      </c>
      <c r="B1124" s="48"/>
      <c r="C1124" s="48" t="s">
        <v>10073</v>
      </c>
      <c r="D1124" s="48"/>
      <c r="E1124" s="48" t="s">
        <v>14458</v>
      </c>
      <c r="F1124" s="64" t="s">
        <v>639</v>
      </c>
      <c r="G1124" s="60" t="s">
        <v>96</v>
      </c>
      <c r="H1124" s="88">
        <v>0.01214</v>
      </c>
      <c r="I1124" s="49" t="s">
        <v>15090</v>
      </c>
      <c r="J1124" s="49" t="s">
        <v>15091</v>
      </c>
      <c r="K1124" s="44"/>
      <c r="L1124" s="44"/>
    </row>
    <row r="1125">
      <c r="A1125" s="48" t="s">
        <v>11735</v>
      </c>
      <c r="B1125" s="48"/>
      <c r="C1125" s="48" t="s">
        <v>3119</v>
      </c>
      <c r="D1125" s="48"/>
      <c r="E1125" s="48" t="s">
        <v>11936</v>
      </c>
      <c r="F1125" s="64" t="s">
        <v>2247</v>
      </c>
      <c r="G1125" s="60" t="s">
        <v>96</v>
      </c>
      <c r="H1125" s="88">
        <v>0.0121</v>
      </c>
      <c r="I1125" s="49" t="s">
        <v>15092</v>
      </c>
      <c r="J1125" s="49" t="s">
        <v>15093</v>
      </c>
      <c r="K1125" s="44"/>
      <c r="L1125" s="44"/>
    </row>
    <row r="1126">
      <c r="A1126" s="48" t="s">
        <v>10106</v>
      </c>
      <c r="B1126" s="48"/>
      <c r="C1126" s="48" t="s">
        <v>10107</v>
      </c>
      <c r="D1126" s="48"/>
      <c r="E1126" s="48" t="s">
        <v>11982</v>
      </c>
      <c r="F1126" s="64" t="s">
        <v>11998</v>
      </c>
      <c r="G1126" s="60" t="s">
        <v>96</v>
      </c>
      <c r="H1126" s="88">
        <v>0.012</v>
      </c>
      <c r="I1126" s="49" t="s">
        <v>15094</v>
      </c>
      <c r="J1126" s="49" t="s">
        <v>15095</v>
      </c>
      <c r="K1126" s="44"/>
      <c r="L1126" s="44"/>
    </row>
    <row r="1127">
      <c r="A1127" s="48" t="s">
        <v>9912</v>
      </c>
      <c r="B1127" s="48"/>
      <c r="C1127" s="48" t="s">
        <v>9913</v>
      </c>
      <c r="D1127" s="48"/>
      <c r="E1127" s="48" t="s">
        <v>14061</v>
      </c>
      <c r="F1127" s="64" t="s">
        <v>645</v>
      </c>
      <c r="G1127" s="60" t="s">
        <v>96</v>
      </c>
      <c r="H1127" s="88">
        <v>0.01199</v>
      </c>
      <c r="I1127" s="49" t="s">
        <v>15096</v>
      </c>
      <c r="J1127" s="49" t="s">
        <v>15097</v>
      </c>
      <c r="K1127" s="44"/>
      <c r="L1127" s="44"/>
    </row>
    <row r="1128">
      <c r="A1128" s="48" t="s">
        <v>11661</v>
      </c>
      <c r="B1128" s="48"/>
      <c r="C1128" s="64" t="s">
        <v>15098</v>
      </c>
      <c r="D1128" s="48"/>
      <c r="E1128" s="48" t="s">
        <v>12729</v>
      </c>
      <c r="F1128" s="64" t="s">
        <v>622</v>
      </c>
      <c r="G1128" s="60" t="s">
        <v>96</v>
      </c>
      <c r="H1128" s="88">
        <v>0.01196</v>
      </c>
      <c r="I1128" s="49" t="s">
        <v>15099</v>
      </c>
      <c r="J1128" s="49" t="s">
        <v>15100</v>
      </c>
      <c r="K1128" s="44"/>
      <c r="L1128" s="44"/>
    </row>
    <row r="1129">
      <c r="A1129" s="48" t="s">
        <v>11730</v>
      </c>
      <c r="B1129" s="48"/>
      <c r="C1129" s="48" t="s">
        <v>11731</v>
      </c>
      <c r="D1129" s="48"/>
      <c r="E1129" s="48" t="s">
        <v>12182</v>
      </c>
      <c r="F1129" s="64" t="s">
        <v>686</v>
      </c>
      <c r="G1129" s="60" t="s">
        <v>96</v>
      </c>
      <c r="H1129" s="88">
        <v>0.01194</v>
      </c>
      <c r="I1129" s="49" t="s">
        <v>15101</v>
      </c>
      <c r="J1129" s="49" t="s">
        <v>15102</v>
      </c>
      <c r="K1129" s="44"/>
      <c r="L1129" s="44"/>
    </row>
    <row r="1130">
      <c r="A1130" s="48" t="s">
        <v>10129</v>
      </c>
      <c r="B1130" s="48"/>
      <c r="C1130" s="64" t="s">
        <v>15103</v>
      </c>
      <c r="D1130" s="48"/>
      <c r="E1130" s="48" t="s">
        <v>12356</v>
      </c>
      <c r="F1130" s="64" t="s">
        <v>629</v>
      </c>
      <c r="G1130" s="60" t="s">
        <v>96</v>
      </c>
      <c r="H1130" s="88">
        <v>0.01193</v>
      </c>
      <c r="I1130" s="49" t="s">
        <v>15104</v>
      </c>
      <c r="J1130" s="49" t="s">
        <v>15105</v>
      </c>
      <c r="K1130" s="44"/>
      <c r="L1130" s="44"/>
    </row>
    <row r="1131">
      <c r="A1131" s="48" t="s">
        <v>11678</v>
      </c>
      <c r="B1131" s="48"/>
      <c r="C1131" s="48" t="s">
        <v>15106</v>
      </c>
      <c r="D1131" s="48"/>
      <c r="E1131" s="48" t="s">
        <v>12566</v>
      </c>
      <c r="F1131" s="64" t="s">
        <v>622</v>
      </c>
      <c r="G1131" s="60" t="s">
        <v>96</v>
      </c>
      <c r="H1131" s="88">
        <v>0.01192</v>
      </c>
      <c r="I1131" s="49" t="s">
        <v>15107</v>
      </c>
      <c r="J1131" s="49" t="s">
        <v>15108</v>
      </c>
      <c r="K1131" s="44"/>
      <c r="L1131" s="44"/>
    </row>
    <row r="1132">
      <c r="A1132" s="48" t="s">
        <v>4674</v>
      </c>
      <c r="B1132" s="48"/>
      <c r="C1132" s="64" t="s">
        <v>15109</v>
      </c>
      <c r="D1132" s="48"/>
      <c r="E1132" s="48" t="s">
        <v>12246</v>
      </c>
      <c r="F1132" s="64" t="s">
        <v>622</v>
      </c>
      <c r="G1132" s="60" t="s">
        <v>96</v>
      </c>
      <c r="H1132" s="88">
        <v>0.0119</v>
      </c>
      <c r="I1132" s="49" t="s">
        <v>15110</v>
      </c>
      <c r="J1132" s="49" t="s">
        <v>15111</v>
      </c>
      <c r="K1132" s="44"/>
      <c r="L1132" s="44"/>
    </row>
    <row r="1133">
      <c r="A1133" s="48" t="s">
        <v>11740</v>
      </c>
      <c r="B1133" s="48"/>
      <c r="C1133" s="64" t="s">
        <v>15112</v>
      </c>
      <c r="D1133" s="48"/>
      <c r="E1133" s="48" t="s">
        <v>12116</v>
      </c>
      <c r="F1133" s="64" t="s">
        <v>694</v>
      </c>
      <c r="G1133" s="60" t="s">
        <v>96</v>
      </c>
      <c r="H1133" s="88">
        <v>0.01188</v>
      </c>
      <c r="I1133" s="49" t="s">
        <v>15113</v>
      </c>
      <c r="J1133" s="49" t="s">
        <v>15114</v>
      </c>
      <c r="K1133" s="44"/>
      <c r="L1133" s="44"/>
    </row>
    <row r="1134">
      <c r="A1134" s="48" t="s">
        <v>11693</v>
      </c>
      <c r="B1134" s="48"/>
      <c r="C1134" s="64" t="s">
        <v>15115</v>
      </c>
      <c r="D1134" s="48"/>
      <c r="E1134" s="48" t="s">
        <v>12004</v>
      </c>
      <c r="F1134" s="64" t="s">
        <v>622</v>
      </c>
      <c r="G1134" s="60" t="s">
        <v>96</v>
      </c>
      <c r="H1134" s="88">
        <v>0.01188</v>
      </c>
      <c r="I1134" s="49" t="s">
        <v>15116</v>
      </c>
      <c r="J1134" s="49" t="s">
        <v>15117</v>
      </c>
      <c r="K1134" s="44"/>
      <c r="L1134" s="44"/>
    </row>
    <row r="1135">
      <c r="A1135" s="48" t="s">
        <v>9966</v>
      </c>
      <c r="B1135" s="48"/>
      <c r="C1135" s="48" t="s">
        <v>15118</v>
      </c>
      <c r="D1135" s="48"/>
      <c r="E1135" s="48" t="s">
        <v>12356</v>
      </c>
      <c r="F1135" s="64" t="s">
        <v>1740</v>
      </c>
      <c r="G1135" s="60" t="s">
        <v>96</v>
      </c>
      <c r="H1135" s="88">
        <v>0.01185</v>
      </c>
      <c r="I1135" s="49" t="s">
        <v>15119</v>
      </c>
      <c r="J1135" s="49" t="s">
        <v>15120</v>
      </c>
      <c r="K1135" s="44"/>
      <c r="L1135" s="44"/>
    </row>
    <row r="1136">
      <c r="A1136" s="48" t="s">
        <v>10104</v>
      </c>
      <c r="B1136" s="48"/>
      <c r="C1136" s="64" t="s">
        <v>15121</v>
      </c>
      <c r="D1136" s="48"/>
      <c r="E1136" s="48" t="s">
        <v>15122</v>
      </c>
      <c r="F1136" s="64" t="s">
        <v>738</v>
      </c>
      <c r="G1136" s="60" t="s">
        <v>96</v>
      </c>
      <c r="H1136" s="88">
        <v>0.01182</v>
      </c>
      <c r="I1136" s="49" t="s">
        <v>15123</v>
      </c>
      <c r="J1136" s="49" t="s">
        <v>15124</v>
      </c>
      <c r="K1136" s="44"/>
      <c r="L1136" s="44"/>
    </row>
    <row r="1137">
      <c r="A1137" s="48" t="s">
        <v>9947</v>
      </c>
      <c r="B1137" s="48"/>
      <c r="C1137" s="64" t="s">
        <v>15125</v>
      </c>
      <c r="D1137" s="48"/>
      <c r="E1137" s="48" t="s">
        <v>12356</v>
      </c>
      <c r="F1137" s="64" t="s">
        <v>629</v>
      </c>
      <c r="G1137" s="60" t="s">
        <v>96</v>
      </c>
      <c r="H1137" s="88">
        <v>0.0118</v>
      </c>
      <c r="I1137" s="49" t="s">
        <v>15126</v>
      </c>
      <c r="J1137" s="49" t="s">
        <v>15127</v>
      </c>
      <c r="K1137" s="44"/>
      <c r="L1137" s="44"/>
    </row>
    <row r="1138">
      <c r="A1138" s="48" t="s">
        <v>11724</v>
      </c>
      <c r="B1138" s="48"/>
      <c r="C1138" s="64" t="s">
        <v>15128</v>
      </c>
      <c r="D1138" s="48"/>
      <c r="E1138" s="48" t="s">
        <v>15129</v>
      </c>
      <c r="F1138" s="64" t="s">
        <v>694</v>
      </c>
      <c r="G1138" s="60" t="s">
        <v>96</v>
      </c>
      <c r="H1138" s="88">
        <v>0.01175</v>
      </c>
      <c r="I1138" s="49" t="s">
        <v>15130</v>
      </c>
      <c r="J1138" s="49" t="s">
        <v>15131</v>
      </c>
      <c r="K1138" s="44"/>
      <c r="L1138" s="44"/>
    </row>
    <row r="1139">
      <c r="A1139" s="48" t="s">
        <v>11668</v>
      </c>
      <c r="B1139" s="48"/>
      <c r="C1139" s="64" t="s">
        <v>15132</v>
      </c>
      <c r="D1139" s="48"/>
      <c r="E1139" s="48" t="s">
        <v>12908</v>
      </c>
      <c r="F1139" s="64" t="s">
        <v>629</v>
      </c>
      <c r="G1139" s="60" t="s">
        <v>96</v>
      </c>
      <c r="H1139" s="88">
        <v>0.01173</v>
      </c>
      <c r="I1139" s="49" t="s">
        <v>15133</v>
      </c>
      <c r="J1139" s="49" t="s">
        <v>15134</v>
      </c>
      <c r="K1139" s="44"/>
      <c r="L1139" s="44"/>
    </row>
    <row r="1140">
      <c r="A1140" s="48" t="s">
        <v>10144</v>
      </c>
      <c r="B1140" s="48"/>
      <c r="C1140" s="64" t="s">
        <v>15135</v>
      </c>
      <c r="D1140" s="48"/>
      <c r="E1140" s="48" t="s">
        <v>12072</v>
      </c>
      <c r="F1140" s="64" t="s">
        <v>1740</v>
      </c>
      <c r="G1140" s="60" t="s">
        <v>96</v>
      </c>
      <c r="H1140" s="88">
        <v>0.01173</v>
      </c>
      <c r="I1140" s="49" t="s">
        <v>15136</v>
      </c>
      <c r="J1140" s="49" t="s">
        <v>15137</v>
      </c>
      <c r="K1140" s="44"/>
      <c r="L1140" s="44"/>
    </row>
    <row r="1141">
      <c r="A1141" s="48" t="s">
        <v>10020</v>
      </c>
      <c r="B1141" s="48"/>
      <c r="C1141" s="64" t="s">
        <v>15138</v>
      </c>
      <c r="D1141" s="48"/>
      <c r="E1141" s="48" t="s">
        <v>12175</v>
      </c>
      <c r="F1141" s="64" t="s">
        <v>629</v>
      </c>
      <c r="G1141" s="60" t="s">
        <v>96</v>
      </c>
      <c r="H1141" s="88">
        <v>0.01169</v>
      </c>
      <c r="I1141" s="49" t="s">
        <v>15139</v>
      </c>
      <c r="J1141" s="49" t="s">
        <v>15140</v>
      </c>
      <c r="K1141" s="44"/>
      <c r="L1141" s="44"/>
    </row>
    <row r="1142">
      <c r="A1142" s="48" t="s">
        <v>9704</v>
      </c>
      <c r="B1142" s="48"/>
      <c r="C1142" s="48" t="s">
        <v>9705</v>
      </c>
      <c r="D1142" s="48"/>
      <c r="E1142" s="48" t="s">
        <v>11942</v>
      </c>
      <c r="F1142" s="64" t="s">
        <v>1352</v>
      </c>
      <c r="G1142" s="60" t="s">
        <v>96</v>
      </c>
      <c r="H1142" s="88">
        <v>0.01167</v>
      </c>
      <c r="I1142" s="49" t="s">
        <v>15141</v>
      </c>
      <c r="J1142" s="49" t="s">
        <v>15142</v>
      </c>
      <c r="K1142" s="44"/>
      <c r="L1142" s="44"/>
    </row>
    <row r="1143">
      <c r="A1143" s="48" t="s">
        <v>11657</v>
      </c>
      <c r="B1143" s="48"/>
      <c r="C1143" s="64" t="s">
        <v>15143</v>
      </c>
      <c r="D1143" s="48"/>
      <c r="E1143" s="48" t="s">
        <v>5650</v>
      </c>
      <c r="F1143" s="64" t="s">
        <v>622</v>
      </c>
      <c r="G1143" s="60" t="s">
        <v>96</v>
      </c>
      <c r="H1143" s="88">
        <v>0.01166</v>
      </c>
      <c r="I1143" s="49" t="s">
        <v>15144</v>
      </c>
      <c r="J1143" s="49" t="s">
        <v>15145</v>
      </c>
      <c r="K1143" s="44"/>
      <c r="L1143" s="44"/>
    </row>
    <row r="1144">
      <c r="A1144" s="48" t="s">
        <v>9978</v>
      </c>
      <c r="B1144" s="48"/>
      <c r="C1144" s="48" t="s">
        <v>9979</v>
      </c>
      <c r="D1144" s="48"/>
      <c r="E1144" s="48" t="s">
        <v>12777</v>
      </c>
      <c r="F1144" s="64" t="s">
        <v>11998</v>
      </c>
      <c r="G1144" s="60" t="s">
        <v>96</v>
      </c>
      <c r="H1144" s="88">
        <v>0.01162</v>
      </c>
      <c r="I1144" s="49" t="s">
        <v>15146</v>
      </c>
      <c r="J1144" s="49" t="s">
        <v>15147</v>
      </c>
      <c r="K1144" s="44"/>
      <c r="L1144" s="44"/>
    </row>
    <row r="1145">
      <c r="A1145" s="48" t="s">
        <v>4516</v>
      </c>
      <c r="B1145" s="48"/>
      <c r="C1145" s="64" t="s">
        <v>15148</v>
      </c>
      <c r="D1145" s="48"/>
      <c r="E1145" s="48" t="s">
        <v>12964</v>
      </c>
      <c r="F1145" s="64" t="s">
        <v>694</v>
      </c>
      <c r="G1145" s="60" t="s">
        <v>96</v>
      </c>
      <c r="H1145" s="88">
        <v>0.01149</v>
      </c>
      <c r="I1145" s="49" t="s">
        <v>15149</v>
      </c>
      <c r="J1145" s="49" t="s">
        <v>15150</v>
      </c>
      <c r="K1145" s="44"/>
      <c r="L1145" s="44"/>
    </row>
    <row r="1146">
      <c r="A1146" s="48" t="s">
        <v>10095</v>
      </c>
      <c r="B1146" s="48"/>
      <c r="C1146" s="64" t="s">
        <v>15151</v>
      </c>
      <c r="D1146" s="48"/>
      <c r="E1146" s="48" t="s">
        <v>5341</v>
      </c>
      <c r="F1146" s="64" t="s">
        <v>629</v>
      </c>
      <c r="G1146" s="60" t="s">
        <v>96</v>
      </c>
      <c r="H1146" s="88">
        <v>0.01147</v>
      </c>
      <c r="I1146" s="49" t="s">
        <v>15152</v>
      </c>
      <c r="J1146" s="49" t="s">
        <v>15153</v>
      </c>
      <c r="K1146" s="44"/>
      <c r="L1146" s="44"/>
    </row>
    <row r="1147">
      <c r="A1147" s="48" t="s">
        <v>10836</v>
      </c>
      <c r="B1147" s="48"/>
      <c r="C1147" s="48" t="s">
        <v>15154</v>
      </c>
      <c r="D1147" s="48"/>
      <c r="E1147" s="48" t="s">
        <v>12182</v>
      </c>
      <c r="F1147" s="64" t="s">
        <v>1740</v>
      </c>
      <c r="G1147" s="60" t="s">
        <v>96</v>
      </c>
      <c r="H1147" s="88">
        <v>0.01144</v>
      </c>
      <c r="I1147" s="49" t="s">
        <v>15155</v>
      </c>
      <c r="J1147" s="49" t="s">
        <v>15156</v>
      </c>
      <c r="K1147" s="44"/>
      <c r="L1147" s="44"/>
    </row>
    <row r="1148">
      <c r="A1148" s="48" t="s">
        <v>10022</v>
      </c>
      <c r="B1148" s="48"/>
      <c r="C1148" s="64" t="s">
        <v>15157</v>
      </c>
      <c r="D1148" s="48"/>
      <c r="E1148" s="48" t="s">
        <v>11942</v>
      </c>
      <c r="F1148" s="64" t="s">
        <v>679</v>
      </c>
      <c r="G1148" s="60" t="s">
        <v>96</v>
      </c>
      <c r="H1148" s="88">
        <v>0.01143</v>
      </c>
      <c r="I1148" s="49" t="s">
        <v>15158</v>
      </c>
      <c r="J1148" s="49" t="s">
        <v>15159</v>
      </c>
      <c r="K1148" s="44"/>
      <c r="L1148" s="44"/>
    </row>
    <row r="1149">
      <c r="A1149" s="48" t="s">
        <v>9941</v>
      </c>
      <c r="B1149" s="48"/>
      <c r="C1149" s="64" t="s">
        <v>15160</v>
      </c>
      <c r="D1149" s="48"/>
      <c r="E1149" s="48" t="s">
        <v>12116</v>
      </c>
      <c r="F1149" s="64" t="s">
        <v>738</v>
      </c>
      <c r="G1149" s="60" t="s">
        <v>96</v>
      </c>
      <c r="H1149" s="88">
        <v>0.01142</v>
      </c>
      <c r="I1149" s="49" t="s">
        <v>15161</v>
      </c>
      <c r="J1149" s="49" t="s">
        <v>15162</v>
      </c>
      <c r="K1149" s="44"/>
      <c r="L1149" s="44"/>
    </row>
    <row r="1150">
      <c r="A1150" s="48" t="s">
        <v>9997</v>
      </c>
      <c r="B1150" s="48"/>
      <c r="C1150" s="64" t="s">
        <v>15163</v>
      </c>
      <c r="D1150" s="48"/>
      <c r="E1150" s="48" t="s">
        <v>13574</v>
      </c>
      <c r="F1150" s="64" t="s">
        <v>629</v>
      </c>
      <c r="G1150" s="60" t="s">
        <v>96</v>
      </c>
      <c r="H1150" s="88">
        <v>0.01141</v>
      </c>
      <c r="I1150" s="49" t="s">
        <v>15164</v>
      </c>
      <c r="J1150" s="49" t="s">
        <v>15165</v>
      </c>
      <c r="K1150" s="44"/>
      <c r="L1150" s="44"/>
    </row>
    <row r="1151">
      <c r="A1151" s="48" t="s">
        <v>11752</v>
      </c>
      <c r="B1151" s="48"/>
      <c r="C1151" s="48" t="s">
        <v>11753</v>
      </c>
      <c r="D1151" s="48"/>
      <c r="E1151" s="48" t="s">
        <v>12078</v>
      </c>
      <c r="F1151" s="64" t="s">
        <v>686</v>
      </c>
      <c r="G1151" s="60" t="s">
        <v>96</v>
      </c>
      <c r="H1151" s="88">
        <v>0.01139</v>
      </c>
      <c r="I1151" s="49" t="s">
        <v>15166</v>
      </c>
      <c r="J1151" s="49" t="s">
        <v>15167</v>
      </c>
      <c r="K1151" s="44"/>
      <c r="L1151" s="44"/>
    </row>
    <row r="1152">
      <c r="A1152" s="48" t="s">
        <v>11690</v>
      </c>
      <c r="B1152" s="48"/>
      <c r="C1152" s="48" t="s">
        <v>11691</v>
      </c>
      <c r="D1152" s="48"/>
      <c r="E1152" s="48" t="s">
        <v>12413</v>
      </c>
      <c r="F1152" s="64" t="s">
        <v>1352</v>
      </c>
      <c r="G1152" s="60" t="s">
        <v>96</v>
      </c>
      <c r="H1152" s="88">
        <v>0.01138</v>
      </c>
      <c r="I1152" s="49" t="s">
        <v>15168</v>
      </c>
      <c r="J1152" s="49" t="s">
        <v>15169</v>
      </c>
      <c r="K1152" s="44"/>
      <c r="L1152" s="44"/>
    </row>
    <row r="1153">
      <c r="A1153" s="48" t="s">
        <v>10044</v>
      </c>
      <c r="B1153" s="48"/>
      <c r="C1153" s="48" t="s">
        <v>10045</v>
      </c>
      <c r="D1153" s="48"/>
      <c r="E1153" s="48" t="s">
        <v>15122</v>
      </c>
      <c r="F1153" s="64" t="s">
        <v>649</v>
      </c>
      <c r="G1153" s="60" t="s">
        <v>96</v>
      </c>
      <c r="H1153" s="88">
        <v>0.01137</v>
      </c>
      <c r="I1153" s="49" t="s">
        <v>15170</v>
      </c>
      <c r="J1153" s="49" t="s">
        <v>15171</v>
      </c>
      <c r="K1153" s="44"/>
      <c r="L1153" s="44"/>
    </row>
    <row r="1154">
      <c r="A1154" s="48" t="s">
        <v>4537</v>
      </c>
      <c r="B1154" s="48"/>
      <c r="C1154" s="48" t="s">
        <v>3001</v>
      </c>
      <c r="D1154" s="48"/>
      <c r="E1154" s="48" t="s">
        <v>12205</v>
      </c>
      <c r="F1154" s="64" t="s">
        <v>1740</v>
      </c>
      <c r="G1154" s="60" t="s">
        <v>96</v>
      </c>
      <c r="H1154" s="88">
        <v>0.01134</v>
      </c>
      <c r="I1154" s="49" t="s">
        <v>15172</v>
      </c>
      <c r="J1154" s="49" t="s">
        <v>15173</v>
      </c>
      <c r="K1154" s="44"/>
      <c r="L1154" s="44"/>
    </row>
    <row r="1155">
      <c r="A1155" s="48" t="s">
        <v>11770</v>
      </c>
      <c r="B1155" s="48"/>
      <c r="C1155" s="64" t="s">
        <v>15174</v>
      </c>
      <c r="D1155" s="48"/>
      <c r="E1155" s="48" t="s">
        <v>13710</v>
      </c>
      <c r="F1155" s="64" t="s">
        <v>622</v>
      </c>
      <c r="G1155" s="60" t="s">
        <v>96</v>
      </c>
      <c r="H1155" s="88">
        <v>0.01134</v>
      </c>
      <c r="I1155" s="49" t="s">
        <v>15175</v>
      </c>
      <c r="J1155" s="49" t="s">
        <v>15176</v>
      </c>
      <c r="K1155" s="44"/>
      <c r="L1155" s="44"/>
    </row>
    <row r="1156">
      <c r="A1156" s="48" t="s">
        <v>11744</v>
      </c>
      <c r="B1156" s="48"/>
      <c r="C1156" s="48" t="s">
        <v>11745</v>
      </c>
      <c r="D1156" s="48"/>
      <c r="E1156" s="48" t="s">
        <v>6012</v>
      </c>
      <c r="F1156" s="64" t="s">
        <v>1374</v>
      </c>
      <c r="G1156" s="60" t="s">
        <v>96</v>
      </c>
      <c r="H1156" s="88">
        <v>0.01131</v>
      </c>
      <c r="I1156" s="49" t="s">
        <v>15177</v>
      </c>
      <c r="J1156" s="49" t="s">
        <v>15178</v>
      </c>
      <c r="K1156" s="44"/>
      <c r="L1156" s="44"/>
    </row>
    <row r="1157">
      <c r="A1157" s="48" t="s">
        <v>9953</v>
      </c>
      <c r="B1157" s="48"/>
      <c r="C1157" s="48" t="s">
        <v>9954</v>
      </c>
      <c r="D1157" s="48"/>
      <c r="E1157" s="48" t="s">
        <v>11942</v>
      </c>
      <c r="F1157" s="64" t="s">
        <v>668</v>
      </c>
      <c r="G1157" s="60" t="s">
        <v>96</v>
      </c>
      <c r="H1157" s="88">
        <v>0.01129</v>
      </c>
      <c r="I1157" s="49" t="s">
        <v>15179</v>
      </c>
      <c r="J1157" s="49" t="s">
        <v>15180</v>
      </c>
      <c r="K1157" s="44"/>
      <c r="L1157" s="44"/>
    </row>
    <row r="1158">
      <c r="A1158" s="48" t="s">
        <v>10056</v>
      </c>
      <c r="B1158" s="48"/>
      <c r="C1158" s="48" t="s">
        <v>10057</v>
      </c>
      <c r="D1158" s="48"/>
      <c r="E1158" s="48" t="s">
        <v>12243</v>
      </c>
      <c r="F1158" s="64" t="s">
        <v>668</v>
      </c>
      <c r="G1158" s="60" t="s">
        <v>96</v>
      </c>
      <c r="H1158" s="88">
        <v>0.01128</v>
      </c>
      <c r="I1158" s="49" t="s">
        <v>15181</v>
      </c>
      <c r="J1158" s="49" t="s">
        <v>15182</v>
      </c>
      <c r="K1158" s="44"/>
      <c r="L1158" s="44"/>
    </row>
    <row r="1159">
      <c r="A1159" s="48" t="s">
        <v>11761</v>
      </c>
      <c r="B1159" s="48"/>
      <c r="C1159" s="64" t="s">
        <v>15183</v>
      </c>
      <c r="D1159" s="48"/>
      <c r="E1159" s="48" t="s">
        <v>13710</v>
      </c>
      <c r="F1159" s="64" t="s">
        <v>629</v>
      </c>
      <c r="G1159" s="60" t="s">
        <v>96</v>
      </c>
      <c r="H1159" s="88">
        <v>0.01128</v>
      </c>
      <c r="I1159" s="49" t="s">
        <v>15184</v>
      </c>
      <c r="J1159" s="49" t="s">
        <v>15185</v>
      </c>
      <c r="K1159" s="44"/>
      <c r="L1159" s="44"/>
    </row>
    <row r="1160">
      <c r="A1160" s="48" t="s">
        <v>11717</v>
      </c>
      <c r="B1160" s="48"/>
      <c r="C1160" s="64" t="s">
        <v>15186</v>
      </c>
      <c r="D1160" s="48"/>
      <c r="E1160" s="48" t="s">
        <v>12409</v>
      </c>
      <c r="F1160" s="64" t="s">
        <v>629</v>
      </c>
      <c r="G1160" s="60" t="s">
        <v>96</v>
      </c>
      <c r="H1160" s="88">
        <v>0.01126</v>
      </c>
      <c r="I1160" s="49" t="s">
        <v>15187</v>
      </c>
      <c r="J1160" s="49" t="s">
        <v>15188</v>
      </c>
      <c r="K1160" s="44"/>
      <c r="L1160" s="44"/>
    </row>
    <row r="1161">
      <c r="A1161" s="48" t="s">
        <v>11699</v>
      </c>
      <c r="B1161" s="48"/>
      <c r="C1161" s="64" t="s">
        <v>15189</v>
      </c>
      <c r="D1161" s="48"/>
      <c r="E1161" s="48" t="s">
        <v>12647</v>
      </c>
      <c r="F1161" s="64" t="s">
        <v>694</v>
      </c>
      <c r="G1161" s="60" t="s">
        <v>96</v>
      </c>
      <c r="H1161" s="88">
        <v>0.01117</v>
      </c>
      <c r="I1161" s="49" t="s">
        <v>15190</v>
      </c>
      <c r="J1161" s="49" t="s">
        <v>15191</v>
      </c>
      <c r="K1161" s="44"/>
      <c r="L1161" s="44"/>
    </row>
    <row r="1162">
      <c r="A1162" s="48" t="s">
        <v>10066</v>
      </c>
      <c r="B1162" s="48"/>
      <c r="C1162" s="48" t="s">
        <v>10067</v>
      </c>
      <c r="D1162" s="48"/>
      <c r="E1162" s="48" t="s">
        <v>12918</v>
      </c>
      <c r="F1162" s="64" t="s">
        <v>11998</v>
      </c>
      <c r="G1162" s="60" t="s">
        <v>96</v>
      </c>
      <c r="H1162" s="88">
        <v>0.01117</v>
      </c>
      <c r="I1162" s="49" t="s">
        <v>15192</v>
      </c>
      <c r="J1162" s="49" t="s">
        <v>15193</v>
      </c>
      <c r="K1162" s="44"/>
      <c r="L1162" s="44"/>
    </row>
    <row r="1163">
      <c r="A1163" s="48" t="s">
        <v>10078</v>
      </c>
      <c r="B1163" s="48"/>
      <c r="C1163" s="64" t="s">
        <v>15194</v>
      </c>
      <c r="D1163" s="48"/>
      <c r="E1163" s="48" t="s">
        <v>13956</v>
      </c>
      <c r="F1163" s="64" t="s">
        <v>629</v>
      </c>
      <c r="G1163" s="60" t="s">
        <v>96</v>
      </c>
      <c r="H1163" s="88">
        <v>0.01112</v>
      </c>
      <c r="I1163" s="49" t="s">
        <v>15195</v>
      </c>
      <c r="J1163" s="49" t="s">
        <v>15196</v>
      </c>
      <c r="K1163" s="44"/>
      <c r="L1163" s="44"/>
    </row>
    <row r="1164">
      <c r="A1164" s="48" t="s">
        <v>11772</v>
      </c>
      <c r="B1164" s="48"/>
      <c r="C1164" s="64" t="s">
        <v>15197</v>
      </c>
      <c r="D1164" s="48"/>
      <c r="E1164" s="48" t="s">
        <v>5288</v>
      </c>
      <c r="F1164" s="64" t="s">
        <v>694</v>
      </c>
      <c r="G1164" s="60" t="s">
        <v>96</v>
      </c>
      <c r="H1164" s="88">
        <v>0.01108</v>
      </c>
      <c r="I1164" s="49" t="s">
        <v>15198</v>
      </c>
      <c r="J1164" s="49" t="s">
        <v>15199</v>
      </c>
      <c r="K1164" s="44"/>
      <c r="L1164" s="44"/>
    </row>
    <row r="1165">
      <c r="A1165" s="48" t="s">
        <v>10102</v>
      </c>
      <c r="B1165" s="48"/>
      <c r="C1165" s="48" t="s">
        <v>10103</v>
      </c>
      <c r="D1165" s="48"/>
      <c r="E1165" s="48" t="s">
        <v>12116</v>
      </c>
      <c r="F1165" s="64" t="s">
        <v>639</v>
      </c>
      <c r="G1165" s="60" t="s">
        <v>96</v>
      </c>
      <c r="H1165" s="88">
        <v>0.01105</v>
      </c>
      <c r="I1165" s="49" t="s">
        <v>15200</v>
      </c>
      <c r="J1165" s="49" t="s">
        <v>15201</v>
      </c>
      <c r="K1165" s="44"/>
      <c r="L1165" s="44"/>
    </row>
    <row r="1166">
      <c r="A1166" s="48" t="s">
        <v>5655</v>
      </c>
      <c r="B1166" s="48"/>
      <c r="C1166" s="64" t="s">
        <v>15202</v>
      </c>
      <c r="D1166" s="48"/>
      <c r="E1166" s="48" t="s">
        <v>12072</v>
      </c>
      <c r="F1166" s="64" t="s">
        <v>2732</v>
      </c>
      <c r="G1166" s="60" t="s">
        <v>96</v>
      </c>
      <c r="H1166" s="88">
        <v>0.01105</v>
      </c>
      <c r="I1166" s="49" t="s">
        <v>15203</v>
      </c>
      <c r="J1166" s="49" t="s">
        <v>15204</v>
      </c>
      <c r="K1166" s="44"/>
      <c r="L1166" s="44"/>
    </row>
    <row r="1167">
      <c r="A1167" s="48" t="s">
        <v>10113</v>
      </c>
      <c r="B1167" s="48"/>
      <c r="C1167" s="48" t="s">
        <v>10114</v>
      </c>
      <c r="D1167" s="48"/>
      <c r="E1167" s="48" t="s">
        <v>11969</v>
      </c>
      <c r="F1167" s="64" t="s">
        <v>11998</v>
      </c>
      <c r="G1167" s="60" t="s">
        <v>96</v>
      </c>
      <c r="H1167" s="88">
        <v>0.01096</v>
      </c>
      <c r="I1167" s="49" t="s">
        <v>15205</v>
      </c>
      <c r="J1167" s="49" t="s">
        <v>15206</v>
      </c>
      <c r="K1167" s="44"/>
      <c r="L1167" s="44"/>
    </row>
    <row r="1168">
      <c r="A1168" s="48" t="s">
        <v>11726</v>
      </c>
      <c r="B1168" s="48"/>
      <c r="C1168" s="64" t="s">
        <v>15207</v>
      </c>
      <c r="D1168" s="48"/>
      <c r="E1168" s="48" t="s">
        <v>5448</v>
      </c>
      <c r="F1168" s="64" t="s">
        <v>622</v>
      </c>
      <c r="G1168" s="60" t="s">
        <v>96</v>
      </c>
      <c r="H1168" s="88">
        <v>0.01095</v>
      </c>
      <c r="I1168" s="49" t="s">
        <v>15208</v>
      </c>
      <c r="J1168" s="49" t="s">
        <v>15209</v>
      </c>
      <c r="K1168" s="44"/>
      <c r="L1168" s="44"/>
    </row>
    <row r="1169">
      <c r="A1169" s="48" t="s">
        <v>11748</v>
      </c>
      <c r="B1169" s="48"/>
      <c r="C1169" s="64" t="s">
        <v>15210</v>
      </c>
      <c r="D1169" s="48"/>
      <c r="E1169" s="48" t="s">
        <v>5348</v>
      </c>
      <c r="F1169" s="64" t="s">
        <v>694</v>
      </c>
      <c r="G1169" s="60" t="s">
        <v>96</v>
      </c>
      <c r="H1169" s="88">
        <v>0.01093</v>
      </c>
      <c r="I1169" s="49" t="s">
        <v>15211</v>
      </c>
      <c r="J1169" s="49" t="s">
        <v>15212</v>
      </c>
      <c r="K1169" s="44"/>
      <c r="L1169" s="44"/>
    </row>
    <row r="1170">
      <c r="A1170" s="48" t="s">
        <v>6517</v>
      </c>
      <c r="B1170" s="48"/>
      <c r="C1170" s="64" t="s">
        <v>15213</v>
      </c>
      <c r="D1170" s="48"/>
      <c r="E1170" s="48" t="s">
        <v>12409</v>
      </c>
      <c r="F1170" s="64" t="s">
        <v>629</v>
      </c>
      <c r="G1170" s="60" t="s">
        <v>96</v>
      </c>
      <c r="H1170" s="88">
        <v>0.01088</v>
      </c>
      <c r="I1170" s="49" t="s">
        <v>15214</v>
      </c>
      <c r="J1170" s="49" t="s">
        <v>15215</v>
      </c>
      <c r="K1170" s="44"/>
      <c r="L1170" s="44"/>
    </row>
    <row r="1171">
      <c r="A1171" s="48" t="s">
        <v>10024</v>
      </c>
      <c r="B1171" s="48"/>
      <c r="C1171" s="64" t="s">
        <v>15216</v>
      </c>
      <c r="D1171" s="48"/>
      <c r="E1171" s="48" t="s">
        <v>12136</v>
      </c>
      <c r="F1171" s="64" t="s">
        <v>629</v>
      </c>
      <c r="G1171" s="60" t="s">
        <v>96</v>
      </c>
      <c r="H1171" s="88">
        <v>0.01084</v>
      </c>
      <c r="I1171" s="49" t="s">
        <v>15217</v>
      </c>
      <c r="J1171" s="49" t="s">
        <v>15218</v>
      </c>
      <c r="K1171" s="44"/>
      <c r="L1171" s="44"/>
    </row>
    <row r="1172">
      <c r="A1172" s="48" t="s">
        <v>10109</v>
      </c>
      <c r="B1172" s="48"/>
      <c r="C1172" s="48" t="s">
        <v>10110</v>
      </c>
      <c r="D1172" s="48"/>
      <c r="E1172" s="48" t="s">
        <v>5296</v>
      </c>
      <c r="F1172" s="64" t="s">
        <v>11998</v>
      </c>
      <c r="G1172" s="60" t="s">
        <v>96</v>
      </c>
      <c r="H1172" s="88">
        <v>0.01076</v>
      </c>
      <c r="I1172" s="49" t="s">
        <v>15219</v>
      </c>
      <c r="J1172" s="49" t="s">
        <v>15220</v>
      </c>
      <c r="K1172" s="44"/>
      <c r="L1172" s="44"/>
    </row>
    <row r="1173">
      <c r="A1173" s="48" t="s">
        <v>4700</v>
      </c>
      <c r="B1173" s="48"/>
      <c r="C1173" s="64" t="s">
        <v>15221</v>
      </c>
      <c r="D1173" s="48"/>
      <c r="E1173" s="48" t="s">
        <v>11991</v>
      </c>
      <c r="F1173" s="64" t="s">
        <v>622</v>
      </c>
      <c r="G1173" s="60" t="s">
        <v>96</v>
      </c>
      <c r="H1173" s="88">
        <v>0.01072</v>
      </c>
      <c r="I1173" s="49" t="s">
        <v>15222</v>
      </c>
      <c r="J1173" s="49" t="s">
        <v>15223</v>
      </c>
      <c r="K1173" s="44"/>
      <c r="L1173" s="44"/>
    </row>
    <row r="1174">
      <c r="A1174" s="48" t="s">
        <v>6896</v>
      </c>
      <c r="B1174" s="48"/>
      <c r="C1174" s="48" t="s">
        <v>9969</v>
      </c>
      <c r="D1174" s="48"/>
      <c r="E1174" s="48" t="s">
        <v>12216</v>
      </c>
      <c r="F1174" s="64" t="s">
        <v>639</v>
      </c>
      <c r="G1174" s="60" t="s">
        <v>96</v>
      </c>
      <c r="H1174" s="88">
        <v>0.01071</v>
      </c>
      <c r="I1174" s="49" t="s">
        <v>15224</v>
      </c>
      <c r="J1174" s="49" t="s">
        <v>15225</v>
      </c>
      <c r="K1174" s="44"/>
      <c r="L1174" s="44"/>
    </row>
    <row r="1175">
      <c r="A1175" s="48" t="s">
        <v>11763</v>
      </c>
      <c r="B1175" s="48"/>
      <c r="C1175" s="64" t="s">
        <v>15226</v>
      </c>
      <c r="D1175" s="48"/>
      <c r="E1175" s="48" t="s">
        <v>12090</v>
      </c>
      <c r="F1175" s="64" t="s">
        <v>679</v>
      </c>
      <c r="G1175" s="60" t="s">
        <v>96</v>
      </c>
      <c r="H1175" s="88">
        <v>0.01068</v>
      </c>
      <c r="I1175" s="49" t="s">
        <v>15227</v>
      </c>
      <c r="J1175" s="49" t="s">
        <v>15228</v>
      </c>
      <c r="K1175" s="44"/>
      <c r="L1175" s="44"/>
    </row>
    <row r="1176">
      <c r="A1176" s="48" t="s">
        <v>10018</v>
      </c>
      <c r="B1176" s="48"/>
      <c r="C1176" s="64" t="s">
        <v>15229</v>
      </c>
      <c r="D1176" s="48"/>
      <c r="E1176" s="48" t="s">
        <v>12766</v>
      </c>
      <c r="F1176" s="64" t="s">
        <v>738</v>
      </c>
      <c r="G1176" s="60" t="s">
        <v>96</v>
      </c>
      <c r="H1176" s="88">
        <v>0.01068</v>
      </c>
      <c r="I1176" s="49" t="s">
        <v>15230</v>
      </c>
      <c r="J1176" s="49" t="s">
        <v>15231</v>
      </c>
      <c r="K1176" s="44"/>
      <c r="L1176" s="44"/>
    </row>
    <row r="1177">
      <c r="A1177" s="48" t="s">
        <v>9833</v>
      </c>
      <c r="B1177" s="48"/>
      <c r="C1177" s="48" t="s">
        <v>11781</v>
      </c>
      <c r="D1177" s="48"/>
      <c r="E1177" s="48" t="s">
        <v>12043</v>
      </c>
      <c r="F1177" s="64" t="s">
        <v>639</v>
      </c>
      <c r="G1177" s="60" t="s">
        <v>96</v>
      </c>
      <c r="H1177" s="88">
        <v>0.01068</v>
      </c>
      <c r="I1177" s="49" t="s">
        <v>15232</v>
      </c>
      <c r="J1177" s="49" t="s">
        <v>15233</v>
      </c>
      <c r="K1177" s="44"/>
      <c r="L1177" s="44"/>
    </row>
    <row r="1178">
      <c r="A1178" s="48" t="s">
        <v>11746</v>
      </c>
      <c r="B1178" s="48"/>
      <c r="C1178" s="48" t="s">
        <v>11747</v>
      </c>
      <c r="D1178" s="48"/>
      <c r="E1178" s="48" t="s">
        <v>12356</v>
      </c>
      <c r="F1178" s="64" t="s">
        <v>686</v>
      </c>
      <c r="G1178" s="60" t="s">
        <v>96</v>
      </c>
      <c r="H1178" s="88">
        <v>0.01063</v>
      </c>
      <c r="I1178" s="49" t="s">
        <v>15234</v>
      </c>
      <c r="J1178" s="49" t="s">
        <v>15235</v>
      </c>
      <c r="K1178" s="44"/>
      <c r="L1178" s="44"/>
    </row>
    <row r="1179">
      <c r="A1179" s="48" t="s">
        <v>10147</v>
      </c>
      <c r="B1179" s="48"/>
      <c r="C1179" s="64" t="s">
        <v>15236</v>
      </c>
      <c r="D1179" s="48"/>
      <c r="E1179" s="48" t="s">
        <v>15055</v>
      </c>
      <c r="F1179" s="64" t="s">
        <v>629</v>
      </c>
      <c r="G1179" s="60" t="s">
        <v>96</v>
      </c>
      <c r="H1179" s="88">
        <v>0.01061</v>
      </c>
      <c r="I1179" s="49" t="s">
        <v>15237</v>
      </c>
      <c r="J1179" s="49" t="s">
        <v>15238</v>
      </c>
      <c r="K1179" s="44"/>
      <c r="L1179" s="44"/>
    </row>
    <row r="1180">
      <c r="A1180" s="48" t="s">
        <v>11756</v>
      </c>
      <c r="B1180" s="48"/>
      <c r="C1180" s="48" t="s">
        <v>11431</v>
      </c>
      <c r="D1180" s="48"/>
      <c r="E1180" s="48" t="s">
        <v>5288</v>
      </c>
      <c r="F1180" s="64" t="s">
        <v>639</v>
      </c>
      <c r="G1180" s="60" t="s">
        <v>96</v>
      </c>
      <c r="H1180" s="88">
        <v>0.01055</v>
      </c>
      <c r="I1180" s="49" t="s">
        <v>15239</v>
      </c>
      <c r="J1180" s="49" t="s">
        <v>15240</v>
      </c>
      <c r="K1180" s="44"/>
      <c r="L1180" s="44"/>
    </row>
    <row r="1181">
      <c r="A1181" s="48" t="s">
        <v>10058</v>
      </c>
      <c r="B1181" s="48"/>
      <c r="C1181" s="48" t="s">
        <v>10059</v>
      </c>
      <c r="D1181" s="48"/>
      <c r="E1181" s="48" t="s">
        <v>11959</v>
      </c>
      <c r="F1181" s="64" t="s">
        <v>1673</v>
      </c>
      <c r="G1181" s="60" t="s">
        <v>96</v>
      </c>
      <c r="H1181" s="88">
        <v>0.01054</v>
      </c>
      <c r="I1181" s="49" t="s">
        <v>15241</v>
      </c>
      <c r="J1181" s="49" t="s">
        <v>15242</v>
      </c>
      <c r="K1181" s="44"/>
      <c r="L1181" s="44"/>
    </row>
    <row r="1182">
      <c r="A1182" s="48" t="s">
        <v>10277</v>
      </c>
      <c r="B1182" s="48"/>
      <c r="C1182" s="48" t="s">
        <v>10278</v>
      </c>
      <c r="D1182" s="48"/>
      <c r="E1182" s="48" t="s">
        <v>12004</v>
      </c>
      <c r="F1182" s="64" t="s">
        <v>645</v>
      </c>
      <c r="G1182" s="60" t="s">
        <v>96</v>
      </c>
      <c r="H1182" s="88">
        <v>0.01052</v>
      </c>
      <c r="I1182" s="49" t="s">
        <v>15243</v>
      </c>
      <c r="J1182" s="49" t="s">
        <v>15244</v>
      </c>
      <c r="K1182" s="44"/>
      <c r="L1182" s="44"/>
    </row>
    <row r="1183">
      <c r="A1183" s="48" t="s">
        <v>9951</v>
      </c>
      <c r="B1183" s="48"/>
      <c r="C1183" s="48" t="s">
        <v>15245</v>
      </c>
      <c r="D1183" s="48"/>
      <c r="E1183" s="48" t="s">
        <v>15246</v>
      </c>
      <c r="F1183" s="64" t="s">
        <v>622</v>
      </c>
      <c r="G1183" s="60" t="s">
        <v>96</v>
      </c>
      <c r="H1183" s="88">
        <v>0.01052</v>
      </c>
      <c r="I1183" s="49" t="s">
        <v>15247</v>
      </c>
      <c r="J1183" s="49" t="s">
        <v>15248</v>
      </c>
      <c r="K1183" s="44"/>
      <c r="L1183" s="44"/>
    </row>
    <row r="1184">
      <c r="A1184" s="48" t="s">
        <v>10187</v>
      </c>
      <c r="B1184" s="48"/>
      <c r="C1184" s="64" t="s">
        <v>15249</v>
      </c>
      <c r="D1184" s="48"/>
      <c r="E1184" s="48" t="s">
        <v>12660</v>
      </c>
      <c r="F1184" s="64" t="s">
        <v>629</v>
      </c>
      <c r="G1184" s="60" t="s">
        <v>96</v>
      </c>
      <c r="H1184" s="88">
        <v>0.0105</v>
      </c>
      <c r="I1184" s="49" t="s">
        <v>15250</v>
      </c>
      <c r="J1184" s="49" t="s">
        <v>15251</v>
      </c>
      <c r="K1184" s="44"/>
      <c r="L1184" s="44"/>
    </row>
    <row r="1185">
      <c r="A1185" s="48" t="s">
        <v>11697</v>
      </c>
      <c r="B1185" s="48"/>
      <c r="C1185" s="64" t="s">
        <v>15252</v>
      </c>
      <c r="D1185" s="48"/>
      <c r="E1185" s="48" t="s">
        <v>12729</v>
      </c>
      <c r="F1185" s="64" t="s">
        <v>622</v>
      </c>
      <c r="G1185" s="60" t="s">
        <v>96</v>
      </c>
      <c r="H1185" s="88">
        <v>0.01049</v>
      </c>
      <c r="I1185" s="49" t="s">
        <v>15253</v>
      </c>
      <c r="J1185" s="49" t="s">
        <v>15254</v>
      </c>
      <c r="K1185" s="44"/>
      <c r="L1185" s="44"/>
    </row>
    <row r="1186">
      <c r="A1186" s="48" t="s">
        <v>10195</v>
      </c>
      <c r="B1186" s="48"/>
      <c r="C1186" s="48" t="s">
        <v>10196</v>
      </c>
      <c r="D1186" s="48"/>
      <c r="E1186" s="48" t="s">
        <v>12105</v>
      </c>
      <c r="F1186" s="64" t="s">
        <v>11998</v>
      </c>
      <c r="G1186" s="60" t="s">
        <v>96</v>
      </c>
      <c r="H1186" s="88">
        <v>0.01048</v>
      </c>
      <c r="I1186" s="49" t="s">
        <v>15255</v>
      </c>
      <c r="J1186" s="49" t="s">
        <v>15256</v>
      </c>
      <c r="K1186" s="44"/>
      <c r="L1186" s="44"/>
    </row>
    <row r="1187">
      <c r="A1187" s="48" t="s">
        <v>11703</v>
      </c>
      <c r="B1187" s="48"/>
      <c r="C1187" s="64" t="s">
        <v>15257</v>
      </c>
      <c r="D1187" s="48"/>
      <c r="E1187" s="48" t="s">
        <v>12205</v>
      </c>
      <c r="F1187" s="64" t="s">
        <v>622</v>
      </c>
      <c r="G1187" s="60" t="s">
        <v>96</v>
      </c>
      <c r="H1187" s="88">
        <v>0.01046</v>
      </c>
      <c r="I1187" s="49" t="s">
        <v>15258</v>
      </c>
      <c r="J1187" s="49" t="s">
        <v>15259</v>
      </c>
      <c r="K1187" s="44"/>
      <c r="L1187" s="44"/>
    </row>
    <row r="1188">
      <c r="A1188" s="48" t="s">
        <v>11742</v>
      </c>
      <c r="B1188" s="48"/>
      <c r="C1188" s="64" t="s">
        <v>15260</v>
      </c>
      <c r="D1188" s="48"/>
      <c r="E1188" s="48" t="s">
        <v>12518</v>
      </c>
      <c r="F1188" s="64" t="s">
        <v>622</v>
      </c>
      <c r="G1188" s="60" t="s">
        <v>96</v>
      </c>
      <c r="H1188" s="88">
        <v>0.01042</v>
      </c>
      <c r="I1188" s="49" t="s">
        <v>15261</v>
      </c>
      <c r="J1188" s="49" t="s">
        <v>15262</v>
      </c>
      <c r="K1188" s="44"/>
      <c r="L1188" s="44"/>
    </row>
    <row r="1189">
      <c r="A1189" s="48" t="s">
        <v>10038</v>
      </c>
      <c r="B1189" s="48"/>
      <c r="C1189" s="48" t="s">
        <v>10039</v>
      </c>
      <c r="D1189" s="48"/>
      <c r="E1189" s="48" t="s">
        <v>5249</v>
      </c>
      <c r="F1189" s="64" t="s">
        <v>11998</v>
      </c>
      <c r="G1189" s="60" t="s">
        <v>96</v>
      </c>
      <c r="H1189" s="88">
        <v>0.0104</v>
      </c>
      <c r="I1189" s="49" t="s">
        <v>15263</v>
      </c>
      <c r="J1189" s="49" t="s">
        <v>15264</v>
      </c>
      <c r="K1189" s="44"/>
      <c r="L1189" s="44"/>
    </row>
    <row r="1190">
      <c r="A1190" s="48" t="s">
        <v>9556</v>
      </c>
      <c r="B1190" s="48"/>
      <c r="C1190" s="48" t="s">
        <v>15265</v>
      </c>
      <c r="D1190" s="48"/>
      <c r="E1190" s="48" t="s">
        <v>12356</v>
      </c>
      <c r="F1190" s="64" t="s">
        <v>645</v>
      </c>
      <c r="G1190" s="60" t="s">
        <v>96</v>
      </c>
      <c r="H1190" s="88">
        <v>0.01037</v>
      </c>
      <c r="I1190" s="49" t="s">
        <v>15266</v>
      </c>
      <c r="J1190" s="49" t="s">
        <v>15267</v>
      </c>
      <c r="K1190" s="44"/>
      <c r="L1190" s="44"/>
    </row>
    <row r="1191">
      <c r="A1191" s="48" t="s">
        <v>11778</v>
      </c>
      <c r="B1191" s="48"/>
      <c r="C1191" s="64" t="s">
        <v>15268</v>
      </c>
      <c r="D1191" s="48"/>
      <c r="E1191" s="48" t="s">
        <v>12283</v>
      </c>
      <c r="F1191" s="64" t="s">
        <v>622</v>
      </c>
      <c r="G1191" s="60" t="s">
        <v>96</v>
      </c>
      <c r="H1191" s="88">
        <v>0.01035</v>
      </c>
      <c r="I1191" s="49" t="s">
        <v>15269</v>
      </c>
      <c r="J1191" s="49" t="s">
        <v>15270</v>
      </c>
      <c r="K1191" s="44"/>
      <c r="L1191" s="44"/>
    </row>
    <row r="1192">
      <c r="A1192" s="48" t="s">
        <v>10171</v>
      </c>
      <c r="B1192" s="48"/>
      <c r="C1192" s="48" t="s">
        <v>10172</v>
      </c>
      <c r="D1192" s="48"/>
      <c r="E1192" s="48" t="s">
        <v>6012</v>
      </c>
      <c r="F1192" s="64" t="s">
        <v>645</v>
      </c>
      <c r="G1192" s="60" t="s">
        <v>96</v>
      </c>
      <c r="H1192" s="88">
        <v>0.0103</v>
      </c>
      <c r="I1192" s="49" t="s">
        <v>15271</v>
      </c>
      <c r="J1192" s="49" t="s">
        <v>15272</v>
      </c>
      <c r="K1192" s="44"/>
      <c r="L1192" s="44"/>
    </row>
    <row r="1193">
      <c r="A1193" s="48" t="s">
        <v>4708</v>
      </c>
      <c r="B1193" s="48"/>
      <c r="C1193" s="64" t="s">
        <v>15273</v>
      </c>
      <c r="D1193" s="48"/>
      <c r="E1193" s="48" t="s">
        <v>13895</v>
      </c>
      <c r="F1193" s="64" t="s">
        <v>622</v>
      </c>
      <c r="G1193" s="60" t="s">
        <v>96</v>
      </c>
      <c r="H1193" s="88">
        <v>0.01029</v>
      </c>
      <c r="I1193" s="49" t="s">
        <v>15274</v>
      </c>
      <c r="J1193" s="49" t="s">
        <v>15275</v>
      </c>
      <c r="K1193" s="44"/>
      <c r="L1193" s="44"/>
    </row>
    <row r="1194">
      <c r="A1194" s="48" t="s">
        <v>6260</v>
      </c>
      <c r="B1194" s="48"/>
      <c r="C1194" s="48" t="s">
        <v>10112</v>
      </c>
      <c r="D1194" s="48"/>
      <c r="E1194" s="48" t="s">
        <v>12014</v>
      </c>
      <c r="F1194" s="64" t="s">
        <v>639</v>
      </c>
      <c r="G1194" s="60" t="s">
        <v>96</v>
      </c>
      <c r="H1194" s="88">
        <v>0.01029</v>
      </c>
      <c r="I1194" s="49" t="s">
        <v>15276</v>
      </c>
      <c r="J1194" s="49" t="s">
        <v>15277</v>
      </c>
      <c r="K1194" s="44"/>
      <c r="L1194" s="44"/>
    </row>
    <row r="1195">
      <c r="A1195" s="48" t="s">
        <v>11776</v>
      </c>
      <c r="B1195" s="48"/>
      <c r="C1195" s="64" t="s">
        <v>15278</v>
      </c>
      <c r="D1195" s="48"/>
      <c r="E1195" s="48" t="s">
        <v>11946</v>
      </c>
      <c r="F1195" s="64" t="s">
        <v>622</v>
      </c>
      <c r="G1195" s="60" t="s">
        <v>96</v>
      </c>
      <c r="H1195" s="88">
        <v>0.01028</v>
      </c>
      <c r="I1195" s="49" t="s">
        <v>15279</v>
      </c>
      <c r="J1195" s="49" t="s">
        <v>15280</v>
      </c>
      <c r="K1195" s="44"/>
      <c r="L1195" s="44"/>
    </row>
    <row r="1196">
      <c r="A1196" s="48" t="s">
        <v>10084</v>
      </c>
      <c r="B1196" s="48"/>
      <c r="C1196" s="64" t="s">
        <v>15281</v>
      </c>
      <c r="D1196" s="48"/>
      <c r="E1196" s="48" t="s">
        <v>11959</v>
      </c>
      <c r="F1196" s="64" t="s">
        <v>629</v>
      </c>
      <c r="G1196" s="60" t="s">
        <v>96</v>
      </c>
      <c r="H1196" s="88">
        <v>0.01027</v>
      </c>
      <c r="I1196" s="49" t="s">
        <v>15282</v>
      </c>
      <c r="J1196" s="49" t="s">
        <v>15283</v>
      </c>
      <c r="K1196" s="44"/>
      <c r="L1196" s="44"/>
    </row>
    <row r="1197">
      <c r="A1197" s="48" t="s">
        <v>10325</v>
      </c>
      <c r="B1197" s="48"/>
      <c r="C1197" s="48" t="s">
        <v>10326</v>
      </c>
      <c r="D1197" s="48"/>
      <c r="E1197" s="48" t="s">
        <v>15284</v>
      </c>
      <c r="F1197" s="64" t="s">
        <v>2709</v>
      </c>
      <c r="G1197" s="60" t="s">
        <v>96</v>
      </c>
      <c r="H1197" s="88">
        <v>0.01021</v>
      </c>
      <c r="I1197" s="49" t="s">
        <v>15285</v>
      </c>
      <c r="J1197" s="49" t="s">
        <v>15286</v>
      </c>
      <c r="K1197" s="44"/>
      <c r="L1197" s="44"/>
    </row>
    <row r="1198">
      <c r="A1198" s="48" t="s">
        <v>10139</v>
      </c>
      <c r="B1198" s="48"/>
      <c r="C1198" s="64" t="s">
        <v>15287</v>
      </c>
      <c r="D1198" s="48"/>
      <c r="E1198" s="48" t="s">
        <v>5218</v>
      </c>
      <c r="F1198" s="64" t="s">
        <v>629</v>
      </c>
      <c r="G1198" s="60" t="s">
        <v>96</v>
      </c>
      <c r="H1198" s="88">
        <v>0.0102</v>
      </c>
      <c r="I1198" s="49" t="s">
        <v>15288</v>
      </c>
      <c r="J1198" s="49" t="s">
        <v>15289</v>
      </c>
      <c r="K1198" s="44"/>
      <c r="L1198" s="44"/>
    </row>
    <row r="1199">
      <c r="A1199" s="48" t="s">
        <v>10238</v>
      </c>
      <c r="B1199" s="48"/>
      <c r="C1199" s="48" t="s">
        <v>15290</v>
      </c>
      <c r="D1199" s="48"/>
      <c r="E1199" s="48" t="s">
        <v>12777</v>
      </c>
      <c r="F1199" s="64" t="s">
        <v>686</v>
      </c>
      <c r="G1199" s="60" t="s">
        <v>96</v>
      </c>
      <c r="H1199" s="88">
        <v>0.01016</v>
      </c>
      <c r="I1199" s="49" t="s">
        <v>15291</v>
      </c>
      <c r="J1199" s="49" t="s">
        <v>15292</v>
      </c>
      <c r="K1199" s="44"/>
      <c r="L1199" s="44"/>
    </row>
    <row r="1200">
      <c r="A1200" s="48" t="s">
        <v>9960</v>
      </c>
      <c r="B1200" s="48"/>
      <c r="C1200" s="64" t="s">
        <v>15293</v>
      </c>
      <c r="D1200" s="48"/>
      <c r="E1200" s="48" t="s">
        <v>12120</v>
      </c>
      <c r="F1200" s="64" t="s">
        <v>629</v>
      </c>
      <c r="G1200" s="60" t="s">
        <v>96</v>
      </c>
      <c r="H1200" s="88">
        <v>0.01014</v>
      </c>
      <c r="I1200" s="49" t="s">
        <v>15294</v>
      </c>
      <c r="J1200" s="49" t="s">
        <v>15295</v>
      </c>
      <c r="K1200" s="44"/>
      <c r="L1200" s="44"/>
    </row>
    <row r="1201">
      <c r="A1201" s="48" t="s">
        <v>11754</v>
      </c>
      <c r="B1201" s="48"/>
      <c r="C1201" s="64" t="s">
        <v>15296</v>
      </c>
      <c r="D1201" s="48"/>
      <c r="E1201" s="48" t="s">
        <v>12409</v>
      </c>
      <c r="F1201" s="64" t="s">
        <v>629</v>
      </c>
      <c r="G1201" s="60" t="s">
        <v>96</v>
      </c>
      <c r="H1201" s="88">
        <v>0.01013</v>
      </c>
      <c r="I1201" s="49" t="s">
        <v>15297</v>
      </c>
      <c r="J1201" s="49" t="s">
        <v>15298</v>
      </c>
      <c r="K1201" s="44"/>
      <c r="L1201" s="44"/>
    </row>
    <row r="1202">
      <c r="A1202" s="48" t="s">
        <v>4248</v>
      </c>
      <c r="B1202" s="48"/>
      <c r="C1202" s="48" t="s">
        <v>9893</v>
      </c>
      <c r="D1202" s="48"/>
      <c r="E1202" s="48" t="s">
        <v>12283</v>
      </c>
      <c r="F1202" s="64" t="s">
        <v>11998</v>
      </c>
      <c r="G1202" s="60" t="s">
        <v>96</v>
      </c>
      <c r="H1202" s="88">
        <v>0.01012</v>
      </c>
      <c r="I1202" s="49" t="s">
        <v>15299</v>
      </c>
      <c r="J1202" s="49" t="s">
        <v>15300</v>
      </c>
      <c r="K1202" s="44"/>
      <c r="L1202" s="44"/>
    </row>
    <row r="1203">
      <c r="A1203" s="48" t="s">
        <v>11774</v>
      </c>
      <c r="B1203" s="48"/>
      <c r="C1203" s="64" t="s">
        <v>15301</v>
      </c>
      <c r="D1203" s="48"/>
      <c r="E1203" s="48" t="s">
        <v>12229</v>
      </c>
      <c r="F1203" s="64" t="s">
        <v>629</v>
      </c>
      <c r="G1203" s="60" t="s">
        <v>96</v>
      </c>
      <c r="H1203" s="88">
        <v>0.01011</v>
      </c>
      <c r="I1203" s="49" t="s">
        <v>15302</v>
      </c>
      <c r="J1203" s="49" t="s">
        <v>15303</v>
      </c>
      <c r="K1203" s="44"/>
      <c r="L1203" s="44"/>
    </row>
    <row r="1204">
      <c r="A1204" s="48" t="s">
        <v>11750</v>
      </c>
      <c r="B1204" s="48"/>
      <c r="C1204" s="64" t="s">
        <v>15304</v>
      </c>
      <c r="D1204" s="48"/>
      <c r="E1204" s="48" t="s">
        <v>12078</v>
      </c>
      <c r="F1204" s="64" t="s">
        <v>629</v>
      </c>
      <c r="G1204" s="60" t="s">
        <v>96</v>
      </c>
      <c r="H1204" s="88">
        <v>0.01011</v>
      </c>
      <c r="I1204" s="49" t="s">
        <v>15305</v>
      </c>
      <c r="J1204" s="49" t="s">
        <v>15306</v>
      </c>
      <c r="K1204" s="44"/>
      <c r="L1204" s="44"/>
    </row>
    <row r="1205">
      <c r="A1205" s="48" t="s">
        <v>10159</v>
      </c>
      <c r="B1205" s="48"/>
      <c r="C1205" s="48" t="s">
        <v>10160</v>
      </c>
      <c r="D1205" s="48"/>
      <c r="E1205" s="48" t="s">
        <v>12163</v>
      </c>
      <c r="F1205" s="64" t="s">
        <v>11998</v>
      </c>
      <c r="G1205" s="60" t="s">
        <v>96</v>
      </c>
      <c r="H1205" s="88">
        <v>0.01007</v>
      </c>
      <c r="I1205" s="49" t="s">
        <v>15307</v>
      </c>
      <c r="J1205" s="49" t="s">
        <v>15308</v>
      </c>
      <c r="K1205" s="44"/>
      <c r="L1205" s="44"/>
    </row>
    <row r="1206">
      <c r="A1206" s="48" t="s">
        <v>5745</v>
      </c>
      <c r="B1206" s="48"/>
      <c r="C1206" s="48" t="s">
        <v>5746</v>
      </c>
      <c r="D1206" s="48"/>
      <c r="E1206" s="48" t="s">
        <v>5291</v>
      </c>
      <c r="F1206" s="64" t="s">
        <v>639</v>
      </c>
      <c r="G1206" s="60" t="s">
        <v>96</v>
      </c>
      <c r="H1206" s="88">
        <v>0.01006</v>
      </c>
      <c r="I1206" s="49" t="s">
        <v>15309</v>
      </c>
      <c r="J1206" s="49" t="s">
        <v>15310</v>
      </c>
      <c r="K1206" s="44"/>
      <c r="L1206" s="44"/>
    </row>
    <row r="1207">
      <c r="A1207" s="48" t="s">
        <v>10304</v>
      </c>
      <c r="B1207" s="48"/>
      <c r="C1207" s="48" t="s">
        <v>10305</v>
      </c>
      <c r="D1207" s="48"/>
      <c r="E1207" s="48" t="s">
        <v>12046</v>
      </c>
      <c r="F1207" s="64" t="s">
        <v>1740</v>
      </c>
      <c r="G1207" s="60" t="s">
        <v>96</v>
      </c>
      <c r="H1207" s="88">
        <v>0.01003</v>
      </c>
      <c r="I1207" s="49" t="s">
        <v>15311</v>
      </c>
      <c r="J1207" s="49" t="s">
        <v>15312</v>
      </c>
      <c r="K1207" s="44"/>
      <c r="L1207" s="44"/>
    </row>
    <row r="1208">
      <c r="A1208" s="48" t="s">
        <v>11721</v>
      </c>
      <c r="B1208" s="48"/>
      <c r="C1208" s="48" t="s">
        <v>11722</v>
      </c>
      <c r="D1208" s="48"/>
      <c r="E1208" s="48" t="s">
        <v>11936</v>
      </c>
      <c r="F1208" s="64" t="s">
        <v>2709</v>
      </c>
      <c r="G1208" s="60" t="s">
        <v>96</v>
      </c>
      <c r="H1208" s="88">
        <v>0.01</v>
      </c>
      <c r="I1208" s="49" t="s">
        <v>15313</v>
      </c>
      <c r="J1208" s="49" t="s">
        <v>15314</v>
      </c>
      <c r="K1208" s="44"/>
      <c r="L1208" s="44"/>
    </row>
    <row r="1209">
      <c r="A1209" s="48" t="s">
        <v>11766</v>
      </c>
      <c r="B1209" s="48"/>
      <c r="C1209" s="48" t="s">
        <v>11767</v>
      </c>
      <c r="D1209" s="48"/>
      <c r="E1209" s="48" t="s">
        <v>12078</v>
      </c>
      <c r="F1209" s="64" t="s">
        <v>2247</v>
      </c>
      <c r="G1209" s="60" t="s">
        <v>96</v>
      </c>
      <c r="H1209" s="88">
        <v>0.00999</v>
      </c>
      <c r="I1209" s="49" t="s">
        <v>15315</v>
      </c>
      <c r="J1209" s="49" t="s">
        <v>15316</v>
      </c>
      <c r="K1209" s="44"/>
      <c r="L1209" s="44"/>
    </row>
    <row r="1210">
      <c r="A1210" s="48" t="s">
        <v>10407</v>
      </c>
      <c r="B1210" s="48"/>
      <c r="C1210" s="48" t="s">
        <v>10408</v>
      </c>
      <c r="D1210" s="48"/>
      <c r="E1210" s="48" t="s">
        <v>12163</v>
      </c>
      <c r="F1210" s="64" t="s">
        <v>1352</v>
      </c>
      <c r="G1210" s="60" t="s">
        <v>96</v>
      </c>
      <c r="H1210" s="88">
        <v>0.00996</v>
      </c>
      <c r="I1210" s="49" t="s">
        <v>15317</v>
      </c>
      <c r="J1210" s="49" t="s">
        <v>15318</v>
      </c>
      <c r="K1210" s="44"/>
      <c r="L1210" s="44"/>
    </row>
    <row r="1211">
      <c r="A1211" s="48" t="s">
        <v>11780</v>
      </c>
      <c r="B1211" s="48"/>
      <c r="C1211" s="48" t="s">
        <v>11402</v>
      </c>
      <c r="D1211" s="48"/>
      <c r="E1211" s="48" t="s">
        <v>11924</v>
      </c>
      <c r="F1211" s="64" t="s">
        <v>649</v>
      </c>
      <c r="G1211" s="60" t="s">
        <v>96</v>
      </c>
      <c r="H1211" s="88">
        <v>0.00995</v>
      </c>
      <c r="I1211" s="49" t="s">
        <v>15319</v>
      </c>
      <c r="J1211" s="49" t="s">
        <v>15320</v>
      </c>
      <c r="K1211" s="44"/>
      <c r="L1211" s="44"/>
    </row>
    <row r="1212">
      <c r="A1212" s="48" t="s">
        <v>4704</v>
      </c>
      <c r="B1212" s="48"/>
      <c r="C1212" s="64" t="s">
        <v>15321</v>
      </c>
      <c r="D1212" s="48"/>
      <c r="E1212" s="48" t="s">
        <v>5775</v>
      </c>
      <c r="F1212" s="64" t="s">
        <v>622</v>
      </c>
      <c r="G1212" s="60" t="s">
        <v>96</v>
      </c>
      <c r="H1212" s="88">
        <v>0.00995</v>
      </c>
      <c r="I1212" s="49" t="s">
        <v>15322</v>
      </c>
      <c r="J1212" s="49" t="s">
        <v>15323</v>
      </c>
      <c r="K1212" s="44"/>
      <c r="L1212" s="44"/>
    </row>
    <row r="1213">
      <c r="A1213" s="48" t="s">
        <v>10211</v>
      </c>
      <c r="B1213" s="48"/>
      <c r="C1213" s="64" t="s">
        <v>15324</v>
      </c>
      <c r="D1213" s="48"/>
      <c r="E1213" s="48" t="s">
        <v>12136</v>
      </c>
      <c r="F1213" s="64" t="s">
        <v>629</v>
      </c>
      <c r="G1213" s="60" t="s">
        <v>96</v>
      </c>
      <c r="H1213" s="88">
        <v>0.00994</v>
      </c>
      <c r="I1213" s="49" t="s">
        <v>15325</v>
      </c>
      <c r="J1213" s="49" t="s">
        <v>15326</v>
      </c>
      <c r="K1213" s="44"/>
      <c r="L1213" s="44"/>
    </row>
    <row r="1214">
      <c r="A1214" s="48" t="s">
        <v>5336</v>
      </c>
      <c r="B1214" s="48"/>
      <c r="C1214" s="48" t="s">
        <v>9949</v>
      </c>
      <c r="D1214" s="48"/>
      <c r="E1214" s="48" t="s">
        <v>6012</v>
      </c>
      <c r="F1214" s="64" t="s">
        <v>639</v>
      </c>
      <c r="G1214" s="60" t="s">
        <v>96</v>
      </c>
      <c r="H1214" s="88">
        <v>0.00988</v>
      </c>
      <c r="I1214" s="49" t="s">
        <v>15327</v>
      </c>
      <c r="J1214" s="49" t="s">
        <v>15328</v>
      </c>
      <c r="K1214" s="44"/>
      <c r="L1214" s="44"/>
    </row>
    <row r="1215">
      <c r="A1215" s="48" t="s">
        <v>10082</v>
      </c>
      <c r="B1215" s="48"/>
      <c r="C1215" s="48" t="s">
        <v>10083</v>
      </c>
      <c r="D1215" s="48"/>
      <c r="E1215" s="48" t="s">
        <v>12918</v>
      </c>
      <c r="F1215" s="64" t="s">
        <v>11998</v>
      </c>
      <c r="G1215" s="60" t="s">
        <v>96</v>
      </c>
      <c r="H1215" s="88">
        <v>0.00988</v>
      </c>
      <c r="I1215" s="49" t="s">
        <v>15329</v>
      </c>
      <c r="J1215" s="49" t="s">
        <v>15330</v>
      </c>
      <c r="K1215" s="44"/>
      <c r="L1215" s="44"/>
    </row>
    <row r="1216">
      <c r="A1216" s="48" t="s">
        <v>9891</v>
      </c>
      <c r="B1216" s="48"/>
      <c r="C1216" s="48" t="s">
        <v>9892</v>
      </c>
      <c r="D1216" s="48"/>
      <c r="E1216" s="48" t="s">
        <v>6947</v>
      </c>
      <c r="F1216" s="64" t="s">
        <v>649</v>
      </c>
      <c r="G1216" s="60" t="s">
        <v>96</v>
      </c>
      <c r="H1216" s="88">
        <v>0.00986</v>
      </c>
      <c r="I1216" s="49" t="s">
        <v>15331</v>
      </c>
      <c r="J1216" s="49" t="s">
        <v>15332</v>
      </c>
      <c r="K1216" s="44"/>
      <c r="L1216" s="44"/>
    </row>
    <row r="1217">
      <c r="A1217" s="48" t="s">
        <v>10068</v>
      </c>
      <c r="B1217" s="48"/>
      <c r="C1217" s="64" t="s">
        <v>15333</v>
      </c>
      <c r="D1217" s="48"/>
      <c r="E1217" s="48" t="s">
        <v>11942</v>
      </c>
      <c r="F1217" s="64" t="s">
        <v>679</v>
      </c>
      <c r="G1217" s="60" t="s">
        <v>96</v>
      </c>
      <c r="H1217" s="88">
        <v>0.00982</v>
      </c>
      <c r="I1217" s="49" t="s">
        <v>15334</v>
      </c>
      <c r="J1217" s="49" t="s">
        <v>15335</v>
      </c>
      <c r="K1217" s="44"/>
      <c r="L1217" s="44"/>
    </row>
    <row r="1218">
      <c r="A1218" s="48" t="s">
        <v>9974</v>
      </c>
      <c r="B1218" s="48"/>
      <c r="C1218" s="48" t="s">
        <v>9975</v>
      </c>
      <c r="D1218" s="48"/>
      <c r="E1218" s="48" t="s">
        <v>12205</v>
      </c>
      <c r="F1218" s="64" t="s">
        <v>11998</v>
      </c>
      <c r="G1218" s="60" t="s">
        <v>96</v>
      </c>
      <c r="H1218" s="88">
        <v>0.0098</v>
      </c>
      <c r="I1218" s="49" t="s">
        <v>15336</v>
      </c>
      <c r="J1218" s="49" t="s">
        <v>15337</v>
      </c>
      <c r="K1218" s="44"/>
      <c r="L1218" s="44"/>
    </row>
    <row r="1219">
      <c r="A1219" s="48" t="s">
        <v>11812</v>
      </c>
      <c r="B1219" s="48"/>
      <c r="C1219" s="64" t="s">
        <v>15338</v>
      </c>
      <c r="D1219" s="48"/>
      <c r="E1219" s="48" t="s">
        <v>15284</v>
      </c>
      <c r="F1219" s="64" t="s">
        <v>694</v>
      </c>
      <c r="G1219" s="60" t="s">
        <v>96</v>
      </c>
      <c r="H1219" s="88">
        <v>0.00974</v>
      </c>
      <c r="I1219" s="49" t="s">
        <v>15339</v>
      </c>
      <c r="J1219" s="49" t="s">
        <v>15340</v>
      </c>
      <c r="K1219" s="44"/>
      <c r="L1219" s="44"/>
    </row>
    <row r="1220">
      <c r="A1220" s="48" t="s">
        <v>10193</v>
      </c>
      <c r="B1220" s="48"/>
      <c r="C1220" s="64" t="s">
        <v>15341</v>
      </c>
      <c r="D1220" s="48"/>
      <c r="E1220" s="48" t="s">
        <v>11965</v>
      </c>
      <c r="F1220" s="64" t="s">
        <v>629</v>
      </c>
      <c r="G1220" s="60" t="s">
        <v>96</v>
      </c>
      <c r="H1220" s="88">
        <v>0.00971</v>
      </c>
      <c r="I1220" s="49" t="s">
        <v>15342</v>
      </c>
      <c r="J1220" s="49" t="s">
        <v>15343</v>
      </c>
      <c r="K1220" s="44"/>
      <c r="L1220" s="44"/>
    </row>
    <row r="1221">
      <c r="A1221" s="48" t="s">
        <v>10115</v>
      </c>
      <c r="B1221" s="48"/>
      <c r="C1221" s="64" t="s">
        <v>15344</v>
      </c>
      <c r="D1221" s="48"/>
      <c r="E1221" s="48" t="s">
        <v>5249</v>
      </c>
      <c r="F1221" s="64" t="s">
        <v>629</v>
      </c>
      <c r="G1221" s="60" t="s">
        <v>96</v>
      </c>
      <c r="H1221" s="88">
        <v>0.00969</v>
      </c>
      <c r="I1221" s="49" t="s">
        <v>15345</v>
      </c>
      <c r="J1221" s="49" t="s">
        <v>15346</v>
      </c>
      <c r="K1221" s="44"/>
      <c r="L1221" s="44"/>
    </row>
    <row r="1222">
      <c r="A1222" s="48" t="s">
        <v>10243</v>
      </c>
      <c r="B1222" s="48"/>
      <c r="C1222" s="64" t="s">
        <v>15347</v>
      </c>
      <c r="D1222" s="48"/>
      <c r="E1222" s="48" t="s">
        <v>12918</v>
      </c>
      <c r="F1222" s="64" t="s">
        <v>629</v>
      </c>
      <c r="G1222" s="60" t="s">
        <v>96</v>
      </c>
      <c r="H1222" s="88">
        <v>0.00966</v>
      </c>
      <c r="I1222" s="49" t="s">
        <v>15348</v>
      </c>
      <c r="J1222" s="49" t="s">
        <v>15349</v>
      </c>
      <c r="K1222" s="44"/>
      <c r="L1222" s="44"/>
    </row>
    <row r="1223">
      <c r="A1223" s="48" t="s">
        <v>10312</v>
      </c>
      <c r="B1223" s="48"/>
      <c r="C1223" s="48" t="s">
        <v>10313</v>
      </c>
      <c r="D1223" s="48"/>
      <c r="E1223" s="48" t="s">
        <v>12268</v>
      </c>
      <c r="F1223" s="64" t="s">
        <v>1740</v>
      </c>
      <c r="G1223" s="60" t="s">
        <v>96</v>
      </c>
      <c r="H1223" s="88">
        <v>0.00966</v>
      </c>
      <c r="I1223" s="49" t="s">
        <v>15350</v>
      </c>
      <c r="J1223" s="49" t="s">
        <v>15351</v>
      </c>
      <c r="K1223" s="44"/>
      <c r="L1223" s="44"/>
    </row>
    <row r="1224">
      <c r="A1224" s="48" t="s">
        <v>6051</v>
      </c>
      <c r="B1224" s="48"/>
      <c r="C1224" s="64" t="s">
        <v>15352</v>
      </c>
      <c r="D1224" s="48"/>
      <c r="E1224" s="48" t="s">
        <v>11959</v>
      </c>
      <c r="F1224" s="64" t="s">
        <v>629</v>
      </c>
      <c r="G1224" s="60" t="s">
        <v>96</v>
      </c>
      <c r="H1224" s="88">
        <v>0.00964</v>
      </c>
      <c r="I1224" s="49" t="s">
        <v>15353</v>
      </c>
      <c r="J1224" s="49" t="s">
        <v>15354</v>
      </c>
      <c r="K1224" s="44"/>
      <c r="L1224" s="44"/>
    </row>
    <row r="1225">
      <c r="A1225" s="48" t="s">
        <v>10275</v>
      </c>
      <c r="B1225" s="48"/>
      <c r="C1225" s="48" t="s">
        <v>10276</v>
      </c>
      <c r="D1225" s="48"/>
      <c r="E1225" s="48" t="s">
        <v>11914</v>
      </c>
      <c r="F1225" s="64" t="s">
        <v>649</v>
      </c>
      <c r="G1225" s="60" t="s">
        <v>96</v>
      </c>
      <c r="H1225" s="88">
        <v>0.0096</v>
      </c>
      <c r="I1225" s="49" t="s">
        <v>15355</v>
      </c>
      <c r="J1225" s="49" t="s">
        <v>15356</v>
      </c>
      <c r="K1225" s="44"/>
      <c r="L1225" s="44"/>
    </row>
    <row r="1226">
      <c r="A1226" s="48" t="s">
        <v>10149</v>
      </c>
      <c r="B1226" s="48"/>
      <c r="C1226" s="48" t="s">
        <v>10150</v>
      </c>
      <c r="D1226" s="48"/>
      <c r="E1226" s="48" t="s">
        <v>12918</v>
      </c>
      <c r="F1226" s="64" t="s">
        <v>11998</v>
      </c>
      <c r="G1226" s="60" t="s">
        <v>96</v>
      </c>
      <c r="H1226" s="88">
        <v>0.00954</v>
      </c>
      <c r="I1226" s="49" t="s">
        <v>15357</v>
      </c>
      <c r="J1226" s="49" t="s">
        <v>15358</v>
      </c>
      <c r="K1226" s="44"/>
      <c r="L1226" s="44"/>
    </row>
    <row r="1227">
      <c r="A1227" s="48" t="s">
        <v>11801</v>
      </c>
      <c r="B1227" s="48"/>
      <c r="C1227" s="48" t="s">
        <v>15359</v>
      </c>
      <c r="D1227" s="48"/>
      <c r="E1227" s="48" t="s">
        <v>12105</v>
      </c>
      <c r="F1227" s="64" t="s">
        <v>1740</v>
      </c>
      <c r="G1227" s="60" t="s">
        <v>96</v>
      </c>
      <c r="H1227" s="88">
        <v>0.00951</v>
      </c>
      <c r="I1227" s="49" t="s">
        <v>15360</v>
      </c>
      <c r="J1227" s="49" t="s">
        <v>15361</v>
      </c>
      <c r="K1227" s="44"/>
      <c r="L1227" s="44"/>
    </row>
    <row r="1228">
      <c r="A1228" s="48" t="s">
        <v>10204</v>
      </c>
      <c r="B1228" s="48"/>
      <c r="C1228" s="48" t="s">
        <v>10205</v>
      </c>
      <c r="D1228" s="48"/>
      <c r="E1228" s="48" t="s">
        <v>12182</v>
      </c>
      <c r="F1228" s="64" t="s">
        <v>649</v>
      </c>
      <c r="G1228" s="60" t="s">
        <v>96</v>
      </c>
      <c r="H1228" s="88">
        <v>0.0095</v>
      </c>
      <c r="I1228" s="49" t="s">
        <v>15362</v>
      </c>
      <c r="J1228" s="49" t="s">
        <v>15363</v>
      </c>
      <c r="K1228" s="44"/>
      <c r="L1228" s="44"/>
    </row>
    <row r="1229">
      <c r="A1229" s="48" t="s">
        <v>10256</v>
      </c>
      <c r="B1229" s="48"/>
      <c r="C1229" s="64" t="s">
        <v>15364</v>
      </c>
      <c r="D1229" s="48"/>
      <c r="E1229" s="48" t="s">
        <v>11982</v>
      </c>
      <c r="F1229" s="64" t="s">
        <v>629</v>
      </c>
      <c r="G1229" s="60" t="s">
        <v>96</v>
      </c>
      <c r="H1229" s="88">
        <v>0.0095</v>
      </c>
      <c r="I1229" s="49" t="s">
        <v>15365</v>
      </c>
      <c r="J1229" s="49" t="s">
        <v>15366</v>
      </c>
      <c r="K1229" s="44"/>
      <c r="L1229" s="44"/>
    </row>
    <row r="1230">
      <c r="A1230" s="48" t="s">
        <v>4696</v>
      </c>
      <c r="B1230" s="48"/>
      <c r="C1230" s="64" t="s">
        <v>15367</v>
      </c>
      <c r="D1230" s="48"/>
      <c r="E1230" s="48" t="s">
        <v>12205</v>
      </c>
      <c r="F1230" s="64" t="s">
        <v>622</v>
      </c>
      <c r="G1230" s="60" t="s">
        <v>96</v>
      </c>
      <c r="H1230" s="88">
        <v>0.00948</v>
      </c>
      <c r="I1230" s="49" t="s">
        <v>15368</v>
      </c>
      <c r="J1230" s="49" t="s">
        <v>15369</v>
      </c>
      <c r="K1230" s="44"/>
      <c r="L1230" s="44"/>
    </row>
    <row r="1231">
      <c r="A1231" s="48" t="s">
        <v>11768</v>
      </c>
      <c r="B1231" s="48"/>
      <c r="C1231" s="64" t="s">
        <v>15370</v>
      </c>
      <c r="D1231" s="48"/>
      <c r="E1231" s="48" t="s">
        <v>13710</v>
      </c>
      <c r="F1231" s="64" t="s">
        <v>694</v>
      </c>
      <c r="G1231" s="60" t="s">
        <v>96</v>
      </c>
      <c r="H1231" s="88">
        <v>0.00945</v>
      </c>
      <c r="I1231" s="49" t="s">
        <v>15371</v>
      </c>
      <c r="J1231" s="49" t="s">
        <v>15372</v>
      </c>
      <c r="K1231" s="44"/>
      <c r="L1231" s="44"/>
    </row>
    <row r="1232">
      <c r="A1232" s="48" t="s">
        <v>11784</v>
      </c>
      <c r="B1232" s="48"/>
      <c r="C1232" s="64" t="s">
        <v>15373</v>
      </c>
      <c r="D1232" s="48"/>
      <c r="E1232" s="48" t="s">
        <v>12004</v>
      </c>
      <c r="F1232" s="64" t="s">
        <v>622</v>
      </c>
      <c r="G1232" s="60" t="s">
        <v>96</v>
      </c>
      <c r="H1232" s="88">
        <v>0.0094</v>
      </c>
      <c r="I1232" s="49" t="s">
        <v>15374</v>
      </c>
      <c r="J1232" s="49" t="s">
        <v>15375</v>
      </c>
      <c r="K1232" s="44"/>
      <c r="L1232" s="44"/>
    </row>
    <row r="1233">
      <c r="A1233" s="48" t="s">
        <v>10026</v>
      </c>
      <c r="B1233" s="48"/>
      <c r="C1233" s="64" t="s">
        <v>15376</v>
      </c>
      <c r="D1233" s="48"/>
      <c r="E1233" s="48" t="s">
        <v>11903</v>
      </c>
      <c r="F1233" s="64" t="s">
        <v>622</v>
      </c>
      <c r="G1233" s="60" t="s">
        <v>96</v>
      </c>
      <c r="H1233" s="88">
        <v>0.0094</v>
      </c>
      <c r="I1233" s="49" t="s">
        <v>15377</v>
      </c>
      <c r="J1233" s="49" t="s">
        <v>15378</v>
      </c>
      <c r="K1233" s="44"/>
      <c r="L1233" s="44"/>
    </row>
    <row r="1234">
      <c r="A1234" s="48" t="s">
        <v>10191</v>
      </c>
      <c r="B1234" s="48"/>
      <c r="C1234" s="48" t="s">
        <v>10192</v>
      </c>
      <c r="D1234" s="48"/>
      <c r="E1234" s="48" t="s">
        <v>5291</v>
      </c>
      <c r="F1234" s="64" t="s">
        <v>629</v>
      </c>
      <c r="G1234" s="60" t="s">
        <v>96</v>
      </c>
      <c r="H1234" s="88">
        <v>0.00938</v>
      </c>
      <c r="I1234" s="49" t="s">
        <v>15379</v>
      </c>
      <c r="J1234" s="49" t="s">
        <v>15380</v>
      </c>
      <c r="K1234" s="44"/>
      <c r="L1234" s="44"/>
    </row>
    <row r="1235">
      <c r="A1235" s="48" t="s">
        <v>11818</v>
      </c>
      <c r="B1235" s="48"/>
      <c r="C1235" s="64" t="s">
        <v>15381</v>
      </c>
      <c r="D1235" s="48"/>
      <c r="E1235" s="48" t="s">
        <v>12072</v>
      </c>
      <c r="F1235" s="64" t="s">
        <v>822</v>
      </c>
      <c r="G1235" s="60" t="s">
        <v>96</v>
      </c>
      <c r="H1235" s="88">
        <v>0.00926</v>
      </c>
      <c r="I1235" s="49" t="s">
        <v>15382</v>
      </c>
      <c r="J1235" s="49" t="s">
        <v>15383</v>
      </c>
      <c r="K1235" s="44"/>
      <c r="L1235" s="44"/>
    </row>
    <row r="1236">
      <c r="A1236" s="48" t="s">
        <v>10261</v>
      </c>
      <c r="B1236" s="48"/>
      <c r="C1236" s="64" t="s">
        <v>15384</v>
      </c>
      <c r="D1236" s="48"/>
      <c r="E1236" s="48" t="s">
        <v>14061</v>
      </c>
      <c r="F1236" s="64" t="s">
        <v>822</v>
      </c>
      <c r="G1236" s="60" t="s">
        <v>96</v>
      </c>
      <c r="H1236" s="88">
        <v>0.00926</v>
      </c>
      <c r="I1236" s="49" t="s">
        <v>15385</v>
      </c>
      <c r="J1236" s="49" t="s">
        <v>15386</v>
      </c>
      <c r="K1236" s="44"/>
      <c r="L1236" s="44"/>
    </row>
    <row r="1237">
      <c r="A1237" s="48" t="s">
        <v>10052</v>
      </c>
      <c r="B1237" s="48"/>
      <c r="C1237" s="64" t="s">
        <v>15387</v>
      </c>
      <c r="D1237" s="48"/>
      <c r="E1237" s="48" t="s">
        <v>5341</v>
      </c>
      <c r="F1237" s="64" t="s">
        <v>629</v>
      </c>
      <c r="G1237" s="60" t="s">
        <v>96</v>
      </c>
      <c r="H1237" s="88">
        <v>0.00925</v>
      </c>
      <c r="I1237" s="49" t="s">
        <v>15388</v>
      </c>
      <c r="J1237" s="49" t="s">
        <v>15389</v>
      </c>
      <c r="K1237" s="44"/>
      <c r="L1237" s="44"/>
    </row>
    <row r="1238">
      <c r="A1238" s="48" t="s">
        <v>10213</v>
      </c>
      <c r="B1238" s="48"/>
      <c r="C1238" s="48" t="s">
        <v>10214</v>
      </c>
      <c r="D1238" s="48"/>
      <c r="E1238" s="48" t="s">
        <v>12918</v>
      </c>
      <c r="F1238" s="64" t="s">
        <v>11998</v>
      </c>
      <c r="G1238" s="60" t="s">
        <v>96</v>
      </c>
      <c r="H1238" s="88">
        <v>0.00923</v>
      </c>
      <c r="I1238" s="49" t="s">
        <v>15390</v>
      </c>
      <c r="J1238" s="49" t="s">
        <v>15391</v>
      </c>
      <c r="K1238" s="44"/>
      <c r="L1238" s="44"/>
    </row>
    <row r="1239">
      <c r="A1239" s="48" t="s">
        <v>10062</v>
      </c>
      <c r="B1239" s="48"/>
      <c r="C1239" s="48" t="s">
        <v>10063</v>
      </c>
      <c r="D1239" s="48"/>
      <c r="E1239" s="48" t="s">
        <v>5291</v>
      </c>
      <c r="F1239" s="64" t="s">
        <v>639</v>
      </c>
      <c r="G1239" s="60" t="s">
        <v>96</v>
      </c>
      <c r="H1239" s="88">
        <v>0.00921</v>
      </c>
      <c r="I1239" s="49" t="s">
        <v>15392</v>
      </c>
      <c r="J1239" s="49" t="s">
        <v>15393</v>
      </c>
      <c r="K1239" s="44"/>
      <c r="L1239" s="44"/>
    </row>
    <row r="1240">
      <c r="A1240" s="48" t="s">
        <v>10167</v>
      </c>
      <c r="B1240" s="48"/>
      <c r="C1240" s="48" t="s">
        <v>10168</v>
      </c>
      <c r="D1240" s="48"/>
      <c r="E1240" s="48" t="s">
        <v>13324</v>
      </c>
      <c r="F1240" s="64" t="s">
        <v>11998</v>
      </c>
      <c r="G1240" s="60" t="s">
        <v>96</v>
      </c>
      <c r="H1240" s="88">
        <v>0.0092</v>
      </c>
      <c r="I1240" s="49" t="s">
        <v>15394</v>
      </c>
      <c r="J1240" s="49" t="s">
        <v>15395</v>
      </c>
      <c r="K1240" s="44"/>
      <c r="L1240" s="44"/>
    </row>
    <row r="1241">
      <c r="A1241" s="48" t="s">
        <v>11782</v>
      </c>
      <c r="B1241" s="48"/>
      <c r="C1241" s="64" t="s">
        <v>15396</v>
      </c>
      <c r="D1241" s="48"/>
      <c r="E1241" s="48" t="s">
        <v>11991</v>
      </c>
      <c r="F1241" s="64" t="s">
        <v>694</v>
      </c>
      <c r="G1241" s="60" t="s">
        <v>96</v>
      </c>
      <c r="H1241" s="88">
        <v>0.00918</v>
      </c>
      <c r="I1241" s="49" t="s">
        <v>15397</v>
      </c>
      <c r="J1241" s="49" t="s">
        <v>15398</v>
      </c>
      <c r="K1241" s="44"/>
      <c r="L1241" s="44"/>
    </row>
    <row r="1242">
      <c r="A1242" s="48" t="s">
        <v>11814</v>
      </c>
      <c r="B1242" s="48"/>
      <c r="C1242" s="48" t="s">
        <v>11815</v>
      </c>
      <c r="D1242" s="48"/>
      <c r="E1242" s="48" t="s">
        <v>13710</v>
      </c>
      <c r="F1242" s="64" t="s">
        <v>1201</v>
      </c>
      <c r="G1242" s="60" t="s">
        <v>96</v>
      </c>
      <c r="H1242" s="88">
        <v>0.00918</v>
      </c>
      <c r="I1242" s="49" t="s">
        <v>15399</v>
      </c>
      <c r="J1242" s="49" t="s">
        <v>15400</v>
      </c>
      <c r="K1242" s="44"/>
      <c r="L1242" s="44"/>
    </row>
    <row r="1243">
      <c r="A1243" s="48" t="s">
        <v>9976</v>
      </c>
      <c r="B1243" s="48"/>
      <c r="C1243" s="64" t="s">
        <v>15401</v>
      </c>
      <c r="D1243" s="48"/>
      <c r="E1243" s="48" t="s">
        <v>12136</v>
      </c>
      <c r="F1243" s="64" t="s">
        <v>629</v>
      </c>
      <c r="G1243" s="60" t="s">
        <v>96</v>
      </c>
      <c r="H1243" s="88">
        <v>0.00915</v>
      </c>
      <c r="I1243" s="49" t="s">
        <v>15402</v>
      </c>
      <c r="J1243" s="49" t="s">
        <v>15403</v>
      </c>
      <c r="K1243" s="44"/>
      <c r="L1243" s="44"/>
    </row>
    <row r="1244">
      <c r="A1244" s="48" t="s">
        <v>11793</v>
      </c>
      <c r="B1244" s="48"/>
      <c r="C1244" s="64" t="s">
        <v>15404</v>
      </c>
      <c r="D1244" s="48"/>
      <c r="E1244" s="48" t="s">
        <v>11899</v>
      </c>
      <c r="F1244" s="64" t="s">
        <v>629</v>
      </c>
      <c r="G1244" s="60" t="s">
        <v>96</v>
      </c>
      <c r="H1244" s="88">
        <v>0.00914</v>
      </c>
      <c r="I1244" s="49" t="s">
        <v>15405</v>
      </c>
      <c r="J1244" s="49" t="s">
        <v>15406</v>
      </c>
      <c r="K1244" s="44"/>
      <c r="L1244" s="44"/>
    </row>
    <row r="1245">
      <c r="A1245" s="48" t="s">
        <v>10088</v>
      </c>
      <c r="B1245" s="48"/>
      <c r="C1245" s="48" t="s">
        <v>10089</v>
      </c>
      <c r="D1245" s="48"/>
      <c r="E1245" s="48" t="s">
        <v>11946</v>
      </c>
      <c r="F1245" s="64" t="s">
        <v>1352</v>
      </c>
      <c r="G1245" s="60" t="s">
        <v>96</v>
      </c>
      <c r="H1245" s="88">
        <v>0.00909</v>
      </c>
      <c r="I1245" s="49" t="s">
        <v>15407</v>
      </c>
      <c r="J1245" s="49" t="s">
        <v>15408</v>
      </c>
      <c r="K1245" s="44"/>
      <c r="L1245" s="44"/>
    </row>
    <row r="1246">
      <c r="A1246" s="48" t="s">
        <v>10373</v>
      </c>
      <c r="B1246" s="48"/>
      <c r="C1246" s="48" t="s">
        <v>15409</v>
      </c>
      <c r="D1246" s="48"/>
      <c r="E1246" s="48" t="s">
        <v>5756</v>
      </c>
      <c r="F1246" s="64" t="s">
        <v>883</v>
      </c>
      <c r="G1246" s="60" t="s">
        <v>96</v>
      </c>
      <c r="H1246" s="88">
        <v>0.00903</v>
      </c>
      <c r="I1246" s="49" t="s">
        <v>15410</v>
      </c>
      <c r="J1246" s="49" t="s">
        <v>15411</v>
      </c>
      <c r="K1246" s="44"/>
      <c r="L1246" s="44"/>
    </row>
    <row r="1247">
      <c r="A1247" s="48" t="s">
        <v>10117</v>
      </c>
      <c r="B1247" s="48"/>
      <c r="C1247" s="64" t="s">
        <v>15412</v>
      </c>
      <c r="D1247" s="48"/>
      <c r="E1247" s="48" t="s">
        <v>12417</v>
      </c>
      <c r="F1247" s="64" t="s">
        <v>629</v>
      </c>
      <c r="G1247" s="60" t="s">
        <v>96</v>
      </c>
      <c r="H1247" s="88">
        <v>0.00903</v>
      </c>
      <c r="I1247" s="49" t="s">
        <v>15413</v>
      </c>
      <c r="J1247" s="49" t="s">
        <v>15414</v>
      </c>
      <c r="K1247" s="44"/>
      <c r="L1247" s="44"/>
    </row>
    <row r="1248">
      <c r="A1248" s="48" t="s">
        <v>10126</v>
      </c>
      <c r="B1248" s="48"/>
      <c r="C1248" s="48" t="s">
        <v>10127</v>
      </c>
      <c r="D1248" s="48"/>
      <c r="E1248" s="48" t="s">
        <v>5341</v>
      </c>
      <c r="F1248" s="64" t="s">
        <v>639</v>
      </c>
      <c r="G1248" s="60" t="s">
        <v>96</v>
      </c>
      <c r="H1248" s="88">
        <v>0.00902</v>
      </c>
      <c r="I1248" s="49" t="s">
        <v>15415</v>
      </c>
      <c r="J1248" s="49" t="s">
        <v>15416</v>
      </c>
      <c r="K1248" s="44"/>
      <c r="L1248" s="44"/>
    </row>
    <row r="1249">
      <c r="A1249" s="48" t="s">
        <v>11757</v>
      </c>
      <c r="B1249" s="48"/>
      <c r="C1249" s="64" t="s">
        <v>15417</v>
      </c>
      <c r="D1249" s="48"/>
      <c r="E1249" s="48" t="s">
        <v>5462</v>
      </c>
      <c r="F1249" s="64" t="s">
        <v>694</v>
      </c>
      <c r="G1249" s="60" t="s">
        <v>96</v>
      </c>
      <c r="H1249" s="88">
        <v>0.00898</v>
      </c>
      <c r="I1249" s="49" t="s">
        <v>15418</v>
      </c>
      <c r="J1249" s="49" t="s">
        <v>15419</v>
      </c>
      <c r="K1249" s="44"/>
      <c r="L1249" s="44"/>
    </row>
    <row r="1250">
      <c r="A1250" s="48" t="s">
        <v>11820</v>
      </c>
      <c r="B1250" s="48"/>
      <c r="C1250" s="64" t="s">
        <v>15420</v>
      </c>
      <c r="D1250" s="48"/>
      <c r="E1250" s="48" t="s">
        <v>13231</v>
      </c>
      <c r="F1250" s="64" t="s">
        <v>738</v>
      </c>
      <c r="G1250" s="60" t="s">
        <v>96</v>
      </c>
      <c r="H1250" s="88">
        <v>0.00894</v>
      </c>
      <c r="I1250" s="49" t="s">
        <v>15421</v>
      </c>
      <c r="J1250" s="49" t="s">
        <v>15422</v>
      </c>
      <c r="K1250" s="44"/>
      <c r="L1250" s="44"/>
    </row>
    <row r="1251">
      <c r="A1251" s="48" t="s">
        <v>10345</v>
      </c>
      <c r="B1251" s="48"/>
      <c r="C1251" s="64" t="s">
        <v>15423</v>
      </c>
      <c r="D1251" s="48"/>
      <c r="E1251" s="48" t="s">
        <v>14435</v>
      </c>
      <c r="F1251" s="64" t="s">
        <v>822</v>
      </c>
      <c r="G1251" s="60" t="s">
        <v>96</v>
      </c>
      <c r="H1251" s="88">
        <v>0.00893</v>
      </c>
      <c r="I1251" s="49" t="s">
        <v>15424</v>
      </c>
      <c r="J1251" s="49" t="s">
        <v>15425</v>
      </c>
      <c r="K1251" s="44"/>
      <c r="L1251" s="44"/>
    </row>
    <row r="1252">
      <c r="A1252" s="48" t="s">
        <v>11737</v>
      </c>
      <c r="B1252" s="48"/>
      <c r="C1252" s="48" t="s">
        <v>11738</v>
      </c>
      <c r="D1252" s="48"/>
      <c r="E1252" s="48" t="s">
        <v>12243</v>
      </c>
      <c r="F1252" s="64" t="s">
        <v>645</v>
      </c>
      <c r="G1252" s="60" t="s">
        <v>96</v>
      </c>
      <c r="H1252" s="88">
        <v>0.00892</v>
      </c>
      <c r="I1252" s="49" t="s">
        <v>15426</v>
      </c>
      <c r="J1252" s="49" t="s">
        <v>15427</v>
      </c>
      <c r="K1252" s="44"/>
      <c r="L1252" s="44"/>
    </row>
    <row r="1253">
      <c r="A1253" s="48" t="s">
        <v>10074</v>
      </c>
      <c r="B1253" s="48"/>
      <c r="C1253" s="64" t="s">
        <v>15428</v>
      </c>
      <c r="D1253" s="48"/>
      <c r="E1253" s="48" t="s">
        <v>12895</v>
      </c>
      <c r="F1253" s="64" t="s">
        <v>629</v>
      </c>
      <c r="G1253" s="60" t="s">
        <v>96</v>
      </c>
      <c r="H1253" s="88">
        <v>0.00891</v>
      </c>
      <c r="I1253" s="49" t="s">
        <v>15429</v>
      </c>
      <c r="J1253" s="49" t="s">
        <v>15430</v>
      </c>
      <c r="K1253" s="44"/>
      <c r="L1253" s="44"/>
    </row>
    <row r="1254">
      <c r="A1254" s="48" t="s">
        <v>10310</v>
      </c>
      <c r="B1254" s="48"/>
      <c r="C1254" s="48" t="s">
        <v>10311</v>
      </c>
      <c r="D1254" s="48"/>
      <c r="E1254" s="48" t="s">
        <v>5564</v>
      </c>
      <c r="F1254" s="64" t="s">
        <v>1374</v>
      </c>
      <c r="G1254" s="60" t="s">
        <v>96</v>
      </c>
      <c r="H1254" s="88">
        <v>0.0089</v>
      </c>
      <c r="I1254" s="49" t="s">
        <v>15431</v>
      </c>
      <c r="J1254" s="49" t="s">
        <v>15432</v>
      </c>
      <c r="K1254" s="44"/>
      <c r="L1254" s="44"/>
    </row>
    <row r="1255">
      <c r="A1255" s="48" t="s">
        <v>10314</v>
      </c>
      <c r="B1255" s="48"/>
      <c r="C1255" s="48" t="s">
        <v>10315</v>
      </c>
      <c r="D1255" s="48"/>
      <c r="E1255" s="48" t="s">
        <v>12046</v>
      </c>
      <c r="F1255" s="64" t="s">
        <v>649</v>
      </c>
      <c r="G1255" s="60" t="s">
        <v>96</v>
      </c>
      <c r="H1255" s="88">
        <v>0.00889</v>
      </c>
      <c r="I1255" s="49" t="s">
        <v>15433</v>
      </c>
      <c r="J1255" s="49" t="s">
        <v>15434</v>
      </c>
      <c r="K1255" s="44"/>
      <c r="L1255" s="44"/>
    </row>
    <row r="1256">
      <c r="A1256" s="48" t="s">
        <v>10306</v>
      </c>
      <c r="B1256" s="48"/>
      <c r="C1256" s="64" t="s">
        <v>15435</v>
      </c>
      <c r="D1256" s="48"/>
      <c r="E1256" s="48" t="s">
        <v>12175</v>
      </c>
      <c r="F1256" s="64" t="s">
        <v>629</v>
      </c>
      <c r="G1256" s="60" t="s">
        <v>96</v>
      </c>
      <c r="H1256" s="88">
        <v>0.00888</v>
      </c>
      <c r="I1256" s="49" t="s">
        <v>15436</v>
      </c>
      <c r="J1256" s="49" t="s">
        <v>15437</v>
      </c>
      <c r="K1256" s="44"/>
      <c r="L1256" s="44"/>
    </row>
    <row r="1257">
      <c r="A1257" s="48" t="s">
        <v>4381</v>
      </c>
      <c r="B1257" s="48"/>
      <c r="C1257" s="64" t="s">
        <v>15438</v>
      </c>
      <c r="D1257" s="48"/>
      <c r="E1257" s="48" t="s">
        <v>15122</v>
      </c>
      <c r="F1257" s="64" t="s">
        <v>622</v>
      </c>
      <c r="G1257" s="60" t="s">
        <v>96</v>
      </c>
      <c r="H1257" s="88">
        <v>0.00887</v>
      </c>
      <c r="I1257" s="49" t="s">
        <v>15439</v>
      </c>
      <c r="J1257" s="49" t="s">
        <v>15440</v>
      </c>
      <c r="K1257" s="44"/>
      <c r="L1257" s="44"/>
    </row>
    <row r="1258">
      <c r="A1258" s="48" t="s">
        <v>4714</v>
      </c>
      <c r="B1258" s="48"/>
      <c r="C1258" s="64" t="s">
        <v>15441</v>
      </c>
      <c r="D1258" s="48"/>
      <c r="E1258" s="48" t="s">
        <v>15442</v>
      </c>
      <c r="F1258" s="64" t="s">
        <v>622</v>
      </c>
      <c r="G1258" s="60" t="s">
        <v>96</v>
      </c>
      <c r="H1258" s="88">
        <v>0.00883</v>
      </c>
      <c r="I1258" s="49" t="s">
        <v>15443</v>
      </c>
      <c r="J1258" s="49" t="s">
        <v>15444</v>
      </c>
      <c r="K1258" s="44"/>
      <c r="L1258" s="44"/>
    </row>
    <row r="1259">
      <c r="A1259" s="48" t="s">
        <v>10215</v>
      </c>
      <c r="B1259" s="48"/>
      <c r="C1259" s="48" t="s">
        <v>15445</v>
      </c>
      <c r="D1259" s="48"/>
      <c r="E1259" s="48" t="s">
        <v>12409</v>
      </c>
      <c r="F1259" s="64" t="s">
        <v>1740</v>
      </c>
      <c r="G1259" s="60" t="s">
        <v>96</v>
      </c>
      <c r="H1259" s="88">
        <v>0.00881</v>
      </c>
      <c r="I1259" s="49" t="s">
        <v>15446</v>
      </c>
      <c r="J1259" s="49" t="s">
        <v>15447</v>
      </c>
      <c r="K1259" s="44"/>
      <c r="L1259" s="44"/>
    </row>
    <row r="1260">
      <c r="A1260" s="48" t="s">
        <v>4344</v>
      </c>
      <c r="B1260" s="48"/>
      <c r="C1260" s="48" t="s">
        <v>10548</v>
      </c>
      <c r="D1260" s="48"/>
      <c r="E1260" s="48" t="s">
        <v>12004</v>
      </c>
      <c r="F1260" s="64" t="s">
        <v>649</v>
      </c>
      <c r="G1260" s="60" t="s">
        <v>96</v>
      </c>
      <c r="H1260" s="88">
        <v>0.0088</v>
      </c>
      <c r="I1260" s="49" t="s">
        <v>15448</v>
      </c>
      <c r="J1260" s="49" t="s">
        <v>15449</v>
      </c>
      <c r="K1260" s="44"/>
      <c r="L1260" s="44"/>
    </row>
    <row r="1261">
      <c r="A1261" s="48" t="s">
        <v>10415</v>
      </c>
      <c r="B1261" s="48"/>
      <c r="C1261" s="64" t="s">
        <v>15450</v>
      </c>
      <c r="D1261" s="48"/>
      <c r="E1261" s="48" t="s">
        <v>14435</v>
      </c>
      <c r="F1261" s="64" t="s">
        <v>822</v>
      </c>
      <c r="G1261" s="60" t="s">
        <v>96</v>
      </c>
      <c r="H1261" s="88">
        <v>0.00878</v>
      </c>
      <c r="I1261" s="49" t="s">
        <v>15451</v>
      </c>
      <c r="J1261" s="49" t="s">
        <v>15452</v>
      </c>
      <c r="K1261" s="44"/>
      <c r="L1261" s="44"/>
    </row>
    <row r="1262">
      <c r="A1262" s="48" t="s">
        <v>10046</v>
      </c>
      <c r="B1262" s="48"/>
      <c r="C1262" s="48" t="s">
        <v>10047</v>
      </c>
      <c r="D1262" s="48"/>
      <c r="E1262" s="48" t="s">
        <v>5218</v>
      </c>
      <c r="F1262" s="64" t="s">
        <v>1352</v>
      </c>
      <c r="G1262" s="60" t="s">
        <v>96</v>
      </c>
      <c r="H1262" s="88">
        <v>0.00875</v>
      </c>
      <c r="I1262" s="49" t="s">
        <v>15453</v>
      </c>
      <c r="J1262" s="49" t="s">
        <v>15454</v>
      </c>
      <c r="K1262" s="44"/>
      <c r="L1262" s="44"/>
    </row>
    <row r="1263">
      <c r="A1263" s="48" t="s">
        <v>10398</v>
      </c>
      <c r="B1263" s="48"/>
      <c r="C1263" s="48" t="s">
        <v>15455</v>
      </c>
      <c r="D1263" s="48"/>
      <c r="E1263" s="48" t="s">
        <v>12056</v>
      </c>
      <c r="F1263" s="64" t="s">
        <v>622</v>
      </c>
      <c r="G1263" s="60" t="s">
        <v>96</v>
      </c>
      <c r="H1263" s="88">
        <v>0.00873</v>
      </c>
      <c r="I1263" s="49" t="s">
        <v>15456</v>
      </c>
      <c r="J1263" s="49" t="s">
        <v>15457</v>
      </c>
      <c r="K1263" s="44"/>
      <c r="L1263" s="44"/>
    </row>
    <row r="1264">
      <c r="A1264" s="48" t="s">
        <v>10219</v>
      </c>
      <c r="B1264" s="48"/>
      <c r="C1264" s="64" t="s">
        <v>15458</v>
      </c>
      <c r="D1264" s="48"/>
      <c r="E1264" s="48" t="s">
        <v>5249</v>
      </c>
      <c r="F1264" s="64" t="s">
        <v>629</v>
      </c>
      <c r="G1264" s="60" t="s">
        <v>96</v>
      </c>
      <c r="H1264" s="88">
        <v>0.00873</v>
      </c>
      <c r="I1264" s="49" t="s">
        <v>15459</v>
      </c>
      <c r="J1264" s="49" t="s">
        <v>15460</v>
      </c>
      <c r="K1264" s="44"/>
      <c r="L1264" s="44"/>
    </row>
    <row r="1265">
      <c r="A1265" s="48" t="s">
        <v>11719</v>
      </c>
      <c r="B1265" s="48"/>
      <c r="C1265" s="64" t="s">
        <v>15461</v>
      </c>
      <c r="D1265" s="48"/>
      <c r="E1265" s="48" t="s">
        <v>12352</v>
      </c>
      <c r="F1265" s="64" t="s">
        <v>694</v>
      </c>
      <c r="G1265" s="60" t="s">
        <v>96</v>
      </c>
      <c r="H1265" s="88">
        <v>0.00872</v>
      </c>
      <c r="I1265" s="49" t="s">
        <v>15462</v>
      </c>
      <c r="J1265" s="49" t="s">
        <v>15463</v>
      </c>
      <c r="K1265" s="44"/>
      <c r="L1265" s="44"/>
    </row>
    <row r="1266">
      <c r="A1266" s="48" t="s">
        <v>11788</v>
      </c>
      <c r="B1266" s="48"/>
      <c r="C1266" s="48" t="s">
        <v>15464</v>
      </c>
      <c r="D1266" s="48"/>
      <c r="E1266" s="48" t="s">
        <v>12182</v>
      </c>
      <c r="F1266" s="64" t="s">
        <v>1740</v>
      </c>
      <c r="G1266" s="60" t="s">
        <v>96</v>
      </c>
      <c r="H1266" s="88">
        <v>0.00865</v>
      </c>
      <c r="I1266" s="49" t="s">
        <v>15465</v>
      </c>
      <c r="J1266" s="49" t="s">
        <v>15466</v>
      </c>
      <c r="K1266" s="44"/>
      <c r="L1266" s="44"/>
    </row>
    <row r="1267">
      <c r="A1267" s="48" t="s">
        <v>10034</v>
      </c>
      <c r="B1267" s="48"/>
      <c r="C1267" s="48" t="s">
        <v>10035</v>
      </c>
      <c r="D1267" s="48"/>
      <c r="E1267" s="48" t="s">
        <v>11942</v>
      </c>
      <c r="F1267" s="64" t="s">
        <v>1666</v>
      </c>
      <c r="G1267" s="60" t="s">
        <v>96</v>
      </c>
      <c r="H1267" s="88">
        <v>0.00862</v>
      </c>
      <c r="I1267" s="49" t="s">
        <v>15467</v>
      </c>
      <c r="J1267" s="49" t="s">
        <v>15468</v>
      </c>
      <c r="K1267" s="44"/>
      <c r="L1267" s="44"/>
    </row>
    <row r="1268">
      <c r="A1268" s="48" t="s">
        <v>10271</v>
      </c>
      <c r="B1268" s="48"/>
      <c r="C1268" s="64" t="s">
        <v>15469</v>
      </c>
      <c r="D1268" s="48"/>
      <c r="E1268" s="48" t="s">
        <v>5650</v>
      </c>
      <c r="F1268" s="64" t="s">
        <v>679</v>
      </c>
      <c r="G1268" s="60" t="s">
        <v>96</v>
      </c>
      <c r="H1268" s="88">
        <v>0.00862</v>
      </c>
      <c r="I1268" s="49" t="s">
        <v>15470</v>
      </c>
      <c r="J1268" s="49" t="s">
        <v>15471</v>
      </c>
      <c r="K1268" s="44"/>
      <c r="L1268" s="44"/>
    </row>
    <row r="1269">
      <c r="A1269" s="48" t="s">
        <v>4502</v>
      </c>
      <c r="B1269" s="48"/>
      <c r="C1269" s="64" t="s">
        <v>15472</v>
      </c>
      <c r="D1269" s="48"/>
      <c r="E1269" s="48" t="s">
        <v>15122</v>
      </c>
      <c r="F1269" s="64" t="s">
        <v>622</v>
      </c>
      <c r="G1269" s="60" t="s">
        <v>96</v>
      </c>
      <c r="H1269" s="88">
        <v>0.00856</v>
      </c>
      <c r="I1269" s="49" t="s">
        <v>15473</v>
      </c>
      <c r="J1269" s="49" t="s">
        <v>15474</v>
      </c>
      <c r="K1269" s="44"/>
      <c r="L1269" s="44"/>
    </row>
    <row r="1270">
      <c r="A1270" s="48" t="s">
        <v>10291</v>
      </c>
      <c r="B1270" s="48"/>
      <c r="C1270" s="48" t="s">
        <v>10292</v>
      </c>
      <c r="D1270" s="48"/>
      <c r="E1270" s="48" t="s">
        <v>5564</v>
      </c>
      <c r="F1270" s="64" t="s">
        <v>629</v>
      </c>
      <c r="G1270" s="60" t="s">
        <v>96</v>
      </c>
      <c r="H1270" s="88">
        <v>0.00856</v>
      </c>
      <c r="I1270" s="49" t="s">
        <v>15475</v>
      </c>
      <c r="J1270" s="49" t="s">
        <v>15476</v>
      </c>
      <c r="K1270" s="44"/>
      <c r="L1270" s="44"/>
    </row>
    <row r="1271">
      <c r="A1271" s="48" t="s">
        <v>10221</v>
      </c>
      <c r="B1271" s="48"/>
      <c r="C1271" s="64" t="s">
        <v>15477</v>
      </c>
      <c r="D1271" s="48"/>
      <c r="E1271" s="48" t="s">
        <v>12043</v>
      </c>
      <c r="F1271" s="64" t="s">
        <v>629</v>
      </c>
      <c r="G1271" s="60" t="s">
        <v>96</v>
      </c>
      <c r="H1271" s="88">
        <v>0.00853</v>
      </c>
      <c r="I1271" s="49" t="s">
        <v>15478</v>
      </c>
      <c r="J1271" s="49" t="s">
        <v>15479</v>
      </c>
      <c r="K1271" s="44"/>
      <c r="L1271" s="44"/>
    </row>
    <row r="1272">
      <c r="A1272" s="48" t="s">
        <v>4107</v>
      </c>
      <c r="B1272" s="48"/>
      <c r="C1272" s="48" t="s">
        <v>10146</v>
      </c>
      <c r="D1272" s="48"/>
      <c r="E1272" s="48" t="s">
        <v>14184</v>
      </c>
      <c r="F1272" s="64" t="s">
        <v>639</v>
      </c>
      <c r="G1272" s="60" t="s">
        <v>96</v>
      </c>
      <c r="H1272" s="88">
        <v>0.00851</v>
      </c>
      <c r="I1272" s="49" t="s">
        <v>15480</v>
      </c>
      <c r="J1272" s="49" t="s">
        <v>15481</v>
      </c>
      <c r="K1272" s="44"/>
      <c r="L1272" s="44"/>
    </row>
    <row r="1273">
      <c r="A1273" s="48" t="s">
        <v>10240</v>
      </c>
      <c r="B1273" s="48"/>
      <c r="C1273" s="48" t="s">
        <v>15482</v>
      </c>
      <c r="D1273" s="48"/>
      <c r="E1273" s="48" t="s">
        <v>5218</v>
      </c>
      <c r="F1273" s="64" t="s">
        <v>686</v>
      </c>
      <c r="G1273" s="60" t="s">
        <v>96</v>
      </c>
      <c r="H1273" s="88">
        <v>0.00851</v>
      </c>
      <c r="I1273" s="49" t="s">
        <v>15483</v>
      </c>
      <c r="J1273" s="49" t="s">
        <v>15484</v>
      </c>
      <c r="K1273" s="44"/>
      <c r="L1273" s="44"/>
    </row>
    <row r="1274">
      <c r="A1274" s="48" t="s">
        <v>4304</v>
      </c>
      <c r="B1274" s="48"/>
      <c r="C1274" s="48" t="s">
        <v>10324</v>
      </c>
      <c r="D1274" s="48"/>
      <c r="E1274" s="48" t="s">
        <v>12485</v>
      </c>
      <c r="F1274" s="64" t="s">
        <v>1352</v>
      </c>
      <c r="G1274" s="60" t="s">
        <v>96</v>
      </c>
      <c r="H1274" s="88">
        <v>0.00845</v>
      </c>
      <c r="I1274" s="49" t="s">
        <v>15485</v>
      </c>
      <c r="J1274" s="49" t="s">
        <v>15486</v>
      </c>
      <c r="K1274" s="44"/>
      <c r="L1274" s="44"/>
    </row>
    <row r="1275">
      <c r="A1275" s="48" t="s">
        <v>11822</v>
      </c>
      <c r="B1275" s="48"/>
      <c r="C1275" s="64" t="s">
        <v>15487</v>
      </c>
      <c r="D1275" s="48"/>
      <c r="E1275" s="48" t="s">
        <v>6110</v>
      </c>
      <c r="F1275" s="64" t="s">
        <v>822</v>
      </c>
      <c r="G1275" s="60" t="s">
        <v>96</v>
      </c>
      <c r="H1275" s="88">
        <v>0.00843</v>
      </c>
      <c r="I1275" s="49" t="s">
        <v>15488</v>
      </c>
      <c r="J1275" s="49" t="s">
        <v>15489</v>
      </c>
      <c r="K1275" s="44"/>
      <c r="L1275" s="44"/>
    </row>
    <row r="1276">
      <c r="A1276" s="48" t="s">
        <v>10155</v>
      </c>
      <c r="B1276" s="48"/>
      <c r="C1276" s="64" t="s">
        <v>15490</v>
      </c>
      <c r="D1276" s="48"/>
      <c r="E1276" s="48" t="s">
        <v>12031</v>
      </c>
      <c r="F1276" s="64" t="s">
        <v>629</v>
      </c>
      <c r="G1276" s="60" t="s">
        <v>96</v>
      </c>
      <c r="H1276" s="88">
        <v>0.00843</v>
      </c>
      <c r="I1276" s="49" t="s">
        <v>15491</v>
      </c>
      <c r="J1276" s="49" t="s">
        <v>15492</v>
      </c>
      <c r="K1276" s="44"/>
      <c r="L1276" s="44"/>
    </row>
    <row r="1277">
      <c r="A1277" s="48" t="s">
        <v>11806</v>
      </c>
      <c r="B1277" s="48"/>
      <c r="C1277" s="64" t="s">
        <v>15493</v>
      </c>
      <c r="D1277" s="48"/>
      <c r="E1277" s="48" t="s">
        <v>12660</v>
      </c>
      <c r="F1277" s="64" t="s">
        <v>629</v>
      </c>
      <c r="G1277" s="60" t="s">
        <v>96</v>
      </c>
      <c r="H1277" s="88">
        <v>0.00842</v>
      </c>
      <c r="I1277" s="49" t="s">
        <v>15494</v>
      </c>
      <c r="J1277" s="49" t="s">
        <v>15495</v>
      </c>
      <c r="K1277" s="44"/>
      <c r="L1277" s="44"/>
    </row>
    <row r="1278">
      <c r="A1278" s="48" t="s">
        <v>10343</v>
      </c>
      <c r="B1278" s="48"/>
      <c r="C1278" s="48" t="s">
        <v>10344</v>
      </c>
      <c r="D1278" s="48"/>
      <c r="E1278" s="48" t="s">
        <v>5218</v>
      </c>
      <c r="F1278" s="64" t="s">
        <v>639</v>
      </c>
      <c r="G1278" s="60" t="s">
        <v>96</v>
      </c>
      <c r="H1278" s="88">
        <v>0.00839</v>
      </c>
      <c r="I1278" s="49" t="s">
        <v>15496</v>
      </c>
      <c r="J1278" s="49" t="s">
        <v>15497</v>
      </c>
      <c r="K1278" s="44"/>
      <c r="L1278" s="44"/>
    </row>
    <row r="1279">
      <c r="A1279" s="48" t="s">
        <v>10300</v>
      </c>
      <c r="B1279" s="48"/>
      <c r="C1279" s="64" t="s">
        <v>15498</v>
      </c>
      <c r="D1279" s="48"/>
      <c r="E1279" s="48" t="s">
        <v>12120</v>
      </c>
      <c r="F1279" s="64" t="s">
        <v>629</v>
      </c>
      <c r="G1279" s="60" t="s">
        <v>96</v>
      </c>
      <c r="H1279" s="88">
        <v>0.00838</v>
      </c>
      <c r="I1279" s="49" t="s">
        <v>15499</v>
      </c>
      <c r="J1279" s="49" t="s">
        <v>15500</v>
      </c>
      <c r="K1279" s="44"/>
      <c r="L1279" s="44"/>
    </row>
    <row r="1280">
      <c r="A1280" s="48" t="s">
        <v>11810</v>
      </c>
      <c r="B1280" s="48"/>
      <c r="C1280" s="64" t="s">
        <v>15501</v>
      </c>
      <c r="D1280" s="48"/>
      <c r="E1280" s="48" t="s">
        <v>12090</v>
      </c>
      <c r="F1280" s="64" t="s">
        <v>738</v>
      </c>
      <c r="G1280" s="60" t="s">
        <v>96</v>
      </c>
      <c r="H1280" s="88">
        <v>0.00831</v>
      </c>
      <c r="I1280" s="49" t="s">
        <v>15502</v>
      </c>
      <c r="J1280" s="49" t="s">
        <v>15503</v>
      </c>
      <c r="K1280" s="44"/>
      <c r="L1280" s="44"/>
    </row>
    <row r="1281">
      <c r="A1281" s="48" t="s">
        <v>10202</v>
      </c>
      <c r="B1281" s="48"/>
      <c r="C1281" s="64" t="s">
        <v>15504</v>
      </c>
      <c r="D1281" s="48"/>
      <c r="E1281" s="48" t="s">
        <v>5564</v>
      </c>
      <c r="F1281" s="64" t="s">
        <v>629</v>
      </c>
      <c r="G1281" s="60" t="s">
        <v>96</v>
      </c>
      <c r="H1281" s="88">
        <v>0.00831</v>
      </c>
      <c r="I1281" s="49" t="s">
        <v>15505</v>
      </c>
      <c r="J1281" s="49" t="s">
        <v>15506</v>
      </c>
      <c r="K1281" s="44"/>
      <c r="L1281" s="44"/>
    </row>
    <row r="1282">
      <c r="A1282" s="48" t="s">
        <v>10282</v>
      </c>
      <c r="B1282" s="48"/>
      <c r="C1282" s="48" t="s">
        <v>10283</v>
      </c>
      <c r="D1282" s="48"/>
      <c r="E1282" s="48" t="s">
        <v>5564</v>
      </c>
      <c r="F1282" s="64" t="s">
        <v>738</v>
      </c>
      <c r="G1282" s="60" t="s">
        <v>96</v>
      </c>
      <c r="H1282" s="88">
        <v>0.00829</v>
      </c>
      <c r="I1282" s="49" t="s">
        <v>15507</v>
      </c>
      <c r="J1282" s="49" t="s">
        <v>15508</v>
      </c>
      <c r="K1282" s="44"/>
      <c r="L1282" s="44"/>
    </row>
    <row r="1283">
      <c r="A1283" s="48" t="s">
        <v>11786</v>
      </c>
      <c r="B1283" s="48"/>
      <c r="C1283" s="64" t="s">
        <v>15509</v>
      </c>
      <c r="D1283" s="48"/>
      <c r="E1283" s="48" t="s">
        <v>12339</v>
      </c>
      <c r="F1283" s="64" t="s">
        <v>679</v>
      </c>
      <c r="G1283" s="60" t="s">
        <v>96</v>
      </c>
      <c r="H1283" s="88">
        <v>0.00827</v>
      </c>
      <c r="I1283" s="49" t="s">
        <v>15510</v>
      </c>
      <c r="J1283" s="49" t="s">
        <v>15511</v>
      </c>
      <c r="K1283" s="44"/>
      <c r="L1283" s="44"/>
    </row>
    <row r="1284">
      <c r="A1284" s="48" t="s">
        <v>10229</v>
      </c>
      <c r="B1284" s="48"/>
      <c r="C1284" s="64" t="s">
        <v>15512</v>
      </c>
      <c r="D1284" s="48"/>
      <c r="E1284" s="48" t="s">
        <v>12356</v>
      </c>
      <c r="F1284" s="64" t="s">
        <v>629</v>
      </c>
      <c r="G1284" s="60" t="s">
        <v>96</v>
      </c>
      <c r="H1284" s="88">
        <v>0.00826</v>
      </c>
      <c r="I1284" s="49" t="s">
        <v>15513</v>
      </c>
      <c r="J1284" s="49" t="s">
        <v>15514</v>
      </c>
      <c r="K1284" s="44"/>
      <c r="L1284" s="44"/>
    </row>
    <row r="1285">
      <c r="A1285" s="48" t="s">
        <v>10165</v>
      </c>
      <c r="B1285" s="48"/>
      <c r="C1285" s="64" t="s">
        <v>15515</v>
      </c>
      <c r="D1285" s="48"/>
      <c r="E1285" s="48" t="s">
        <v>12729</v>
      </c>
      <c r="F1285" s="64" t="s">
        <v>629</v>
      </c>
      <c r="G1285" s="60" t="s">
        <v>96</v>
      </c>
      <c r="H1285" s="88">
        <v>0.00825</v>
      </c>
      <c r="I1285" s="49" t="s">
        <v>15516</v>
      </c>
      <c r="J1285" s="49" t="s">
        <v>15517</v>
      </c>
      <c r="K1285" s="44"/>
      <c r="L1285" s="44"/>
    </row>
    <row r="1286">
      <c r="A1286" s="48" t="s">
        <v>10269</v>
      </c>
      <c r="B1286" s="48"/>
      <c r="C1286" s="64" t="s">
        <v>15518</v>
      </c>
      <c r="D1286" s="48"/>
      <c r="E1286" s="48" t="s">
        <v>12120</v>
      </c>
      <c r="F1286" s="64" t="s">
        <v>629</v>
      </c>
      <c r="G1286" s="60" t="s">
        <v>96</v>
      </c>
      <c r="H1286" s="88">
        <v>0.00823</v>
      </c>
      <c r="I1286" s="49" t="s">
        <v>15519</v>
      </c>
      <c r="J1286" s="49" t="s">
        <v>15520</v>
      </c>
      <c r="K1286" s="44"/>
      <c r="L1286" s="44"/>
    </row>
    <row r="1287">
      <c r="A1287" s="48" t="s">
        <v>10452</v>
      </c>
      <c r="B1287" s="48"/>
      <c r="C1287" s="48" t="s">
        <v>10453</v>
      </c>
      <c r="D1287" s="48"/>
      <c r="E1287" s="48" t="s">
        <v>13439</v>
      </c>
      <c r="F1287" s="64" t="s">
        <v>1374</v>
      </c>
      <c r="G1287" s="60" t="s">
        <v>96</v>
      </c>
      <c r="H1287" s="88">
        <v>0.00823</v>
      </c>
      <c r="I1287" s="49" t="s">
        <v>15521</v>
      </c>
      <c r="J1287" s="49" t="s">
        <v>15522</v>
      </c>
      <c r="K1287" s="44"/>
      <c r="L1287" s="44"/>
    </row>
    <row r="1288">
      <c r="A1288" s="48" t="s">
        <v>11837</v>
      </c>
      <c r="B1288" s="48"/>
      <c r="C1288" s="64" t="s">
        <v>15523</v>
      </c>
      <c r="D1288" s="48"/>
      <c r="E1288" s="48" t="s">
        <v>15284</v>
      </c>
      <c r="F1288" s="64" t="s">
        <v>694</v>
      </c>
      <c r="G1288" s="60" t="s">
        <v>96</v>
      </c>
      <c r="H1288" s="88">
        <v>0.00821</v>
      </c>
      <c r="I1288" s="49" t="s">
        <v>15524</v>
      </c>
      <c r="J1288" s="49" t="s">
        <v>15525</v>
      </c>
      <c r="K1288" s="44"/>
      <c r="L1288" s="44"/>
    </row>
    <row r="1289">
      <c r="A1289" s="48" t="s">
        <v>11797</v>
      </c>
      <c r="B1289" s="48"/>
      <c r="C1289" s="48" t="s">
        <v>11798</v>
      </c>
      <c r="D1289" s="48"/>
      <c r="E1289" s="48" t="s">
        <v>12090</v>
      </c>
      <c r="F1289" s="64" t="s">
        <v>639</v>
      </c>
      <c r="G1289" s="60" t="s">
        <v>96</v>
      </c>
      <c r="H1289" s="88">
        <v>0.00818</v>
      </c>
      <c r="I1289" s="49" t="s">
        <v>15526</v>
      </c>
      <c r="J1289" s="49" t="s">
        <v>15527</v>
      </c>
      <c r="K1289" s="44"/>
      <c r="L1289" s="44"/>
    </row>
    <row r="1290">
      <c r="A1290" s="48" t="s">
        <v>10098</v>
      </c>
      <c r="B1290" s="48"/>
      <c r="C1290" s="64" t="s">
        <v>15528</v>
      </c>
      <c r="D1290" s="48"/>
      <c r="E1290" s="48" t="s">
        <v>11924</v>
      </c>
      <c r="F1290" s="64" t="s">
        <v>629</v>
      </c>
      <c r="G1290" s="60" t="s">
        <v>96</v>
      </c>
      <c r="H1290" s="88">
        <v>0.00818</v>
      </c>
      <c r="I1290" s="49" t="s">
        <v>15529</v>
      </c>
      <c r="J1290" s="49" t="s">
        <v>15530</v>
      </c>
      <c r="K1290" s="44"/>
      <c r="L1290" s="44"/>
    </row>
    <row r="1291">
      <c r="A1291" s="48" t="s">
        <v>10320</v>
      </c>
      <c r="B1291" s="48"/>
      <c r="C1291" s="64" t="s">
        <v>15531</v>
      </c>
      <c r="D1291" s="48"/>
      <c r="E1291" s="48" t="s">
        <v>12777</v>
      </c>
      <c r="F1291" s="64" t="s">
        <v>629</v>
      </c>
      <c r="G1291" s="60" t="s">
        <v>96</v>
      </c>
      <c r="H1291" s="88">
        <v>0.00818</v>
      </c>
      <c r="I1291" s="49" t="s">
        <v>15532</v>
      </c>
      <c r="J1291" s="49" t="s">
        <v>15533</v>
      </c>
      <c r="K1291" s="44"/>
      <c r="L1291" s="44"/>
    </row>
    <row r="1292">
      <c r="A1292" s="48" t="s">
        <v>10273</v>
      </c>
      <c r="B1292" s="48"/>
      <c r="C1292" s="64" t="s">
        <v>15534</v>
      </c>
      <c r="D1292" s="48"/>
      <c r="E1292" s="48" t="s">
        <v>12460</v>
      </c>
      <c r="F1292" s="64" t="s">
        <v>622</v>
      </c>
      <c r="G1292" s="60" t="s">
        <v>96</v>
      </c>
      <c r="H1292" s="88">
        <v>0.00817</v>
      </c>
      <c r="I1292" s="49" t="s">
        <v>15535</v>
      </c>
      <c r="J1292" s="49" t="s">
        <v>15536</v>
      </c>
      <c r="K1292" s="44"/>
      <c r="L1292" s="44"/>
    </row>
    <row r="1293">
      <c r="A1293" s="48" t="s">
        <v>10232</v>
      </c>
      <c r="B1293" s="48"/>
      <c r="C1293" s="64" t="s">
        <v>15537</v>
      </c>
      <c r="D1293" s="48"/>
      <c r="E1293" s="48" t="s">
        <v>13171</v>
      </c>
      <c r="F1293" s="64" t="s">
        <v>629</v>
      </c>
      <c r="G1293" s="60" t="s">
        <v>96</v>
      </c>
      <c r="H1293" s="88">
        <v>0.00814</v>
      </c>
      <c r="I1293" s="49" t="s">
        <v>15538</v>
      </c>
      <c r="J1293" s="49" t="s">
        <v>15539</v>
      </c>
      <c r="K1293" s="44"/>
      <c r="L1293" s="44"/>
    </row>
    <row r="1294">
      <c r="A1294" s="48" t="s">
        <v>10267</v>
      </c>
      <c r="B1294" s="48"/>
      <c r="C1294" s="64" t="s">
        <v>15540</v>
      </c>
      <c r="D1294" s="48"/>
      <c r="E1294" s="48" t="s">
        <v>6012</v>
      </c>
      <c r="F1294" s="64" t="s">
        <v>629</v>
      </c>
      <c r="G1294" s="60" t="s">
        <v>96</v>
      </c>
      <c r="H1294" s="88">
        <v>0.00812</v>
      </c>
      <c r="I1294" s="49" t="s">
        <v>15541</v>
      </c>
      <c r="J1294" s="49" t="s">
        <v>15542</v>
      </c>
      <c r="K1294" s="44"/>
      <c r="L1294" s="44"/>
    </row>
    <row r="1295">
      <c r="A1295" s="48" t="s">
        <v>4632</v>
      </c>
      <c r="B1295" s="48"/>
      <c r="C1295" s="64" t="s">
        <v>15543</v>
      </c>
      <c r="D1295" s="48"/>
      <c r="E1295" s="48" t="s">
        <v>12309</v>
      </c>
      <c r="F1295" s="64" t="s">
        <v>694</v>
      </c>
      <c r="G1295" s="60" t="s">
        <v>96</v>
      </c>
      <c r="H1295" s="88">
        <v>0.0081</v>
      </c>
      <c r="I1295" s="49" t="s">
        <v>15544</v>
      </c>
      <c r="J1295" s="49" t="s">
        <v>15545</v>
      </c>
      <c r="K1295" s="44"/>
      <c r="L1295" s="44"/>
    </row>
    <row r="1296">
      <c r="A1296" s="48" t="s">
        <v>11826</v>
      </c>
      <c r="B1296" s="48"/>
      <c r="C1296" s="64" t="s">
        <v>15546</v>
      </c>
      <c r="D1296" s="48"/>
      <c r="E1296" s="48" t="s">
        <v>12220</v>
      </c>
      <c r="F1296" s="64" t="s">
        <v>629</v>
      </c>
      <c r="G1296" s="60" t="s">
        <v>96</v>
      </c>
      <c r="H1296" s="88">
        <v>0.0081</v>
      </c>
      <c r="I1296" s="49" t="s">
        <v>15547</v>
      </c>
      <c r="J1296" s="49" t="s">
        <v>15548</v>
      </c>
      <c r="K1296" s="44"/>
      <c r="L1296" s="44"/>
    </row>
    <row r="1297">
      <c r="A1297" s="48" t="s">
        <v>10287</v>
      </c>
      <c r="B1297" s="48"/>
      <c r="C1297" s="64" t="s">
        <v>15549</v>
      </c>
      <c r="D1297" s="48"/>
      <c r="E1297" s="48" t="s">
        <v>12437</v>
      </c>
      <c r="F1297" s="64" t="s">
        <v>629</v>
      </c>
      <c r="G1297" s="60" t="s">
        <v>96</v>
      </c>
      <c r="H1297" s="88">
        <v>0.00806</v>
      </c>
      <c r="I1297" s="49" t="s">
        <v>15550</v>
      </c>
      <c r="J1297" s="49" t="s">
        <v>15551</v>
      </c>
      <c r="K1297" s="44"/>
      <c r="L1297" s="44"/>
    </row>
    <row r="1298">
      <c r="A1298" s="48" t="s">
        <v>10450</v>
      </c>
      <c r="B1298" s="48"/>
      <c r="C1298" s="48" t="s">
        <v>10451</v>
      </c>
      <c r="D1298" s="48"/>
      <c r="E1298" s="48" t="s">
        <v>12072</v>
      </c>
      <c r="F1298" s="64" t="s">
        <v>1352</v>
      </c>
      <c r="G1298" s="60" t="s">
        <v>96</v>
      </c>
      <c r="H1298" s="88">
        <v>0.00804</v>
      </c>
      <c r="I1298" s="49" t="s">
        <v>15552</v>
      </c>
      <c r="J1298" s="49" t="s">
        <v>15553</v>
      </c>
      <c r="K1298" s="44"/>
      <c r="L1298" s="44"/>
    </row>
    <row r="1299">
      <c r="A1299" s="48" t="s">
        <v>11828</v>
      </c>
      <c r="B1299" s="48"/>
      <c r="C1299" s="64" t="s">
        <v>15554</v>
      </c>
      <c r="D1299" s="48"/>
      <c r="E1299" s="48" t="s">
        <v>12777</v>
      </c>
      <c r="F1299" s="64" t="s">
        <v>694</v>
      </c>
      <c r="G1299" s="60" t="s">
        <v>96</v>
      </c>
      <c r="H1299" s="88">
        <v>0.00797</v>
      </c>
      <c r="I1299" s="49" t="s">
        <v>15555</v>
      </c>
      <c r="J1299" s="49" t="s">
        <v>15556</v>
      </c>
      <c r="K1299" s="44"/>
      <c r="L1299" s="44"/>
    </row>
    <row r="1300">
      <c r="A1300" s="48" t="s">
        <v>10177</v>
      </c>
      <c r="B1300" s="48"/>
      <c r="C1300" s="64" t="s">
        <v>15557</v>
      </c>
      <c r="D1300" s="48"/>
      <c r="E1300" s="48" t="s">
        <v>12895</v>
      </c>
      <c r="F1300" s="64" t="s">
        <v>622</v>
      </c>
      <c r="G1300" s="60" t="s">
        <v>96</v>
      </c>
      <c r="H1300" s="88">
        <v>0.00793</v>
      </c>
      <c r="I1300" s="49" t="s">
        <v>15558</v>
      </c>
      <c r="J1300" s="49" t="s">
        <v>15559</v>
      </c>
      <c r="K1300" s="44"/>
      <c r="L1300" s="44"/>
    </row>
    <row r="1301">
      <c r="A1301" s="48" t="s">
        <v>10100</v>
      </c>
      <c r="B1301" s="48"/>
      <c r="C1301" s="48" t="s">
        <v>10101</v>
      </c>
      <c r="D1301" s="48"/>
      <c r="E1301" s="48" t="s">
        <v>12046</v>
      </c>
      <c r="F1301" s="64" t="s">
        <v>639</v>
      </c>
      <c r="G1301" s="60" t="s">
        <v>96</v>
      </c>
      <c r="H1301" s="88">
        <v>0.00792</v>
      </c>
      <c r="I1301" s="49" t="s">
        <v>15560</v>
      </c>
      <c r="J1301" s="49" t="s">
        <v>15561</v>
      </c>
      <c r="K1301" s="44"/>
      <c r="L1301" s="44"/>
    </row>
    <row r="1302">
      <c r="A1302" s="48" t="s">
        <v>10338</v>
      </c>
      <c r="B1302" s="48"/>
      <c r="C1302" s="48" t="s">
        <v>10339</v>
      </c>
      <c r="D1302" s="48"/>
      <c r="E1302" s="48" t="s">
        <v>6012</v>
      </c>
      <c r="F1302" s="64" t="s">
        <v>11998</v>
      </c>
      <c r="G1302" s="60" t="s">
        <v>96</v>
      </c>
      <c r="H1302" s="88">
        <v>0.00791</v>
      </c>
      <c r="I1302" s="49" t="s">
        <v>15562</v>
      </c>
      <c r="J1302" s="49" t="s">
        <v>15563</v>
      </c>
      <c r="K1302" s="44"/>
      <c r="L1302" s="44"/>
    </row>
    <row r="1303">
      <c r="A1303" s="48" t="s">
        <v>10223</v>
      </c>
      <c r="B1303" s="48"/>
      <c r="C1303" s="64" t="s">
        <v>15564</v>
      </c>
      <c r="D1303" s="48"/>
      <c r="E1303" s="48" t="s">
        <v>12559</v>
      </c>
      <c r="F1303" s="64" t="s">
        <v>629</v>
      </c>
      <c r="G1303" s="60" t="s">
        <v>96</v>
      </c>
      <c r="H1303" s="88">
        <v>0.0079</v>
      </c>
      <c r="I1303" s="49" t="s">
        <v>15565</v>
      </c>
      <c r="J1303" s="49" t="s">
        <v>15566</v>
      </c>
      <c r="K1303" s="44"/>
      <c r="L1303" s="44"/>
    </row>
    <row r="1304">
      <c r="A1304" s="48" t="s">
        <v>5747</v>
      </c>
      <c r="B1304" s="48"/>
      <c r="C1304" s="48" t="s">
        <v>10247</v>
      </c>
      <c r="D1304" s="48"/>
      <c r="E1304" s="48" t="s">
        <v>13171</v>
      </c>
      <c r="F1304" s="64" t="s">
        <v>639</v>
      </c>
      <c r="G1304" s="60" t="s">
        <v>96</v>
      </c>
      <c r="H1304" s="88">
        <v>0.0079</v>
      </c>
      <c r="I1304" s="49" t="s">
        <v>15567</v>
      </c>
      <c r="J1304" s="49" t="s">
        <v>15568</v>
      </c>
      <c r="K1304" s="44"/>
      <c r="L1304" s="44"/>
    </row>
    <row r="1305">
      <c r="A1305" s="48" t="s">
        <v>10131</v>
      </c>
      <c r="B1305" s="48"/>
      <c r="C1305" s="64" t="s">
        <v>15569</v>
      </c>
      <c r="D1305" s="48"/>
      <c r="E1305" s="48" t="s">
        <v>11899</v>
      </c>
      <c r="F1305" s="64" t="s">
        <v>629</v>
      </c>
      <c r="G1305" s="60" t="s">
        <v>96</v>
      </c>
      <c r="H1305" s="88">
        <v>0.0079</v>
      </c>
      <c r="I1305" s="49" t="s">
        <v>15570</v>
      </c>
      <c r="J1305" s="49" t="s">
        <v>15571</v>
      </c>
      <c r="K1305" s="44"/>
      <c r="L1305" s="44"/>
    </row>
    <row r="1306">
      <c r="A1306" s="48" t="s">
        <v>11799</v>
      </c>
      <c r="B1306" s="48"/>
      <c r="C1306" s="64" t="s">
        <v>15572</v>
      </c>
      <c r="D1306" s="48"/>
      <c r="E1306" s="48" t="s">
        <v>14773</v>
      </c>
      <c r="F1306" s="64" t="s">
        <v>694</v>
      </c>
      <c r="G1306" s="60" t="s">
        <v>96</v>
      </c>
      <c r="H1306" s="88">
        <v>0.00784</v>
      </c>
      <c r="I1306" s="49" t="s">
        <v>15573</v>
      </c>
      <c r="J1306" s="49" t="s">
        <v>15574</v>
      </c>
      <c r="K1306" s="44"/>
      <c r="L1306" s="44"/>
    </row>
    <row r="1307">
      <c r="A1307" s="48" t="s">
        <v>10297</v>
      </c>
      <c r="B1307" s="48"/>
      <c r="C1307" s="64" t="s">
        <v>15575</v>
      </c>
      <c r="D1307" s="48"/>
      <c r="E1307" s="48" t="s">
        <v>15284</v>
      </c>
      <c r="F1307" s="64" t="s">
        <v>2732</v>
      </c>
      <c r="G1307" s="60" t="s">
        <v>96</v>
      </c>
      <c r="H1307" s="88">
        <v>0.00781</v>
      </c>
      <c r="I1307" s="49" t="s">
        <v>15576</v>
      </c>
      <c r="J1307" s="49" t="s">
        <v>15577</v>
      </c>
      <c r="K1307" s="44"/>
      <c r="L1307" s="44"/>
    </row>
    <row r="1308">
      <c r="A1308" s="48" t="s">
        <v>11795</v>
      </c>
      <c r="B1308" s="48"/>
      <c r="C1308" s="64" t="s">
        <v>15578</v>
      </c>
      <c r="D1308" s="48"/>
      <c r="E1308" s="48" t="s">
        <v>13069</v>
      </c>
      <c r="F1308" s="64" t="s">
        <v>622</v>
      </c>
      <c r="G1308" s="60" t="s">
        <v>96</v>
      </c>
      <c r="H1308" s="88">
        <v>0.0078</v>
      </c>
      <c r="I1308" s="49" t="s">
        <v>15579</v>
      </c>
      <c r="J1308" s="49" t="s">
        <v>15580</v>
      </c>
      <c r="K1308" s="44"/>
      <c r="L1308" s="44"/>
    </row>
    <row r="1309">
      <c r="A1309" s="48" t="s">
        <v>10492</v>
      </c>
      <c r="B1309" s="48"/>
      <c r="C1309" s="48" t="s">
        <v>10493</v>
      </c>
      <c r="D1309" s="48"/>
      <c r="E1309" s="48" t="s">
        <v>6012</v>
      </c>
      <c r="F1309" s="64" t="s">
        <v>649</v>
      </c>
      <c r="G1309" s="60" t="s">
        <v>96</v>
      </c>
      <c r="H1309" s="88">
        <v>0.00779</v>
      </c>
      <c r="I1309" s="49" t="s">
        <v>15581</v>
      </c>
      <c r="J1309" s="49" t="s">
        <v>15582</v>
      </c>
      <c r="K1309" s="44"/>
      <c r="L1309" s="44"/>
    </row>
    <row r="1310">
      <c r="A1310" s="48" t="s">
        <v>10092</v>
      </c>
      <c r="B1310" s="48"/>
      <c r="C1310" s="64" t="s">
        <v>15583</v>
      </c>
      <c r="D1310" s="48"/>
      <c r="E1310" s="48" t="s">
        <v>12136</v>
      </c>
      <c r="F1310" s="64" t="s">
        <v>629</v>
      </c>
      <c r="G1310" s="60" t="s">
        <v>96</v>
      </c>
      <c r="H1310" s="88">
        <v>0.00779</v>
      </c>
      <c r="I1310" s="49" t="s">
        <v>15584</v>
      </c>
      <c r="J1310" s="49" t="s">
        <v>15585</v>
      </c>
      <c r="K1310" s="44"/>
      <c r="L1310" s="44"/>
    </row>
    <row r="1311">
      <c r="A1311" s="48" t="s">
        <v>10236</v>
      </c>
      <c r="B1311" s="48"/>
      <c r="C1311" s="64" t="s">
        <v>15586</v>
      </c>
      <c r="D1311" s="48"/>
      <c r="E1311" s="48" t="s">
        <v>12501</v>
      </c>
      <c r="F1311" s="64" t="s">
        <v>629</v>
      </c>
      <c r="G1311" s="60" t="s">
        <v>96</v>
      </c>
      <c r="H1311" s="88">
        <v>0.00775</v>
      </c>
      <c r="I1311" s="49" t="s">
        <v>15587</v>
      </c>
      <c r="J1311" s="49" t="s">
        <v>15588</v>
      </c>
      <c r="K1311" s="44"/>
      <c r="L1311" s="44"/>
    </row>
    <row r="1312">
      <c r="A1312" s="48" t="s">
        <v>11816</v>
      </c>
      <c r="B1312" s="48"/>
      <c r="C1312" s="64" t="s">
        <v>15589</v>
      </c>
      <c r="D1312" s="48"/>
      <c r="E1312" s="48" t="s">
        <v>13324</v>
      </c>
      <c r="F1312" s="64" t="s">
        <v>622</v>
      </c>
      <c r="G1312" s="60" t="s">
        <v>96</v>
      </c>
      <c r="H1312" s="88">
        <v>0.00773</v>
      </c>
      <c r="I1312" s="49" t="s">
        <v>15590</v>
      </c>
      <c r="J1312" s="49" t="s">
        <v>15591</v>
      </c>
      <c r="K1312" s="44"/>
      <c r="L1312" s="44"/>
    </row>
    <row r="1313">
      <c r="A1313" s="48" t="s">
        <v>10153</v>
      </c>
      <c r="B1313" s="48"/>
      <c r="C1313" s="48" t="s">
        <v>10154</v>
      </c>
      <c r="D1313" s="48"/>
      <c r="E1313" s="48" t="s">
        <v>12777</v>
      </c>
      <c r="F1313" s="64" t="s">
        <v>649</v>
      </c>
      <c r="G1313" s="60" t="s">
        <v>96</v>
      </c>
      <c r="H1313" s="88">
        <v>0.00772</v>
      </c>
      <c r="I1313" s="49" t="s">
        <v>15592</v>
      </c>
      <c r="J1313" s="49" t="s">
        <v>15593</v>
      </c>
      <c r="K1313" s="44"/>
      <c r="L1313" s="44"/>
    </row>
    <row r="1314">
      <c r="A1314" s="48" t="s">
        <v>11833</v>
      </c>
      <c r="B1314" s="48"/>
      <c r="C1314" s="48" t="s">
        <v>11834</v>
      </c>
      <c r="D1314" s="48"/>
      <c r="E1314" s="48" t="s">
        <v>13231</v>
      </c>
      <c r="F1314" s="64" t="s">
        <v>639</v>
      </c>
      <c r="G1314" s="60" t="s">
        <v>96</v>
      </c>
      <c r="H1314" s="88">
        <v>0.0077</v>
      </c>
      <c r="I1314" s="49" t="s">
        <v>15594</v>
      </c>
      <c r="J1314" s="49" t="s">
        <v>15595</v>
      </c>
      <c r="K1314" s="44"/>
      <c r="L1314" s="44"/>
    </row>
    <row r="1315">
      <c r="A1315" s="48" t="s">
        <v>11789</v>
      </c>
      <c r="B1315" s="48"/>
      <c r="C1315" s="64" t="s">
        <v>15596</v>
      </c>
      <c r="D1315" s="48"/>
      <c r="E1315" s="48" t="s">
        <v>12363</v>
      </c>
      <c r="F1315" s="64" t="s">
        <v>738</v>
      </c>
      <c r="G1315" s="60" t="s">
        <v>96</v>
      </c>
      <c r="H1315" s="88">
        <v>0.00769</v>
      </c>
      <c r="I1315" s="49" t="s">
        <v>15597</v>
      </c>
      <c r="J1315" s="49" t="s">
        <v>15598</v>
      </c>
      <c r="K1315" s="44"/>
      <c r="L1315" s="44"/>
    </row>
    <row r="1316">
      <c r="A1316" s="48" t="s">
        <v>10332</v>
      </c>
      <c r="B1316" s="48"/>
      <c r="C1316" s="64" t="s">
        <v>15599</v>
      </c>
      <c r="D1316" s="48"/>
      <c r="E1316" s="48" t="s">
        <v>12417</v>
      </c>
      <c r="F1316" s="64" t="s">
        <v>629</v>
      </c>
      <c r="G1316" s="60" t="s">
        <v>96</v>
      </c>
      <c r="H1316" s="88">
        <v>0.00768</v>
      </c>
      <c r="I1316" s="49" t="s">
        <v>15600</v>
      </c>
      <c r="J1316" s="49" t="s">
        <v>15601</v>
      </c>
      <c r="K1316" s="44"/>
      <c r="L1316" s="44"/>
    </row>
    <row r="1317">
      <c r="A1317" s="48" t="s">
        <v>5507</v>
      </c>
      <c r="B1317" s="48"/>
      <c r="C1317" s="48" t="s">
        <v>15602</v>
      </c>
      <c r="D1317" s="48"/>
      <c r="E1317" s="48" t="s">
        <v>12078</v>
      </c>
      <c r="F1317" s="64" t="s">
        <v>645</v>
      </c>
      <c r="G1317" s="60" t="s">
        <v>96</v>
      </c>
      <c r="H1317" s="88">
        <v>0.00763</v>
      </c>
      <c r="I1317" s="49" t="s">
        <v>15603</v>
      </c>
      <c r="J1317" s="49" t="s">
        <v>15604</v>
      </c>
      <c r="K1317" s="44"/>
      <c r="L1317" s="44"/>
    </row>
    <row r="1318">
      <c r="A1318" s="48" t="s">
        <v>10396</v>
      </c>
      <c r="B1318" s="48"/>
      <c r="C1318" s="64" t="s">
        <v>15605</v>
      </c>
      <c r="D1318" s="48"/>
      <c r="E1318" s="48" t="s">
        <v>11907</v>
      </c>
      <c r="F1318" s="64" t="s">
        <v>629</v>
      </c>
      <c r="G1318" s="60" t="s">
        <v>96</v>
      </c>
      <c r="H1318" s="88">
        <v>0.00756</v>
      </c>
      <c r="I1318" s="49" t="s">
        <v>15606</v>
      </c>
      <c r="J1318" s="49" t="s">
        <v>15607</v>
      </c>
      <c r="K1318" s="44"/>
      <c r="L1318" s="44"/>
    </row>
    <row r="1319">
      <c r="A1319" s="48" t="s">
        <v>10405</v>
      </c>
      <c r="B1319" s="48"/>
      <c r="C1319" s="64" t="s">
        <v>15608</v>
      </c>
      <c r="D1319" s="48"/>
      <c r="E1319" s="48" t="s">
        <v>5961</v>
      </c>
      <c r="F1319" s="64" t="s">
        <v>629</v>
      </c>
      <c r="G1319" s="60" t="s">
        <v>96</v>
      </c>
      <c r="H1319" s="88">
        <v>0.00754</v>
      </c>
      <c r="I1319" s="49" t="s">
        <v>15609</v>
      </c>
      <c r="J1319" s="49" t="s">
        <v>15610</v>
      </c>
      <c r="K1319" s="44"/>
      <c r="L1319" s="44"/>
    </row>
    <row r="1320">
      <c r="A1320" s="48" t="s">
        <v>10181</v>
      </c>
      <c r="B1320" s="48"/>
      <c r="C1320" s="64" t="s">
        <v>15611</v>
      </c>
      <c r="D1320" s="48"/>
      <c r="E1320" s="48" t="s">
        <v>12356</v>
      </c>
      <c r="F1320" s="64" t="s">
        <v>629</v>
      </c>
      <c r="G1320" s="60" t="s">
        <v>96</v>
      </c>
      <c r="H1320" s="88">
        <v>0.00752</v>
      </c>
      <c r="I1320" s="49" t="s">
        <v>15612</v>
      </c>
      <c r="J1320" s="49" t="s">
        <v>15613</v>
      </c>
      <c r="K1320" s="44"/>
      <c r="L1320" s="44"/>
    </row>
    <row r="1321">
      <c r="A1321" s="48" t="s">
        <v>11853</v>
      </c>
      <c r="B1321" s="48"/>
      <c r="C1321" s="48" t="s">
        <v>11854</v>
      </c>
      <c r="D1321" s="48"/>
      <c r="E1321" s="48" t="s">
        <v>12078</v>
      </c>
      <c r="F1321" s="64" t="s">
        <v>1201</v>
      </c>
      <c r="G1321" s="60" t="s">
        <v>96</v>
      </c>
      <c r="H1321" s="88">
        <v>0.00749</v>
      </c>
      <c r="I1321" s="49" t="s">
        <v>15614</v>
      </c>
      <c r="J1321" s="49" t="s">
        <v>15615</v>
      </c>
      <c r="K1321" s="44"/>
      <c r="L1321" s="44"/>
    </row>
    <row r="1322">
      <c r="A1322" s="48" t="s">
        <v>10302</v>
      </c>
      <c r="B1322" s="48"/>
      <c r="C1322" s="48" t="s">
        <v>10303</v>
      </c>
      <c r="D1322" s="48"/>
      <c r="E1322" s="48" t="s">
        <v>12078</v>
      </c>
      <c r="F1322" s="64" t="s">
        <v>1374</v>
      </c>
      <c r="G1322" s="60" t="s">
        <v>96</v>
      </c>
      <c r="H1322" s="88">
        <v>0.00746</v>
      </c>
      <c r="I1322" s="49" t="s">
        <v>15616</v>
      </c>
      <c r="J1322" s="49" t="s">
        <v>15617</v>
      </c>
      <c r="K1322" s="44"/>
      <c r="L1322" s="44"/>
    </row>
    <row r="1323">
      <c r="A1323" s="48" t="s">
        <v>11804</v>
      </c>
      <c r="B1323" s="48"/>
      <c r="C1323" s="64" t="s">
        <v>15618</v>
      </c>
      <c r="D1323" s="48"/>
      <c r="E1323" s="48" t="s">
        <v>12787</v>
      </c>
      <c r="F1323" s="64" t="s">
        <v>679</v>
      </c>
      <c r="G1323" s="60" t="s">
        <v>96</v>
      </c>
      <c r="H1323" s="88">
        <v>0.00742</v>
      </c>
      <c r="I1323" s="49" t="s">
        <v>15619</v>
      </c>
      <c r="J1323" s="49" t="s">
        <v>15620</v>
      </c>
      <c r="K1323" s="44"/>
      <c r="L1323" s="44"/>
    </row>
    <row r="1324">
      <c r="A1324" s="48" t="s">
        <v>10134</v>
      </c>
      <c r="B1324" s="48"/>
      <c r="C1324" s="48" t="s">
        <v>15621</v>
      </c>
      <c r="D1324" s="48"/>
      <c r="E1324" s="48" t="s">
        <v>14061</v>
      </c>
      <c r="F1324" s="64" t="s">
        <v>1740</v>
      </c>
      <c r="G1324" s="60" t="s">
        <v>96</v>
      </c>
      <c r="H1324" s="88">
        <v>0.00739</v>
      </c>
      <c r="I1324" s="49" t="s">
        <v>15622</v>
      </c>
      <c r="J1324" s="49" t="s">
        <v>15623</v>
      </c>
      <c r="K1324" s="44"/>
      <c r="L1324" s="44"/>
    </row>
    <row r="1325">
      <c r="A1325" s="48" t="s">
        <v>10136</v>
      </c>
      <c r="B1325" s="48"/>
      <c r="C1325" s="64" t="s">
        <v>15624</v>
      </c>
      <c r="D1325" s="48"/>
      <c r="E1325" s="48" t="s">
        <v>13171</v>
      </c>
      <c r="F1325" s="64" t="s">
        <v>629</v>
      </c>
      <c r="G1325" s="60" t="s">
        <v>96</v>
      </c>
      <c r="H1325" s="88">
        <v>0.00734</v>
      </c>
      <c r="I1325" s="49" t="s">
        <v>15625</v>
      </c>
      <c r="J1325" s="49" t="s">
        <v>15626</v>
      </c>
      <c r="K1325" s="44"/>
      <c r="L1325" s="44"/>
    </row>
    <row r="1326">
      <c r="A1326" s="48" t="s">
        <v>11841</v>
      </c>
      <c r="B1326" s="48"/>
      <c r="C1326" s="64" t="s">
        <v>15627</v>
      </c>
      <c r="D1326" s="48"/>
      <c r="E1326" s="48" t="s">
        <v>12056</v>
      </c>
      <c r="F1326" s="64" t="s">
        <v>694</v>
      </c>
      <c r="G1326" s="60" t="s">
        <v>96</v>
      </c>
      <c r="H1326" s="88">
        <v>0.00731</v>
      </c>
      <c r="I1326" s="49" t="s">
        <v>15628</v>
      </c>
      <c r="J1326" s="49" t="s">
        <v>15629</v>
      </c>
      <c r="K1326" s="44"/>
      <c r="L1326" s="44"/>
    </row>
    <row r="1327">
      <c r="A1327" s="48" t="s">
        <v>10042</v>
      </c>
      <c r="B1327" s="48"/>
      <c r="C1327" s="48" t="s">
        <v>10043</v>
      </c>
      <c r="D1327" s="48"/>
      <c r="E1327" s="48" t="s">
        <v>14061</v>
      </c>
      <c r="F1327" s="64" t="s">
        <v>649</v>
      </c>
      <c r="G1327" s="60" t="s">
        <v>96</v>
      </c>
      <c r="H1327" s="88">
        <v>0.00728</v>
      </c>
      <c r="I1327" s="49" t="s">
        <v>15630</v>
      </c>
      <c r="J1327" s="49" t="s">
        <v>15631</v>
      </c>
      <c r="K1327" s="44"/>
      <c r="L1327" s="44"/>
    </row>
    <row r="1328">
      <c r="A1328" s="48" t="s">
        <v>11839</v>
      </c>
      <c r="B1328" s="48"/>
      <c r="C1328" s="48" t="s">
        <v>11840</v>
      </c>
      <c r="D1328" s="48"/>
      <c r="E1328" s="48" t="s">
        <v>12908</v>
      </c>
      <c r="F1328" s="64" t="s">
        <v>2247</v>
      </c>
      <c r="G1328" s="60" t="s">
        <v>96</v>
      </c>
      <c r="H1328" s="88">
        <v>0.00704</v>
      </c>
      <c r="I1328" s="49" t="s">
        <v>15632</v>
      </c>
      <c r="J1328" s="49" t="s">
        <v>15633</v>
      </c>
      <c r="K1328" s="44"/>
      <c r="L1328" s="44"/>
    </row>
    <row r="1329">
      <c r="A1329" s="48" t="s">
        <v>10349</v>
      </c>
      <c r="B1329" s="48"/>
      <c r="C1329" s="64" t="s">
        <v>15634</v>
      </c>
      <c r="D1329" s="48"/>
      <c r="E1329" s="48" t="s">
        <v>12559</v>
      </c>
      <c r="F1329" s="64" t="s">
        <v>629</v>
      </c>
      <c r="G1329" s="60" t="s">
        <v>96</v>
      </c>
      <c r="H1329" s="88">
        <v>0.00702</v>
      </c>
      <c r="I1329" s="49" t="s">
        <v>15635</v>
      </c>
      <c r="J1329" s="49" t="s">
        <v>15636</v>
      </c>
      <c r="K1329" s="44"/>
      <c r="L1329" s="44"/>
    </row>
    <row r="1330">
      <c r="A1330" s="48" t="s">
        <v>10532</v>
      </c>
      <c r="B1330" s="48"/>
      <c r="C1330" s="64" t="s">
        <v>15637</v>
      </c>
      <c r="D1330" s="48"/>
      <c r="E1330" s="48" t="s">
        <v>15129</v>
      </c>
      <c r="F1330" s="64" t="s">
        <v>629</v>
      </c>
      <c r="G1330" s="60" t="s">
        <v>96</v>
      </c>
      <c r="H1330" s="88">
        <v>0.00702</v>
      </c>
      <c r="I1330" s="49" t="s">
        <v>15638</v>
      </c>
      <c r="J1330" s="49" t="s">
        <v>15639</v>
      </c>
      <c r="K1330" s="44"/>
      <c r="L1330" s="44"/>
    </row>
    <row r="1331">
      <c r="A1331" s="48" t="s">
        <v>11835</v>
      </c>
      <c r="B1331" s="48"/>
      <c r="C1331" s="64" t="s">
        <v>15640</v>
      </c>
      <c r="D1331" s="48"/>
      <c r="E1331" s="48" t="s">
        <v>12566</v>
      </c>
      <c r="F1331" s="64" t="s">
        <v>694</v>
      </c>
      <c r="G1331" s="60" t="s">
        <v>96</v>
      </c>
      <c r="H1331" s="88">
        <v>0.00697</v>
      </c>
      <c r="I1331" s="49" t="s">
        <v>15641</v>
      </c>
      <c r="J1331" s="49" t="s">
        <v>15642</v>
      </c>
      <c r="K1331" s="44"/>
      <c r="L1331" s="44"/>
    </row>
    <row r="1332">
      <c r="A1332" s="48" t="s">
        <v>10279</v>
      </c>
      <c r="B1332" s="48"/>
      <c r="C1332" s="64" t="s">
        <v>15643</v>
      </c>
      <c r="D1332" s="48"/>
      <c r="E1332" s="48" t="s">
        <v>11959</v>
      </c>
      <c r="F1332" s="64" t="s">
        <v>822</v>
      </c>
      <c r="G1332" s="60" t="s">
        <v>96</v>
      </c>
      <c r="H1332" s="88">
        <v>0.00697</v>
      </c>
      <c r="I1332" s="49" t="s">
        <v>15644</v>
      </c>
      <c r="J1332" s="49" t="s">
        <v>15645</v>
      </c>
      <c r="K1332" s="44"/>
      <c r="L1332" s="44"/>
    </row>
    <row r="1333">
      <c r="A1333" s="48" t="s">
        <v>10457</v>
      </c>
      <c r="B1333" s="48"/>
      <c r="C1333" s="64" t="s">
        <v>15646</v>
      </c>
      <c r="D1333" s="48"/>
      <c r="E1333" s="48" t="s">
        <v>12136</v>
      </c>
      <c r="F1333" s="64" t="s">
        <v>629</v>
      </c>
      <c r="G1333" s="60" t="s">
        <v>96</v>
      </c>
      <c r="H1333" s="88">
        <v>0.00695</v>
      </c>
      <c r="I1333" s="49" t="s">
        <v>15647</v>
      </c>
      <c r="J1333" s="49" t="s">
        <v>15648</v>
      </c>
      <c r="K1333" s="44"/>
      <c r="L1333" s="44"/>
    </row>
    <row r="1334">
      <c r="A1334" s="48" t="s">
        <v>10413</v>
      </c>
      <c r="B1334" s="48"/>
      <c r="C1334" s="64" t="s">
        <v>15649</v>
      </c>
      <c r="D1334" s="48"/>
      <c r="E1334" s="48" t="s">
        <v>15122</v>
      </c>
      <c r="F1334" s="64" t="s">
        <v>629</v>
      </c>
      <c r="G1334" s="60" t="s">
        <v>96</v>
      </c>
      <c r="H1334" s="88">
        <v>0.00694</v>
      </c>
      <c r="I1334" s="49" t="s">
        <v>15650</v>
      </c>
      <c r="J1334" s="49" t="s">
        <v>15651</v>
      </c>
      <c r="K1334" s="44"/>
      <c r="L1334" s="44"/>
    </row>
    <row r="1335">
      <c r="A1335" s="48" t="s">
        <v>10409</v>
      </c>
      <c r="B1335" s="48"/>
      <c r="C1335" s="48" t="s">
        <v>10410</v>
      </c>
      <c r="D1335" s="48"/>
      <c r="E1335" s="48" t="s">
        <v>12025</v>
      </c>
      <c r="F1335" s="64" t="s">
        <v>645</v>
      </c>
      <c r="G1335" s="60" t="s">
        <v>96</v>
      </c>
      <c r="H1335" s="88">
        <v>0.00693</v>
      </c>
      <c r="I1335" s="49" t="s">
        <v>15652</v>
      </c>
      <c r="J1335" s="49" t="s">
        <v>15653</v>
      </c>
      <c r="K1335" s="44"/>
      <c r="L1335" s="44"/>
    </row>
    <row r="1336">
      <c r="A1336" s="48" t="s">
        <v>11830</v>
      </c>
      <c r="B1336" s="48"/>
      <c r="C1336" s="48" t="s">
        <v>11831</v>
      </c>
      <c r="D1336" s="48"/>
      <c r="E1336" s="48" t="s">
        <v>12223</v>
      </c>
      <c r="F1336" s="64" t="s">
        <v>639</v>
      </c>
      <c r="G1336" s="60" t="s">
        <v>96</v>
      </c>
      <c r="H1336" s="88">
        <v>0.00692</v>
      </c>
      <c r="I1336" s="49" t="s">
        <v>15654</v>
      </c>
      <c r="J1336" s="49" t="s">
        <v>15655</v>
      </c>
      <c r="K1336" s="44"/>
      <c r="L1336" s="44"/>
    </row>
    <row r="1337">
      <c r="A1337" s="48" t="s">
        <v>10498</v>
      </c>
      <c r="B1337" s="48"/>
      <c r="C1337" s="48" t="s">
        <v>10499</v>
      </c>
      <c r="D1337" s="48"/>
      <c r="E1337" s="48" t="s">
        <v>12046</v>
      </c>
      <c r="F1337" s="64" t="s">
        <v>883</v>
      </c>
      <c r="G1337" s="60" t="s">
        <v>96</v>
      </c>
      <c r="H1337" s="88">
        <v>0.00689</v>
      </c>
      <c r="I1337" s="49" t="s">
        <v>15656</v>
      </c>
      <c r="J1337" s="49" t="s">
        <v>15657</v>
      </c>
      <c r="K1337" s="44"/>
      <c r="L1337" s="44"/>
    </row>
    <row r="1338">
      <c r="A1338" s="48" t="s">
        <v>10392</v>
      </c>
      <c r="B1338" s="48"/>
      <c r="C1338" s="48" t="s">
        <v>15658</v>
      </c>
      <c r="D1338" s="48"/>
      <c r="E1338" s="48" t="s">
        <v>14003</v>
      </c>
      <c r="F1338" s="64" t="s">
        <v>1740</v>
      </c>
      <c r="G1338" s="60" t="s">
        <v>96</v>
      </c>
      <c r="H1338" s="88">
        <v>0.00687</v>
      </c>
      <c r="I1338" s="49" t="s">
        <v>15659</v>
      </c>
      <c r="J1338" s="49" t="s">
        <v>15660</v>
      </c>
      <c r="K1338" s="44"/>
      <c r="L1338" s="44"/>
    </row>
    <row r="1339">
      <c r="A1339" s="48" t="s">
        <v>11808</v>
      </c>
      <c r="B1339" s="48"/>
      <c r="C1339" s="48" t="s">
        <v>11809</v>
      </c>
      <c r="D1339" s="48"/>
      <c r="E1339" s="48" t="s">
        <v>5478</v>
      </c>
      <c r="F1339" s="64" t="s">
        <v>1201</v>
      </c>
      <c r="G1339" s="60" t="s">
        <v>96</v>
      </c>
      <c r="H1339" s="88">
        <v>0.00683</v>
      </c>
      <c r="I1339" s="49" t="s">
        <v>15661</v>
      </c>
      <c r="J1339" s="49" t="s">
        <v>15662</v>
      </c>
      <c r="K1339" s="44"/>
      <c r="L1339" s="44"/>
    </row>
    <row r="1340">
      <c r="A1340" s="48" t="s">
        <v>11845</v>
      </c>
      <c r="B1340" s="48"/>
      <c r="C1340" s="48" t="s">
        <v>11846</v>
      </c>
      <c r="D1340" s="48"/>
      <c r="E1340" s="48" t="s">
        <v>13710</v>
      </c>
      <c r="F1340" s="64" t="s">
        <v>1201</v>
      </c>
      <c r="G1340" s="60" t="s">
        <v>96</v>
      </c>
      <c r="H1340" s="88">
        <v>0.00683</v>
      </c>
      <c r="I1340" s="49" t="s">
        <v>15663</v>
      </c>
      <c r="J1340" s="49" t="s">
        <v>15664</v>
      </c>
      <c r="K1340" s="44"/>
      <c r="L1340" s="44"/>
    </row>
    <row r="1341">
      <c r="A1341" s="48" t="s">
        <v>11851</v>
      </c>
      <c r="B1341" s="48"/>
      <c r="C1341" s="64" t="s">
        <v>15665</v>
      </c>
      <c r="D1341" s="48"/>
      <c r="E1341" s="48" t="s">
        <v>13574</v>
      </c>
      <c r="F1341" s="64" t="s">
        <v>822</v>
      </c>
      <c r="G1341" s="60" t="s">
        <v>96</v>
      </c>
      <c r="H1341" s="88">
        <v>0.00683</v>
      </c>
      <c r="I1341" s="49" t="s">
        <v>15666</v>
      </c>
      <c r="J1341" s="49" t="s">
        <v>15667</v>
      </c>
      <c r="K1341" s="44"/>
      <c r="L1341" s="44"/>
    </row>
    <row r="1342">
      <c r="A1342" s="48" t="s">
        <v>10347</v>
      </c>
      <c r="B1342" s="48"/>
      <c r="C1342" s="48" t="s">
        <v>10348</v>
      </c>
      <c r="D1342" s="48"/>
      <c r="E1342" s="48" t="s">
        <v>12356</v>
      </c>
      <c r="F1342" s="64" t="s">
        <v>649</v>
      </c>
      <c r="G1342" s="60" t="s">
        <v>96</v>
      </c>
      <c r="H1342" s="88">
        <v>0.0068</v>
      </c>
      <c r="I1342" s="49" t="s">
        <v>15668</v>
      </c>
      <c r="J1342" s="49" t="s">
        <v>15669</v>
      </c>
      <c r="K1342" s="44"/>
      <c r="L1342" s="44"/>
    </row>
    <row r="1343">
      <c r="A1343" s="48" t="s">
        <v>10322</v>
      </c>
      <c r="B1343" s="48"/>
      <c r="C1343" s="48" t="s">
        <v>10323</v>
      </c>
      <c r="D1343" s="48"/>
      <c r="E1343" s="48" t="s">
        <v>5218</v>
      </c>
      <c r="F1343" s="64" t="s">
        <v>11998</v>
      </c>
      <c r="G1343" s="60" t="s">
        <v>96</v>
      </c>
      <c r="H1343" s="88">
        <v>0.0068</v>
      </c>
      <c r="I1343" s="49" t="s">
        <v>15670</v>
      </c>
      <c r="J1343" s="49" t="s">
        <v>15671</v>
      </c>
      <c r="K1343" s="44"/>
      <c r="L1343" s="44"/>
    </row>
    <row r="1344">
      <c r="A1344" s="48" t="s">
        <v>10476</v>
      </c>
      <c r="B1344" s="48"/>
      <c r="C1344" s="64" t="s">
        <v>15672</v>
      </c>
      <c r="D1344" s="48"/>
      <c r="E1344" s="48" t="s">
        <v>12014</v>
      </c>
      <c r="F1344" s="64" t="s">
        <v>629</v>
      </c>
      <c r="G1344" s="60" t="s">
        <v>96</v>
      </c>
      <c r="H1344" s="88">
        <v>0.00678</v>
      </c>
      <c r="I1344" s="49" t="s">
        <v>14130</v>
      </c>
      <c r="J1344" s="49" t="s">
        <v>15673</v>
      </c>
      <c r="K1344" s="44"/>
      <c r="L1344" s="44"/>
    </row>
    <row r="1345">
      <c r="A1345" s="48" t="s">
        <v>10258</v>
      </c>
      <c r="B1345" s="48"/>
      <c r="C1345" s="48" t="s">
        <v>10259</v>
      </c>
      <c r="D1345" s="48"/>
      <c r="E1345" s="48" t="s">
        <v>12205</v>
      </c>
      <c r="F1345" s="64" t="s">
        <v>11998</v>
      </c>
      <c r="G1345" s="60" t="s">
        <v>96</v>
      </c>
      <c r="H1345" s="88">
        <v>0.00678</v>
      </c>
      <c r="I1345" s="49" t="s">
        <v>15674</v>
      </c>
      <c r="J1345" s="49" t="s">
        <v>15675</v>
      </c>
      <c r="K1345" s="44"/>
      <c r="L1345" s="44"/>
    </row>
    <row r="1346">
      <c r="A1346" s="48" t="s">
        <v>10175</v>
      </c>
      <c r="B1346" s="48"/>
      <c r="C1346" s="48" t="s">
        <v>10176</v>
      </c>
      <c r="D1346" s="48"/>
      <c r="E1346" s="48" t="s">
        <v>13757</v>
      </c>
      <c r="F1346" s="64" t="s">
        <v>1740</v>
      </c>
      <c r="G1346" s="60" t="s">
        <v>96</v>
      </c>
      <c r="H1346" s="88">
        <v>0.00676</v>
      </c>
      <c r="I1346" s="49" t="s">
        <v>15676</v>
      </c>
      <c r="J1346" s="49" t="s">
        <v>15677</v>
      </c>
      <c r="K1346" s="44"/>
      <c r="L1346" s="44"/>
    </row>
    <row r="1347">
      <c r="A1347" s="48" t="s">
        <v>10514</v>
      </c>
      <c r="B1347" s="48"/>
      <c r="C1347" s="64" t="s">
        <v>15678</v>
      </c>
      <c r="D1347" s="48"/>
      <c r="E1347" s="48" t="s">
        <v>12460</v>
      </c>
      <c r="F1347" s="64" t="s">
        <v>629</v>
      </c>
      <c r="G1347" s="60" t="s">
        <v>96</v>
      </c>
      <c r="H1347" s="88">
        <v>0.00674</v>
      </c>
      <c r="I1347" s="49" t="s">
        <v>15679</v>
      </c>
      <c r="J1347" s="49" t="s">
        <v>15680</v>
      </c>
      <c r="K1347" s="44"/>
      <c r="L1347" s="44"/>
    </row>
    <row r="1348">
      <c r="A1348" s="48" t="s">
        <v>11864</v>
      </c>
      <c r="B1348" s="48"/>
      <c r="C1348" s="64" t="s">
        <v>15681</v>
      </c>
      <c r="D1348" s="48"/>
      <c r="E1348" s="48" t="s">
        <v>12078</v>
      </c>
      <c r="F1348" s="64" t="s">
        <v>822</v>
      </c>
      <c r="G1348" s="60" t="s">
        <v>96</v>
      </c>
      <c r="H1348" s="88">
        <v>0.00673</v>
      </c>
      <c r="I1348" s="49" t="s">
        <v>15682</v>
      </c>
      <c r="J1348" s="49" t="s">
        <v>15683</v>
      </c>
      <c r="K1348" s="44"/>
      <c r="L1348" s="44"/>
    </row>
    <row r="1349">
      <c r="A1349" s="48" t="s">
        <v>10284</v>
      </c>
      <c r="B1349" s="48"/>
      <c r="C1349" s="64" t="s">
        <v>15684</v>
      </c>
      <c r="D1349" s="48"/>
      <c r="E1349" s="48" t="s">
        <v>12220</v>
      </c>
      <c r="F1349" s="64" t="s">
        <v>629</v>
      </c>
      <c r="G1349" s="60" t="s">
        <v>96</v>
      </c>
      <c r="H1349" s="88">
        <v>0.00671</v>
      </c>
      <c r="I1349" s="49" t="s">
        <v>15685</v>
      </c>
      <c r="J1349" s="49" t="s">
        <v>15686</v>
      </c>
      <c r="K1349" s="44"/>
      <c r="L1349" s="44"/>
    </row>
    <row r="1350">
      <c r="A1350" s="48" t="s">
        <v>10577</v>
      </c>
      <c r="B1350" s="48"/>
      <c r="C1350" s="48" t="s">
        <v>10578</v>
      </c>
      <c r="D1350" s="48"/>
      <c r="E1350" s="48" t="s">
        <v>5478</v>
      </c>
      <c r="F1350" s="64" t="s">
        <v>1740</v>
      </c>
      <c r="G1350" s="60" t="s">
        <v>96</v>
      </c>
      <c r="H1350" s="88">
        <v>0.00669</v>
      </c>
      <c r="I1350" s="49" t="s">
        <v>15687</v>
      </c>
      <c r="J1350" s="49" t="s">
        <v>15688</v>
      </c>
      <c r="K1350" s="44"/>
      <c r="L1350" s="44"/>
    </row>
    <row r="1351">
      <c r="A1351" s="48" t="s">
        <v>9851</v>
      </c>
      <c r="B1351" s="48"/>
      <c r="C1351" s="48" t="s">
        <v>15689</v>
      </c>
      <c r="D1351" s="48"/>
      <c r="E1351" s="48" t="s">
        <v>11991</v>
      </c>
      <c r="F1351" s="64" t="s">
        <v>645</v>
      </c>
      <c r="G1351" s="60" t="s">
        <v>96</v>
      </c>
      <c r="H1351" s="88">
        <v>0.00667</v>
      </c>
      <c r="I1351" s="49" t="s">
        <v>15690</v>
      </c>
      <c r="J1351" s="49" t="s">
        <v>15691</v>
      </c>
      <c r="K1351" s="44"/>
      <c r="L1351" s="44"/>
    </row>
    <row r="1352">
      <c r="A1352" s="48" t="s">
        <v>11847</v>
      </c>
      <c r="B1352" s="48"/>
      <c r="C1352" s="48" t="s">
        <v>11848</v>
      </c>
      <c r="D1352" s="48"/>
      <c r="E1352" s="48" t="s">
        <v>12090</v>
      </c>
      <c r="F1352" s="64" t="s">
        <v>1673</v>
      </c>
      <c r="G1352" s="60" t="s">
        <v>96</v>
      </c>
      <c r="H1352" s="88">
        <v>0.00663</v>
      </c>
      <c r="I1352" s="49" t="s">
        <v>15692</v>
      </c>
      <c r="J1352" s="49" t="s">
        <v>15693</v>
      </c>
      <c r="K1352" s="44"/>
      <c r="L1352" s="44"/>
    </row>
    <row r="1353">
      <c r="A1353" s="48" t="s">
        <v>10512</v>
      </c>
      <c r="B1353" s="48"/>
      <c r="C1353" s="64" t="s">
        <v>15694</v>
      </c>
      <c r="D1353" s="48"/>
      <c r="E1353" s="48" t="s">
        <v>12518</v>
      </c>
      <c r="F1353" s="64" t="s">
        <v>629</v>
      </c>
      <c r="G1353" s="60" t="s">
        <v>96</v>
      </c>
      <c r="H1353" s="88">
        <v>0.0066</v>
      </c>
      <c r="I1353" s="49" t="s">
        <v>15695</v>
      </c>
      <c r="J1353" s="49" t="s">
        <v>15696</v>
      </c>
      <c r="K1353" s="44"/>
      <c r="L1353" s="44"/>
    </row>
    <row r="1354">
      <c r="A1354" s="48" t="s">
        <v>10522</v>
      </c>
      <c r="B1354" s="48"/>
      <c r="C1354" s="64" t="s">
        <v>15697</v>
      </c>
      <c r="D1354" s="48"/>
      <c r="E1354" s="48" t="s">
        <v>12243</v>
      </c>
      <c r="F1354" s="64" t="s">
        <v>629</v>
      </c>
      <c r="G1354" s="60" t="s">
        <v>96</v>
      </c>
      <c r="H1354" s="88">
        <v>0.0066</v>
      </c>
      <c r="I1354" s="49" t="s">
        <v>13294</v>
      </c>
      <c r="J1354" s="49" t="s">
        <v>15698</v>
      </c>
      <c r="K1354" s="44"/>
      <c r="L1354" s="44"/>
    </row>
    <row r="1355">
      <c r="A1355" s="48" t="s">
        <v>10553</v>
      </c>
      <c r="B1355" s="48"/>
      <c r="C1355" s="48" t="s">
        <v>10554</v>
      </c>
      <c r="D1355" s="48"/>
      <c r="E1355" s="48" t="s">
        <v>12205</v>
      </c>
      <c r="F1355" s="64" t="s">
        <v>639</v>
      </c>
      <c r="G1355" s="60" t="s">
        <v>96</v>
      </c>
      <c r="H1355" s="88">
        <v>0.0066</v>
      </c>
      <c r="I1355" s="49" t="s">
        <v>15699</v>
      </c>
      <c r="J1355" s="49" t="s">
        <v>15700</v>
      </c>
      <c r="K1355" s="44"/>
      <c r="L1355" s="44"/>
    </row>
    <row r="1356">
      <c r="A1356" s="48" t="s">
        <v>10411</v>
      </c>
      <c r="B1356" s="48"/>
      <c r="C1356" s="48" t="s">
        <v>10412</v>
      </c>
      <c r="D1356" s="48"/>
      <c r="E1356" s="48" t="s">
        <v>11932</v>
      </c>
      <c r="F1356" s="64" t="s">
        <v>1740</v>
      </c>
      <c r="G1356" s="60" t="s">
        <v>96</v>
      </c>
      <c r="H1356" s="88">
        <v>0.00658</v>
      </c>
      <c r="I1356" s="49" t="s">
        <v>15701</v>
      </c>
      <c r="J1356" s="49" t="s">
        <v>15702</v>
      </c>
      <c r="K1356" s="44"/>
      <c r="L1356" s="44"/>
    </row>
    <row r="1357">
      <c r="A1357" s="48" t="s">
        <v>11843</v>
      </c>
      <c r="B1357" s="48"/>
      <c r="C1357" s="64" t="s">
        <v>15703</v>
      </c>
      <c r="D1357" s="48"/>
      <c r="E1357" s="48" t="s">
        <v>12409</v>
      </c>
      <c r="F1357" s="64" t="s">
        <v>629</v>
      </c>
      <c r="G1357" s="60" t="s">
        <v>96</v>
      </c>
      <c r="H1357" s="88">
        <v>0.00656</v>
      </c>
      <c r="I1357" s="49" t="s">
        <v>15704</v>
      </c>
      <c r="J1357" s="49" t="s">
        <v>15705</v>
      </c>
      <c r="K1357" s="44"/>
      <c r="L1357" s="44"/>
    </row>
    <row r="1358">
      <c r="A1358" s="48" t="s">
        <v>6260</v>
      </c>
      <c r="B1358" s="48"/>
      <c r="C1358" s="48" t="s">
        <v>11263</v>
      </c>
      <c r="D1358" s="48"/>
      <c r="E1358" s="48" t="s">
        <v>12049</v>
      </c>
      <c r="F1358" s="64" t="s">
        <v>639</v>
      </c>
      <c r="G1358" s="60" t="s">
        <v>96</v>
      </c>
      <c r="H1358" s="88">
        <v>0.00655</v>
      </c>
      <c r="I1358" s="49" t="s">
        <v>15706</v>
      </c>
      <c r="J1358" s="49" t="s">
        <v>15707</v>
      </c>
      <c r="K1358" s="44"/>
      <c r="L1358" s="44"/>
    </row>
    <row r="1359">
      <c r="A1359" s="48" t="s">
        <v>11870</v>
      </c>
      <c r="B1359" s="48"/>
      <c r="C1359" s="64" t="s">
        <v>15708</v>
      </c>
      <c r="D1359" s="48"/>
      <c r="E1359" s="48" t="s">
        <v>5288</v>
      </c>
      <c r="F1359" s="64" t="s">
        <v>694</v>
      </c>
      <c r="G1359" s="60" t="s">
        <v>96</v>
      </c>
      <c r="H1359" s="88">
        <v>0.00654</v>
      </c>
      <c r="I1359" s="49" t="s">
        <v>15709</v>
      </c>
      <c r="J1359" s="49" t="s">
        <v>15710</v>
      </c>
      <c r="K1359" s="44"/>
      <c r="L1359" s="44"/>
    </row>
    <row r="1360">
      <c r="A1360" s="48" t="s">
        <v>4723</v>
      </c>
      <c r="B1360" s="48"/>
      <c r="C1360" s="64" t="s">
        <v>15711</v>
      </c>
      <c r="D1360" s="48"/>
      <c r="E1360" s="48" t="s">
        <v>14458</v>
      </c>
      <c r="F1360" s="64" t="s">
        <v>622</v>
      </c>
      <c r="G1360" s="60" t="s">
        <v>96</v>
      </c>
      <c r="H1360" s="88">
        <v>0.00653</v>
      </c>
      <c r="I1360" s="49" t="s">
        <v>15712</v>
      </c>
      <c r="J1360" s="49" t="s">
        <v>15713</v>
      </c>
      <c r="K1360" s="44"/>
      <c r="L1360" s="44"/>
    </row>
    <row r="1361">
      <c r="A1361" s="48" t="s">
        <v>11824</v>
      </c>
      <c r="B1361" s="48"/>
      <c r="C1361" s="64" t="s">
        <v>15714</v>
      </c>
      <c r="D1361" s="48"/>
      <c r="E1361" s="48" t="s">
        <v>12205</v>
      </c>
      <c r="F1361" s="64" t="s">
        <v>694</v>
      </c>
      <c r="G1361" s="60" t="s">
        <v>96</v>
      </c>
      <c r="H1361" s="88">
        <v>0.0065</v>
      </c>
      <c r="I1361" s="49" t="s">
        <v>15715</v>
      </c>
      <c r="J1361" s="49" t="s">
        <v>15716</v>
      </c>
      <c r="K1361" s="44"/>
      <c r="L1361" s="44"/>
    </row>
    <row r="1362">
      <c r="A1362" s="48" t="s">
        <v>10568</v>
      </c>
      <c r="B1362" s="48"/>
      <c r="C1362" s="64" t="s">
        <v>15717</v>
      </c>
      <c r="D1362" s="48"/>
      <c r="E1362" s="48" t="s">
        <v>12049</v>
      </c>
      <c r="F1362" s="64" t="s">
        <v>629</v>
      </c>
      <c r="G1362" s="60" t="s">
        <v>96</v>
      </c>
      <c r="H1362" s="88">
        <v>0.00647</v>
      </c>
      <c r="I1362" s="49" t="s">
        <v>15718</v>
      </c>
      <c r="J1362" s="49" t="s">
        <v>15719</v>
      </c>
      <c r="K1362" s="44"/>
      <c r="L1362" s="44"/>
    </row>
    <row r="1363">
      <c r="A1363" s="48" t="s">
        <v>10289</v>
      </c>
      <c r="B1363" s="48"/>
      <c r="C1363" s="64" t="s">
        <v>15720</v>
      </c>
      <c r="D1363" s="48"/>
      <c r="E1363" s="48" t="s">
        <v>12729</v>
      </c>
      <c r="F1363" s="64" t="s">
        <v>629</v>
      </c>
      <c r="G1363" s="60" t="s">
        <v>96</v>
      </c>
      <c r="H1363" s="88">
        <v>0.00647</v>
      </c>
      <c r="I1363" s="49" t="s">
        <v>15721</v>
      </c>
      <c r="J1363" s="49" t="s">
        <v>15722</v>
      </c>
      <c r="K1363" s="44"/>
      <c r="L1363" s="44"/>
    </row>
    <row r="1364">
      <c r="A1364" s="48" t="s">
        <v>5696</v>
      </c>
      <c r="B1364" s="48"/>
      <c r="C1364" s="48" t="s">
        <v>10260</v>
      </c>
      <c r="D1364" s="48"/>
      <c r="E1364" s="48" t="s">
        <v>12205</v>
      </c>
      <c r="F1364" s="64" t="s">
        <v>11998</v>
      </c>
      <c r="G1364" s="60" t="s">
        <v>96</v>
      </c>
      <c r="H1364" s="88">
        <v>0.00647</v>
      </c>
      <c r="I1364" s="49" t="s">
        <v>15723</v>
      </c>
      <c r="J1364" s="49" t="s">
        <v>15724</v>
      </c>
      <c r="K1364" s="44"/>
      <c r="L1364" s="44"/>
    </row>
    <row r="1365">
      <c r="A1365" s="48" t="s">
        <v>10510</v>
      </c>
      <c r="B1365" s="48"/>
      <c r="C1365" s="64" t="s">
        <v>15725</v>
      </c>
      <c r="D1365" s="48"/>
      <c r="E1365" s="48" t="s">
        <v>11899</v>
      </c>
      <c r="F1365" s="64" t="s">
        <v>629</v>
      </c>
      <c r="G1365" s="60" t="s">
        <v>96</v>
      </c>
      <c r="H1365" s="88">
        <v>0.00645</v>
      </c>
      <c r="I1365" s="49" t="s">
        <v>15726</v>
      </c>
      <c r="J1365" s="49" t="s">
        <v>15727</v>
      </c>
      <c r="K1365" s="44"/>
      <c r="L1365" s="44"/>
    </row>
    <row r="1366">
      <c r="A1366" s="48" t="s">
        <v>10465</v>
      </c>
      <c r="B1366" s="48"/>
      <c r="C1366" s="64" t="s">
        <v>15728</v>
      </c>
      <c r="D1366" s="48"/>
      <c r="E1366" s="48" t="s">
        <v>11946</v>
      </c>
      <c r="F1366" s="64" t="s">
        <v>629</v>
      </c>
      <c r="G1366" s="60" t="s">
        <v>96</v>
      </c>
      <c r="H1366" s="88">
        <v>0.00644</v>
      </c>
      <c r="I1366" s="49" t="s">
        <v>15729</v>
      </c>
      <c r="J1366" s="49" t="s">
        <v>15730</v>
      </c>
      <c r="K1366" s="44"/>
      <c r="L1366" s="44"/>
    </row>
    <row r="1367">
      <c r="A1367" s="48" t="s">
        <v>10681</v>
      </c>
      <c r="B1367" s="48"/>
      <c r="C1367" s="48" t="s">
        <v>10682</v>
      </c>
      <c r="D1367" s="48"/>
      <c r="E1367" s="48" t="s">
        <v>12246</v>
      </c>
      <c r="F1367" s="64" t="s">
        <v>1673</v>
      </c>
      <c r="G1367" s="60" t="s">
        <v>96</v>
      </c>
      <c r="H1367" s="88">
        <v>0.00643</v>
      </c>
      <c r="I1367" s="49" t="s">
        <v>15731</v>
      </c>
      <c r="J1367" s="49" t="s">
        <v>15732</v>
      </c>
      <c r="K1367" s="44"/>
      <c r="L1367" s="44"/>
    </row>
    <row r="1368">
      <c r="A1368" s="48" t="s">
        <v>9630</v>
      </c>
      <c r="B1368" s="48"/>
      <c r="C1368" s="64" t="s">
        <v>15733</v>
      </c>
      <c r="D1368" s="48"/>
      <c r="E1368" s="48" t="s">
        <v>12072</v>
      </c>
      <c r="F1368" s="64" t="s">
        <v>694</v>
      </c>
      <c r="G1368" s="60" t="s">
        <v>96</v>
      </c>
      <c r="H1368" s="88">
        <v>0.00634</v>
      </c>
      <c r="I1368" s="49" t="s">
        <v>15734</v>
      </c>
      <c r="J1368" s="49" t="s">
        <v>15735</v>
      </c>
      <c r="K1368" s="44"/>
      <c r="L1368" s="44"/>
    </row>
    <row r="1369">
      <c r="A1369" s="48" t="s">
        <v>11849</v>
      </c>
      <c r="B1369" s="48"/>
      <c r="C1369" s="64" t="s">
        <v>15736</v>
      </c>
      <c r="D1369" s="48"/>
      <c r="E1369" s="48" t="s">
        <v>15737</v>
      </c>
      <c r="F1369" s="64" t="s">
        <v>694</v>
      </c>
      <c r="G1369" s="60" t="s">
        <v>96</v>
      </c>
      <c r="H1369" s="88">
        <v>0.00633</v>
      </c>
      <c r="I1369" s="49" t="s">
        <v>15738</v>
      </c>
      <c r="J1369" s="49" t="s">
        <v>15739</v>
      </c>
      <c r="K1369" s="44"/>
      <c r="L1369" s="44"/>
    </row>
    <row r="1370">
      <c r="A1370" s="48" t="s">
        <v>10111</v>
      </c>
      <c r="B1370" s="48"/>
      <c r="C1370" s="48" t="s">
        <v>10112</v>
      </c>
      <c r="D1370" s="48"/>
      <c r="E1370" s="48" t="s">
        <v>12014</v>
      </c>
      <c r="F1370" s="64" t="s">
        <v>639</v>
      </c>
      <c r="G1370" s="60" t="s">
        <v>96</v>
      </c>
      <c r="H1370" s="88">
        <v>0.00629</v>
      </c>
      <c r="I1370" s="49" t="s">
        <v>15740</v>
      </c>
      <c r="J1370" s="49" t="s">
        <v>15741</v>
      </c>
      <c r="K1370" s="44"/>
      <c r="L1370" s="44"/>
    </row>
    <row r="1371">
      <c r="A1371" s="48" t="s">
        <v>10502</v>
      </c>
      <c r="B1371" s="48"/>
      <c r="C1371" s="64" t="s">
        <v>15742</v>
      </c>
      <c r="D1371" s="48"/>
      <c r="E1371" s="48" t="s">
        <v>12325</v>
      </c>
      <c r="F1371" s="64" t="s">
        <v>629</v>
      </c>
      <c r="G1371" s="60" t="s">
        <v>96</v>
      </c>
      <c r="H1371" s="88">
        <v>0.00626</v>
      </c>
      <c r="I1371" s="49" t="s">
        <v>15743</v>
      </c>
      <c r="J1371" s="49" t="s">
        <v>15744</v>
      </c>
      <c r="K1371" s="44"/>
      <c r="L1371" s="44"/>
    </row>
    <row r="1372">
      <c r="A1372" s="48" t="s">
        <v>6260</v>
      </c>
      <c r="B1372" s="48"/>
      <c r="C1372" s="48" t="s">
        <v>9059</v>
      </c>
      <c r="D1372" s="48"/>
      <c r="E1372" s="48" t="s">
        <v>12325</v>
      </c>
      <c r="F1372" s="64" t="s">
        <v>639</v>
      </c>
      <c r="G1372" s="60" t="s">
        <v>96</v>
      </c>
      <c r="H1372" s="88">
        <v>0.00621</v>
      </c>
      <c r="I1372" s="49" t="s">
        <v>15745</v>
      </c>
      <c r="J1372" s="49" t="s">
        <v>15746</v>
      </c>
      <c r="K1372" s="44"/>
      <c r="L1372" s="44"/>
    </row>
    <row r="1373">
      <c r="A1373" s="48" t="s">
        <v>10197</v>
      </c>
      <c r="B1373" s="48"/>
      <c r="C1373" s="64" t="s">
        <v>15747</v>
      </c>
      <c r="D1373" s="48"/>
      <c r="E1373" s="48" t="s">
        <v>13757</v>
      </c>
      <c r="F1373" s="64" t="s">
        <v>629</v>
      </c>
      <c r="G1373" s="60" t="s">
        <v>96</v>
      </c>
      <c r="H1373" s="88">
        <v>0.00619</v>
      </c>
      <c r="I1373" s="49" t="s">
        <v>15748</v>
      </c>
      <c r="J1373" s="49" t="s">
        <v>15749</v>
      </c>
      <c r="K1373" s="44"/>
      <c r="L1373" s="44"/>
    </row>
    <row r="1374">
      <c r="A1374" s="48" t="s">
        <v>10295</v>
      </c>
      <c r="B1374" s="48"/>
      <c r="C1374" s="48" t="s">
        <v>10296</v>
      </c>
      <c r="D1374" s="48"/>
      <c r="E1374" s="48" t="s">
        <v>12031</v>
      </c>
      <c r="F1374" s="64" t="s">
        <v>649</v>
      </c>
      <c r="G1374" s="60" t="s">
        <v>96</v>
      </c>
      <c r="H1374" s="88">
        <v>0.00618</v>
      </c>
      <c r="I1374" s="49" t="s">
        <v>15750</v>
      </c>
      <c r="J1374" s="49" t="s">
        <v>15751</v>
      </c>
      <c r="K1374" s="44"/>
      <c r="L1374" s="44"/>
    </row>
    <row r="1375">
      <c r="A1375" s="48" t="s">
        <v>10432</v>
      </c>
      <c r="B1375" s="48"/>
      <c r="C1375" s="48" t="s">
        <v>10433</v>
      </c>
      <c r="D1375" s="48"/>
      <c r="E1375" s="48" t="s">
        <v>12209</v>
      </c>
      <c r="F1375" s="64" t="s">
        <v>1740</v>
      </c>
      <c r="G1375" s="60" t="s">
        <v>96</v>
      </c>
      <c r="H1375" s="88">
        <v>0.00616</v>
      </c>
      <c r="I1375" s="49" t="s">
        <v>15752</v>
      </c>
      <c r="J1375" s="49" t="s">
        <v>15753</v>
      </c>
      <c r="K1375" s="44"/>
      <c r="L1375" s="44"/>
    </row>
    <row r="1376">
      <c r="A1376" s="48" t="s">
        <v>10496</v>
      </c>
      <c r="B1376" s="48"/>
      <c r="C1376" s="48" t="s">
        <v>10497</v>
      </c>
      <c r="D1376" s="48"/>
      <c r="E1376" s="48" t="s">
        <v>11932</v>
      </c>
      <c r="F1376" s="64" t="s">
        <v>1374</v>
      </c>
      <c r="G1376" s="60" t="s">
        <v>96</v>
      </c>
      <c r="H1376" s="88">
        <v>0.00615</v>
      </c>
      <c r="I1376" s="49" t="s">
        <v>15754</v>
      </c>
      <c r="J1376" s="49" t="s">
        <v>15755</v>
      </c>
      <c r="K1376" s="44"/>
      <c r="L1376" s="44"/>
    </row>
    <row r="1377">
      <c r="A1377" s="48" t="s">
        <v>10388</v>
      </c>
      <c r="B1377" s="48"/>
      <c r="C1377" s="64" t="s">
        <v>15756</v>
      </c>
      <c r="D1377" s="48"/>
      <c r="E1377" s="48" t="s">
        <v>12729</v>
      </c>
      <c r="F1377" s="64" t="s">
        <v>629</v>
      </c>
      <c r="G1377" s="60" t="s">
        <v>96</v>
      </c>
      <c r="H1377" s="88">
        <v>0.00612</v>
      </c>
      <c r="I1377" s="49" t="s">
        <v>15757</v>
      </c>
      <c r="J1377" s="49" t="s">
        <v>15758</v>
      </c>
      <c r="K1377" s="44"/>
      <c r="L1377" s="44"/>
    </row>
    <row r="1378">
      <c r="A1378" s="48" t="s">
        <v>10441</v>
      </c>
      <c r="B1378" s="48"/>
      <c r="C1378" s="64" t="s">
        <v>15759</v>
      </c>
      <c r="D1378" s="48"/>
      <c r="E1378" s="48" t="s">
        <v>14061</v>
      </c>
      <c r="F1378" s="64" t="s">
        <v>822</v>
      </c>
      <c r="G1378" s="60" t="s">
        <v>96</v>
      </c>
      <c r="H1378" s="88">
        <v>0.00611</v>
      </c>
      <c r="I1378" s="49" t="s">
        <v>15760</v>
      </c>
      <c r="J1378" s="49" t="s">
        <v>15761</v>
      </c>
      <c r="K1378" s="44"/>
      <c r="L1378" s="44"/>
    </row>
    <row r="1379">
      <c r="A1379" s="48" t="s">
        <v>10428</v>
      </c>
      <c r="B1379" s="48"/>
      <c r="C1379" s="64" t="s">
        <v>15762</v>
      </c>
      <c r="D1379" s="48"/>
      <c r="E1379" s="48" t="s">
        <v>13002</v>
      </c>
      <c r="F1379" s="64" t="s">
        <v>629</v>
      </c>
      <c r="G1379" s="60" t="s">
        <v>96</v>
      </c>
      <c r="H1379" s="88">
        <v>0.00607</v>
      </c>
      <c r="I1379" s="49" t="s">
        <v>15763</v>
      </c>
      <c r="J1379" s="49" t="s">
        <v>15764</v>
      </c>
      <c r="K1379" s="44"/>
      <c r="L1379" s="44"/>
    </row>
    <row r="1380">
      <c r="A1380" s="48" t="s">
        <v>10595</v>
      </c>
      <c r="B1380" s="48"/>
      <c r="C1380" s="64" t="s">
        <v>15765</v>
      </c>
      <c r="D1380" s="48"/>
      <c r="E1380" s="48" t="s">
        <v>13574</v>
      </c>
      <c r="F1380" s="64" t="s">
        <v>822</v>
      </c>
      <c r="G1380" s="60" t="s">
        <v>96</v>
      </c>
      <c r="H1380" s="88">
        <v>0.00604</v>
      </c>
      <c r="I1380" s="49" t="s">
        <v>15766</v>
      </c>
      <c r="J1380" s="49" t="s">
        <v>15767</v>
      </c>
      <c r="K1380" s="44"/>
      <c r="L1380" s="44"/>
    </row>
    <row r="1381">
      <c r="A1381" s="48" t="s">
        <v>11866</v>
      </c>
      <c r="B1381" s="48"/>
      <c r="C1381" s="48" t="s">
        <v>15768</v>
      </c>
      <c r="D1381" s="48"/>
      <c r="E1381" s="48" t="s">
        <v>11932</v>
      </c>
      <c r="F1381" s="64" t="s">
        <v>1740</v>
      </c>
      <c r="G1381" s="60" t="s">
        <v>96</v>
      </c>
      <c r="H1381" s="88">
        <v>0.00601</v>
      </c>
      <c r="I1381" s="49" t="s">
        <v>15769</v>
      </c>
      <c r="J1381" s="49" t="s">
        <v>15770</v>
      </c>
      <c r="K1381" s="44"/>
      <c r="L1381" s="44"/>
    </row>
    <row r="1382">
      <c r="A1382" s="48" t="s">
        <v>10250</v>
      </c>
      <c r="B1382" s="48"/>
      <c r="C1382" s="64" t="s">
        <v>15771</v>
      </c>
      <c r="D1382" s="48"/>
      <c r="E1382" s="48" t="s">
        <v>11924</v>
      </c>
      <c r="F1382" s="64" t="s">
        <v>622</v>
      </c>
      <c r="G1382" s="60" t="s">
        <v>96</v>
      </c>
      <c r="H1382" s="88">
        <v>0.00598</v>
      </c>
      <c r="I1382" s="49" t="s">
        <v>15772</v>
      </c>
      <c r="J1382" s="49" t="s">
        <v>15773</v>
      </c>
      <c r="K1382" s="44"/>
      <c r="L1382" s="44"/>
    </row>
    <row r="1383">
      <c r="A1383" s="48" t="s">
        <v>11860</v>
      </c>
      <c r="B1383" s="48"/>
      <c r="C1383" s="48" t="s">
        <v>11861</v>
      </c>
      <c r="D1383" s="48"/>
      <c r="E1383" s="48" t="s">
        <v>13257</v>
      </c>
      <c r="F1383" s="64" t="s">
        <v>694</v>
      </c>
      <c r="G1383" s="60" t="s">
        <v>96</v>
      </c>
      <c r="H1383" s="88">
        <v>0.00598</v>
      </c>
      <c r="I1383" s="49" t="s">
        <v>15774</v>
      </c>
      <c r="J1383" s="49" t="s">
        <v>15775</v>
      </c>
      <c r="K1383" s="44"/>
      <c r="L1383" s="44"/>
    </row>
    <row r="1384">
      <c r="A1384" s="48" t="s">
        <v>10439</v>
      </c>
      <c r="B1384" s="48"/>
      <c r="C1384" s="64" t="s">
        <v>15776</v>
      </c>
      <c r="D1384" s="48"/>
      <c r="E1384" s="48" t="s">
        <v>12918</v>
      </c>
      <c r="F1384" s="64" t="s">
        <v>629</v>
      </c>
      <c r="G1384" s="60" t="s">
        <v>96</v>
      </c>
      <c r="H1384" s="88">
        <v>0.00593</v>
      </c>
      <c r="I1384" s="49" t="s">
        <v>15777</v>
      </c>
      <c r="J1384" s="49" t="s">
        <v>15778</v>
      </c>
      <c r="K1384" s="44"/>
      <c r="L1384" s="44"/>
    </row>
    <row r="1385">
      <c r="A1385" s="48" t="s">
        <v>10336</v>
      </c>
      <c r="B1385" s="48"/>
      <c r="C1385" s="48" t="s">
        <v>10337</v>
      </c>
      <c r="D1385" s="48"/>
      <c r="E1385" s="48" t="s">
        <v>6012</v>
      </c>
      <c r="F1385" s="64" t="s">
        <v>645</v>
      </c>
      <c r="G1385" s="60" t="s">
        <v>96</v>
      </c>
      <c r="H1385" s="88">
        <v>0.0059</v>
      </c>
      <c r="I1385" s="49" t="s">
        <v>15779</v>
      </c>
      <c r="J1385" s="49" t="s">
        <v>15780</v>
      </c>
      <c r="K1385" s="44"/>
      <c r="L1385" s="44"/>
    </row>
    <row r="1386">
      <c r="A1386" s="48" t="s">
        <v>10368</v>
      </c>
      <c r="B1386" s="48"/>
      <c r="C1386" s="64" t="s">
        <v>15781</v>
      </c>
      <c r="D1386" s="48"/>
      <c r="E1386" s="48" t="s">
        <v>13574</v>
      </c>
      <c r="F1386" s="64" t="s">
        <v>822</v>
      </c>
      <c r="G1386" s="60" t="s">
        <v>96</v>
      </c>
      <c r="H1386" s="88">
        <v>0.00586</v>
      </c>
      <c r="I1386" s="49" t="s">
        <v>15782</v>
      </c>
      <c r="J1386" s="49" t="s">
        <v>15783</v>
      </c>
      <c r="K1386" s="44"/>
      <c r="L1386" s="44"/>
    </row>
    <row r="1387">
      <c r="A1387" s="48" t="s">
        <v>10557</v>
      </c>
      <c r="B1387" s="48"/>
      <c r="C1387" s="64" t="s">
        <v>15784</v>
      </c>
      <c r="D1387" s="48"/>
      <c r="E1387" s="48" t="s">
        <v>12163</v>
      </c>
      <c r="F1387" s="64" t="s">
        <v>629</v>
      </c>
      <c r="G1387" s="60" t="s">
        <v>96</v>
      </c>
      <c r="H1387" s="88">
        <v>0.00583</v>
      </c>
      <c r="I1387" s="49" t="s">
        <v>15785</v>
      </c>
      <c r="J1387" s="49" t="s">
        <v>15786</v>
      </c>
      <c r="K1387" s="44"/>
      <c r="L1387" s="44"/>
    </row>
    <row r="1388">
      <c r="A1388" s="48" t="s">
        <v>11858</v>
      </c>
      <c r="B1388" s="48"/>
      <c r="C1388" s="64" t="s">
        <v>15787</v>
      </c>
      <c r="D1388" s="48"/>
      <c r="E1388" s="48" t="s">
        <v>12895</v>
      </c>
      <c r="F1388" s="64" t="s">
        <v>629</v>
      </c>
      <c r="G1388" s="60" t="s">
        <v>96</v>
      </c>
      <c r="H1388" s="88">
        <v>0.00582</v>
      </c>
      <c r="I1388" s="49" t="s">
        <v>15788</v>
      </c>
      <c r="J1388" s="49" t="s">
        <v>15789</v>
      </c>
      <c r="K1388" s="44"/>
      <c r="L1388" s="44"/>
    </row>
    <row r="1389">
      <c r="A1389" s="48" t="s">
        <v>11881</v>
      </c>
      <c r="B1389" s="48"/>
      <c r="C1389" s="64" t="s">
        <v>15790</v>
      </c>
      <c r="D1389" s="48"/>
      <c r="E1389" s="48" t="s">
        <v>12356</v>
      </c>
      <c r="F1389" s="64" t="s">
        <v>629</v>
      </c>
      <c r="G1389" s="60" t="s">
        <v>96</v>
      </c>
      <c r="H1389" s="88">
        <v>0.00581</v>
      </c>
      <c r="I1389" s="49" t="s">
        <v>15791</v>
      </c>
      <c r="J1389" s="49" t="s">
        <v>15792</v>
      </c>
      <c r="K1389" s="44"/>
      <c r="L1389" s="44"/>
    </row>
    <row r="1390">
      <c r="A1390" s="48" t="s">
        <v>10764</v>
      </c>
      <c r="B1390" s="48"/>
      <c r="C1390" s="64" t="s">
        <v>15793</v>
      </c>
      <c r="D1390" s="48"/>
      <c r="E1390" s="48" t="s">
        <v>12770</v>
      </c>
      <c r="F1390" s="64" t="s">
        <v>738</v>
      </c>
      <c r="G1390" s="60" t="s">
        <v>96</v>
      </c>
      <c r="H1390" s="88">
        <v>0.00581</v>
      </c>
      <c r="I1390" s="49" t="s">
        <v>15794</v>
      </c>
      <c r="J1390" s="49" t="s">
        <v>15795</v>
      </c>
      <c r="K1390" s="44"/>
      <c r="L1390" s="44"/>
    </row>
    <row r="1391">
      <c r="A1391" s="48" t="s">
        <v>10504</v>
      </c>
      <c r="B1391" s="48"/>
      <c r="C1391" s="48" t="s">
        <v>10505</v>
      </c>
      <c r="D1391" s="48"/>
      <c r="E1391" s="48" t="s">
        <v>11959</v>
      </c>
      <c r="F1391" s="64" t="s">
        <v>668</v>
      </c>
      <c r="G1391" s="60" t="s">
        <v>96</v>
      </c>
      <c r="H1391" s="88">
        <v>0.00576</v>
      </c>
      <c r="I1391" s="49" t="s">
        <v>15796</v>
      </c>
      <c r="J1391" s="49" t="s">
        <v>15797</v>
      </c>
      <c r="K1391" s="44"/>
      <c r="L1391" s="44"/>
    </row>
    <row r="1392">
      <c r="A1392" s="48" t="s">
        <v>11875</v>
      </c>
      <c r="B1392" s="48"/>
      <c r="C1392" s="64" t="s">
        <v>15798</v>
      </c>
      <c r="D1392" s="48"/>
      <c r="E1392" s="48" t="s">
        <v>11903</v>
      </c>
      <c r="F1392" s="64" t="s">
        <v>679</v>
      </c>
      <c r="G1392" s="60" t="s">
        <v>96</v>
      </c>
      <c r="H1392" s="88">
        <v>0.00576</v>
      </c>
      <c r="I1392" s="49" t="s">
        <v>15799</v>
      </c>
      <c r="J1392" s="49" t="s">
        <v>15800</v>
      </c>
      <c r="K1392" s="44"/>
      <c r="L1392" s="44"/>
    </row>
    <row r="1393">
      <c r="A1393" s="48" t="s">
        <v>10543</v>
      </c>
      <c r="B1393" s="48"/>
      <c r="C1393" s="64" t="s">
        <v>15801</v>
      </c>
      <c r="D1393" s="48"/>
      <c r="E1393" s="48" t="s">
        <v>12325</v>
      </c>
      <c r="F1393" s="64" t="s">
        <v>629</v>
      </c>
      <c r="G1393" s="60" t="s">
        <v>96</v>
      </c>
      <c r="H1393" s="88">
        <v>0.00566</v>
      </c>
      <c r="I1393" s="49" t="s">
        <v>15802</v>
      </c>
      <c r="J1393" s="49" t="s">
        <v>15803</v>
      </c>
      <c r="K1393" s="44"/>
      <c r="L1393" s="44"/>
    </row>
    <row r="1394">
      <c r="A1394" s="48" t="s">
        <v>10794</v>
      </c>
      <c r="B1394" s="48"/>
      <c r="C1394" s="64" t="s">
        <v>15804</v>
      </c>
      <c r="D1394" s="48"/>
      <c r="E1394" s="48" t="s">
        <v>14061</v>
      </c>
      <c r="F1394" s="64" t="s">
        <v>822</v>
      </c>
      <c r="G1394" s="60" t="s">
        <v>96</v>
      </c>
      <c r="H1394" s="88">
        <v>0.00566</v>
      </c>
      <c r="I1394" s="49" t="s">
        <v>15805</v>
      </c>
      <c r="J1394" s="49" t="s">
        <v>15806</v>
      </c>
      <c r="K1394" s="44"/>
      <c r="L1394" s="44"/>
    </row>
    <row r="1395">
      <c r="A1395" s="48" t="s">
        <v>10618</v>
      </c>
      <c r="B1395" s="48"/>
      <c r="C1395" s="64" t="s">
        <v>15807</v>
      </c>
      <c r="D1395" s="48"/>
      <c r="E1395" s="48" t="s">
        <v>14061</v>
      </c>
      <c r="F1395" s="64" t="s">
        <v>629</v>
      </c>
      <c r="G1395" s="60" t="s">
        <v>96</v>
      </c>
      <c r="H1395" s="88">
        <v>0.00565</v>
      </c>
      <c r="I1395" s="49" t="s">
        <v>15808</v>
      </c>
      <c r="J1395" s="49" t="s">
        <v>15809</v>
      </c>
      <c r="K1395" s="44"/>
      <c r="L1395" s="44"/>
    </row>
    <row r="1396">
      <c r="A1396" s="48" t="s">
        <v>10673</v>
      </c>
      <c r="B1396" s="48"/>
      <c r="C1396" s="48" t="s">
        <v>10674</v>
      </c>
      <c r="D1396" s="48"/>
      <c r="E1396" s="48" t="s">
        <v>5291</v>
      </c>
      <c r="F1396" s="64" t="s">
        <v>738</v>
      </c>
      <c r="G1396" s="60" t="s">
        <v>96</v>
      </c>
      <c r="H1396" s="88">
        <v>0.00564</v>
      </c>
      <c r="I1396" s="49" t="s">
        <v>15810</v>
      </c>
      <c r="J1396" s="49" t="s">
        <v>15811</v>
      </c>
      <c r="K1396" s="44"/>
      <c r="L1396" s="44"/>
    </row>
    <row r="1397">
      <c r="A1397" s="48" t="s">
        <v>10359</v>
      </c>
      <c r="B1397" s="48"/>
      <c r="C1397" s="48" t="s">
        <v>10360</v>
      </c>
      <c r="D1397" s="48"/>
      <c r="E1397" s="48" t="s">
        <v>11959</v>
      </c>
      <c r="F1397" s="64" t="s">
        <v>1673</v>
      </c>
      <c r="G1397" s="60" t="s">
        <v>96</v>
      </c>
      <c r="H1397" s="88">
        <v>0.00563</v>
      </c>
      <c r="I1397" s="49" t="s">
        <v>15812</v>
      </c>
      <c r="J1397" s="49" t="s">
        <v>15813</v>
      </c>
      <c r="K1397" s="44"/>
      <c r="L1397" s="44"/>
    </row>
    <row r="1398">
      <c r="A1398" s="48" t="s">
        <v>6175</v>
      </c>
      <c r="B1398" s="48"/>
      <c r="C1398" s="64" t="s">
        <v>15814</v>
      </c>
      <c r="D1398" s="48"/>
      <c r="E1398" s="48" t="s">
        <v>13574</v>
      </c>
      <c r="F1398" s="64" t="s">
        <v>629</v>
      </c>
      <c r="G1398" s="60" t="s">
        <v>96</v>
      </c>
      <c r="H1398" s="88">
        <v>0.00562</v>
      </c>
      <c r="I1398" s="49" t="s">
        <v>15815</v>
      </c>
      <c r="J1398" s="49" t="s">
        <v>15816</v>
      </c>
      <c r="K1398" s="44"/>
      <c r="L1398" s="44"/>
    </row>
    <row r="1399">
      <c r="A1399" s="48" t="s">
        <v>10316</v>
      </c>
      <c r="B1399" s="48"/>
      <c r="C1399" s="64" t="s">
        <v>15817</v>
      </c>
      <c r="D1399" s="48"/>
      <c r="E1399" s="48" t="s">
        <v>12105</v>
      </c>
      <c r="F1399" s="64" t="s">
        <v>629</v>
      </c>
      <c r="G1399" s="60" t="s">
        <v>96</v>
      </c>
      <c r="H1399" s="88">
        <v>0.00561</v>
      </c>
      <c r="I1399" s="49" t="s">
        <v>15818</v>
      </c>
      <c r="J1399" s="49" t="s">
        <v>15819</v>
      </c>
      <c r="K1399" s="44"/>
      <c r="L1399" s="44"/>
    </row>
    <row r="1400">
      <c r="A1400" s="48" t="s">
        <v>10776</v>
      </c>
      <c r="B1400" s="48"/>
      <c r="C1400" s="48" t="s">
        <v>10777</v>
      </c>
      <c r="D1400" s="48"/>
      <c r="E1400" s="48" t="s">
        <v>12072</v>
      </c>
      <c r="F1400" s="64" t="s">
        <v>649</v>
      </c>
      <c r="G1400" s="60" t="s">
        <v>96</v>
      </c>
      <c r="H1400" s="88">
        <v>0.00561</v>
      </c>
      <c r="I1400" s="49" t="s">
        <v>15820</v>
      </c>
      <c r="J1400" s="49" t="s">
        <v>15821</v>
      </c>
      <c r="K1400" s="44"/>
      <c r="L1400" s="44"/>
    </row>
    <row r="1401">
      <c r="A1401" s="48" t="s">
        <v>10620</v>
      </c>
      <c r="B1401" s="48"/>
      <c r="C1401" s="64" t="s">
        <v>15822</v>
      </c>
      <c r="D1401" s="48"/>
      <c r="E1401" s="48" t="s">
        <v>11903</v>
      </c>
      <c r="F1401" s="64" t="s">
        <v>629</v>
      </c>
      <c r="G1401" s="60" t="s">
        <v>96</v>
      </c>
      <c r="H1401" s="88">
        <v>0.0056</v>
      </c>
      <c r="I1401" s="49" t="s">
        <v>15823</v>
      </c>
      <c r="J1401" s="49" t="s">
        <v>15824</v>
      </c>
      <c r="K1401" s="44"/>
      <c r="L1401" s="44"/>
    </row>
    <row r="1402">
      <c r="A1402" s="48" t="s">
        <v>10448</v>
      </c>
      <c r="B1402" s="48"/>
      <c r="C1402" s="64" t="s">
        <v>15825</v>
      </c>
      <c r="D1402" s="48"/>
      <c r="E1402" s="48" t="s">
        <v>5249</v>
      </c>
      <c r="F1402" s="64" t="s">
        <v>11998</v>
      </c>
      <c r="G1402" s="60" t="s">
        <v>96</v>
      </c>
      <c r="H1402" s="88">
        <v>0.00547</v>
      </c>
      <c r="I1402" s="49" t="s">
        <v>15826</v>
      </c>
      <c r="J1402" s="49" t="s">
        <v>15827</v>
      </c>
      <c r="K1402" s="44"/>
      <c r="L1402" s="44"/>
    </row>
    <row r="1403">
      <c r="A1403" s="48" t="s">
        <v>10671</v>
      </c>
      <c r="B1403" s="48"/>
      <c r="C1403" s="48" t="s">
        <v>15828</v>
      </c>
      <c r="D1403" s="48"/>
      <c r="E1403" s="48" t="s">
        <v>12105</v>
      </c>
      <c r="F1403" s="64" t="s">
        <v>1740</v>
      </c>
      <c r="G1403" s="60" t="s">
        <v>96</v>
      </c>
      <c r="H1403" s="88">
        <v>0.00545</v>
      </c>
      <c r="I1403" s="49" t="s">
        <v>15829</v>
      </c>
      <c r="J1403" s="49" t="s">
        <v>15830</v>
      </c>
      <c r="K1403" s="44"/>
      <c r="L1403" s="44"/>
    </row>
    <row r="1404">
      <c r="A1404" s="48" t="s">
        <v>10394</v>
      </c>
      <c r="B1404" s="48"/>
      <c r="C1404" s="48" t="s">
        <v>10395</v>
      </c>
      <c r="D1404" s="48"/>
      <c r="E1404" s="48" t="s">
        <v>12014</v>
      </c>
      <c r="F1404" s="64" t="s">
        <v>668</v>
      </c>
      <c r="G1404" s="60" t="s">
        <v>96</v>
      </c>
      <c r="H1404" s="88">
        <v>0.00545</v>
      </c>
      <c r="I1404" s="49" t="s">
        <v>15831</v>
      </c>
      <c r="J1404" s="49" t="s">
        <v>15832</v>
      </c>
      <c r="K1404" s="44"/>
      <c r="L1404" s="44"/>
    </row>
    <row r="1405">
      <c r="A1405" s="48" t="s">
        <v>10641</v>
      </c>
      <c r="B1405" s="48"/>
      <c r="C1405" s="48" t="s">
        <v>10642</v>
      </c>
      <c r="D1405" s="48"/>
      <c r="E1405" s="48" t="s">
        <v>12729</v>
      </c>
      <c r="F1405" s="64" t="s">
        <v>645</v>
      </c>
      <c r="G1405" s="60" t="s">
        <v>96</v>
      </c>
      <c r="H1405" s="88">
        <v>0.00544</v>
      </c>
      <c r="I1405" s="49" t="s">
        <v>15833</v>
      </c>
      <c r="J1405" s="49" t="s">
        <v>15834</v>
      </c>
      <c r="K1405" s="44"/>
      <c r="L1405" s="44"/>
    </row>
    <row r="1406">
      <c r="A1406" s="48" t="s">
        <v>10371</v>
      </c>
      <c r="B1406" s="48"/>
      <c r="C1406" s="64" t="s">
        <v>15835</v>
      </c>
      <c r="D1406" s="48"/>
      <c r="E1406" s="48" t="s">
        <v>12056</v>
      </c>
      <c r="F1406" s="64" t="s">
        <v>622</v>
      </c>
      <c r="G1406" s="60" t="s">
        <v>96</v>
      </c>
      <c r="H1406" s="88">
        <v>0.00538</v>
      </c>
      <c r="I1406" s="49" t="s">
        <v>15836</v>
      </c>
      <c r="J1406" s="49" t="s">
        <v>15837</v>
      </c>
      <c r="K1406" s="44"/>
      <c r="L1406" s="44"/>
    </row>
    <row r="1407">
      <c r="A1407" s="48" t="s">
        <v>11868</v>
      </c>
      <c r="B1407" s="48"/>
      <c r="C1407" s="64" t="s">
        <v>15838</v>
      </c>
      <c r="D1407" s="48"/>
      <c r="E1407" s="48" t="s">
        <v>13324</v>
      </c>
      <c r="F1407" s="64" t="s">
        <v>622</v>
      </c>
      <c r="G1407" s="60" t="s">
        <v>96</v>
      </c>
      <c r="H1407" s="88">
        <v>0.00536</v>
      </c>
      <c r="I1407" s="49" t="s">
        <v>15839</v>
      </c>
      <c r="J1407" s="49" t="s">
        <v>15840</v>
      </c>
      <c r="K1407" s="44"/>
      <c r="L1407" s="44"/>
    </row>
    <row r="1408">
      <c r="A1408" s="48" t="s">
        <v>10551</v>
      </c>
      <c r="B1408" s="48"/>
      <c r="C1408" s="48" t="s">
        <v>10552</v>
      </c>
      <c r="D1408" s="48"/>
      <c r="E1408" s="48" t="s">
        <v>11932</v>
      </c>
      <c r="F1408" s="64" t="s">
        <v>639</v>
      </c>
      <c r="G1408" s="60" t="s">
        <v>96</v>
      </c>
      <c r="H1408" s="88">
        <v>0.00533</v>
      </c>
      <c r="I1408" s="49" t="s">
        <v>15841</v>
      </c>
      <c r="J1408" s="49" t="s">
        <v>15842</v>
      </c>
      <c r="K1408" s="44"/>
      <c r="L1408" s="44"/>
    </row>
    <row r="1409">
      <c r="A1409" s="48" t="s">
        <v>10713</v>
      </c>
      <c r="B1409" s="48"/>
      <c r="C1409" s="48" t="s">
        <v>15843</v>
      </c>
      <c r="D1409" s="48"/>
      <c r="E1409" s="48" t="s">
        <v>12072</v>
      </c>
      <c r="F1409" s="64" t="s">
        <v>1352</v>
      </c>
      <c r="G1409" s="60" t="s">
        <v>96</v>
      </c>
      <c r="H1409" s="88">
        <v>0.00527</v>
      </c>
      <c r="I1409" s="49" t="s">
        <v>15844</v>
      </c>
      <c r="J1409" s="49" t="s">
        <v>15845</v>
      </c>
      <c r="K1409" s="44"/>
      <c r="L1409" s="44"/>
    </row>
    <row r="1410">
      <c r="A1410" s="48" t="s">
        <v>10589</v>
      </c>
      <c r="B1410" s="48"/>
      <c r="C1410" s="64" t="s">
        <v>15846</v>
      </c>
      <c r="D1410" s="48"/>
      <c r="E1410" s="48" t="s">
        <v>12078</v>
      </c>
      <c r="F1410" s="64" t="s">
        <v>2732</v>
      </c>
      <c r="G1410" s="60" t="s">
        <v>96</v>
      </c>
      <c r="H1410" s="88">
        <v>0.00526</v>
      </c>
      <c r="I1410" s="49" t="s">
        <v>15847</v>
      </c>
      <c r="J1410" s="49" t="s">
        <v>15848</v>
      </c>
      <c r="K1410" s="44"/>
      <c r="L1410" s="44"/>
    </row>
    <row r="1411">
      <c r="A1411" s="48" t="s">
        <v>6896</v>
      </c>
      <c r="B1411" s="48"/>
      <c r="C1411" s="48" t="s">
        <v>11872</v>
      </c>
      <c r="D1411" s="48"/>
      <c r="E1411" s="48" t="s">
        <v>15122</v>
      </c>
      <c r="F1411" s="64" t="s">
        <v>694</v>
      </c>
      <c r="G1411" s="60" t="s">
        <v>96</v>
      </c>
      <c r="H1411" s="88">
        <v>0.00514</v>
      </c>
      <c r="I1411" s="49" t="s">
        <v>15849</v>
      </c>
      <c r="J1411" s="49" t="s">
        <v>15850</v>
      </c>
      <c r="K1411" s="44"/>
      <c r="L1411" s="44"/>
    </row>
    <row r="1412">
      <c r="A1412" s="48" t="s">
        <v>11877</v>
      </c>
      <c r="B1412" s="48"/>
      <c r="C1412" s="64" t="s">
        <v>15851</v>
      </c>
      <c r="D1412" s="48"/>
      <c r="E1412" s="48" t="s">
        <v>12777</v>
      </c>
      <c r="F1412" s="64" t="s">
        <v>622</v>
      </c>
      <c r="G1412" s="60" t="s">
        <v>96</v>
      </c>
      <c r="H1412" s="88">
        <v>0.00513</v>
      </c>
      <c r="I1412" s="49" t="s">
        <v>15852</v>
      </c>
      <c r="J1412" s="49" t="s">
        <v>15853</v>
      </c>
      <c r="K1412" s="44"/>
      <c r="L1412" s="44"/>
    </row>
    <row r="1413">
      <c r="A1413" s="48" t="s">
        <v>6211</v>
      </c>
      <c r="B1413" s="48"/>
      <c r="C1413" s="64" t="s">
        <v>15854</v>
      </c>
      <c r="D1413" s="48"/>
      <c r="E1413" s="48" t="s">
        <v>11959</v>
      </c>
      <c r="F1413" s="64" t="s">
        <v>629</v>
      </c>
      <c r="G1413" s="60" t="s">
        <v>96</v>
      </c>
      <c r="H1413" s="88">
        <v>0.00508</v>
      </c>
      <c r="I1413" s="49" t="s">
        <v>14519</v>
      </c>
      <c r="J1413" s="49" t="s">
        <v>15855</v>
      </c>
      <c r="K1413" s="44"/>
      <c r="L1413" s="44"/>
    </row>
    <row r="1414">
      <c r="A1414" s="48" t="s">
        <v>10376</v>
      </c>
      <c r="B1414" s="48"/>
      <c r="C1414" s="64" t="s">
        <v>15856</v>
      </c>
      <c r="D1414" s="48"/>
      <c r="E1414" s="48" t="s">
        <v>12559</v>
      </c>
      <c r="F1414" s="64" t="s">
        <v>822</v>
      </c>
      <c r="G1414" s="60" t="s">
        <v>96</v>
      </c>
      <c r="H1414" s="88">
        <v>0.00503</v>
      </c>
      <c r="I1414" s="49" t="s">
        <v>15857</v>
      </c>
      <c r="J1414" s="49" t="s">
        <v>15858</v>
      </c>
      <c r="K1414" s="44"/>
      <c r="L1414" s="44"/>
    </row>
    <row r="1415">
      <c r="A1415" s="48" t="s">
        <v>10254</v>
      </c>
      <c r="B1415" s="48"/>
      <c r="C1415" s="64" t="s">
        <v>15859</v>
      </c>
      <c r="D1415" s="48"/>
      <c r="E1415" s="48" t="s">
        <v>15122</v>
      </c>
      <c r="F1415" s="64" t="s">
        <v>629</v>
      </c>
      <c r="G1415" s="60" t="s">
        <v>96</v>
      </c>
      <c r="H1415" s="88">
        <v>0.00502</v>
      </c>
      <c r="I1415" s="49" t="s">
        <v>15860</v>
      </c>
      <c r="J1415" s="49" t="s">
        <v>15861</v>
      </c>
      <c r="K1415" s="44"/>
      <c r="L1415" s="44"/>
    </row>
    <row r="1416">
      <c r="A1416" s="48" t="s">
        <v>10565</v>
      </c>
      <c r="B1416" s="48"/>
      <c r="C1416" s="64" t="s">
        <v>15862</v>
      </c>
      <c r="D1416" s="48"/>
      <c r="E1416" s="48" t="s">
        <v>12072</v>
      </c>
      <c r="F1416" s="64" t="s">
        <v>679</v>
      </c>
      <c r="G1416" s="60" t="s">
        <v>96</v>
      </c>
      <c r="H1416" s="88">
        <v>0.00501</v>
      </c>
      <c r="I1416" s="49" t="s">
        <v>15863</v>
      </c>
      <c r="J1416" s="49" t="s">
        <v>15864</v>
      </c>
      <c r="K1416" s="44"/>
      <c r="L1416" s="44"/>
    </row>
    <row r="1417">
      <c r="A1417" s="48" t="s">
        <v>10169</v>
      </c>
      <c r="B1417" s="48"/>
      <c r="C1417" s="48" t="s">
        <v>10170</v>
      </c>
      <c r="D1417" s="48"/>
      <c r="E1417" s="48" t="s">
        <v>12246</v>
      </c>
      <c r="F1417" s="64" t="s">
        <v>645</v>
      </c>
      <c r="G1417" s="60" t="s">
        <v>96</v>
      </c>
      <c r="H1417" s="88">
        <v>0.00499</v>
      </c>
      <c r="I1417" s="49" t="s">
        <v>15865</v>
      </c>
      <c r="J1417" s="49" t="s">
        <v>15866</v>
      </c>
      <c r="K1417" s="44"/>
      <c r="L1417" s="44"/>
    </row>
    <row r="1418">
      <c r="A1418" s="48" t="s">
        <v>9933</v>
      </c>
      <c r="B1418" s="48"/>
      <c r="C1418" s="48" t="s">
        <v>9934</v>
      </c>
      <c r="D1418" s="48"/>
      <c r="E1418" s="48" t="s">
        <v>12777</v>
      </c>
      <c r="F1418" s="64" t="s">
        <v>11998</v>
      </c>
      <c r="G1418" s="60" t="s">
        <v>96</v>
      </c>
      <c r="H1418" s="88">
        <v>0.00498</v>
      </c>
      <c r="I1418" s="49" t="s">
        <v>15867</v>
      </c>
      <c r="J1418" s="49" t="s">
        <v>15868</v>
      </c>
      <c r="K1418" s="44"/>
      <c r="L1418" s="44"/>
    </row>
    <row r="1419">
      <c r="A1419" s="48" t="s">
        <v>11862</v>
      </c>
      <c r="B1419" s="48"/>
      <c r="C1419" s="64" t="s">
        <v>15869</v>
      </c>
      <c r="D1419" s="48"/>
      <c r="E1419" s="48" t="s">
        <v>13956</v>
      </c>
      <c r="F1419" s="64" t="s">
        <v>694</v>
      </c>
      <c r="G1419" s="60" t="s">
        <v>96</v>
      </c>
      <c r="H1419" s="88">
        <v>0.00497</v>
      </c>
      <c r="I1419" s="49" t="s">
        <v>15870</v>
      </c>
      <c r="J1419" s="49" t="s">
        <v>15871</v>
      </c>
      <c r="K1419" s="44"/>
      <c r="L1419" s="44"/>
    </row>
    <row r="1420">
      <c r="A1420" s="48" t="s">
        <v>9922</v>
      </c>
      <c r="B1420" s="48"/>
      <c r="C1420" s="48" t="s">
        <v>15872</v>
      </c>
      <c r="D1420" s="48"/>
      <c r="E1420" s="48" t="s">
        <v>11946</v>
      </c>
      <c r="F1420" s="64" t="s">
        <v>11998</v>
      </c>
      <c r="G1420" s="60" t="s">
        <v>96</v>
      </c>
      <c r="H1420" s="88">
        <v>0.00494</v>
      </c>
      <c r="I1420" s="49" t="s">
        <v>15873</v>
      </c>
      <c r="J1420" s="49" t="s">
        <v>15874</v>
      </c>
      <c r="K1420" s="44"/>
      <c r="L1420" s="44"/>
    </row>
    <row r="1421">
      <c r="A1421" s="48" t="s">
        <v>11873</v>
      </c>
      <c r="B1421" s="48"/>
      <c r="C1421" s="64" t="s">
        <v>15875</v>
      </c>
      <c r="D1421" s="48"/>
      <c r="E1421" s="48" t="s">
        <v>12182</v>
      </c>
      <c r="F1421" s="64" t="s">
        <v>629</v>
      </c>
      <c r="G1421" s="60" t="s">
        <v>96</v>
      </c>
      <c r="H1421" s="88">
        <v>0.00493</v>
      </c>
      <c r="I1421" s="49" t="s">
        <v>15876</v>
      </c>
      <c r="J1421" s="49" t="s">
        <v>15877</v>
      </c>
      <c r="K1421" s="44"/>
      <c r="L1421" s="44"/>
    </row>
    <row r="1422">
      <c r="A1422" s="48" t="s">
        <v>10583</v>
      </c>
      <c r="B1422" s="48"/>
      <c r="C1422" s="48" t="s">
        <v>10584</v>
      </c>
      <c r="D1422" s="48"/>
      <c r="E1422" s="48" t="s">
        <v>12046</v>
      </c>
      <c r="F1422" s="64" t="s">
        <v>1352</v>
      </c>
      <c r="G1422" s="60" t="s">
        <v>96</v>
      </c>
      <c r="H1422" s="88">
        <v>0.00485</v>
      </c>
      <c r="I1422" s="49" t="s">
        <v>15878</v>
      </c>
      <c r="J1422" s="49" t="s">
        <v>15879</v>
      </c>
      <c r="K1422" s="44"/>
      <c r="L1422" s="44"/>
    </row>
    <row r="1423">
      <c r="A1423" s="48" t="s">
        <v>10209</v>
      </c>
      <c r="B1423" s="48"/>
      <c r="C1423" s="64" t="s">
        <v>15880</v>
      </c>
      <c r="D1423" s="48"/>
      <c r="E1423" s="48" t="s">
        <v>12182</v>
      </c>
      <c r="F1423" s="64" t="s">
        <v>738</v>
      </c>
      <c r="G1423" s="60" t="s">
        <v>96</v>
      </c>
      <c r="H1423" s="88">
        <v>0.00484</v>
      </c>
      <c r="I1423" s="49" t="s">
        <v>15881</v>
      </c>
      <c r="J1423" s="49" t="s">
        <v>15882</v>
      </c>
      <c r="K1423" s="44"/>
      <c r="L1423" s="44"/>
    </row>
    <row r="1424">
      <c r="A1424" s="48" t="s">
        <v>10384</v>
      </c>
      <c r="B1424" s="48"/>
      <c r="C1424" s="64" t="s">
        <v>15883</v>
      </c>
      <c r="D1424" s="48"/>
      <c r="E1424" s="48" t="s">
        <v>12205</v>
      </c>
      <c r="F1424" s="64" t="s">
        <v>694</v>
      </c>
      <c r="G1424" s="60" t="s">
        <v>96</v>
      </c>
      <c r="H1424" s="88">
        <v>0.00477</v>
      </c>
      <c r="I1424" s="49" t="s">
        <v>15884</v>
      </c>
      <c r="J1424" s="49" t="s">
        <v>15885</v>
      </c>
      <c r="K1424" s="44"/>
      <c r="L1424" s="44"/>
    </row>
    <row r="1425">
      <c r="A1425" s="48" t="s">
        <v>11885</v>
      </c>
      <c r="B1425" s="48"/>
      <c r="C1425" s="64" t="s">
        <v>15886</v>
      </c>
      <c r="D1425" s="48"/>
      <c r="E1425" s="48" t="s">
        <v>12031</v>
      </c>
      <c r="F1425" s="64" t="s">
        <v>629</v>
      </c>
      <c r="G1425" s="60" t="s">
        <v>96</v>
      </c>
      <c r="H1425" s="88">
        <v>0.00477</v>
      </c>
      <c r="I1425" s="49" t="s">
        <v>15887</v>
      </c>
      <c r="J1425" s="49" t="s">
        <v>15888</v>
      </c>
      <c r="K1425" s="44"/>
      <c r="L1425" s="44"/>
    </row>
    <row r="1426">
      <c r="A1426" s="48" t="s">
        <v>10649</v>
      </c>
      <c r="B1426" s="48"/>
      <c r="C1426" s="64" t="s">
        <v>15889</v>
      </c>
      <c r="D1426" s="48"/>
      <c r="E1426" s="48" t="s">
        <v>13002</v>
      </c>
      <c r="F1426" s="64" t="s">
        <v>629</v>
      </c>
      <c r="G1426" s="60" t="s">
        <v>96</v>
      </c>
      <c r="H1426" s="88">
        <v>0.00476</v>
      </c>
      <c r="I1426" s="49" t="s">
        <v>15890</v>
      </c>
      <c r="J1426" s="49" t="s">
        <v>15891</v>
      </c>
      <c r="K1426" s="44"/>
      <c r="L1426" s="44"/>
    </row>
    <row r="1427">
      <c r="A1427" s="48" t="s">
        <v>10653</v>
      </c>
      <c r="B1427" s="48"/>
      <c r="C1427" s="64" t="s">
        <v>15892</v>
      </c>
      <c r="D1427" s="48"/>
      <c r="E1427" s="48" t="s">
        <v>12236</v>
      </c>
      <c r="F1427" s="64" t="s">
        <v>629</v>
      </c>
      <c r="G1427" s="60" t="s">
        <v>96</v>
      </c>
      <c r="H1427" s="88">
        <v>0.00464</v>
      </c>
      <c r="I1427" s="49" t="s">
        <v>15893</v>
      </c>
      <c r="J1427" s="49" t="s">
        <v>15894</v>
      </c>
      <c r="K1427" s="44"/>
      <c r="L1427" s="44"/>
    </row>
    <row r="1428">
      <c r="A1428" s="48" t="s">
        <v>10935</v>
      </c>
      <c r="B1428" s="48"/>
      <c r="C1428" s="64" t="s">
        <v>15895</v>
      </c>
      <c r="D1428" s="48"/>
      <c r="E1428" s="48" t="s">
        <v>12031</v>
      </c>
      <c r="F1428" s="64" t="s">
        <v>629</v>
      </c>
      <c r="G1428" s="60" t="s">
        <v>96</v>
      </c>
      <c r="H1428" s="88">
        <v>0.00457</v>
      </c>
      <c r="I1428" s="49" t="s">
        <v>15896</v>
      </c>
      <c r="J1428" s="49" t="s">
        <v>15897</v>
      </c>
      <c r="K1428" s="44"/>
      <c r="L1428" s="44"/>
    </row>
    <row r="1429">
      <c r="A1429" s="48" t="s">
        <v>10726</v>
      </c>
      <c r="B1429" s="48"/>
      <c r="C1429" s="64" t="s">
        <v>15898</v>
      </c>
      <c r="D1429" s="48"/>
      <c r="E1429" s="48" t="s">
        <v>5756</v>
      </c>
      <c r="F1429" s="64" t="s">
        <v>822</v>
      </c>
      <c r="G1429" s="60" t="s">
        <v>96</v>
      </c>
      <c r="H1429" s="88">
        <v>0.00455</v>
      </c>
      <c r="I1429" s="49" t="s">
        <v>15899</v>
      </c>
      <c r="J1429" s="49" t="s">
        <v>15900</v>
      </c>
      <c r="K1429" s="44"/>
      <c r="L1429" s="44"/>
    </row>
    <row r="1430">
      <c r="A1430" s="48" t="s">
        <v>10455</v>
      </c>
      <c r="B1430" s="48"/>
      <c r="C1430" s="64" t="s">
        <v>15901</v>
      </c>
      <c r="D1430" s="48"/>
      <c r="E1430" s="48" t="s">
        <v>14061</v>
      </c>
      <c r="F1430" s="64" t="s">
        <v>679</v>
      </c>
      <c r="G1430" s="60" t="s">
        <v>96</v>
      </c>
      <c r="H1430" s="88">
        <v>0.00453</v>
      </c>
      <c r="I1430" s="49" t="s">
        <v>15902</v>
      </c>
      <c r="J1430" s="49" t="s">
        <v>15903</v>
      </c>
      <c r="K1430" s="44"/>
      <c r="L1430" s="44"/>
    </row>
    <row r="1431">
      <c r="A1431" s="48" t="s">
        <v>10837</v>
      </c>
      <c r="B1431" s="48"/>
      <c r="C1431" s="48" t="s">
        <v>10838</v>
      </c>
      <c r="D1431" s="48"/>
      <c r="E1431" s="48" t="s">
        <v>5341</v>
      </c>
      <c r="F1431" s="64" t="s">
        <v>639</v>
      </c>
      <c r="G1431" s="60" t="s">
        <v>96</v>
      </c>
      <c r="H1431" s="88">
        <v>0.00451</v>
      </c>
      <c r="I1431" s="49" t="s">
        <v>15904</v>
      </c>
      <c r="J1431" s="49" t="s">
        <v>15905</v>
      </c>
      <c r="K1431" s="44"/>
      <c r="L1431" s="44"/>
    </row>
    <row r="1432">
      <c r="A1432" s="48" t="s">
        <v>11879</v>
      </c>
      <c r="B1432" s="48"/>
      <c r="C1432" s="48" t="s">
        <v>11880</v>
      </c>
      <c r="D1432" s="48"/>
      <c r="E1432" s="48" t="s">
        <v>12437</v>
      </c>
      <c r="F1432" s="64" t="s">
        <v>622</v>
      </c>
      <c r="G1432" s="60" t="s">
        <v>96</v>
      </c>
      <c r="H1432" s="88">
        <v>0.00445</v>
      </c>
      <c r="I1432" s="49" t="s">
        <v>15906</v>
      </c>
      <c r="J1432" s="49" t="s">
        <v>15907</v>
      </c>
      <c r="K1432" s="44"/>
      <c r="L1432" s="44"/>
    </row>
    <row r="1433">
      <c r="A1433" s="48" t="s">
        <v>10399</v>
      </c>
      <c r="B1433" s="48"/>
      <c r="C1433" s="48" t="s">
        <v>15908</v>
      </c>
      <c r="D1433" s="48"/>
      <c r="E1433" s="48" t="s">
        <v>12787</v>
      </c>
      <c r="F1433" s="64" t="s">
        <v>668</v>
      </c>
      <c r="G1433" s="60" t="s">
        <v>96</v>
      </c>
      <c r="H1433" s="88">
        <v>0.00434</v>
      </c>
      <c r="I1433" s="49" t="s">
        <v>15909</v>
      </c>
      <c r="J1433" s="49" t="s">
        <v>15910</v>
      </c>
      <c r="K1433" s="44"/>
      <c r="L1433" s="44"/>
    </row>
    <row r="1434">
      <c r="A1434" s="48" t="s">
        <v>11888</v>
      </c>
      <c r="B1434" s="48"/>
      <c r="C1434" s="48" t="s">
        <v>15911</v>
      </c>
      <c r="D1434" s="48"/>
      <c r="E1434" s="48" t="s">
        <v>5291</v>
      </c>
      <c r="F1434" s="64" t="s">
        <v>694</v>
      </c>
      <c r="G1434" s="60" t="s">
        <v>96</v>
      </c>
      <c r="H1434" s="88">
        <v>0.00433</v>
      </c>
      <c r="I1434" s="49" t="s">
        <v>15912</v>
      </c>
      <c r="J1434" s="49" t="s">
        <v>15913</v>
      </c>
      <c r="K1434" s="44"/>
      <c r="L1434" s="44"/>
    </row>
    <row r="1435">
      <c r="A1435" s="48" t="s">
        <v>10716</v>
      </c>
      <c r="B1435" s="48"/>
      <c r="C1435" s="64" t="s">
        <v>15914</v>
      </c>
      <c r="D1435" s="48"/>
      <c r="E1435" s="48" t="s">
        <v>12918</v>
      </c>
      <c r="F1435" s="64" t="s">
        <v>629</v>
      </c>
      <c r="G1435" s="60" t="s">
        <v>96</v>
      </c>
      <c r="H1435" s="88">
        <v>0.00432</v>
      </c>
      <c r="I1435" s="49" t="s">
        <v>15915</v>
      </c>
      <c r="J1435" s="49" t="s">
        <v>15916</v>
      </c>
      <c r="K1435" s="44"/>
      <c r="L1435" s="44"/>
    </row>
    <row r="1436">
      <c r="A1436" s="48" t="s">
        <v>11883</v>
      </c>
      <c r="B1436" s="48"/>
      <c r="C1436" s="64" t="s">
        <v>15917</v>
      </c>
      <c r="D1436" s="48"/>
      <c r="E1436" s="48" t="s">
        <v>12105</v>
      </c>
      <c r="F1436" s="64" t="s">
        <v>738</v>
      </c>
      <c r="G1436" s="60" t="s">
        <v>96</v>
      </c>
      <c r="H1436" s="88">
        <v>0.00431</v>
      </c>
      <c r="I1436" s="49" t="s">
        <v>15918</v>
      </c>
      <c r="J1436" s="49" t="s">
        <v>15919</v>
      </c>
      <c r="K1436" s="44"/>
      <c r="L1436" s="44"/>
    </row>
    <row r="1437">
      <c r="A1437" s="48" t="s">
        <v>10714</v>
      </c>
      <c r="B1437" s="48"/>
      <c r="C1437" s="48" t="s">
        <v>10715</v>
      </c>
      <c r="D1437" s="48"/>
      <c r="E1437" s="48" t="s">
        <v>15284</v>
      </c>
      <c r="F1437" s="64" t="s">
        <v>1201</v>
      </c>
      <c r="G1437" s="60" t="s">
        <v>96</v>
      </c>
      <c r="H1437" s="88">
        <v>0.00426</v>
      </c>
      <c r="I1437" s="49" t="s">
        <v>15920</v>
      </c>
      <c r="J1437" s="49" t="s">
        <v>15921</v>
      </c>
      <c r="K1437" s="44"/>
      <c r="L1437" s="44"/>
    </row>
    <row r="1438">
      <c r="A1438" s="48" t="s">
        <v>10524</v>
      </c>
      <c r="B1438" s="48"/>
      <c r="C1438" s="48" t="s">
        <v>15922</v>
      </c>
      <c r="D1438" s="48"/>
      <c r="E1438" s="48" t="s">
        <v>14061</v>
      </c>
      <c r="F1438" s="64" t="s">
        <v>1740</v>
      </c>
      <c r="G1438" s="60" t="s">
        <v>96</v>
      </c>
      <c r="H1438" s="88">
        <v>0.00422</v>
      </c>
      <c r="I1438" s="49" t="s">
        <v>15923</v>
      </c>
      <c r="J1438" s="49" t="s">
        <v>15924</v>
      </c>
      <c r="K1438" s="44"/>
      <c r="L1438" s="44"/>
    </row>
    <row r="1439">
      <c r="A1439" s="48" t="s">
        <v>9955</v>
      </c>
      <c r="B1439" s="48"/>
      <c r="C1439" s="64" t="s">
        <v>15925</v>
      </c>
      <c r="D1439" s="48"/>
      <c r="E1439" s="48" t="s">
        <v>13357</v>
      </c>
      <c r="F1439" s="64" t="s">
        <v>629</v>
      </c>
      <c r="G1439" s="60" t="s">
        <v>96</v>
      </c>
      <c r="H1439" s="88">
        <v>0.00421</v>
      </c>
      <c r="I1439" s="49" t="s">
        <v>15926</v>
      </c>
      <c r="J1439" s="49" t="s">
        <v>15927</v>
      </c>
      <c r="K1439" s="44"/>
      <c r="L1439" s="44"/>
    </row>
    <row r="1440">
      <c r="A1440" s="48" t="s">
        <v>10488</v>
      </c>
      <c r="B1440" s="48"/>
      <c r="C1440" s="48" t="s">
        <v>15928</v>
      </c>
      <c r="D1440" s="48"/>
      <c r="E1440" s="48" t="s">
        <v>11924</v>
      </c>
      <c r="F1440" s="64" t="s">
        <v>1740</v>
      </c>
      <c r="G1440" s="60" t="s">
        <v>96</v>
      </c>
      <c r="H1440" s="88">
        <v>0.00412</v>
      </c>
      <c r="I1440" s="49" t="s">
        <v>15929</v>
      </c>
      <c r="J1440" s="49" t="s">
        <v>15930</v>
      </c>
      <c r="K1440" s="44"/>
      <c r="L1440" s="44"/>
    </row>
    <row r="1441">
      <c r="A1441" s="48" t="s">
        <v>11856</v>
      </c>
      <c r="B1441" s="48"/>
      <c r="C1441" s="64" t="s">
        <v>15931</v>
      </c>
      <c r="D1441" s="48"/>
      <c r="E1441" s="48" t="s">
        <v>12175</v>
      </c>
      <c r="F1441" s="64" t="s">
        <v>822</v>
      </c>
      <c r="G1441" s="60" t="s">
        <v>96</v>
      </c>
      <c r="H1441" s="88">
        <v>0.00408</v>
      </c>
      <c r="I1441" s="49" t="s">
        <v>15932</v>
      </c>
      <c r="J1441" s="49" t="s">
        <v>15933</v>
      </c>
      <c r="K1441" s="44"/>
      <c r="L1441" s="44"/>
    </row>
    <row r="1442">
      <c r="A1442" s="48" t="s">
        <v>10722</v>
      </c>
      <c r="B1442" s="48"/>
      <c r="C1442" s="64" t="s">
        <v>15934</v>
      </c>
      <c r="D1442" s="48"/>
      <c r="E1442" s="48" t="s">
        <v>13574</v>
      </c>
      <c r="F1442" s="64" t="s">
        <v>738</v>
      </c>
      <c r="G1442" s="60" t="s">
        <v>96</v>
      </c>
      <c r="H1442" s="88">
        <v>0.00408</v>
      </c>
      <c r="I1442" s="49" t="s">
        <v>15935</v>
      </c>
      <c r="J1442" s="49" t="s">
        <v>15936</v>
      </c>
      <c r="K1442" s="44"/>
      <c r="L1442" s="44"/>
    </row>
    <row r="1443">
      <c r="A1443" s="48" t="s">
        <v>10774</v>
      </c>
      <c r="B1443" s="48"/>
      <c r="C1443" s="64" t="s">
        <v>15937</v>
      </c>
      <c r="D1443" s="48"/>
      <c r="E1443" s="48" t="s">
        <v>5218</v>
      </c>
      <c r="F1443" s="64" t="s">
        <v>629</v>
      </c>
      <c r="G1443" s="60" t="s">
        <v>96</v>
      </c>
      <c r="H1443" s="88">
        <v>0.00407</v>
      </c>
      <c r="I1443" s="49" t="s">
        <v>15938</v>
      </c>
      <c r="J1443" s="49" t="s">
        <v>15939</v>
      </c>
      <c r="K1443" s="44"/>
      <c r="L1443" s="44"/>
    </row>
    <row r="1444">
      <c r="A1444" s="48" t="s">
        <v>10790</v>
      </c>
      <c r="B1444" s="48"/>
      <c r="C1444" s="48" t="s">
        <v>15940</v>
      </c>
      <c r="D1444" s="48"/>
      <c r="E1444" s="48" t="s">
        <v>11914</v>
      </c>
      <c r="F1444" s="64" t="s">
        <v>1673</v>
      </c>
      <c r="G1444" s="60" t="s">
        <v>96</v>
      </c>
      <c r="H1444" s="88">
        <v>0.00403</v>
      </c>
      <c r="I1444" s="49" t="s">
        <v>15941</v>
      </c>
      <c r="J1444" s="49" t="s">
        <v>15942</v>
      </c>
      <c r="K1444" s="44"/>
      <c r="L1444" s="44"/>
    </row>
    <row r="1445">
      <c r="A1445" s="48" t="s">
        <v>10958</v>
      </c>
      <c r="B1445" s="48"/>
      <c r="C1445" s="48" t="s">
        <v>15943</v>
      </c>
      <c r="D1445" s="48"/>
      <c r="E1445" s="48" t="s">
        <v>12559</v>
      </c>
      <c r="F1445" s="64" t="s">
        <v>883</v>
      </c>
      <c r="G1445" s="60" t="s">
        <v>96</v>
      </c>
      <c r="H1445" s="88">
        <v>0.00402</v>
      </c>
      <c r="I1445" s="49" t="s">
        <v>15944</v>
      </c>
      <c r="J1445" s="49" t="s">
        <v>15945</v>
      </c>
      <c r="K1445" s="44"/>
      <c r="L1445" s="44"/>
    </row>
    <row r="1446">
      <c r="A1446" s="48" t="s">
        <v>6260</v>
      </c>
      <c r="B1446" s="48"/>
      <c r="C1446" s="48" t="s">
        <v>11431</v>
      </c>
      <c r="D1446" s="48"/>
      <c r="E1446" s="48" t="s">
        <v>5288</v>
      </c>
      <c r="F1446" s="64" t="s">
        <v>639</v>
      </c>
      <c r="G1446" s="60" t="s">
        <v>96</v>
      </c>
      <c r="H1446" s="88">
        <v>0.00402</v>
      </c>
      <c r="I1446" s="49" t="s">
        <v>15946</v>
      </c>
      <c r="J1446" s="49" t="s">
        <v>15947</v>
      </c>
      <c r="K1446" s="44"/>
      <c r="L1446" s="44"/>
    </row>
    <row r="1447">
      <c r="A1447" s="48" t="s">
        <v>10724</v>
      </c>
      <c r="B1447" s="48"/>
      <c r="C1447" s="64" t="s">
        <v>15948</v>
      </c>
      <c r="D1447" s="48"/>
      <c r="E1447" s="48" t="s">
        <v>12417</v>
      </c>
      <c r="F1447" s="64" t="s">
        <v>629</v>
      </c>
      <c r="G1447" s="60" t="s">
        <v>96</v>
      </c>
      <c r="H1447" s="88">
        <v>0.00401</v>
      </c>
      <c r="I1447" s="49" t="s">
        <v>15949</v>
      </c>
      <c r="J1447" s="49" t="s">
        <v>15950</v>
      </c>
      <c r="K1447" s="44"/>
      <c r="L1447" s="44"/>
    </row>
    <row r="1448">
      <c r="A1448" s="48" t="s">
        <v>6260</v>
      </c>
      <c r="B1448" s="48"/>
      <c r="C1448" s="48" t="s">
        <v>11887</v>
      </c>
      <c r="D1448" s="48"/>
      <c r="E1448" s="48" t="s">
        <v>5288</v>
      </c>
      <c r="F1448" s="64" t="s">
        <v>639</v>
      </c>
      <c r="G1448" s="60" t="s">
        <v>96</v>
      </c>
      <c r="H1448" s="88">
        <v>0.00398</v>
      </c>
      <c r="I1448" s="49" t="s">
        <v>15951</v>
      </c>
      <c r="J1448" s="49" t="s">
        <v>15952</v>
      </c>
      <c r="K1448" s="44"/>
      <c r="L1448" s="44"/>
    </row>
    <row r="1449">
      <c r="A1449" s="48" t="s">
        <v>10888</v>
      </c>
      <c r="B1449" s="48"/>
      <c r="C1449" s="64" t="s">
        <v>15953</v>
      </c>
      <c r="D1449" s="48"/>
      <c r="E1449" s="48" t="s">
        <v>13357</v>
      </c>
      <c r="F1449" s="64" t="s">
        <v>629</v>
      </c>
      <c r="G1449" s="60" t="s">
        <v>96</v>
      </c>
      <c r="H1449" s="88">
        <v>0.00393</v>
      </c>
      <c r="I1449" s="49" t="s">
        <v>15954</v>
      </c>
      <c r="J1449" s="49" t="s">
        <v>15955</v>
      </c>
      <c r="K1449" s="44"/>
      <c r="L1449" s="44"/>
    </row>
    <row r="1450">
      <c r="A1450" s="48" t="s">
        <v>11890</v>
      </c>
      <c r="B1450" s="48"/>
      <c r="C1450" s="64" t="s">
        <v>15956</v>
      </c>
      <c r="D1450" s="48"/>
      <c r="E1450" s="48" t="s">
        <v>11946</v>
      </c>
      <c r="F1450" s="64" t="s">
        <v>694</v>
      </c>
      <c r="G1450" s="60" t="s">
        <v>96</v>
      </c>
      <c r="H1450" s="88">
        <v>0.00391</v>
      </c>
      <c r="I1450" s="49" t="s">
        <v>15957</v>
      </c>
      <c r="J1450" s="49" t="s">
        <v>15958</v>
      </c>
      <c r="K1450" s="44"/>
      <c r="L1450" s="44"/>
    </row>
    <row r="1451">
      <c r="A1451" s="48" t="s">
        <v>10425</v>
      </c>
      <c r="B1451" s="48"/>
      <c r="C1451" s="64" t="s">
        <v>15959</v>
      </c>
      <c r="D1451" s="48"/>
      <c r="E1451" s="48" t="s">
        <v>13574</v>
      </c>
      <c r="F1451" s="64" t="s">
        <v>738</v>
      </c>
      <c r="G1451" s="60" t="s">
        <v>96</v>
      </c>
      <c r="H1451" s="88">
        <v>0.00388</v>
      </c>
      <c r="I1451" s="49" t="s">
        <v>15960</v>
      </c>
      <c r="J1451" s="49" t="s">
        <v>15961</v>
      </c>
      <c r="K1451" s="44"/>
      <c r="L1451" s="44"/>
    </row>
    <row r="1452">
      <c r="A1452" s="48" t="s">
        <v>11892</v>
      </c>
      <c r="B1452" s="48"/>
      <c r="C1452" s="48" t="s">
        <v>15962</v>
      </c>
      <c r="D1452" s="48"/>
      <c r="E1452" s="48" t="s">
        <v>15246</v>
      </c>
      <c r="F1452" s="64" t="s">
        <v>622</v>
      </c>
      <c r="G1452" s="60" t="s">
        <v>96</v>
      </c>
      <c r="H1452" s="88">
        <v>0.00338</v>
      </c>
      <c r="I1452" s="49" t="s">
        <v>15963</v>
      </c>
      <c r="J1452" s="49" t="s">
        <v>15964</v>
      </c>
      <c r="K1452" s="44"/>
      <c r="L1452" s="44"/>
    </row>
    <row r="1453">
      <c r="A1453" s="48" t="s">
        <v>6260</v>
      </c>
      <c r="B1453" s="48"/>
      <c r="C1453" s="48" t="s">
        <v>11193</v>
      </c>
      <c r="D1453" s="48"/>
      <c r="E1453" s="48" t="s">
        <v>11932</v>
      </c>
      <c r="F1453" s="64" t="s">
        <v>639</v>
      </c>
      <c r="G1453" s="60" t="s">
        <v>96</v>
      </c>
      <c r="H1453" s="88">
        <v>0.0031</v>
      </c>
      <c r="I1453" s="49" t="s">
        <v>15965</v>
      </c>
      <c r="J1453" s="49" t="s">
        <v>15966</v>
      </c>
      <c r="K1453" s="44"/>
      <c r="L1453" s="44"/>
    </row>
    <row r="1454">
      <c r="A1454" s="48" t="s">
        <v>11895</v>
      </c>
      <c r="B1454" s="48"/>
      <c r="C1454" s="64" t="s">
        <v>15967</v>
      </c>
      <c r="D1454" s="48"/>
      <c r="E1454" s="48" t="s">
        <v>12566</v>
      </c>
      <c r="F1454" s="64" t="s">
        <v>629</v>
      </c>
      <c r="G1454" s="60" t="s">
        <v>96</v>
      </c>
      <c r="H1454" s="88">
        <v>0.00285</v>
      </c>
      <c r="I1454" s="49" t="s">
        <v>15968</v>
      </c>
      <c r="J1454" s="49" t="s">
        <v>15969</v>
      </c>
      <c r="K1454" s="44"/>
      <c r="L1454" s="44"/>
    </row>
    <row r="1455">
      <c r="A1455" s="48" t="s">
        <v>11893</v>
      </c>
      <c r="B1455" s="48"/>
      <c r="C1455" s="48" t="s">
        <v>15970</v>
      </c>
      <c r="D1455" s="48"/>
      <c r="E1455" s="48" t="s">
        <v>12417</v>
      </c>
      <c r="F1455" s="64" t="s">
        <v>1740</v>
      </c>
      <c r="G1455" s="60" t="s">
        <v>96</v>
      </c>
      <c r="H1455" s="88">
        <v>0.00274</v>
      </c>
      <c r="I1455" s="49" t="s">
        <v>15971</v>
      </c>
      <c r="J1455" s="49" t="s">
        <v>15972</v>
      </c>
      <c r="K1455" s="44"/>
      <c r="L1455" s="44"/>
    </row>
    <row r="1456">
      <c r="A1456" s="48" t="s">
        <v>6260</v>
      </c>
      <c r="B1456" s="48"/>
      <c r="C1456" s="48" t="s">
        <v>15973</v>
      </c>
      <c r="D1456" s="48"/>
      <c r="E1456" s="48" t="s">
        <v>14922</v>
      </c>
      <c r="F1456" s="64" t="s">
        <v>639</v>
      </c>
      <c r="G1456" s="60" t="s">
        <v>96</v>
      </c>
      <c r="H1456" s="88">
        <v>0.00267</v>
      </c>
      <c r="I1456" s="49" t="s">
        <v>15974</v>
      </c>
      <c r="J1456" s="49" t="s">
        <v>15975</v>
      </c>
      <c r="K1456" s="44"/>
      <c r="L1456" s="44"/>
    </row>
    <row r="1457">
      <c r="A1457" s="48" t="s">
        <v>11098</v>
      </c>
      <c r="B1457" s="48"/>
      <c r="C1457" s="64" t="s">
        <v>15976</v>
      </c>
      <c r="D1457" s="48"/>
      <c r="E1457" s="48" t="s">
        <v>6275</v>
      </c>
      <c r="F1457" s="64" t="s">
        <v>629</v>
      </c>
      <c r="G1457" s="60" t="s">
        <v>96</v>
      </c>
      <c r="H1457" s="88">
        <v>0.00266</v>
      </c>
      <c r="I1457" s="49" t="s">
        <v>15977</v>
      </c>
      <c r="J1457" s="49" t="s">
        <v>15978</v>
      </c>
      <c r="K1457" s="44"/>
      <c r="L1457" s="44"/>
    </row>
    <row r="1458">
      <c r="A1458" s="48" t="s">
        <v>5748</v>
      </c>
      <c r="B1458" s="48"/>
      <c r="C1458" s="64" t="s">
        <v>15979</v>
      </c>
      <c r="D1458" s="48"/>
      <c r="E1458" s="48" t="s">
        <v>12485</v>
      </c>
      <c r="F1458" s="64" t="s">
        <v>2732</v>
      </c>
      <c r="G1458" s="60" t="s">
        <v>96</v>
      </c>
      <c r="H1458" s="88">
        <v>0.0025</v>
      </c>
      <c r="I1458" s="49" t="s">
        <v>15980</v>
      </c>
      <c r="J1458" s="49" t="s">
        <v>15981</v>
      </c>
      <c r="K1458" s="44"/>
      <c r="L1458" s="44"/>
    </row>
    <row r="1459">
      <c r="A1459" s="48" t="s">
        <v>15982</v>
      </c>
      <c r="B1459" s="48"/>
      <c r="C1459" s="48" t="s">
        <v>15983</v>
      </c>
      <c r="D1459" s="48"/>
      <c r="E1459" s="48" t="s">
        <v>14061</v>
      </c>
      <c r="F1459" s="64" t="s">
        <v>649</v>
      </c>
      <c r="G1459" s="60" t="s">
        <v>96</v>
      </c>
      <c r="H1459" s="88">
        <v>0.0021</v>
      </c>
      <c r="I1459" s="49" t="s">
        <v>15984</v>
      </c>
      <c r="J1459" s="49" t="s">
        <v>15985</v>
      </c>
      <c r="K1459" s="44"/>
      <c r="L1459" s="44"/>
    </row>
    <row r="1460">
      <c r="A1460" s="48" t="s">
        <v>10938</v>
      </c>
      <c r="B1460" s="48"/>
      <c r="C1460" s="48" t="s">
        <v>10939</v>
      </c>
      <c r="D1460" s="48"/>
      <c r="E1460" s="48" t="s">
        <v>12072</v>
      </c>
      <c r="F1460" s="64" t="s">
        <v>649</v>
      </c>
      <c r="G1460" s="60" t="s">
        <v>96</v>
      </c>
      <c r="H1460" s="88">
        <v>0.00202</v>
      </c>
      <c r="I1460" s="49" t="s">
        <v>15986</v>
      </c>
      <c r="J1460" s="49" t="s">
        <v>15987</v>
      </c>
      <c r="K1460" s="44"/>
      <c r="L1460" s="44"/>
    </row>
    <row r="1461">
      <c r="A1461" s="48" t="s">
        <v>9927</v>
      </c>
      <c r="B1461" s="48"/>
      <c r="C1461" s="48" t="s">
        <v>15988</v>
      </c>
      <c r="D1461" s="48"/>
      <c r="E1461" s="48" t="s">
        <v>11932</v>
      </c>
      <c r="F1461" s="64" t="s">
        <v>1740</v>
      </c>
      <c r="G1461" s="60" t="s">
        <v>96</v>
      </c>
      <c r="H1461" s="88">
        <v>0.00185</v>
      </c>
      <c r="I1461" s="49" t="s">
        <v>15989</v>
      </c>
      <c r="J1461" s="49" t="s">
        <v>15990</v>
      </c>
      <c r="K1461" s="44"/>
      <c r="L1461" s="44"/>
    </row>
    <row r="1462">
      <c r="A1462" s="48" t="s">
        <v>6260</v>
      </c>
      <c r="B1462" s="48"/>
      <c r="C1462" s="48" t="s">
        <v>11043</v>
      </c>
      <c r="D1462" s="48"/>
      <c r="E1462" s="48" t="s">
        <v>14922</v>
      </c>
      <c r="F1462" s="48" t="s">
        <v>6260</v>
      </c>
      <c r="G1462" s="60" t="s">
        <v>96</v>
      </c>
      <c r="H1462" s="88">
        <v>0.00141</v>
      </c>
      <c r="I1462" s="49" t="s">
        <v>15991</v>
      </c>
      <c r="J1462" s="49" t="s">
        <v>15992</v>
      </c>
      <c r="K1462" s="44"/>
      <c r="L1462" s="44"/>
    </row>
    <row r="1463">
      <c r="A1463" s="48" t="s">
        <v>6260</v>
      </c>
      <c r="B1463" s="48"/>
      <c r="C1463" s="48" t="s">
        <v>11897</v>
      </c>
      <c r="D1463" s="48"/>
      <c r="E1463" s="48" t="s">
        <v>11932</v>
      </c>
      <c r="F1463" s="64" t="s">
        <v>639</v>
      </c>
      <c r="G1463" s="60" t="s">
        <v>96</v>
      </c>
      <c r="H1463" s="88">
        <v>0.00129</v>
      </c>
      <c r="I1463" s="49" t="s">
        <v>15993</v>
      </c>
      <c r="J1463" s="49" t="s">
        <v>15994</v>
      </c>
      <c r="K1463" s="44"/>
      <c r="L1463" s="44"/>
    </row>
    <row r="1464">
      <c r="A1464" s="48" t="s">
        <v>4091</v>
      </c>
      <c r="B1464" s="48"/>
      <c r="C1464" s="64" t="s">
        <v>14732</v>
      </c>
      <c r="D1464" s="48"/>
      <c r="E1464" s="48" t="s">
        <v>12072</v>
      </c>
      <c r="F1464" s="64" t="s">
        <v>694</v>
      </c>
      <c r="G1464" s="60" t="s">
        <v>96</v>
      </c>
      <c r="H1464" s="88">
        <v>0.00128</v>
      </c>
      <c r="I1464" s="49" t="s">
        <v>15995</v>
      </c>
      <c r="J1464" s="49" t="s">
        <v>15996</v>
      </c>
      <c r="K1464" s="44"/>
      <c r="L1464" s="44"/>
    </row>
    <row r="1465">
      <c r="A1465" s="48" t="s">
        <v>4507</v>
      </c>
      <c r="B1465" s="48"/>
      <c r="C1465" s="48" t="s">
        <v>11014</v>
      </c>
      <c r="D1465" s="48"/>
      <c r="E1465" s="48" t="s">
        <v>11932</v>
      </c>
      <c r="F1465" s="64" t="s">
        <v>639</v>
      </c>
      <c r="G1465" s="60" t="s">
        <v>96</v>
      </c>
      <c r="H1465" s="88">
        <v>0.0011</v>
      </c>
      <c r="I1465" s="49" t="s">
        <v>15997</v>
      </c>
      <c r="J1465" s="49" t="s">
        <v>15998</v>
      </c>
      <c r="K1465" s="44"/>
      <c r="L1465" s="44"/>
    </row>
    <row r="1466">
      <c r="A1466" s="48" t="s">
        <v>15999</v>
      </c>
      <c r="B1466" s="48"/>
      <c r="C1466" s="64" t="s">
        <v>14190</v>
      </c>
      <c r="D1466" s="48"/>
      <c r="E1466" s="48" t="s">
        <v>14191</v>
      </c>
      <c r="F1466" s="64" t="s">
        <v>694</v>
      </c>
      <c r="G1466" s="60" t="s">
        <v>96</v>
      </c>
      <c r="H1466" s="88">
        <v>6.1E-4</v>
      </c>
      <c r="I1466" s="49" t="s">
        <v>16000</v>
      </c>
      <c r="J1466" s="49" t="s">
        <v>16001</v>
      </c>
      <c r="K1466" s="44"/>
      <c r="L1466" s="44"/>
    </row>
    <row r="1467">
      <c r="A1467" s="48" t="s">
        <v>6260</v>
      </c>
      <c r="B1467" s="48"/>
      <c r="C1467" s="48" t="s">
        <v>10112</v>
      </c>
      <c r="D1467" s="48"/>
      <c r="E1467" s="48" t="s">
        <v>12014</v>
      </c>
      <c r="F1467" s="64" t="s">
        <v>639</v>
      </c>
      <c r="G1467" s="60" t="s">
        <v>96</v>
      </c>
      <c r="H1467" s="88">
        <v>4.7E-4</v>
      </c>
      <c r="I1467" s="49" t="s">
        <v>16002</v>
      </c>
      <c r="J1467" s="49" t="s">
        <v>16003</v>
      </c>
      <c r="K1467" s="44"/>
      <c r="L1467" s="44"/>
    </row>
    <row r="1468">
      <c r="A1468" s="48" t="s">
        <v>6260</v>
      </c>
      <c r="B1468" s="48"/>
      <c r="C1468" s="48" t="s">
        <v>10112</v>
      </c>
      <c r="D1468" s="48"/>
      <c r="E1468" s="48" t="s">
        <v>12014</v>
      </c>
      <c r="F1468" s="64" t="s">
        <v>639</v>
      </c>
      <c r="G1468" s="60" t="s">
        <v>96</v>
      </c>
      <c r="H1468" s="88">
        <v>4.7E-4</v>
      </c>
      <c r="I1468" s="49" t="s">
        <v>16004</v>
      </c>
      <c r="J1468" s="49" t="s">
        <v>16005</v>
      </c>
      <c r="K1468" s="44"/>
      <c r="L1468" s="44"/>
    </row>
    <row r="1469">
      <c r="A1469" s="48" t="s">
        <v>6260</v>
      </c>
      <c r="B1469" s="48"/>
      <c r="C1469" s="48" t="s">
        <v>16006</v>
      </c>
      <c r="D1469" s="48"/>
      <c r="E1469" s="48" t="s">
        <v>12014</v>
      </c>
      <c r="F1469" s="64" t="s">
        <v>639</v>
      </c>
      <c r="G1469" s="60" t="s">
        <v>96</v>
      </c>
      <c r="H1469" s="88">
        <v>4.1E-4</v>
      </c>
      <c r="I1469" s="49" t="s">
        <v>16007</v>
      </c>
      <c r="J1469" s="49" t="s">
        <v>16008</v>
      </c>
      <c r="K1469" s="44"/>
      <c r="L1469" s="44"/>
    </row>
    <row r="1470">
      <c r="A1470" s="48" t="s">
        <v>6260</v>
      </c>
      <c r="B1470" s="48"/>
      <c r="C1470" s="48" t="s">
        <v>11200</v>
      </c>
      <c r="D1470" s="48"/>
      <c r="E1470" s="48" t="s">
        <v>14922</v>
      </c>
      <c r="F1470" s="64" t="s">
        <v>639</v>
      </c>
      <c r="G1470" s="60" t="s">
        <v>96</v>
      </c>
      <c r="H1470" s="88">
        <v>2.8E-4</v>
      </c>
      <c r="I1470" s="49" t="s">
        <v>16009</v>
      </c>
      <c r="J1470" s="49" t="s">
        <v>16010</v>
      </c>
      <c r="K1470" s="44"/>
      <c r="L1470" s="44"/>
    </row>
    <row r="1471">
      <c r="A1471" s="48" t="s">
        <v>11076</v>
      </c>
      <c r="B1471" s="48"/>
      <c r="C1471" s="48" t="s">
        <v>11043</v>
      </c>
      <c r="D1471" s="48"/>
      <c r="E1471" s="48" t="s">
        <v>14922</v>
      </c>
      <c r="F1471" s="64" t="s">
        <v>639</v>
      </c>
      <c r="G1471" s="60" t="s">
        <v>96</v>
      </c>
      <c r="H1471" s="88">
        <v>1.7E-4</v>
      </c>
      <c r="I1471" s="49" t="s">
        <v>16011</v>
      </c>
      <c r="J1471" s="49" t="s">
        <v>16012</v>
      </c>
      <c r="K1471" s="44"/>
      <c r="L1471" s="44"/>
    </row>
    <row r="1472">
      <c r="A1472" s="48"/>
      <c r="B1472" s="48"/>
      <c r="C1472" s="48"/>
      <c r="D1472" s="48"/>
      <c r="E1472" s="48"/>
      <c r="F1472" s="64"/>
      <c r="G1472" s="89"/>
      <c r="H1472" s="49"/>
      <c r="I1472" s="49"/>
      <c r="J1472" s="49"/>
      <c r="K1472" s="44"/>
      <c r="L1472" s="44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0"/>
    <col customWidth="1" min="2" max="2" width="5.5"/>
    <col customWidth="1" min="3" max="3" width="37.13"/>
    <col customWidth="1" min="4" max="4" width="8.0"/>
    <col customWidth="1" min="5" max="5" width="24.75"/>
    <col customWidth="1" min="6" max="6" width="5.63"/>
    <col customWidth="1" min="7" max="7" width="6.38"/>
    <col customWidth="1" min="8" max="8" width="7.63"/>
    <col customWidth="1" min="9" max="9" width="10.63"/>
    <col customWidth="1" min="10" max="10" width="12.88"/>
    <col customWidth="1" min="11" max="11" width="13.63"/>
  </cols>
  <sheetData>
    <row r="1">
      <c r="A1" s="35" t="s">
        <v>80</v>
      </c>
      <c r="B1" s="35" t="s">
        <v>81</v>
      </c>
      <c r="C1" s="35" t="s">
        <v>82</v>
      </c>
      <c r="D1" s="35" t="s">
        <v>83</v>
      </c>
      <c r="E1" s="35" t="s">
        <v>84</v>
      </c>
      <c r="F1" s="35" t="s">
        <v>85</v>
      </c>
      <c r="G1" s="35" t="s">
        <v>86</v>
      </c>
      <c r="H1" s="37" t="s">
        <v>87</v>
      </c>
      <c r="I1" s="37" t="s">
        <v>88</v>
      </c>
      <c r="J1" s="37" t="s">
        <v>89</v>
      </c>
      <c r="K1" s="35" t="s">
        <v>90</v>
      </c>
      <c r="L1" s="45"/>
      <c r="M1" s="45"/>
      <c r="N1" s="45"/>
      <c r="O1" s="45"/>
      <c r="P1" s="45"/>
      <c r="Q1" s="45"/>
      <c r="R1" s="45"/>
      <c r="S1" s="45"/>
      <c r="T1" s="45"/>
      <c r="U1" s="45"/>
    </row>
    <row r="2">
      <c r="A2" s="79" t="s">
        <v>16013</v>
      </c>
      <c r="B2" s="45"/>
      <c r="C2" s="79" t="s">
        <v>16014</v>
      </c>
      <c r="D2" s="45"/>
      <c r="E2" s="79" t="s">
        <v>5811</v>
      </c>
      <c r="F2" s="79" t="s">
        <v>5300</v>
      </c>
      <c r="G2" s="80" t="s">
        <v>96</v>
      </c>
      <c r="H2" s="90">
        <v>0.0022754</v>
      </c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</row>
    <row r="3">
      <c r="A3" s="79" t="s">
        <v>16015</v>
      </c>
      <c r="B3" s="45"/>
      <c r="C3" s="79" t="s">
        <v>16016</v>
      </c>
      <c r="D3" s="45"/>
      <c r="E3" s="79" t="s">
        <v>5961</v>
      </c>
      <c r="F3" s="79" t="s">
        <v>5300</v>
      </c>
      <c r="G3" s="80" t="s">
        <v>96</v>
      </c>
      <c r="H3" s="90">
        <v>0.0021394</v>
      </c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</row>
    <row r="4">
      <c r="A4" s="79" t="s">
        <v>16017</v>
      </c>
      <c r="B4" s="45"/>
      <c r="C4" s="79" t="s">
        <v>16018</v>
      </c>
      <c r="D4" s="45"/>
      <c r="E4" s="79" t="s">
        <v>5253</v>
      </c>
      <c r="F4" s="79" t="s">
        <v>5300</v>
      </c>
      <c r="G4" s="80" t="s">
        <v>96</v>
      </c>
      <c r="H4" s="90">
        <v>0.001749</v>
      </c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</row>
    <row r="5">
      <c r="A5" s="79" t="s">
        <v>9622</v>
      </c>
      <c r="B5" s="45"/>
      <c r="C5" s="79" t="s">
        <v>9623</v>
      </c>
      <c r="D5" s="45"/>
      <c r="E5" s="79" t="s">
        <v>5961</v>
      </c>
      <c r="F5" s="79" t="s">
        <v>5941</v>
      </c>
      <c r="G5" s="80" t="s">
        <v>96</v>
      </c>
      <c r="H5" s="90">
        <v>0.0017388</v>
      </c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</row>
    <row r="6">
      <c r="A6" s="79" t="s">
        <v>16019</v>
      </c>
      <c r="B6" s="45"/>
      <c r="C6" s="79" t="s">
        <v>16020</v>
      </c>
      <c r="D6" s="45"/>
      <c r="E6" s="79" t="s">
        <v>5735</v>
      </c>
      <c r="F6" s="79" t="s">
        <v>5300</v>
      </c>
      <c r="G6" s="80" t="s">
        <v>96</v>
      </c>
      <c r="H6" s="90">
        <v>0.0017317</v>
      </c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</row>
    <row r="7">
      <c r="A7" s="79" t="s">
        <v>16021</v>
      </c>
      <c r="B7" s="45"/>
      <c r="C7" s="79" t="s">
        <v>16022</v>
      </c>
      <c r="D7" s="45"/>
      <c r="E7" s="79" t="s">
        <v>5276</v>
      </c>
      <c r="F7" s="79" t="s">
        <v>5300</v>
      </c>
      <c r="G7" s="80" t="s">
        <v>96</v>
      </c>
      <c r="H7" s="90">
        <v>0.0016863</v>
      </c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</row>
    <row r="8">
      <c r="A8" s="79" t="s">
        <v>16023</v>
      </c>
      <c r="B8" s="45"/>
      <c r="C8" s="79" t="s">
        <v>16024</v>
      </c>
      <c r="D8" s="45"/>
      <c r="E8" s="79" t="s">
        <v>5407</v>
      </c>
      <c r="F8" s="79" t="s">
        <v>5300</v>
      </c>
      <c r="G8" s="80" t="s">
        <v>96</v>
      </c>
      <c r="H8" s="90">
        <v>0.001644</v>
      </c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</row>
    <row r="9">
      <c r="A9" s="79" t="s">
        <v>16025</v>
      </c>
      <c r="B9" s="45"/>
      <c r="C9" s="79" t="s">
        <v>16026</v>
      </c>
      <c r="D9" s="45"/>
      <c r="E9" s="79" t="s">
        <v>9039</v>
      </c>
      <c r="F9" s="79" t="s">
        <v>5300</v>
      </c>
      <c r="G9" s="80" t="s">
        <v>96</v>
      </c>
      <c r="H9" s="90">
        <v>0.0016404</v>
      </c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</row>
    <row r="10">
      <c r="A10" s="79" t="s">
        <v>16027</v>
      </c>
      <c r="B10" s="45"/>
      <c r="C10" s="79" t="s">
        <v>16028</v>
      </c>
      <c r="D10" s="45"/>
      <c r="E10" s="79" t="s">
        <v>9478</v>
      </c>
      <c r="F10" s="79" t="s">
        <v>5300</v>
      </c>
      <c r="G10" s="80" t="s">
        <v>96</v>
      </c>
      <c r="H10" s="90">
        <v>0.0016097</v>
      </c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</row>
    <row r="11">
      <c r="A11" s="79" t="s">
        <v>4694</v>
      </c>
      <c r="B11" s="45"/>
      <c r="C11" s="79" t="s">
        <v>16029</v>
      </c>
      <c r="D11" s="45"/>
      <c r="E11" s="79" t="s">
        <v>6115</v>
      </c>
      <c r="F11" s="79" t="s">
        <v>5300</v>
      </c>
      <c r="G11" s="80" t="s">
        <v>96</v>
      </c>
      <c r="H11" s="90">
        <v>0.0015769</v>
      </c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</row>
    <row r="12">
      <c r="A12" s="79" t="s">
        <v>16030</v>
      </c>
      <c r="B12" s="45"/>
      <c r="C12" s="79" t="s">
        <v>16031</v>
      </c>
      <c r="D12" s="45"/>
      <c r="E12" s="79" t="s">
        <v>5283</v>
      </c>
      <c r="F12" s="79" t="s">
        <v>5300</v>
      </c>
      <c r="G12" s="80" t="s">
        <v>96</v>
      </c>
      <c r="H12" s="90">
        <v>0.0015679</v>
      </c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</row>
    <row r="13">
      <c r="A13" s="79" t="s">
        <v>16032</v>
      </c>
      <c r="B13" s="45"/>
      <c r="C13" s="79" t="s">
        <v>16033</v>
      </c>
      <c r="D13" s="45"/>
      <c r="E13" s="79" t="s">
        <v>5564</v>
      </c>
      <c r="F13" s="79" t="s">
        <v>5300</v>
      </c>
      <c r="G13" s="80" t="s">
        <v>96</v>
      </c>
      <c r="H13" s="90">
        <v>0.0015455</v>
      </c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</row>
    <row r="14">
      <c r="A14" s="79" t="s">
        <v>16034</v>
      </c>
      <c r="B14" s="45"/>
      <c r="C14" s="79" t="s">
        <v>16035</v>
      </c>
      <c r="D14" s="45"/>
      <c r="E14" s="79" t="s">
        <v>5811</v>
      </c>
      <c r="F14" s="79" t="s">
        <v>5300</v>
      </c>
      <c r="G14" s="80" t="s">
        <v>96</v>
      </c>
      <c r="H14" s="90">
        <v>0.001537</v>
      </c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</row>
    <row r="15">
      <c r="A15" s="79" t="s">
        <v>16036</v>
      </c>
      <c r="B15" s="45"/>
      <c r="C15" s="79" t="s">
        <v>16037</v>
      </c>
      <c r="D15" s="45"/>
      <c r="E15" s="79" t="s">
        <v>5855</v>
      </c>
      <c r="F15" s="79" t="s">
        <v>5300</v>
      </c>
      <c r="G15" s="80" t="s">
        <v>96</v>
      </c>
      <c r="H15" s="90">
        <v>0.0014819</v>
      </c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</row>
    <row r="16">
      <c r="A16" s="79" t="s">
        <v>16038</v>
      </c>
      <c r="B16" s="45"/>
      <c r="C16" s="79" t="s">
        <v>16039</v>
      </c>
      <c r="D16" s="45"/>
      <c r="E16" s="79" t="s">
        <v>5390</v>
      </c>
      <c r="F16" s="79" t="s">
        <v>5300</v>
      </c>
      <c r="G16" s="80" t="s">
        <v>96</v>
      </c>
      <c r="H16" s="90">
        <v>0.0014556</v>
      </c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</row>
    <row r="17">
      <c r="A17" s="79" t="s">
        <v>16040</v>
      </c>
      <c r="B17" s="45"/>
      <c r="C17" s="79" t="s">
        <v>16041</v>
      </c>
      <c r="D17" s="45"/>
      <c r="E17" s="79" t="s">
        <v>5573</v>
      </c>
      <c r="F17" s="79" t="s">
        <v>5300</v>
      </c>
      <c r="G17" s="80" t="s">
        <v>96</v>
      </c>
      <c r="H17" s="90">
        <v>0.0014427</v>
      </c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</row>
    <row r="18">
      <c r="A18" s="79" t="s">
        <v>16042</v>
      </c>
      <c r="B18" s="45"/>
      <c r="C18" s="79" t="s">
        <v>16043</v>
      </c>
      <c r="D18" s="45"/>
      <c r="E18" s="79" t="s">
        <v>5473</v>
      </c>
      <c r="F18" s="79" t="s">
        <v>5300</v>
      </c>
      <c r="G18" s="80" t="s">
        <v>96</v>
      </c>
      <c r="H18" s="90">
        <v>0.0014423</v>
      </c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</row>
    <row r="19">
      <c r="A19" s="79" t="s">
        <v>16044</v>
      </c>
      <c r="B19" s="45"/>
      <c r="C19" s="79" t="s">
        <v>16045</v>
      </c>
      <c r="D19" s="45"/>
      <c r="E19" s="79" t="s">
        <v>5271</v>
      </c>
      <c r="F19" s="79" t="s">
        <v>5300</v>
      </c>
      <c r="G19" s="80" t="s">
        <v>96</v>
      </c>
      <c r="H19" s="90">
        <v>0.0014106</v>
      </c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</row>
    <row r="20">
      <c r="A20" s="79" t="s">
        <v>16046</v>
      </c>
      <c r="B20" s="45"/>
      <c r="C20" s="79" t="s">
        <v>16047</v>
      </c>
      <c r="D20" s="45"/>
      <c r="E20" s="79" t="s">
        <v>5215</v>
      </c>
      <c r="F20" s="79" t="s">
        <v>5300</v>
      </c>
      <c r="G20" s="80" t="s">
        <v>96</v>
      </c>
      <c r="H20" s="90">
        <v>0.0014087</v>
      </c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</row>
    <row r="21">
      <c r="A21" s="79" t="s">
        <v>16048</v>
      </c>
      <c r="B21" s="45"/>
      <c r="C21" s="79" t="s">
        <v>16049</v>
      </c>
      <c r="D21" s="45"/>
      <c r="E21" s="79" t="s">
        <v>7471</v>
      </c>
      <c r="F21" s="79" t="s">
        <v>5300</v>
      </c>
      <c r="G21" s="80" t="s">
        <v>96</v>
      </c>
      <c r="H21" s="90">
        <v>0.0014046</v>
      </c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</row>
    <row r="22">
      <c r="A22" s="79" t="s">
        <v>16050</v>
      </c>
      <c r="B22" s="45"/>
      <c r="C22" s="79" t="s">
        <v>16051</v>
      </c>
      <c r="D22" s="45"/>
      <c r="E22" s="79" t="s">
        <v>5283</v>
      </c>
      <c r="F22" s="79" t="s">
        <v>5300</v>
      </c>
      <c r="G22" s="80" t="s">
        <v>96</v>
      </c>
      <c r="H22" s="90">
        <v>0.001369</v>
      </c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</row>
    <row r="23">
      <c r="A23" s="79" t="s">
        <v>16052</v>
      </c>
      <c r="B23" s="45"/>
      <c r="C23" s="79" t="s">
        <v>16053</v>
      </c>
      <c r="D23" s="45"/>
      <c r="E23" s="79" t="s">
        <v>5238</v>
      </c>
      <c r="F23" s="79" t="s">
        <v>5300</v>
      </c>
      <c r="G23" s="80" t="s">
        <v>96</v>
      </c>
      <c r="H23" s="90">
        <v>0.001367</v>
      </c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</row>
    <row r="24">
      <c r="A24" s="79" t="s">
        <v>4656</v>
      </c>
      <c r="B24" s="45"/>
      <c r="C24" s="79" t="s">
        <v>16054</v>
      </c>
      <c r="D24" s="45"/>
      <c r="E24" s="79" t="s">
        <v>6191</v>
      </c>
      <c r="F24" s="79" t="s">
        <v>5300</v>
      </c>
      <c r="G24" s="80" t="s">
        <v>96</v>
      </c>
      <c r="H24" s="90">
        <v>0.0013625</v>
      </c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</row>
    <row r="25">
      <c r="A25" s="79" t="s">
        <v>4687</v>
      </c>
      <c r="B25" s="45"/>
      <c r="C25" s="79" t="s">
        <v>16055</v>
      </c>
      <c r="D25" s="45"/>
      <c r="E25" s="79" t="s">
        <v>5431</v>
      </c>
      <c r="F25" s="79" t="s">
        <v>6210</v>
      </c>
      <c r="G25" s="80" t="s">
        <v>96</v>
      </c>
      <c r="H25" s="90">
        <v>0.0013373</v>
      </c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</row>
    <row r="26">
      <c r="A26" s="79" t="s">
        <v>16056</v>
      </c>
      <c r="B26" s="45"/>
      <c r="C26" s="79" t="s">
        <v>16057</v>
      </c>
      <c r="D26" s="45"/>
      <c r="E26" s="79" t="s">
        <v>9144</v>
      </c>
      <c r="F26" s="79" t="s">
        <v>5300</v>
      </c>
      <c r="G26" s="80" t="s">
        <v>96</v>
      </c>
      <c r="H26" s="90">
        <v>0.0013214</v>
      </c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</row>
    <row r="27">
      <c r="A27" s="79" t="s">
        <v>4485</v>
      </c>
      <c r="B27" s="45"/>
      <c r="C27" s="79" t="s">
        <v>16058</v>
      </c>
      <c r="D27" s="45"/>
      <c r="E27" s="79" t="s">
        <v>6389</v>
      </c>
      <c r="F27" s="79" t="s">
        <v>5425</v>
      </c>
      <c r="G27" s="80" t="s">
        <v>96</v>
      </c>
      <c r="H27" s="90">
        <v>0.0013209</v>
      </c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</row>
    <row r="28">
      <c r="A28" s="79" t="s">
        <v>16059</v>
      </c>
      <c r="B28" s="45"/>
      <c r="C28" s="79" t="s">
        <v>16060</v>
      </c>
      <c r="D28" s="45"/>
      <c r="E28" s="79" t="s">
        <v>5407</v>
      </c>
      <c r="F28" s="79" t="s">
        <v>5300</v>
      </c>
      <c r="G28" s="80" t="s">
        <v>96</v>
      </c>
      <c r="H28" s="90">
        <v>0.0013078</v>
      </c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</row>
    <row r="29">
      <c r="A29" s="79" t="s">
        <v>5595</v>
      </c>
      <c r="B29" s="45"/>
      <c r="C29" s="79" t="s">
        <v>16061</v>
      </c>
      <c r="D29" s="45"/>
      <c r="E29" s="79" t="s">
        <v>5267</v>
      </c>
      <c r="F29" s="79" t="s">
        <v>5300</v>
      </c>
      <c r="G29" s="80" t="s">
        <v>96</v>
      </c>
      <c r="H29" s="90">
        <v>0.001303</v>
      </c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</row>
    <row r="30">
      <c r="A30" s="79" t="s">
        <v>16062</v>
      </c>
      <c r="B30" s="45"/>
      <c r="C30" s="79" t="s">
        <v>16063</v>
      </c>
      <c r="D30" s="45"/>
      <c r="E30" s="79" t="s">
        <v>5238</v>
      </c>
      <c r="F30" s="79" t="s">
        <v>5300</v>
      </c>
      <c r="G30" s="80" t="s">
        <v>96</v>
      </c>
      <c r="H30" s="90">
        <v>0.0013015</v>
      </c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</row>
    <row r="31">
      <c r="A31" s="79" t="s">
        <v>16064</v>
      </c>
      <c r="B31" s="45"/>
      <c r="C31" s="79" t="s">
        <v>16065</v>
      </c>
      <c r="D31" s="45"/>
      <c r="E31" s="79" t="s">
        <v>5377</v>
      </c>
      <c r="F31" s="79" t="s">
        <v>5300</v>
      </c>
      <c r="G31" s="80" t="s">
        <v>96</v>
      </c>
      <c r="H31" s="90">
        <v>0.0013001</v>
      </c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</row>
    <row r="32">
      <c r="A32" s="79" t="s">
        <v>16066</v>
      </c>
      <c r="B32" s="45"/>
      <c r="C32" s="79" t="s">
        <v>16067</v>
      </c>
      <c r="D32" s="45"/>
      <c r="E32" s="79" t="s">
        <v>5578</v>
      </c>
      <c r="F32" s="79" t="s">
        <v>5300</v>
      </c>
      <c r="G32" s="80" t="s">
        <v>96</v>
      </c>
      <c r="H32" s="90">
        <v>0.0012967</v>
      </c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</row>
    <row r="33">
      <c r="A33" s="79" t="s">
        <v>9733</v>
      </c>
      <c r="B33" s="45"/>
      <c r="C33" s="79" t="s">
        <v>9734</v>
      </c>
      <c r="D33" s="45"/>
      <c r="E33" s="79" t="s">
        <v>5650</v>
      </c>
      <c r="F33" s="79" t="s">
        <v>6988</v>
      </c>
      <c r="G33" s="80" t="s">
        <v>96</v>
      </c>
      <c r="H33" s="90">
        <v>0.0012897</v>
      </c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</row>
    <row r="34">
      <c r="A34" s="79" t="s">
        <v>16068</v>
      </c>
      <c r="B34" s="45"/>
      <c r="C34" s="79" t="s">
        <v>16069</v>
      </c>
      <c r="D34" s="45"/>
      <c r="E34" s="79" t="s">
        <v>5232</v>
      </c>
      <c r="F34" s="79" t="s">
        <v>5300</v>
      </c>
      <c r="G34" s="80" t="s">
        <v>96</v>
      </c>
      <c r="H34" s="90">
        <v>0.0012709</v>
      </c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</row>
    <row r="35">
      <c r="A35" s="79" t="s">
        <v>9835</v>
      </c>
      <c r="B35" s="45"/>
      <c r="C35" s="79" t="s">
        <v>9836</v>
      </c>
      <c r="D35" s="45"/>
      <c r="E35" s="79" t="s">
        <v>9144</v>
      </c>
      <c r="F35" s="79" t="s">
        <v>6210</v>
      </c>
      <c r="G35" s="80" t="s">
        <v>96</v>
      </c>
      <c r="H35" s="90">
        <v>0.0012647</v>
      </c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</row>
    <row r="36">
      <c r="A36" s="79" t="s">
        <v>10011</v>
      </c>
      <c r="B36" s="45"/>
      <c r="C36" s="79" t="s">
        <v>10012</v>
      </c>
      <c r="D36" s="45"/>
      <c r="E36" s="79" t="s">
        <v>5501</v>
      </c>
      <c r="F36" s="79" t="s">
        <v>5300</v>
      </c>
      <c r="G36" s="80" t="s">
        <v>96</v>
      </c>
      <c r="H36" s="90">
        <v>0.0012616</v>
      </c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</row>
    <row r="37">
      <c r="A37" s="79" t="s">
        <v>16070</v>
      </c>
      <c r="B37" s="45"/>
      <c r="C37" s="79" t="s">
        <v>16071</v>
      </c>
      <c r="D37" s="45"/>
      <c r="E37" s="79" t="s">
        <v>5215</v>
      </c>
      <c r="F37" s="79" t="s">
        <v>5300</v>
      </c>
      <c r="G37" s="80" t="s">
        <v>96</v>
      </c>
      <c r="H37" s="90">
        <v>0.0012584</v>
      </c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</row>
    <row r="38">
      <c r="A38" s="79" t="s">
        <v>16072</v>
      </c>
      <c r="B38" s="45"/>
      <c r="C38" s="79" t="s">
        <v>16073</v>
      </c>
      <c r="D38" s="45"/>
      <c r="E38" s="79" t="s">
        <v>5564</v>
      </c>
      <c r="F38" s="79" t="s">
        <v>5300</v>
      </c>
      <c r="G38" s="80" t="s">
        <v>96</v>
      </c>
      <c r="H38" s="90">
        <v>0.0012471</v>
      </c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</row>
    <row r="39">
      <c r="A39" s="79" t="s">
        <v>16074</v>
      </c>
      <c r="B39" s="45"/>
      <c r="C39" s="79" t="s">
        <v>16075</v>
      </c>
      <c r="D39" s="45"/>
      <c r="E39" s="79" t="s">
        <v>5675</v>
      </c>
      <c r="F39" s="79" t="s">
        <v>5300</v>
      </c>
      <c r="G39" s="80" t="s">
        <v>96</v>
      </c>
      <c r="H39" s="90">
        <v>0.0012415</v>
      </c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</row>
    <row r="40">
      <c r="A40" s="79" t="s">
        <v>16076</v>
      </c>
      <c r="B40" s="45"/>
      <c r="C40" s="79" t="s">
        <v>16077</v>
      </c>
      <c r="D40" s="45"/>
      <c r="E40" s="79" t="s">
        <v>5434</v>
      </c>
      <c r="F40" s="79" t="s">
        <v>5300</v>
      </c>
      <c r="G40" s="80" t="s">
        <v>96</v>
      </c>
      <c r="H40" s="90">
        <v>0.0012415</v>
      </c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</row>
    <row r="41">
      <c r="A41" s="79" t="s">
        <v>16078</v>
      </c>
      <c r="B41" s="45"/>
      <c r="C41" s="79" t="s">
        <v>16079</v>
      </c>
      <c r="D41" s="45"/>
      <c r="E41" s="79" t="s">
        <v>5229</v>
      </c>
      <c r="F41" s="79" t="s">
        <v>5300</v>
      </c>
      <c r="G41" s="80" t="s">
        <v>96</v>
      </c>
      <c r="H41" s="90">
        <v>0.001241</v>
      </c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</row>
    <row r="42">
      <c r="A42" s="79" t="s">
        <v>16080</v>
      </c>
      <c r="B42" s="45"/>
      <c r="C42" s="79" t="s">
        <v>16081</v>
      </c>
      <c r="D42" s="45"/>
      <c r="E42" s="79" t="s">
        <v>8480</v>
      </c>
      <c r="F42" s="79" t="s">
        <v>5300</v>
      </c>
      <c r="G42" s="80" t="s">
        <v>96</v>
      </c>
      <c r="H42" s="90">
        <v>0.0012308</v>
      </c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</row>
    <row r="43">
      <c r="A43" s="79" t="s">
        <v>16082</v>
      </c>
      <c r="B43" s="45"/>
      <c r="C43" s="79" t="s">
        <v>16083</v>
      </c>
      <c r="D43" s="45"/>
      <c r="E43" s="79" t="s">
        <v>5478</v>
      </c>
      <c r="F43" s="79" t="s">
        <v>5300</v>
      </c>
      <c r="G43" s="80" t="s">
        <v>96</v>
      </c>
      <c r="H43" s="90">
        <v>0.001229</v>
      </c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</row>
    <row r="44">
      <c r="A44" s="79" t="s">
        <v>16084</v>
      </c>
      <c r="B44" s="45"/>
      <c r="C44" s="79" t="s">
        <v>16085</v>
      </c>
      <c r="D44" s="45"/>
      <c r="E44" s="79" t="s">
        <v>5382</v>
      </c>
      <c r="F44" s="79" t="s">
        <v>5300</v>
      </c>
      <c r="G44" s="80" t="s">
        <v>96</v>
      </c>
      <c r="H44" s="90">
        <v>0.001228</v>
      </c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</row>
    <row r="45">
      <c r="A45" s="79" t="s">
        <v>16086</v>
      </c>
      <c r="B45" s="45"/>
      <c r="C45" s="79" t="s">
        <v>16087</v>
      </c>
      <c r="D45" s="45"/>
      <c r="E45" s="79" t="s">
        <v>9189</v>
      </c>
      <c r="F45" s="79" t="s">
        <v>5300</v>
      </c>
      <c r="G45" s="80" t="s">
        <v>96</v>
      </c>
      <c r="H45" s="90">
        <v>0.0012224</v>
      </c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</row>
    <row r="46">
      <c r="A46" s="79" t="s">
        <v>8837</v>
      </c>
      <c r="B46" s="45"/>
      <c r="C46" s="79" t="s">
        <v>9849</v>
      </c>
      <c r="D46" s="45"/>
      <c r="E46" s="79" t="s">
        <v>5501</v>
      </c>
      <c r="F46" s="79" t="s">
        <v>5300</v>
      </c>
      <c r="G46" s="80" t="s">
        <v>96</v>
      </c>
      <c r="H46" s="90">
        <v>0.0012206</v>
      </c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</row>
    <row r="47">
      <c r="A47" s="79" t="s">
        <v>16088</v>
      </c>
      <c r="B47" s="45"/>
      <c r="C47" s="79" t="s">
        <v>16089</v>
      </c>
      <c r="D47" s="45"/>
      <c r="E47" s="79" t="s">
        <v>5811</v>
      </c>
      <c r="F47" s="79" t="s">
        <v>5300</v>
      </c>
      <c r="G47" s="80" t="s">
        <v>96</v>
      </c>
      <c r="H47" s="90">
        <v>0.0012199</v>
      </c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</row>
    <row r="48">
      <c r="A48" s="79" t="s">
        <v>16090</v>
      </c>
      <c r="B48" s="45"/>
      <c r="C48" s="79" t="s">
        <v>16091</v>
      </c>
      <c r="D48" s="45"/>
      <c r="E48" s="79" t="s">
        <v>5855</v>
      </c>
      <c r="F48" s="79" t="s">
        <v>5268</v>
      </c>
      <c r="G48" s="80" t="s">
        <v>96</v>
      </c>
      <c r="H48" s="90">
        <v>0.0012185</v>
      </c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</row>
    <row r="49">
      <c r="A49" s="79" t="s">
        <v>16092</v>
      </c>
      <c r="B49" s="45"/>
      <c r="C49" s="79" t="s">
        <v>16093</v>
      </c>
      <c r="D49" s="45"/>
      <c r="E49" s="79" t="s">
        <v>5407</v>
      </c>
      <c r="F49" s="79" t="s">
        <v>5300</v>
      </c>
      <c r="G49" s="80" t="s">
        <v>96</v>
      </c>
      <c r="H49" s="90">
        <v>0.0012045</v>
      </c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</row>
    <row r="50">
      <c r="A50" s="79" t="s">
        <v>16094</v>
      </c>
      <c r="B50" s="45"/>
      <c r="C50" s="79" t="s">
        <v>16095</v>
      </c>
      <c r="D50" s="45"/>
      <c r="E50" s="79" t="s">
        <v>5564</v>
      </c>
      <c r="F50" s="79" t="s">
        <v>5300</v>
      </c>
      <c r="G50" s="80" t="s">
        <v>96</v>
      </c>
      <c r="H50" s="90">
        <v>0.0012037</v>
      </c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</row>
    <row r="51">
      <c r="A51" s="79" t="s">
        <v>16096</v>
      </c>
      <c r="B51" s="45"/>
      <c r="C51" s="79" t="s">
        <v>16097</v>
      </c>
      <c r="D51" s="45"/>
      <c r="E51" s="79" t="s">
        <v>5283</v>
      </c>
      <c r="F51" s="79" t="s">
        <v>5300</v>
      </c>
      <c r="G51" s="80" t="s">
        <v>96</v>
      </c>
      <c r="H51" s="90">
        <v>0.0011899</v>
      </c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</row>
    <row r="52">
      <c r="A52" s="79" t="s">
        <v>16098</v>
      </c>
      <c r="B52" s="45"/>
      <c r="C52" s="79" t="s">
        <v>16099</v>
      </c>
      <c r="D52" s="45"/>
      <c r="E52" s="79" t="s">
        <v>6475</v>
      </c>
      <c r="F52" s="79" t="s">
        <v>5300</v>
      </c>
      <c r="G52" s="80" t="s">
        <v>96</v>
      </c>
      <c r="H52" s="90">
        <v>0.0011899</v>
      </c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</row>
    <row r="53">
      <c r="A53" s="79" t="s">
        <v>16100</v>
      </c>
      <c r="B53" s="45"/>
      <c r="C53" s="79" t="s">
        <v>16101</v>
      </c>
      <c r="D53" s="45"/>
      <c r="E53" s="79" t="s">
        <v>5264</v>
      </c>
      <c r="F53" s="79" t="s">
        <v>5300</v>
      </c>
      <c r="G53" s="80" t="s">
        <v>96</v>
      </c>
      <c r="H53" s="90">
        <v>0.001188</v>
      </c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</row>
    <row r="54">
      <c r="A54" s="79" t="s">
        <v>16102</v>
      </c>
      <c r="B54" s="45"/>
      <c r="C54" s="79" t="s">
        <v>16103</v>
      </c>
      <c r="D54" s="45"/>
      <c r="E54" s="79" t="s">
        <v>5261</v>
      </c>
      <c r="F54" s="79" t="s">
        <v>5300</v>
      </c>
      <c r="G54" s="80" t="s">
        <v>96</v>
      </c>
      <c r="H54" s="90">
        <v>0.001188</v>
      </c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</row>
    <row r="55">
      <c r="A55" s="79" t="s">
        <v>16104</v>
      </c>
      <c r="B55" s="45"/>
      <c r="C55" s="79" t="s">
        <v>16105</v>
      </c>
      <c r="D55" s="45"/>
      <c r="E55" s="79" t="s">
        <v>6389</v>
      </c>
      <c r="F55" s="79" t="s">
        <v>5300</v>
      </c>
      <c r="G55" s="80" t="s">
        <v>96</v>
      </c>
      <c r="H55" s="90">
        <v>0.0011817</v>
      </c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</row>
    <row r="56">
      <c r="A56" s="79" t="s">
        <v>16106</v>
      </c>
      <c r="B56" s="45"/>
      <c r="C56" s="79" t="s">
        <v>16107</v>
      </c>
      <c r="D56" s="45"/>
      <c r="E56" s="79" t="s">
        <v>7248</v>
      </c>
      <c r="F56" s="79" t="s">
        <v>5425</v>
      </c>
      <c r="G56" s="80" t="s">
        <v>96</v>
      </c>
      <c r="H56" s="90">
        <v>0.0011808</v>
      </c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</row>
    <row r="57">
      <c r="A57" s="79" t="s">
        <v>16108</v>
      </c>
      <c r="B57" s="45"/>
      <c r="C57" s="79" t="s">
        <v>16109</v>
      </c>
      <c r="D57" s="45"/>
      <c r="E57" s="79" t="s">
        <v>5445</v>
      </c>
      <c r="F57" s="79" t="s">
        <v>5300</v>
      </c>
      <c r="G57" s="80" t="s">
        <v>96</v>
      </c>
      <c r="H57" s="90">
        <v>0.0011724</v>
      </c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</row>
    <row r="58">
      <c r="A58" s="79" t="s">
        <v>16110</v>
      </c>
      <c r="B58" s="45"/>
      <c r="C58" s="79" t="s">
        <v>16111</v>
      </c>
      <c r="D58" s="45"/>
      <c r="E58" s="79" t="s">
        <v>5374</v>
      </c>
      <c r="F58" s="79" t="s">
        <v>5300</v>
      </c>
      <c r="G58" s="80" t="s">
        <v>96</v>
      </c>
      <c r="H58" s="90">
        <v>0.0011709</v>
      </c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</row>
    <row r="59">
      <c r="A59" s="79" t="s">
        <v>16112</v>
      </c>
      <c r="B59" s="45"/>
      <c r="C59" s="79" t="s">
        <v>16113</v>
      </c>
      <c r="D59" s="45"/>
      <c r="E59" s="79" t="s">
        <v>5374</v>
      </c>
      <c r="F59" s="79" t="s">
        <v>5300</v>
      </c>
      <c r="G59" s="80" t="s">
        <v>96</v>
      </c>
      <c r="H59" s="90">
        <v>0.0011708</v>
      </c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</row>
    <row r="60">
      <c r="A60" s="79" t="s">
        <v>16114</v>
      </c>
      <c r="B60" s="45"/>
      <c r="C60" s="79" t="s">
        <v>16115</v>
      </c>
      <c r="D60" s="45"/>
      <c r="E60" s="79" t="s">
        <v>5453</v>
      </c>
      <c r="F60" s="79" t="s">
        <v>5300</v>
      </c>
      <c r="G60" s="80" t="s">
        <v>96</v>
      </c>
      <c r="H60" s="90">
        <v>0.001163</v>
      </c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</row>
    <row r="61">
      <c r="A61" s="79" t="s">
        <v>16116</v>
      </c>
      <c r="B61" s="45"/>
      <c r="C61" s="79" t="s">
        <v>16117</v>
      </c>
      <c r="D61" s="45"/>
      <c r="E61" s="79" t="s">
        <v>5264</v>
      </c>
      <c r="F61" s="79" t="s">
        <v>5300</v>
      </c>
      <c r="G61" s="80" t="s">
        <v>96</v>
      </c>
      <c r="H61" s="90">
        <v>0.0011546</v>
      </c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</row>
    <row r="62">
      <c r="A62" s="79" t="s">
        <v>16118</v>
      </c>
      <c r="B62" s="45"/>
      <c r="C62" s="79" t="s">
        <v>16119</v>
      </c>
      <c r="D62" s="45"/>
      <c r="E62" s="79" t="s">
        <v>5855</v>
      </c>
      <c r="F62" s="79" t="s">
        <v>5300</v>
      </c>
      <c r="G62" s="80" t="s">
        <v>96</v>
      </c>
      <c r="H62" s="90">
        <v>0.0011376</v>
      </c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</row>
    <row r="63">
      <c r="A63" s="79" t="s">
        <v>16120</v>
      </c>
      <c r="B63" s="45"/>
      <c r="C63" s="79" t="s">
        <v>16121</v>
      </c>
      <c r="D63" s="45"/>
      <c r="E63" s="79" t="s">
        <v>5226</v>
      </c>
      <c r="F63" s="79" t="s">
        <v>5300</v>
      </c>
      <c r="G63" s="80" t="s">
        <v>96</v>
      </c>
      <c r="H63" s="90">
        <v>0.0011347</v>
      </c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</row>
    <row r="64">
      <c r="A64" s="79" t="s">
        <v>16122</v>
      </c>
      <c r="B64" s="45"/>
      <c r="C64" s="79" t="s">
        <v>16123</v>
      </c>
      <c r="D64" s="45"/>
      <c r="E64" s="79" t="s">
        <v>5377</v>
      </c>
      <c r="F64" s="79" t="s">
        <v>5836</v>
      </c>
      <c r="G64" s="80" t="s">
        <v>96</v>
      </c>
      <c r="H64" s="90">
        <v>0.001134</v>
      </c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</row>
    <row r="65">
      <c r="A65" s="79" t="s">
        <v>16124</v>
      </c>
      <c r="B65" s="45"/>
      <c r="C65" s="79" t="s">
        <v>16125</v>
      </c>
      <c r="D65" s="45"/>
      <c r="E65" s="79" t="s">
        <v>5253</v>
      </c>
      <c r="F65" s="79" t="s">
        <v>5300</v>
      </c>
      <c r="G65" s="80" t="s">
        <v>96</v>
      </c>
      <c r="H65" s="90">
        <v>0.001133</v>
      </c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</row>
    <row r="66">
      <c r="A66" s="79" t="s">
        <v>16126</v>
      </c>
      <c r="B66" s="45"/>
      <c r="C66" s="79" t="s">
        <v>16127</v>
      </c>
      <c r="D66" s="45"/>
      <c r="E66" s="79" t="s">
        <v>9039</v>
      </c>
      <c r="F66" s="79" t="s">
        <v>5300</v>
      </c>
      <c r="G66" s="80" t="s">
        <v>96</v>
      </c>
      <c r="H66" s="90">
        <v>0.0011273</v>
      </c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</row>
    <row r="67">
      <c r="A67" s="79" t="s">
        <v>16128</v>
      </c>
      <c r="B67" s="45"/>
      <c r="C67" s="79" t="s">
        <v>16129</v>
      </c>
      <c r="D67" s="45"/>
      <c r="E67" s="79" t="s">
        <v>5855</v>
      </c>
      <c r="F67" s="79" t="s">
        <v>5300</v>
      </c>
      <c r="G67" s="80" t="s">
        <v>96</v>
      </c>
      <c r="H67" s="90">
        <v>0.0011237</v>
      </c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</row>
    <row r="68">
      <c r="A68" s="79" t="s">
        <v>16130</v>
      </c>
      <c r="B68" s="45"/>
      <c r="C68" s="79" t="s">
        <v>16131</v>
      </c>
      <c r="D68" s="45"/>
      <c r="E68" s="79" t="s">
        <v>5811</v>
      </c>
      <c r="F68" s="79" t="s">
        <v>5300</v>
      </c>
      <c r="G68" s="80" t="s">
        <v>96</v>
      </c>
      <c r="H68" s="90">
        <v>0.0011234</v>
      </c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</row>
    <row r="69">
      <c r="A69" s="79" t="s">
        <v>16132</v>
      </c>
      <c r="B69" s="45"/>
      <c r="C69" s="79" t="s">
        <v>16133</v>
      </c>
      <c r="D69" s="45"/>
      <c r="E69" s="79" t="s">
        <v>5735</v>
      </c>
      <c r="F69" s="79" t="s">
        <v>5300</v>
      </c>
      <c r="G69" s="80" t="s">
        <v>96</v>
      </c>
      <c r="H69" s="90">
        <v>0.0011195</v>
      </c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</row>
    <row r="70">
      <c r="A70" s="79" t="s">
        <v>16134</v>
      </c>
      <c r="B70" s="45"/>
      <c r="C70" s="79" t="s">
        <v>16135</v>
      </c>
      <c r="D70" s="45"/>
      <c r="E70" s="79" t="s">
        <v>5348</v>
      </c>
      <c r="F70" s="79" t="s">
        <v>5300</v>
      </c>
      <c r="G70" s="80" t="s">
        <v>96</v>
      </c>
      <c r="H70" s="90">
        <v>0.0011182</v>
      </c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</row>
    <row r="71">
      <c r="A71" s="79" t="s">
        <v>16136</v>
      </c>
      <c r="B71" s="45"/>
      <c r="C71" s="79" t="s">
        <v>16137</v>
      </c>
      <c r="D71" s="45"/>
      <c r="E71" s="79" t="s">
        <v>5258</v>
      </c>
      <c r="F71" s="79" t="s">
        <v>5300</v>
      </c>
      <c r="G71" s="80" t="s">
        <v>96</v>
      </c>
      <c r="H71" s="90">
        <v>0.0011138</v>
      </c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</row>
    <row r="72">
      <c r="A72" s="79" t="s">
        <v>16138</v>
      </c>
      <c r="B72" s="45"/>
      <c r="C72" s="79" t="s">
        <v>16139</v>
      </c>
      <c r="D72" s="45"/>
      <c r="E72" s="79" t="s">
        <v>7248</v>
      </c>
      <c r="F72" s="79" t="s">
        <v>5300</v>
      </c>
      <c r="G72" s="80" t="s">
        <v>96</v>
      </c>
      <c r="H72" s="90">
        <v>0.0011138</v>
      </c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</row>
    <row r="73">
      <c r="A73" s="79" t="s">
        <v>16140</v>
      </c>
      <c r="B73" s="45"/>
      <c r="C73" s="79" t="s">
        <v>16141</v>
      </c>
      <c r="D73" s="45"/>
      <c r="E73" s="79" t="s">
        <v>5267</v>
      </c>
      <c r="F73" s="79" t="s">
        <v>5300</v>
      </c>
      <c r="G73" s="80" t="s">
        <v>96</v>
      </c>
      <c r="H73" s="90">
        <v>0.0011135</v>
      </c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</row>
    <row r="74">
      <c r="A74" s="79" t="s">
        <v>16142</v>
      </c>
      <c r="B74" s="45"/>
      <c r="C74" s="79" t="s">
        <v>16143</v>
      </c>
      <c r="D74" s="45"/>
      <c r="E74" s="79" t="s">
        <v>5264</v>
      </c>
      <c r="F74" s="79" t="s">
        <v>5300</v>
      </c>
      <c r="G74" s="80" t="s">
        <v>96</v>
      </c>
      <c r="H74" s="90">
        <v>0.0011075</v>
      </c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</row>
    <row r="75">
      <c r="A75" s="79" t="s">
        <v>16144</v>
      </c>
      <c r="B75" s="45"/>
      <c r="C75" s="79" t="s">
        <v>16145</v>
      </c>
      <c r="D75" s="45"/>
      <c r="E75" s="79" t="s">
        <v>5241</v>
      </c>
      <c r="F75" s="79" t="s">
        <v>5300</v>
      </c>
      <c r="G75" s="80" t="s">
        <v>96</v>
      </c>
      <c r="H75" s="90">
        <v>0.0011074</v>
      </c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</row>
    <row r="76">
      <c r="A76" s="79" t="s">
        <v>16146</v>
      </c>
      <c r="B76" s="45"/>
      <c r="C76" s="79" t="s">
        <v>16147</v>
      </c>
      <c r="D76" s="45"/>
      <c r="E76" s="79" t="s">
        <v>6130</v>
      </c>
      <c r="F76" s="79" t="s">
        <v>5300</v>
      </c>
      <c r="G76" s="80" t="s">
        <v>96</v>
      </c>
      <c r="H76" s="90">
        <v>0.0010981</v>
      </c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</row>
    <row r="77">
      <c r="A77" s="79" t="s">
        <v>5364</v>
      </c>
      <c r="B77" s="45"/>
      <c r="C77" s="79" t="s">
        <v>16148</v>
      </c>
      <c r="D77" s="45"/>
      <c r="E77" s="79" t="s">
        <v>5261</v>
      </c>
      <c r="F77" s="79" t="s">
        <v>5300</v>
      </c>
      <c r="G77" s="80" t="s">
        <v>96</v>
      </c>
      <c r="H77" s="90">
        <v>0.001091</v>
      </c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</row>
    <row r="78">
      <c r="A78" s="79" t="s">
        <v>16149</v>
      </c>
      <c r="B78" s="45"/>
      <c r="C78" s="79" t="s">
        <v>16150</v>
      </c>
      <c r="D78" s="45"/>
      <c r="E78" s="79" t="s">
        <v>5366</v>
      </c>
      <c r="F78" s="79" t="s">
        <v>5300</v>
      </c>
      <c r="G78" s="80" t="s">
        <v>96</v>
      </c>
      <c r="H78" s="90">
        <v>0.0010906</v>
      </c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</row>
    <row r="79">
      <c r="A79" s="79" t="s">
        <v>5747</v>
      </c>
      <c r="B79" s="45"/>
      <c r="C79" s="79" t="s">
        <v>16151</v>
      </c>
      <c r="D79" s="45"/>
      <c r="E79" s="79" t="s">
        <v>5564</v>
      </c>
      <c r="F79" s="79" t="s">
        <v>5300</v>
      </c>
      <c r="G79" s="80" t="s">
        <v>96</v>
      </c>
      <c r="H79" s="90">
        <v>0.0010904</v>
      </c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</row>
    <row r="80">
      <c r="A80" s="79" t="s">
        <v>16152</v>
      </c>
      <c r="B80" s="45"/>
      <c r="C80" s="79" t="s">
        <v>16153</v>
      </c>
      <c r="D80" s="45"/>
      <c r="E80" s="79" t="s">
        <v>5775</v>
      </c>
      <c r="F80" s="79" t="s">
        <v>5300</v>
      </c>
      <c r="G80" s="80" t="s">
        <v>96</v>
      </c>
      <c r="H80" s="90">
        <v>0.0010893</v>
      </c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</row>
    <row r="81">
      <c r="A81" s="79" t="s">
        <v>16154</v>
      </c>
      <c r="B81" s="45"/>
      <c r="C81" s="79" t="s">
        <v>16155</v>
      </c>
      <c r="D81" s="45"/>
      <c r="E81" s="79" t="s">
        <v>5271</v>
      </c>
      <c r="F81" s="79" t="s">
        <v>5300</v>
      </c>
      <c r="G81" s="80" t="s">
        <v>96</v>
      </c>
      <c r="H81" s="90">
        <v>0.001087</v>
      </c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</row>
    <row r="82">
      <c r="A82" s="79" t="s">
        <v>16156</v>
      </c>
      <c r="B82" s="45"/>
      <c r="C82" s="79" t="s">
        <v>16157</v>
      </c>
      <c r="D82" s="45"/>
      <c r="E82" s="79" t="s">
        <v>6266</v>
      </c>
      <c r="F82" s="79" t="s">
        <v>5300</v>
      </c>
      <c r="G82" s="80" t="s">
        <v>96</v>
      </c>
      <c r="H82" s="90">
        <v>0.0010807</v>
      </c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</row>
    <row r="83">
      <c r="A83" s="79" t="s">
        <v>16158</v>
      </c>
      <c r="B83" s="45"/>
      <c r="C83" s="79" t="s">
        <v>16159</v>
      </c>
      <c r="D83" s="45"/>
      <c r="E83" s="79" t="s">
        <v>6130</v>
      </c>
      <c r="F83" s="79" t="s">
        <v>5300</v>
      </c>
      <c r="G83" s="80" t="s">
        <v>96</v>
      </c>
      <c r="H83" s="90">
        <v>0.0010799</v>
      </c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</row>
    <row r="84">
      <c r="A84" s="79" t="s">
        <v>16160</v>
      </c>
      <c r="B84" s="45"/>
      <c r="C84" s="79" t="s">
        <v>16161</v>
      </c>
      <c r="D84" s="45"/>
      <c r="E84" s="79" t="s">
        <v>5291</v>
      </c>
      <c r="F84" s="79" t="s">
        <v>5300</v>
      </c>
      <c r="G84" s="80" t="s">
        <v>96</v>
      </c>
      <c r="H84" s="90">
        <v>0.0010728</v>
      </c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</row>
    <row r="85">
      <c r="A85" s="79" t="s">
        <v>16162</v>
      </c>
      <c r="B85" s="45"/>
      <c r="C85" s="79" t="s">
        <v>16163</v>
      </c>
      <c r="D85" s="45"/>
      <c r="E85" s="79" t="s">
        <v>6090</v>
      </c>
      <c r="F85" s="79" t="s">
        <v>6210</v>
      </c>
      <c r="G85" s="80" t="s">
        <v>96</v>
      </c>
      <c r="H85" s="90">
        <v>0.0010701</v>
      </c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</row>
    <row r="86">
      <c r="A86" s="79" t="s">
        <v>16164</v>
      </c>
      <c r="B86" s="45"/>
      <c r="C86" s="79" t="s">
        <v>16165</v>
      </c>
      <c r="D86" s="45"/>
      <c r="E86" s="79" t="s">
        <v>8230</v>
      </c>
      <c r="F86" s="79" t="s">
        <v>5300</v>
      </c>
      <c r="G86" s="80" t="s">
        <v>96</v>
      </c>
      <c r="H86" s="90">
        <v>0.0010689</v>
      </c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</row>
    <row r="87">
      <c r="A87" s="79" t="s">
        <v>16166</v>
      </c>
      <c r="B87" s="45"/>
      <c r="C87" s="79" t="s">
        <v>16167</v>
      </c>
      <c r="D87" s="45"/>
      <c r="E87" s="79" t="s">
        <v>5316</v>
      </c>
      <c r="F87" s="79" t="s">
        <v>5300</v>
      </c>
      <c r="G87" s="80" t="s">
        <v>96</v>
      </c>
      <c r="H87" s="90">
        <v>0.0010682</v>
      </c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</row>
    <row r="88">
      <c r="A88" s="79" t="s">
        <v>16168</v>
      </c>
      <c r="B88" s="45"/>
      <c r="C88" s="79" t="s">
        <v>16169</v>
      </c>
      <c r="D88" s="45"/>
      <c r="E88" s="79" t="s">
        <v>5377</v>
      </c>
      <c r="F88" s="79" t="s">
        <v>5300</v>
      </c>
      <c r="G88" s="80" t="s">
        <v>96</v>
      </c>
      <c r="H88" s="90">
        <v>0.0010651</v>
      </c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</row>
    <row r="89">
      <c r="A89" s="79" t="s">
        <v>16170</v>
      </c>
      <c r="B89" s="45"/>
      <c r="C89" s="79" t="s">
        <v>16171</v>
      </c>
      <c r="D89" s="45"/>
      <c r="E89" s="79" t="s">
        <v>5868</v>
      </c>
      <c r="F89" s="79" t="s">
        <v>5300</v>
      </c>
      <c r="G89" s="80" t="s">
        <v>96</v>
      </c>
      <c r="H89" s="90">
        <v>0.001065</v>
      </c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</row>
    <row r="90">
      <c r="A90" s="79" t="s">
        <v>16172</v>
      </c>
      <c r="B90" s="45"/>
      <c r="C90" s="79" t="s">
        <v>16173</v>
      </c>
      <c r="D90" s="45"/>
      <c r="E90" s="79" t="s">
        <v>6798</v>
      </c>
      <c r="F90" s="79" t="s">
        <v>5300</v>
      </c>
      <c r="G90" s="80" t="s">
        <v>96</v>
      </c>
      <c r="H90" s="90">
        <v>0.0010633</v>
      </c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</row>
    <row r="91">
      <c r="A91" s="79" t="s">
        <v>16174</v>
      </c>
      <c r="B91" s="45"/>
      <c r="C91" s="79" t="s">
        <v>16175</v>
      </c>
      <c r="D91" s="45"/>
      <c r="E91" s="79" t="s">
        <v>5226</v>
      </c>
      <c r="F91" s="79" t="s">
        <v>5300</v>
      </c>
      <c r="G91" s="80" t="s">
        <v>96</v>
      </c>
      <c r="H91" s="90">
        <v>0.0010586</v>
      </c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</row>
    <row r="92">
      <c r="A92" s="79" t="s">
        <v>4692</v>
      </c>
      <c r="B92" s="45"/>
      <c r="C92" s="79" t="s">
        <v>9821</v>
      </c>
      <c r="D92" s="45"/>
      <c r="E92" s="79" t="s">
        <v>5291</v>
      </c>
      <c r="F92" s="79" t="s">
        <v>5300</v>
      </c>
      <c r="G92" s="80" t="s">
        <v>96</v>
      </c>
      <c r="H92" s="90">
        <v>0.0010585</v>
      </c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</row>
    <row r="93">
      <c r="A93" s="79" t="s">
        <v>16176</v>
      </c>
      <c r="B93" s="45"/>
      <c r="C93" s="79" t="s">
        <v>16177</v>
      </c>
      <c r="D93" s="45"/>
      <c r="E93" s="79" t="s">
        <v>5609</v>
      </c>
      <c r="F93" s="79" t="s">
        <v>5300</v>
      </c>
      <c r="G93" s="80" t="s">
        <v>96</v>
      </c>
      <c r="H93" s="90">
        <v>0.0010531</v>
      </c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</row>
    <row r="94">
      <c r="A94" s="79" t="s">
        <v>16178</v>
      </c>
      <c r="B94" s="45"/>
      <c r="C94" s="79" t="s">
        <v>16179</v>
      </c>
      <c r="D94" s="45"/>
      <c r="E94" s="79" t="s">
        <v>5291</v>
      </c>
      <c r="F94" s="79" t="s">
        <v>5300</v>
      </c>
      <c r="G94" s="80" t="s">
        <v>96</v>
      </c>
      <c r="H94" s="90">
        <v>0.0010526</v>
      </c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</row>
    <row r="95">
      <c r="A95" s="79" t="s">
        <v>16180</v>
      </c>
      <c r="B95" s="45"/>
      <c r="C95" s="79" t="s">
        <v>16181</v>
      </c>
      <c r="D95" s="45"/>
      <c r="E95" s="79" t="s">
        <v>5316</v>
      </c>
      <c r="F95" s="79" t="s">
        <v>5300</v>
      </c>
      <c r="G95" s="80" t="s">
        <v>96</v>
      </c>
      <c r="H95" s="90">
        <v>0.0010488</v>
      </c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</row>
    <row r="96">
      <c r="A96" s="79" t="s">
        <v>16182</v>
      </c>
      <c r="B96" s="45"/>
      <c r="C96" s="79" t="s">
        <v>16183</v>
      </c>
      <c r="D96" s="45"/>
      <c r="E96" s="79" t="s">
        <v>6947</v>
      </c>
      <c r="F96" s="79" t="s">
        <v>5300</v>
      </c>
      <c r="G96" s="80" t="s">
        <v>96</v>
      </c>
      <c r="H96" s="90">
        <v>0.0010483</v>
      </c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</row>
    <row r="97">
      <c r="A97" s="79" t="s">
        <v>4702</v>
      </c>
      <c r="B97" s="45"/>
      <c r="C97" s="79" t="s">
        <v>9950</v>
      </c>
      <c r="D97" s="45"/>
      <c r="E97" s="79" t="s">
        <v>5215</v>
      </c>
      <c r="F97" s="79" t="s">
        <v>5300</v>
      </c>
      <c r="G97" s="80" t="s">
        <v>96</v>
      </c>
      <c r="H97" s="90">
        <v>0.0010459</v>
      </c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</row>
    <row r="98">
      <c r="A98" s="79" t="s">
        <v>16184</v>
      </c>
      <c r="B98" s="45"/>
      <c r="C98" s="79" t="s">
        <v>16185</v>
      </c>
      <c r="D98" s="45"/>
      <c r="E98" s="79" t="s">
        <v>9039</v>
      </c>
      <c r="F98" s="79" t="s">
        <v>5300</v>
      </c>
      <c r="G98" s="80" t="s">
        <v>96</v>
      </c>
      <c r="H98" s="90">
        <v>0.0010396</v>
      </c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</row>
    <row r="99">
      <c r="A99" s="79" t="s">
        <v>16186</v>
      </c>
      <c r="B99" s="45"/>
      <c r="C99" s="79" t="s">
        <v>16187</v>
      </c>
      <c r="D99" s="45"/>
      <c r="E99" s="79" t="s">
        <v>5276</v>
      </c>
      <c r="F99" s="79" t="s">
        <v>5300</v>
      </c>
      <c r="G99" s="80" t="s">
        <v>96</v>
      </c>
      <c r="H99" s="90">
        <v>0.0010388</v>
      </c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</row>
    <row r="100">
      <c r="A100" s="79" t="s">
        <v>9967</v>
      </c>
      <c r="B100" s="45"/>
      <c r="C100" s="79" t="s">
        <v>9968</v>
      </c>
      <c r="D100" s="45"/>
      <c r="E100" s="79" t="s">
        <v>5450</v>
      </c>
      <c r="F100" s="79" t="s">
        <v>5300</v>
      </c>
      <c r="G100" s="80" t="s">
        <v>96</v>
      </c>
      <c r="H100" s="90">
        <v>0.0010331</v>
      </c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</row>
    <row r="101">
      <c r="A101" s="79" t="s">
        <v>16188</v>
      </c>
      <c r="B101" s="45"/>
      <c r="C101" s="79" t="s">
        <v>16188</v>
      </c>
      <c r="D101" s="45"/>
      <c r="E101" s="79" t="s">
        <v>5735</v>
      </c>
      <c r="F101" s="79" t="s">
        <v>5300</v>
      </c>
      <c r="G101" s="80" t="s">
        <v>96</v>
      </c>
      <c r="H101" s="90">
        <v>0.001033</v>
      </c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</row>
    <row r="102">
      <c r="A102" s="79" t="s">
        <v>16189</v>
      </c>
      <c r="B102" s="45"/>
      <c r="C102" s="79" t="s">
        <v>16190</v>
      </c>
      <c r="D102" s="45"/>
      <c r="E102" s="79" t="s">
        <v>5456</v>
      </c>
      <c r="F102" s="79" t="s">
        <v>5300</v>
      </c>
      <c r="G102" s="80" t="s">
        <v>96</v>
      </c>
      <c r="H102" s="90">
        <v>0.0010328</v>
      </c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</row>
    <row r="103">
      <c r="A103" s="79" t="s">
        <v>16191</v>
      </c>
      <c r="B103" s="45"/>
      <c r="C103" s="79" t="s">
        <v>16192</v>
      </c>
      <c r="D103" s="45"/>
      <c r="E103" s="79" t="s">
        <v>5226</v>
      </c>
      <c r="F103" s="79" t="s">
        <v>5300</v>
      </c>
      <c r="G103" s="80" t="s">
        <v>96</v>
      </c>
      <c r="H103" s="90">
        <v>0.0010288</v>
      </c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</row>
    <row r="104">
      <c r="A104" s="79" t="s">
        <v>16193</v>
      </c>
      <c r="B104" s="45"/>
      <c r="C104" s="79" t="s">
        <v>16194</v>
      </c>
      <c r="D104" s="45"/>
      <c r="E104" s="79" t="s">
        <v>5267</v>
      </c>
      <c r="F104" s="79" t="s">
        <v>5300</v>
      </c>
      <c r="G104" s="80" t="s">
        <v>96</v>
      </c>
      <c r="H104" s="90">
        <v>0.0010265</v>
      </c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</row>
    <row r="105">
      <c r="A105" s="79" t="s">
        <v>16195</v>
      </c>
      <c r="B105" s="45"/>
      <c r="C105" s="79" t="s">
        <v>16196</v>
      </c>
      <c r="D105" s="45"/>
      <c r="E105" s="79" t="s">
        <v>5550</v>
      </c>
      <c r="F105" s="79" t="s">
        <v>5300</v>
      </c>
      <c r="G105" s="80" t="s">
        <v>96</v>
      </c>
      <c r="H105" s="90">
        <v>0.001025</v>
      </c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</row>
    <row r="106">
      <c r="A106" s="79" t="s">
        <v>16197</v>
      </c>
      <c r="B106" s="45"/>
      <c r="C106" s="79" t="s">
        <v>16198</v>
      </c>
      <c r="D106" s="45"/>
      <c r="E106" s="79" t="s">
        <v>5374</v>
      </c>
      <c r="F106" s="79" t="s">
        <v>5300</v>
      </c>
      <c r="G106" s="80" t="s">
        <v>96</v>
      </c>
      <c r="H106" s="90">
        <v>0.0010199</v>
      </c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</row>
    <row r="107">
      <c r="A107" s="79" t="s">
        <v>16199</v>
      </c>
      <c r="B107" s="45"/>
      <c r="C107" s="79" t="s">
        <v>16200</v>
      </c>
      <c r="D107" s="45"/>
      <c r="E107" s="79" t="s">
        <v>5283</v>
      </c>
      <c r="F107" s="79" t="s">
        <v>5300</v>
      </c>
      <c r="G107" s="80" t="s">
        <v>96</v>
      </c>
      <c r="H107" s="90">
        <v>0.0010173</v>
      </c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</row>
    <row r="108">
      <c r="A108" s="79" t="s">
        <v>16201</v>
      </c>
      <c r="B108" s="45"/>
      <c r="C108" s="79" t="s">
        <v>16202</v>
      </c>
      <c r="D108" s="45"/>
      <c r="E108" s="79" t="s">
        <v>5226</v>
      </c>
      <c r="F108" s="79" t="s">
        <v>5300</v>
      </c>
      <c r="G108" s="80" t="s">
        <v>96</v>
      </c>
      <c r="H108" s="90">
        <v>0.0010123</v>
      </c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</row>
    <row r="109">
      <c r="A109" s="79" t="s">
        <v>11254</v>
      </c>
      <c r="B109" s="45"/>
      <c r="C109" s="79" t="s">
        <v>16203</v>
      </c>
      <c r="D109" s="45"/>
      <c r="E109" s="79" t="s">
        <v>6472</v>
      </c>
      <c r="F109" s="79" t="s">
        <v>5300</v>
      </c>
      <c r="G109" s="80" t="s">
        <v>96</v>
      </c>
      <c r="H109" s="90">
        <v>0.0010012</v>
      </c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</row>
    <row r="110">
      <c r="A110" s="79" t="s">
        <v>16204</v>
      </c>
      <c r="B110" s="45"/>
      <c r="C110" s="79" t="s">
        <v>16205</v>
      </c>
      <c r="D110" s="45"/>
      <c r="E110" s="79" t="s">
        <v>6191</v>
      </c>
      <c r="F110" s="79" t="s">
        <v>5300</v>
      </c>
      <c r="G110" s="80" t="s">
        <v>96</v>
      </c>
      <c r="H110" s="90">
        <v>9.996E-4</v>
      </c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</row>
    <row r="111">
      <c r="A111" s="79" t="s">
        <v>16206</v>
      </c>
      <c r="B111" s="45"/>
      <c r="C111" s="79" t="s">
        <v>16207</v>
      </c>
      <c r="D111" s="45"/>
      <c r="E111" s="79" t="s">
        <v>5961</v>
      </c>
      <c r="F111" s="79" t="s">
        <v>5300</v>
      </c>
      <c r="G111" s="80" t="s">
        <v>96</v>
      </c>
      <c r="H111" s="90">
        <v>9.971E-4</v>
      </c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</row>
    <row r="112">
      <c r="A112" s="79" t="s">
        <v>16208</v>
      </c>
      <c r="B112" s="45"/>
      <c r="C112" s="79" t="s">
        <v>16209</v>
      </c>
      <c r="D112" s="45"/>
      <c r="E112" s="79" t="s">
        <v>5215</v>
      </c>
      <c r="F112" s="79" t="s">
        <v>4436</v>
      </c>
      <c r="G112" s="80" t="s">
        <v>96</v>
      </c>
      <c r="H112" s="90">
        <v>9.966E-4</v>
      </c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</row>
    <row r="113">
      <c r="A113" s="79" t="s">
        <v>16210</v>
      </c>
      <c r="B113" s="45"/>
      <c r="C113" s="79" t="s">
        <v>16211</v>
      </c>
      <c r="D113" s="45"/>
      <c r="E113" s="79" t="s">
        <v>5459</v>
      </c>
      <c r="F113" s="79" t="s">
        <v>5300</v>
      </c>
      <c r="G113" s="80" t="s">
        <v>96</v>
      </c>
      <c r="H113" s="90">
        <v>9.954E-4</v>
      </c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</row>
    <row r="114">
      <c r="A114" s="79" t="s">
        <v>9980</v>
      </c>
      <c r="B114" s="45"/>
      <c r="C114" s="79" t="s">
        <v>9981</v>
      </c>
      <c r="D114" s="45"/>
      <c r="E114" s="79" t="s">
        <v>6338</v>
      </c>
      <c r="F114" s="79" t="s">
        <v>6988</v>
      </c>
      <c r="G114" s="80" t="s">
        <v>96</v>
      </c>
      <c r="H114" s="90">
        <v>9.915E-4</v>
      </c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</row>
    <row r="115">
      <c r="A115" s="79" t="s">
        <v>16212</v>
      </c>
      <c r="B115" s="45"/>
      <c r="C115" s="79" t="s">
        <v>16213</v>
      </c>
      <c r="D115" s="45"/>
      <c r="E115" s="79" t="s">
        <v>7181</v>
      </c>
      <c r="F115" s="79" t="s">
        <v>5300</v>
      </c>
      <c r="G115" s="80" t="s">
        <v>96</v>
      </c>
      <c r="H115" s="90">
        <v>9.912E-4</v>
      </c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</row>
    <row r="116">
      <c r="A116" s="79" t="s">
        <v>9945</v>
      </c>
      <c r="B116" s="45"/>
      <c r="C116" s="79" t="s">
        <v>9946</v>
      </c>
      <c r="D116" s="45"/>
      <c r="E116" s="79" t="s">
        <v>6514</v>
      </c>
      <c r="F116" s="79" t="s">
        <v>5300</v>
      </c>
      <c r="G116" s="80" t="s">
        <v>96</v>
      </c>
      <c r="H116" s="90">
        <v>9.91E-4</v>
      </c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</row>
    <row r="117">
      <c r="A117" s="79" t="s">
        <v>10050</v>
      </c>
      <c r="B117" s="45"/>
      <c r="C117" s="79" t="s">
        <v>10051</v>
      </c>
      <c r="D117" s="45"/>
      <c r="E117" s="79" t="s">
        <v>5215</v>
      </c>
      <c r="F117" s="79" t="s">
        <v>4357</v>
      </c>
      <c r="G117" s="80" t="s">
        <v>96</v>
      </c>
      <c r="H117" s="90">
        <v>9.894E-4</v>
      </c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</row>
    <row r="118">
      <c r="A118" s="79" t="s">
        <v>16214</v>
      </c>
      <c r="B118" s="45"/>
      <c r="C118" s="79" t="s">
        <v>16215</v>
      </c>
      <c r="D118" s="45"/>
      <c r="E118" s="79" t="s">
        <v>5276</v>
      </c>
      <c r="F118" s="79" t="s">
        <v>5300</v>
      </c>
      <c r="G118" s="80" t="s">
        <v>96</v>
      </c>
      <c r="H118" s="90">
        <v>9.888E-4</v>
      </c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</row>
    <row r="119">
      <c r="A119" s="79" t="s">
        <v>16216</v>
      </c>
      <c r="B119" s="45"/>
      <c r="C119" s="79" t="s">
        <v>16217</v>
      </c>
      <c r="D119" s="45"/>
      <c r="E119" s="79" t="s">
        <v>5296</v>
      </c>
      <c r="F119" s="79" t="s">
        <v>5300</v>
      </c>
      <c r="G119" s="80" t="s">
        <v>96</v>
      </c>
      <c r="H119" s="90">
        <v>9.849E-4</v>
      </c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</row>
    <row r="120">
      <c r="A120" s="79" t="s">
        <v>16218</v>
      </c>
      <c r="B120" s="45"/>
      <c r="C120" s="79" t="s">
        <v>16219</v>
      </c>
      <c r="D120" s="45"/>
      <c r="E120" s="79" t="s">
        <v>5670</v>
      </c>
      <c r="F120" s="79" t="s">
        <v>5300</v>
      </c>
      <c r="G120" s="80" t="s">
        <v>96</v>
      </c>
      <c r="H120" s="90">
        <v>9.753E-4</v>
      </c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</row>
    <row r="121">
      <c r="A121" s="79" t="s">
        <v>16220</v>
      </c>
      <c r="B121" s="45"/>
      <c r="C121" s="79" t="s">
        <v>16221</v>
      </c>
      <c r="D121" s="45"/>
      <c r="E121" s="79" t="s">
        <v>5226</v>
      </c>
      <c r="F121" s="79" t="s">
        <v>5300</v>
      </c>
      <c r="G121" s="80" t="s">
        <v>96</v>
      </c>
      <c r="H121" s="90">
        <v>9.702E-4</v>
      </c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</row>
    <row r="122">
      <c r="A122" s="79" t="s">
        <v>16222</v>
      </c>
      <c r="B122" s="45"/>
      <c r="C122" s="79" t="s">
        <v>16223</v>
      </c>
      <c r="D122" s="45"/>
      <c r="E122" s="79" t="s">
        <v>7248</v>
      </c>
      <c r="F122" s="79" t="s">
        <v>5300</v>
      </c>
      <c r="G122" s="80" t="s">
        <v>96</v>
      </c>
      <c r="H122" s="90">
        <v>9.693E-4</v>
      </c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</row>
    <row r="123">
      <c r="A123" s="79" t="s">
        <v>16224</v>
      </c>
      <c r="B123" s="45"/>
      <c r="C123" s="79" t="s">
        <v>16225</v>
      </c>
      <c r="D123" s="45"/>
      <c r="E123" s="79" t="s">
        <v>5261</v>
      </c>
      <c r="F123" s="79" t="s">
        <v>5300</v>
      </c>
      <c r="G123" s="80" t="s">
        <v>96</v>
      </c>
      <c r="H123" s="90">
        <v>9.678E-4</v>
      </c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</row>
    <row r="124">
      <c r="A124" s="79" t="s">
        <v>9970</v>
      </c>
      <c r="B124" s="45"/>
      <c r="C124" s="79" t="s">
        <v>9971</v>
      </c>
      <c r="D124" s="45"/>
      <c r="E124" s="79" t="s">
        <v>5232</v>
      </c>
      <c r="F124" s="79" t="s">
        <v>6698</v>
      </c>
      <c r="G124" s="80" t="s">
        <v>96</v>
      </c>
      <c r="H124" s="90">
        <v>9.674E-4</v>
      </c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</row>
    <row r="125">
      <c r="A125" s="79" t="s">
        <v>16226</v>
      </c>
      <c r="B125" s="45"/>
      <c r="C125" s="79" t="s">
        <v>16227</v>
      </c>
      <c r="D125" s="45"/>
      <c r="E125" s="79" t="s">
        <v>5742</v>
      </c>
      <c r="F125" s="79" t="s">
        <v>5300</v>
      </c>
      <c r="G125" s="80" t="s">
        <v>96</v>
      </c>
      <c r="H125" s="90">
        <v>9.64E-4</v>
      </c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</row>
    <row r="126">
      <c r="A126" s="79" t="s">
        <v>16228</v>
      </c>
      <c r="B126" s="45"/>
      <c r="C126" s="79" t="s">
        <v>16229</v>
      </c>
      <c r="D126" s="45"/>
      <c r="E126" s="79" t="s">
        <v>6130</v>
      </c>
      <c r="F126" s="79" t="s">
        <v>5300</v>
      </c>
      <c r="G126" s="80" t="s">
        <v>96</v>
      </c>
      <c r="H126" s="90">
        <v>9.613E-4</v>
      </c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</row>
    <row r="127">
      <c r="A127" s="79" t="s">
        <v>16230</v>
      </c>
      <c r="B127" s="45"/>
      <c r="C127" s="79" t="s">
        <v>16231</v>
      </c>
      <c r="D127" s="45"/>
      <c r="E127" s="79" t="s">
        <v>5650</v>
      </c>
      <c r="F127" s="79" t="s">
        <v>5300</v>
      </c>
      <c r="G127" s="80" t="s">
        <v>96</v>
      </c>
      <c r="H127" s="90">
        <v>9.607E-4</v>
      </c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</row>
    <row r="128">
      <c r="A128" s="79" t="s">
        <v>16232</v>
      </c>
      <c r="B128" s="45"/>
      <c r="C128" s="79" t="s">
        <v>16233</v>
      </c>
      <c r="D128" s="45"/>
      <c r="E128" s="79" t="s">
        <v>5564</v>
      </c>
      <c r="F128" s="79" t="s">
        <v>5300</v>
      </c>
      <c r="G128" s="80" t="s">
        <v>96</v>
      </c>
      <c r="H128" s="90">
        <v>9.594E-4</v>
      </c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</row>
    <row r="129">
      <c r="A129" s="79" t="s">
        <v>16234</v>
      </c>
      <c r="B129" s="45"/>
      <c r="C129" s="79" t="s">
        <v>16235</v>
      </c>
      <c r="D129" s="45"/>
      <c r="E129" s="79" t="s">
        <v>5296</v>
      </c>
      <c r="F129" s="79" t="s">
        <v>5300</v>
      </c>
      <c r="G129" s="80" t="s">
        <v>96</v>
      </c>
      <c r="H129" s="90">
        <v>9.523E-4</v>
      </c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</row>
    <row r="130">
      <c r="A130" s="79" t="s">
        <v>11250</v>
      </c>
      <c r="B130" s="45"/>
      <c r="C130" s="79" t="s">
        <v>16236</v>
      </c>
      <c r="D130" s="45"/>
      <c r="E130" s="79" t="s">
        <v>5215</v>
      </c>
      <c r="F130" s="79" t="s">
        <v>5300</v>
      </c>
      <c r="G130" s="80" t="s">
        <v>96</v>
      </c>
      <c r="H130" s="90">
        <v>9.497E-4</v>
      </c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</row>
    <row r="131">
      <c r="A131" s="79" t="s">
        <v>16237</v>
      </c>
      <c r="B131" s="45"/>
      <c r="C131" s="79" t="s">
        <v>16238</v>
      </c>
      <c r="D131" s="45"/>
      <c r="E131" s="79" t="s">
        <v>5682</v>
      </c>
      <c r="F131" s="79" t="s">
        <v>5300</v>
      </c>
      <c r="G131" s="80" t="s">
        <v>96</v>
      </c>
      <c r="H131" s="90">
        <v>9.496E-4</v>
      </c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</row>
    <row r="132">
      <c r="A132" s="79" t="s">
        <v>16239</v>
      </c>
      <c r="B132" s="45"/>
      <c r="C132" s="79" t="s">
        <v>16240</v>
      </c>
      <c r="D132" s="45"/>
      <c r="E132" s="79" t="s">
        <v>6947</v>
      </c>
      <c r="F132" s="79" t="s">
        <v>5300</v>
      </c>
      <c r="G132" s="80" t="s">
        <v>96</v>
      </c>
      <c r="H132" s="90">
        <v>9.463E-4</v>
      </c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</row>
    <row r="133">
      <c r="A133" s="79" t="s">
        <v>16241</v>
      </c>
      <c r="B133" s="45"/>
      <c r="C133" s="79" t="s">
        <v>16242</v>
      </c>
      <c r="D133" s="45"/>
      <c r="E133" s="79" t="s">
        <v>5478</v>
      </c>
      <c r="F133" s="79" t="s">
        <v>5300</v>
      </c>
      <c r="G133" s="80" t="s">
        <v>96</v>
      </c>
      <c r="H133" s="90">
        <v>9.458E-4</v>
      </c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</row>
    <row r="134">
      <c r="A134" s="79" t="s">
        <v>16243</v>
      </c>
      <c r="B134" s="45"/>
      <c r="C134" s="79" t="s">
        <v>16244</v>
      </c>
      <c r="D134" s="45"/>
      <c r="E134" s="79" t="s">
        <v>8230</v>
      </c>
      <c r="F134" s="79" t="s">
        <v>5300</v>
      </c>
      <c r="G134" s="80" t="s">
        <v>96</v>
      </c>
      <c r="H134" s="90">
        <v>9.44E-4</v>
      </c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</row>
    <row r="135">
      <c r="A135" s="79" t="s">
        <v>16245</v>
      </c>
      <c r="B135" s="45"/>
      <c r="C135" s="79" t="s">
        <v>16246</v>
      </c>
      <c r="D135" s="45"/>
      <c r="E135" s="79" t="s">
        <v>5316</v>
      </c>
      <c r="F135" s="79" t="s">
        <v>5300</v>
      </c>
      <c r="G135" s="80" t="s">
        <v>96</v>
      </c>
      <c r="H135" s="90">
        <v>9.44E-4</v>
      </c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</row>
    <row r="136">
      <c r="A136" s="79" t="s">
        <v>16247</v>
      </c>
      <c r="B136" s="45"/>
      <c r="C136" s="79" t="s">
        <v>16248</v>
      </c>
      <c r="D136" s="45"/>
      <c r="E136" s="79" t="s">
        <v>7260</v>
      </c>
      <c r="F136" s="79" t="s">
        <v>5300</v>
      </c>
      <c r="G136" s="80" t="s">
        <v>96</v>
      </c>
      <c r="H136" s="90">
        <v>9.392E-4</v>
      </c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</row>
    <row r="137">
      <c r="A137" s="79" t="s">
        <v>16249</v>
      </c>
      <c r="B137" s="45"/>
      <c r="C137" s="79" t="s">
        <v>16250</v>
      </c>
      <c r="D137" s="45"/>
      <c r="E137" s="79" t="s">
        <v>7169</v>
      </c>
      <c r="F137" s="79" t="s">
        <v>5300</v>
      </c>
      <c r="G137" s="80" t="s">
        <v>96</v>
      </c>
      <c r="H137" s="90">
        <v>9.348E-4</v>
      </c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</row>
    <row r="138">
      <c r="A138" s="79" t="s">
        <v>16251</v>
      </c>
      <c r="B138" s="45"/>
      <c r="C138" s="79" t="s">
        <v>16252</v>
      </c>
      <c r="D138" s="45"/>
      <c r="E138" s="79" t="s">
        <v>5422</v>
      </c>
      <c r="F138" s="79" t="s">
        <v>5425</v>
      </c>
      <c r="G138" s="80" t="s">
        <v>96</v>
      </c>
      <c r="H138" s="90">
        <v>9.334E-4</v>
      </c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</row>
    <row r="139">
      <c r="A139" s="79" t="s">
        <v>16253</v>
      </c>
      <c r="B139" s="45"/>
      <c r="C139" s="79" t="s">
        <v>16254</v>
      </c>
      <c r="D139" s="45"/>
      <c r="E139" s="79" t="s">
        <v>5407</v>
      </c>
      <c r="F139" s="79" t="s">
        <v>5300</v>
      </c>
      <c r="G139" s="80" t="s">
        <v>96</v>
      </c>
      <c r="H139" s="90">
        <v>9.333E-4</v>
      </c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</row>
    <row r="140">
      <c r="A140" s="79" t="s">
        <v>16255</v>
      </c>
      <c r="B140" s="45"/>
      <c r="C140" s="79" t="s">
        <v>16256</v>
      </c>
      <c r="D140" s="45"/>
      <c r="E140" s="79" t="s">
        <v>5742</v>
      </c>
      <c r="F140" s="79" t="s">
        <v>5836</v>
      </c>
      <c r="G140" s="80" t="s">
        <v>96</v>
      </c>
      <c r="H140" s="90">
        <v>9.318E-4</v>
      </c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</row>
    <row r="141">
      <c r="A141" s="79" t="s">
        <v>16257</v>
      </c>
      <c r="B141" s="45"/>
      <c r="C141" s="79" t="s">
        <v>16258</v>
      </c>
      <c r="D141" s="45"/>
      <c r="E141" s="79" t="s">
        <v>6475</v>
      </c>
      <c r="F141" s="79" t="s">
        <v>5300</v>
      </c>
      <c r="G141" s="80" t="s">
        <v>96</v>
      </c>
      <c r="H141" s="90">
        <v>9.309E-4</v>
      </c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</row>
    <row r="142">
      <c r="A142" s="79" t="s">
        <v>16259</v>
      </c>
      <c r="B142" s="45"/>
      <c r="C142" s="79" t="s">
        <v>16260</v>
      </c>
      <c r="D142" s="45"/>
      <c r="E142" s="79" t="s">
        <v>5246</v>
      </c>
      <c r="F142" s="79" t="s">
        <v>5300</v>
      </c>
      <c r="G142" s="80" t="s">
        <v>96</v>
      </c>
      <c r="H142" s="90">
        <v>9.308E-4</v>
      </c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</row>
    <row r="143">
      <c r="A143" s="79" t="s">
        <v>10207</v>
      </c>
      <c r="B143" s="45"/>
      <c r="C143" s="79" t="s">
        <v>10208</v>
      </c>
      <c r="D143" s="45"/>
      <c r="E143" s="79" t="s">
        <v>6130</v>
      </c>
      <c r="F143" s="79" t="s">
        <v>9021</v>
      </c>
      <c r="G143" s="80" t="s">
        <v>96</v>
      </c>
      <c r="H143" s="90">
        <v>9.244E-4</v>
      </c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</row>
    <row r="144">
      <c r="A144" s="79" t="s">
        <v>16261</v>
      </c>
      <c r="B144" s="45"/>
      <c r="C144" s="79" t="s">
        <v>16262</v>
      </c>
      <c r="D144" s="45"/>
      <c r="E144" s="79" t="s">
        <v>5276</v>
      </c>
      <c r="F144" s="79" t="s">
        <v>5300</v>
      </c>
      <c r="G144" s="80" t="s">
        <v>96</v>
      </c>
      <c r="H144" s="90">
        <v>9.22E-4</v>
      </c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</row>
    <row r="145">
      <c r="A145" s="79" t="s">
        <v>16263</v>
      </c>
      <c r="B145" s="45"/>
      <c r="C145" s="79" t="s">
        <v>16264</v>
      </c>
      <c r="D145" s="45"/>
      <c r="E145" s="79" t="s">
        <v>6729</v>
      </c>
      <c r="F145" s="79" t="s">
        <v>5300</v>
      </c>
      <c r="G145" s="80" t="s">
        <v>96</v>
      </c>
      <c r="H145" s="90">
        <v>9.186E-4</v>
      </c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</row>
    <row r="146">
      <c r="A146" s="79" t="s">
        <v>16265</v>
      </c>
      <c r="B146" s="45"/>
      <c r="C146" s="79" t="s">
        <v>16266</v>
      </c>
      <c r="D146" s="45"/>
      <c r="E146" s="79" t="s">
        <v>9810</v>
      </c>
      <c r="F146" s="79" t="s">
        <v>5300</v>
      </c>
      <c r="G146" s="80" t="s">
        <v>96</v>
      </c>
      <c r="H146" s="90">
        <v>9.171E-4</v>
      </c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</row>
    <row r="147">
      <c r="A147" s="79" t="s">
        <v>16267</v>
      </c>
      <c r="B147" s="45"/>
      <c r="C147" s="79" t="s">
        <v>16268</v>
      </c>
      <c r="D147" s="45"/>
      <c r="E147" s="79" t="s">
        <v>5478</v>
      </c>
      <c r="F147" s="79" t="s">
        <v>5300</v>
      </c>
      <c r="G147" s="80" t="s">
        <v>96</v>
      </c>
      <c r="H147" s="90">
        <v>9.162E-4</v>
      </c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</row>
    <row r="148">
      <c r="A148" s="79" t="s">
        <v>16269</v>
      </c>
      <c r="B148" s="45"/>
      <c r="C148" s="79" t="s">
        <v>16270</v>
      </c>
      <c r="D148" s="45"/>
      <c r="E148" s="79" t="s">
        <v>5374</v>
      </c>
      <c r="F148" s="79" t="s">
        <v>5300</v>
      </c>
      <c r="G148" s="80" t="s">
        <v>96</v>
      </c>
      <c r="H148" s="90">
        <v>9.138E-4</v>
      </c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</row>
    <row r="149">
      <c r="A149" s="79" t="s">
        <v>4712</v>
      </c>
      <c r="B149" s="45"/>
      <c r="C149" s="79" t="s">
        <v>16271</v>
      </c>
      <c r="D149" s="45"/>
      <c r="E149" s="79" t="s">
        <v>6115</v>
      </c>
      <c r="F149" s="79" t="s">
        <v>5300</v>
      </c>
      <c r="G149" s="80" t="s">
        <v>96</v>
      </c>
      <c r="H149" s="90">
        <v>9.127E-4</v>
      </c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</row>
    <row r="150">
      <c r="A150" s="79" t="s">
        <v>16272</v>
      </c>
      <c r="B150" s="45"/>
      <c r="C150" s="79" t="s">
        <v>16273</v>
      </c>
      <c r="D150" s="45"/>
      <c r="E150" s="79" t="s">
        <v>7360</v>
      </c>
      <c r="F150" s="79" t="s">
        <v>5300</v>
      </c>
      <c r="G150" s="80" t="s">
        <v>96</v>
      </c>
      <c r="H150" s="90">
        <v>9.124E-4</v>
      </c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</row>
    <row r="151">
      <c r="A151" s="79" t="s">
        <v>16274</v>
      </c>
      <c r="B151" s="45"/>
      <c r="C151" s="79" t="s">
        <v>16275</v>
      </c>
      <c r="D151" s="45"/>
      <c r="E151" s="79" t="s">
        <v>5742</v>
      </c>
      <c r="F151" s="79" t="s">
        <v>5300</v>
      </c>
      <c r="G151" s="80" t="s">
        <v>96</v>
      </c>
      <c r="H151" s="90">
        <v>9.1E-4</v>
      </c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</row>
    <row r="152">
      <c r="A152" s="79" t="s">
        <v>16276</v>
      </c>
      <c r="B152" s="45"/>
      <c r="C152" s="79" t="s">
        <v>16277</v>
      </c>
      <c r="D152" s="45"/>
      <c r="E152" s="79" t="s">
        <v>6729</v>
      </c>
      <c r="F152" s="79" t="s">
        <v>5300</v>
      </c>
      <c r="G152" s="80" t="s">
        <v>96</v>
      </c>
      <c r="H152" s="90">
        <v>9.089E-4</v>
      </c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</row>
    <row r="153">
      <c r="A153" s="79" t="s">
        <v>16278</v>
      </c>
      <c r="B153" s="45"/>
      <c r="C153" s="79" t="s">
        <v>16279</v>
      </c>
      <c r="D153" s="45"/>
      <c r="E153" s="79" t="s">
        <v>8951</v>
      </c>
      <c r="F153" s="79" t="s">
        <v>5300</v>
      </c>
      <c r="G153" s="80" t="s">
        <v>96</v>
      </c>
      <c r="H153" s="90">
        <v>9.084E-4</v>
      </c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</row>
    <row r="154">
      <c r="A154" s="79" t="s">
        <v>16280</v>
      </c>
      <c r="B154" s="45"/>
      <c r="C154" s="79" t="s">
        <v>16281</v>
      </c>
      <c r="D154" s="45"/>
      <c r="E154" s="79" t="s">
        <v>5226</v>
      </c>
      <c r="F154" s="79" t="s">
        <v>5300</v>
      </c>
      <c r="G154" s="80" t="s">
        <v>96</v>
      </c>
      <c r="H154" s="90">
        <v>9.003E-4</v>
      </c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</row>
    <row r="155">
      <c r="A155" s="79" t="s">
        <v>16282</v>
      </c>
      <c r="B155" s="45"/>
      <c r="C155" s="79" t="s">
        <v>16283</v>
      </c>
      <c r="D155" s="45"/>
      <c r="E155" s="79" t="s">
        <v>8230</v>
      </c>
      <c r="F155" s="79" t="s">
        <v>5300</v>
      </c>
      <c r="G155" s="80" t="s">
        <v>96</v>
      </c>
      <c r="H155" s="90">
        <v>8.986E-4</v>
      </c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</row>
    <row r="156">
      <c r="A156" s="79" t="s">
        <v>10076</v>
      </c>
      <c r="B156" s="45"/>
      <c r="C156" s="79" t="s">
        <v>10077</v>
      </c>
      <c r="D156" s="45"/>
      <c r="E156" s="79" t="s">
        <v>5855</v>
      </c>
      <c r="F156" s="79" t="s">
        <v>5747</v>
      </c>
      <c r="G156" s="80" t="s">
        <v>96</v>
      </c>
      <c r="H156" s="90">
        <v>8.963E-4</v>
      </c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</row>
    <row r="157">
      <c r="A157" s="79" t="s">
        <v>16284</v>
      </c>
      <c r="B157" s="45"/>
      <c r="C157" s="79" t="s">
        <v>16285</v>
      </c>
      <c r="D157" s="45"/>
      <c r="E157" s="79" t="s">
        <v>5253</v>
      </c>
      <c r="F157" s="79" t="s">
        <v>5300</v>
      </c>
      <c r="G157" s="80" t="s">
        <v>96</v>
      </c>
      <c r="H157" s="90">
        <v>8.963E-4</v>
      </c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</row>
    <row r="158">
      <c r="A158" s="79" t="s">
        <v>16286</v>
      </c>
      <c r="B158" s="45"/>
      <c r="C158" s="79" t="s">
        <v>16287</v>
      </c>
      <c r="D158" s="45"/>
      <c r="E158" s="79" t="s">
        <v>6759</v>
      </c>
      <c r="F158" s="79" t="s">
        <v>5300</v>
      </c>
      <c r="G158" s="80" t="s">
        <v>96</v>
      </c>
      <c r="H158" s="90">
        <v>8.96E-4</v>
      </c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</row>
    <row r="159">
      <c r="A159" s="79" t="s">
        <v>16288</v>
      </c>
      <c r="B159" s="45"/>
      <c r="C159" s="79" t="s">
        <v>16289</v>
      </c>
      <c r="D159" s="45"/>
      <c r="E159" s="79" t="s">
        <v>9959</v>
      </c>
      <c r="F159" s="79" t="s">
        <v>5300</v>
      </c>
      <c r="G159" s="80" t="s">
        <v>96</v>
      </c>
      <c r="H159" s="90">
        <v>8.942E-4</v>
      </c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</row>
    <row r="160">
      <c r="A160" s="79" t="s">
        <v>16290</v>
      </c>
      <c r="B160" s="45"/>
      <c r="C160" s="79" t="s">
        <v>16291</v>
      </c>
      <c r="D160" s="45"/>
      <c r="E160" s="79" t="s">
        <v>5226</v>
      </c>
      <c r="F160" s="79" t="s">
        <v>5300</v>
      </c>
      <c r="G160" s="80" t="s">
        <v>96</v>
      </c>
      <c r="H160" s="90">
        <v>8.901E-4</v>
      </c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</row>
    <row r="161">
      <c r="A161" s="79" t="s">
        <v>10090</v>
      </c>
      <c r="B161" s="45"/>
      <c r="C161" s="79" t="s">
        <v>10091</v>
      </c>
      <c r="D161" s="45"/>
      <c r="E161" s="79" t="s">
        <v>5218</v>
      </c>
      <c r="F161" s="79" t="s">
        <v>5425</v>
      </c>
      <c r="G161" s="80" t="s">
        <v>96</v>
      </c>
      <c r="H161" s="90">
        <v>8.883E-4</v>
      </c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</row>
    <row r="162">
      <c r="A162" s="79" t="s">
        <v>16292</v>
      </c>
      <c r="B162" s="45"/>
      <c r="C162" s="79" t="s">
        <v>16293</v>
      </c>
      <c r="D162" s="45"/>
      <c r="E162" s="79" t="s">
        <v>5691</v>
      </c>
      <c r="F162" s="79" t="s">
        <v>5300</v>
      </c>
      <c r="G162" s="80" t="s">
        <v>96</v>
      </c>
      <c r="H162" s="90">
        <v>8.842E-4</v>
      </c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</row>
    <row r="163">
      <c r="A163" s="79" t="s">
        <v>16294</v>
      </c>
      <c r="B163" s="45"/>
      <c r="C163" s="79" t="s">
        <v>16295</v>
      </c>
      <c r="D163" s="45"/>
      <c r="E163" s="79" t="s">
        <v>6472</v>
      </c>
      <c r="F163" s="79" t="s">
        <v>5300</v>
      </c>
      <c r="G163" s="80" t="s">
        <v>96</v>
      </c>
      <c r="H163" s="90">
        <v>8.836E-4</v>
      </c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</row>
    <row r="164">
      <c r="A164" s="79" t="s">
        <v>4718</v>
      </c>
      <c r="B164" s="45"/>
      <c r="C164" s="79" t="s">
        <v>16296</v>
      </c>
      <c r="D164" s="45"/>
      <c r="E164" s="79" t="s">
        <v>5374</v>
      </c>
      <c r="F164" s="79" t="s">
        <v>5300</v>
      </c>
      <c r="G164" s="80" t="s">
        <v>96</v>
      </c>
      <c r="H164" s="90">
        <v>8.783E-4</v>
      </c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</row>
    <row r="165">
      <c r="A165" s="79" t="s">
        <v>16297</v>
      </c>
      <c r="B165" s="45"/>
      <c r="C165" s="79" t="s">
        <v>16298</v>
      </c>
      <c r="D165" s="45"/>
      <c r="E165" s="79" t="s">
        <v>6040</v>
      </c>
      <c r="F165" s="79" t="s">
        <v>5300</v>
      </c>
      <c r="G165" s="80" t="s">
        <v>96</v>
      </c>
      <c r="H165" s="90">
        <v>8.762E-4</v>
      </c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</row>
    <row r="166">
      <c r="A166" s="79" t="s">
        <v>10054</v>
      </c>
      <c r="B166" s="45"/>
      <c r="C166" s="79" t="s">
        <v>10055</v>
      </c>
      <c r="D166" s="45"/>
      <c r="E166" s="79" t="s">
        <v>5348</v>
      </c>
      <c r="F166" s="79" t="s">
        <v>5425</v>
      </c>
      <c r="G166" s="80" t="s">
        <v>96</v>
      </c>
      <c r="H166" s="90">
        <v>8.76E-4</v>
      </c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</row>
    <row r="167">
      <c r="A167" s="79" t="s">
        <v>16299</v>
      </c>
      <c r="B167" s="45"/>
      <c r="C167" s="79" t="s">
        <v>16300</v>
      </c>
      <c r="D167" s="45"/>
      <c r="E167" s="79" t="s">
        <v>5276</v>
      </c>
      <c r="F167" s="79" t="s">
        <v>5300</v>
      </c>
      <c r="G167" s="80" t="s">
        <v>96</v>
      </c>
      <c r="H167" s="90">
        <v>8.748E-4</v>
      </c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</row>
    <row r="168">
      <c r="A168" s="79" t="s">
        <v>11740</v>
      </c>
      <c r="B168" s="45"/>
      <c r="C168" s="79" t="s">
        <v>16301</v>
      </c>
      <c r="D168" s="45"/>
      <c r="E168" s="79" t="s">
        <v>5246</v>
      </c>
      <c r="F168" s="79" t="s">
        <v>5300</v>
      </c>
      <c r="G168" s="80" t="s">
        <v>96</v>
      </c>
      <c r="H168" s="90">
        <v>8.729E-4</v>
      </c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</row>
    <row r="169">
      <c r="A169" s="79" t="s">
        <v>16302</v>
      </c>
      <c r="B169" s="45"/>
      <c r="C169" s="79" t="s">
        <v>16303</v>
      </c>
      <c r="D169" s="45"/>
      <c r="E169" s="79" t="s">
        <v>5395</v>
      </c>
      <c r="F169" s="79" t="s">
        <v>5300</v>
      </c>
      <c r="G169" s="80" t="s">
        <v>96</v>
      </c>
      <c r="H169" s="90">
        <v>8.724E-4</v>
      </c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</row>
    <row r="170">
      <c r="A170" s="79" t="s">
        <v>16304</v>
      </c>
      <c r="B170" s="45"/>
      <c r="C170" s="79" t="s">
        <v>16305</v>
      </c>
      <c r="D170" s="45"/>
      <c r="E170" s="79" t="s">
        <v>5326</v>
      </c>
      <c r="F170" s="79" t="s">
        <v>5300</v>
      </c>
      <c r="G170" s="80" t="s">
        <v>96</v>
      </c>
      <c r="H170" s="90">
        <v>8.677E-4</v>
      </c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</row>
    <row r="171">
      <c r="A171" s="79" t="s">
        <v>16306</v>
      </c>
      <c r="B171" s="45"/>
      <c r="C171" s="79" t="s">
        <v>16307</v>
      </c>
      <c r="D171" s="45"/>
      <c r="E171" s="79" t="s">
        <v>5742</v>
      </c>
      <c r="F171" s="79" t="s">
        <v>5300</v>
      </c>
      <c r="G171" s="80" t="s">
        <v>96</v>
      </c>
      <c r="H171" s="90">
        <v>8.645E-4</v>
      </c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</row>
    <row r="172">
      <c r="A172" s="79" t="s">
        <v>16308</v>
      </c>
      <c r="B172" s="45"/>
      <c r="C172" s="79" t="s">
        <v>16309</v>
      </c>
      <c r="D172" s="45"/>
      <c r="E172" s="79" t="s">
        <v>5215</v>
      </c>
      <c r="F172" s="79" t="s">
        <v>5300</v>
      </c>
      <c r="G172" s="80" t="s">
        <v>96</v>
      </c>
      <c r="H172" s="90">
        <v>8.63E-4</v>
      </c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</row>
    <row r="173">
      <c r="A173" s="79" t="s">
        <v>10183</v>
      </c>
      <c r="B173" s="45"/>
      <c r="C173" s="79" t="s">
        <v>10184</v>
      </c>
      <c r="D173" s="45"/>
      <c r="E173" s="79" t="s">
        <v>5450</v>
      </c>
      <c r="F173" s="79" t="s">
        <v>5425</v>
      </c>
      <c r="G173" s="80" t="s">
        <v>96</v>
      </c>
      <c r="H173" s="90">
        <v>8.602E-4</v>
      </c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</row>
    <row r="174">
      <c r="A174" s="79" t="s">
        <v>16310</v>
      </c>
      <c r="B174" s="45"/>
      <c r="C174" s="79" t="s">
        <v>16311</v>
      </c>
      <c r="D174" s="45"/>
      <c r="E174" s="79" t="s">
        <v>6801</v>
      </c>
      <c r="F174" s="79" t="s">
        <v>5300</v>
      </c>
      <c r="G174" s="80" t="s">
        <v>96</v>
      </c>
      <c r="H174" s="90">
        <v>8.576E-4</v>
      </c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</row>
    <row r="175">
      <c r="A175" s="79" t="s">
        <v>10001</v>
      </c>
      <c r="B175" s="45"/>
      <c r="C175" s="79" t="s">
        <v>10002</v>
      </c>
      <c r="D175" s="45"/>
      <c r="E175" s="79" t="s">
        <v>5215</v>
      </c>
      <c r="F175" s="79" t="s">
        <v>5300</v>
      </c>
      <c r="G175" s="80" t="s">
        <v>96</v>
      </c>
      <c r="H175" s="90">
        <v>8.574E-4</v>
      </c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</row>
    <row r="176">
      <c r="A176" s="79" t="s">
        <v>16312</v>
      </c>
      <c r="B176" s="45"/>
      <c r="C176" s="79" t="s">
        <v>16313</v>
      </c>
      <c r="D176" s="45"/>
      <c r="E176" s="79" t="s">
        <v>5650</v>
      </c>
      <c r="F176" s="79" t="s">
        <v>5300</v>
      </c>
      <c r="G176" s="80" t="s">
        <v>96</v>
      </c>
      <c r="H176" s="90">
        <v>8.553E-4</v>
      </c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</row>
    <row r="177">
      <c r="A177" s="79" t="s">
        <v>16314</v>
      </c>
      <c r="B177" s="45"/>
      <c r="C177" s="79" t="s">
        <v>16315</v>
      </c>
      <c r="D177" s="45"/>
      <c r="E177" s="79" t="s">
        <v>5261</v>
      </c>
      <c r="F177" s="79" t="s">
        <v>5300</v>
      </c>
      <c r="G177" s="80" t="s">
        <v>96</v>
      </c>
      <c r="H177" s="90">
        <v>8.521E-4</v>
      </c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</row>
    <row r="178">
      <c r="A178" s="79" t="s">
        <v>16316</v>
      </c>
      <c r="B178" s="45"/>
      <c r="C178" s="79" t="s">
        <v>16317</v>
      </c>
      <c r="D178" s="45"/>
      <c r="E178" s="79" t="s">
        <v>5283</v>
      </c>
      <c r="F178" s="79" t="s">
        <v>5300</v>
      </c>
      <c r="G178" s="80" t="s">
        <v>96</v>
      </c>
      <c r="H178" s="90">
        <v>8.51E-4</v>
      </c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</row>
    <row r="179">
      <c r="A179" s="79" t="s">
        <v>16318</v>
      </c>
      <c r="B179" s="45"/>
      <c r="C179" s="79" t="s">
        <v>16319</v>
      </c>
      <c r="D179" s="45"/>
      <c r="E179" s="79" t="s">
        <v>5321</v>
      </c>
      <c r="F179" s="79" t="s">
        <v>5300</v>
      </c>
      <c r="G179" s="80" t="s">
        <v>96</v>
      </c>
      <c r="H179" s="90">
        <v>8.51E-4</v>
      </c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</row>
    <row r="180">
      <c r="A180" s="79" t="s">
        <v>16320</v>
      </c>
      <c r="B180" s="45"/>
      <c r="C180" s="79" t="s">
        <v>16321</v>
      </c>
      <c r="D180" s="45"/>
      <c r="E180" s="79" t="s">
        <v>5267</v>
      </c>
      <c r="F180" s="79" t="s">
        <v>5300</v>
      </c>
      <c r="G180" s="80" t="s">
        <v>96</v>
      </c>
      <c r="H180" s="90">
        <v>8.509E-4</v>
      </c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</row>
    <row r="181">
      <c r="A181" s="79" t="s">
        <v>16322</v>
      </c>
      <c r="B181" s="45"/>
      <c r="C181" s="79" t="s">
        <v>16323</v>
      </c>
      <c r="D181" s="45"/>
      <c r="E181" s="79" t="s">
        <v>5311</v>
      </c>
      <c r="F181" s="79" t="s">
        <v>5300</v>
      </c>
      <c r="G181" s="80" t="s">
        <v>96</v>
      </c>
      <c r="H181" s="90">
        <v>8.477E-4</v>
      </c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</row>
    <row r="182">
      <c r="A182" s="79" t="s">
        <v>16324</v>
      </c>
      <c r="B182" s="45"/>
      <c r="C182" s="79" t="s">
        <v>16325</v>
      </c>
      <c r="D182" s="45"/>
      <c r="E182" s="79" t="s">
        <v>5215</v>
      </c>
      <c r="F182" s="79" t="s">
        <v>5300</v>
      </c>
      <c r="G182" s="80" t="s">
        <v>96</v>
      </c>
      <c r="H182" s="90">
        <v>8.447E-4</v>
      </c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</row>
    <row r="183">
      <c r="A183" s="79" t="s">
        <v>16326</v>
      </c>
      <c r="B183" s="45"/>
      <c r="C183" s="79" t="s">
        <v>16327</v>
      </c>
      <c r="D183" s="45"/>
      <c r="E183" s="79" t="s">
        <v>5377</v>
      </c>
      <c r="F183" s="79" t="s">
        <v>5836</v>
      </c>
      <c r="G183" s="80" t="s">
        <v>96</v>
      </c>
      <c r="H183" s="90">
        <v>8.443E-4</v>
      </c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</row>
    <row r="184">
      <c r="A184" s="79" t="s">
        <v>16328</v>
      </c>
      <c r="B184" s="45"/>
      <c r="C184" s="79" t="s">
        <v>16329</v>
      </c>
      <c r="D184" s="45"/>
      <c r="E184" s="79" t="s">
        <v>5232</v>
      </c>
      <c r="F184" s="79" t="s">
        <v>5425</v>
      </c>
      <c r="G184" s="80" t="s">
        <v>96</v>
      </c>
      <c r="H184" s="90">
        <v>8.434E-4</v>
      </c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</row>
    <row r="185">
      <c r="A185" s="79" t="s">
        <v>16330</v>
      </c>
      <c r="B185" s="45"/>
      <c r="C185" s="79" t="s">
        <v>16331</v>
      </c>
      <c r="D185" s="45"/>
      <c r="E185" s="79" t="s">
        <v>5261</v>
      </c>
      <c r="F185" s="79" t="s">
        <v>6210</v>
      </c>
      <c r="G185" s="80" t="s">
        <v>96</v>
      </c>
      <c r="H185" s="90">
        <v>8.424E-4</v>
      </c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</row>
    <row r="186">
      <c r="A186" s="79" t="s">
        <v>16332</v>
      </c>
      <c r="B186" s="45"/>
      <c r="C186" s="79" t="s">
        <v>16333</v>
      </c>
      <c r="D186" s="45"/>
      <c r="E186" s="79" t="s">
        <v>5401</v>
      </c>
      <c r="F186" s="79" t="s">
        <v>5300</v>
      </c>
      <c r="G186" s="80" t="s">
        <v>96</v>
      </c>
      <c r="H186" s="90">
        <v>8.416E-4</v>
      </c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</row>
    <row r="187">
      <c r="A187" s="79" t="s">
        <v>16334</v>
      </c>
      <c r="B187" s="45"/>
      <c r="C187" s="79" t="s">
        <v>16335</v>
      </c>
      <c r="D187" s="45"/>
      <c r="E187" s="79" t="s">
        <v>5235</v>
      </c>
      <c r="F187" s="79" t="s">
        <v>5300</v>
      </c>
      <c r="G187" s="80" t="s">
        <v>96</v>
      </c>
      <c r="H187" s="90">
        <v>8.409E-4</v>
      </c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</row>
    <row r="188">
      <c r="A188" s="79" t="s">
        <v>16336</v>
      </c>
      <c r="B188" s="45"/>
      <c r="C188" s="79" t="s">
        <v>16337</v>
      </c>
      <c r="D188" s="45"/>
      <c r="E188" s="79" t="s">
        <v>5407</v>
      </c>
      <c r="F188" s="79" t="s">
        <v>5300</v>
      </c>
      <c r="G188" s="80" t="s">
        <v>96</v>
      </c>
      <c r="H188" s="90">
        <v>8.404E-4</v>
      </c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</row>
    <row r="189">
      <c r="A189" s="79" t="s">
        <v>4706</v>
      </c>
      <c r="B189" s="45"/>
      <c r="C189" s="79" t="s">
        <v>10041</v>
      </c>
      <c r="D189" s="45"/>
      <c r="E189" s="79" t="s">
        <v>5215</v>
      </c>
      <c r="F189" s="79" t="s">
        <v>5300</v>
      </c>
      <c r="G189" s="80" t="s">
        <v>96</v>
      </c>
      <c r="H189" s="90">
        <v>8.401E-4</v>
      </c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</row>
    <row r="190">
      <c r="A190" s="79" t="s">
        <v>5362</v>
      </c>
      <c r="B190" s="45"/>
      <c r="C190" s="79" t="s">
        <v>16338</v>
      </c>
      <c r="D190" s="45"/>
      <c r="E190" s="79" t="s">
        <v>5775</v>
      </c>
      <c r="F190" s="79" t="s">
        <v>5300</v>
      </c>
      <c r="G190" s="80" t="s">
        <v>96</v>
      </c>
      <c r="H190" s="90">
        <v>8.38E-4</v>
      </c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</row>
    <row r="191">
      <c r="A191" s="79" t="s">
        <v>16339</v>
      </c>
      <c r="B191" s="45"/>
      <c r="C191" s="79" t="s">
        <v>16340</v>
      </c>
      <c r="D191" s="45"/>
      <c r="E191" s="79" t="s">
        <v>11325</v>
      </c>
      <c r="F191" s="79" t="s">
        <v>8759</v>
      </c>
      <c r="G191" s="80" t="s">
        <v>96</v>
      </c>
      <c r="H191" s="90">
        <v>8.378E-4</v>
      </c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</row>
    <row r="192">
      <c r="A192" s="79" t="s">
        <v>16341</v>
      </c>
      <c r="B192" s="45"/>
      <c r="C192" s="79" t="s">
        <v>16342</v>
      </c>
      <c r="D192" s="45"/>
      <c r="E192" s="79" t="s">
        <v>6480</v>
      </c>
      <c r="F192" s="79" t="s">
        <v>5300</v>
      </c>
      <c r="G192" s="80" t="s">
        <v>96</v>
      </c>
      <c r="H192" s="90">
        <v>8.29E-4</v>
      </c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</row>
    <row r="193">
      <c r="A193" s="79" t="s">
        <v>16343</v>
      </c>
      <c r="B193" s="45"/>
      <c r="C193" s="79" t="s">
        <v>16344</v>
      </c>
      <c r="D193" s="45"/>
      <c r="E193" s="79" t="s">
        <v>5253</v>
      </c>
      <c r="F193" s="79" t="s">
        <v>5300</v>
      </c>
      <c r="G193" s="80" t="s">
        <v>96</v>
      </c>
      <c r="H193" s="90">
        <v>8.27E-4</v>
      </c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</row>
    <row r="194">
      <c r="A194" s="79" t="s">
        <v>16345</v>
      </c>
      <c r="B194" s="45"/>
      <c r="C194" s="79" t="s">
        <v>16346</v>
      </c>
      <c r="D194" s="45"/>
      <c r="E194" s="79" t="s">
        <v>5407</v>
      </c>
      <c r="F194" s="79" t="s">
        <v>5300</v>
      </c>
      <c r="G194" s="80" t="s">
        <v>96</v>
      </c>
      <c r="H194" s="90">
        <v>8.265E-4</v>
      </c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</row>
    <row r="195">
      <c r="A195" s="79" t="s">
        <v>16347</v>
      </c>
      <c r="B195" s="45"/>
      <c r="C195" s="79" t="s">
        <v>16348</v>
      </c>
      <c r="D195" s="45"/>
      <c r="E195" s="79" t="s">
        <v>5478</v>
      </c>
      <c r="F195" s="79" t="s">
        <v>5300</v>
      </c>
      <c r="G195" s="80" t="s">
        <v>96</v>
      </c>
      <c r="H195" s="90">
        <v>8.265E-4</v>
      </c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</row>
    <row r="196">
      <c r="A196" s="79" t="s">
        <v>16349</v>
      </c>
      <c r="B196" s="45"/>
      <c r="C196" s="79" t="s">
        <v>16350</v>
      </c>
      <c r="D196" s="45"/>
      <c r="E196" s="79" t="s">
        <v>5478</v>
      </c>
      <c r="F196" s="79" t="s">
        <v>5300</v>
      </c>
      <c r="G196" s="80" t="s">
        <v>96</v>
      </c>
      <c r="H196" s="90">
        <v>8.257E-4</v>
      </c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</row>
    <row r="197">
      <c r="A197" s="79" t="s">
        <v>10123</v>
      </c>
      <c r="B197" s="45"/>
      <c r="C197" s="79" t="s">
        <v>10124</v>
      </c>
      <c r="D197" s="45"/>
      <c r="E197" s="79" t="s">
        <v>10125</v>
      </c>
      <c r="F197" s="79" t="s">
        <v>5300</v>
      </c>
      <c r="G197" s="80" t="s">
        <v>96</v>
      </c>
      <c r="H197" s="90">
        <v>8.243E-4</v>
      </c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</row>
    <row r="198">
      <c r="A198" s="79" t="s">
        <v>16351</v>
      </c>
      <c r="B198" s="45"/>
      <c r="C198" s="79" t="s">
        <v>16352</v>
      </c>
      <c r="D198" s="45"/>
      <c r="E198" s="79" t="s">
        <v>5215</v>
      </c>
      <c r="F198" s="79" t="s">
        <v>5300</v>
      </c>
      <c r="G198" s="80" t="s">
        <v>96</v>
      </c>
      <c r="H198" s="90">
        <v>8.221E-4</v>
      </c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</row>
    <row r="199">
      <c r="A199" s="79" t="s">
        <v>16353</v>
      </c>
      <c r="B199" s="45"/>
      <c r="C199" s="79" t="s">
        <v>16354</v>
      </c>
      <c r="D199" s="45"/>
      <c r="E199" s="79" t="s">
        <v>5467</v>
      </c>
      <c r="F199" s="79" t="s">
        <v>5300</v>
      </c>
      <c r="G199" s="80" t="s">
        <v>96</v>
      </c>
      <c r="H199" s="90">
        <v>8.199E-4</v>
      </c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</row>
    <row r="200">
      <c r="A200" s="79" t="s">
        <v>4716</v>
      </c>
      <c r="B200" s="45"/>
      <c r="C200" s="79" t="s">
        <v>10094</v>
      </c>
      <c r="D200" s="45"/>
      <c r="E200" s="79" t="s">
        <v>5218</v>
      </c>
      <c r="F200" s="79" t="s">
        <v>5300</v>
      </c>
      <c r="G200" s="80" t="s">
        <v>96</v>
      </c>
      <c r="H200" s="90">
        <v>8.182E-4</v>
      </c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</row>
    <row r="201">
      <c r="A201" s="79" t="s">
        <v>16355</v>
      </c>
      <c r="B201" s="45"/>
      <c r="C201" s="79" t="s">
        <v>16356</v>
      </c>
      <c r="D201" s="45"/>
      <c r="E201" s="79" t="s">
        <v>5450</v>
      </c>
      <c r="F201" s="79" t="s">
        <v>5300</v>
      </c>
      <c r="G201" s="80" t="s">
        <v>96</v>
      </c>
      <c r="H201" s="90">
        <v>8.119E-4</v>
      </c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</row>
    <row r="202">
      <c r="A202" s="79" t="s">
        <v>16357</v>
      </c>
      <c r="B202" s="45"/>
      <c r="C202" s="79" t="s">
        <v>16358</v>
      </c>
      <c r="D202" s="45"/>
      <c r="E202" s="79" t="s">
        <v>5609</v>
      </c>
      <c r="F202" s="79" t="s">
        <v>5300</v>
      </c>
      <c r="G202" s="80" t="s">
        <v>96</v>
      </c>
      <c r="H202" s="90">
        <v>8.101E-4</v>
      </c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</row>
    <row r="203">
      <c r="A203" s="79" t="s">
        <v>7344</v>
      </c>
      <c r="B203" s="45"/>
      <c r="C203" s="79" t="s">
        <v>16359</v>
      </c>
      <c r="D203" s="45"/>
      <c r="E203" s="79" t="s">
        <v>5366</v>
      </c>
      <c r="F203" s="79" t="s">
        <v>5300</v>
      </c>
      <c r="G203" s="80" t="s">
        <v>96</v>
      </c>
      <c r="H203" s="90">
        <v>8.08E-4</v>
      </c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</row>
    <row r="204">
      <c r="A204" s="79" t="s">
        <v>16360</v>
      </c>
      <c r="B204" s="45"/>
      <c r="C204" s="79" t="s">
        <v>16361</v>
      </c>
      <c r="D204" s="45"/>
      <c r="E204" s="79" t="s">
        <v>6115</v>
      </c>
      <c r="F204" s="79" t="s">
        <v>5300</v>
      </c>
      <c r="G204" s="80" t="s">
        <v>96</v>
      </c>
      <c r="H204" s="90">
        <v>8.071E-4</v>
      </c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</row>
    <row r="205">
      <c r="A205" s="79" t="s">
        <v>16362</v>
      </c>
      <c r="B205" s="45"/>
      <c r="C205" s="79" t="s">
        <v>16363</v>
      </c>
      <c r="D205" s="45"/>
      <c r="E205" s="79" t="s">
        <v>5276</v>
      </c>
      <c r="F205" s="79" t="s">
        <v>5300</v>
      </c>
      <c r="G205" s="80" t="s">
        <v>96</v>
      </c>
      <c r="H205" s="90">
        <v>8.041E-4</v>
      </c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</row>
    <row r="206">
      <c r="A206" s="79" t="s">
        <v>16364</v>
      </c>
      <c r="B206" s="45"/>
      <c r="C206" s="79" t="s">
        <v>16365</v>
      </c>
      <c r="D206" s="45"/>
      <c r="E206" s="79" t="s">
        <v>6487</v>
      </c>
      <c r="F206" s="79" t="s">
        <v>5300</v>
      </c>
      <c r="G206" s="80" t="s">
        <v>96</v>
      </c>
      <c r="H206" s="90">
        <v>8.019E-4</v>
      </c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</row>
    <row r="207">
      <c r="A207" s="79" t="s">
        <v>16366</v>
      </c>
      <c r="B207" s="45"/>
      <c r="C207" s="79" t="s">
        <v>16367</v>
      </c>
      <c r="D207" s="45"/>
      <c r="E207" s="79" t="s">
        <v>6130</v>
      </c>
      <c r="F207" s="79" t="s">
        <v>5300</v>
      </c>
      <c r="G207" s="80" t="s">
        <v>96</v>
      </c>
      <c r="H207" s="90">
        <v>8.011E-4</v>
      </c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</row>
    <row r="208">
      <c r="A208" s="79" t="s">
        <v>16368</v>
      </c>
      <c r="B208" s="45"/>
      <c r="C208" s="79" t="s">
        <v>16369</v>
      </c>
      <c r="D208" s="45"/>
      <c r="E208" s="79" t="s">
        <v>6798</v>
      </c>
      <c r="F208" s="79" t="s">
        <v>5425</v>
      </c>
      <c r="G208" s="80" t="s">
        <v>96</v>
      </c>
      <c r="H208" s="90">
        <v>8.009E-4</v>
      </c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</row>
    <row r="209">
      <c r="A209" s="79" t="s">
        <v>16370</v>
      </c>
      <c r="B209" s="45"/>
      <c r="C209" s="79" t="s">
        <v>16371</v>
      </c>
      <c r="D209" s="45"/>
      <c r="E209" s="79" t="s">
        <v>5291</v>
      </c>
      <c r="F209" s="79" t="s">
        <v>5300</v>
      </c>
      <c r="G209" s="80" t="s">
        <v>96</v>
      </c>
      <c r="H209" s="90">
        <v>8.001E-4</v>
      </c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</row>
    <row r="210">
      <c r="A210" s="79" t="s">
        <v>16372</v>
      </c>
      <c r="B210" s="45"/>
      <c r="C210" s="79" t="s">
        <v>16373</v>
      </c>
      <c r="D210" s="45"/>
      <c r="E210" s="79" t="s">
        <v>5407</v>
      </c>
      <c r="F210" s="79" t="s">
        <v>5300</v>
      </c>
      <c r="G210" s="80" t="s">
        <v>96</v>
      </c>
      <c r="H210" s="90">
        <v>7.996E-4</v>
      </c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</row>
    <row r="211">
      <c r="A211" s="79" t="s">
        <v>16374</v>
      </c>
      <c r="B211" s="45"/>
      <c r="C211" s="79" t="s">
        <v>16375</v>
      </c>
      <c r="D211" s="45"/>
      <c r="E211" s="79" t="s">
        <v>5215</v>
      </c>
      <c r="F211" s="79" t="s">
        <v>5300</v>
      </c>
      <c r="G211" s="80" t="s">
        <v>96</v>
      </c>
      <c r="H211" s="90">
        <v>7.94E-4</v>
      </c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</row>
    <row r="212">
      <c r="A212" s="79" t="s">
        <v>16376</v>
      </c>
      <c r="B212" s="45"/>
      <c r="C212" s="79" t="s">
        <v>16377</v>
      </c>
      <c r="D212" s="45"/>
      <c r="E212" s="79" t="s">
        <v>8110</v>
      </c>
      <c r="F212" s="79" t="s">
        <v>5300</v>
      </c>
      <c r="G212" s="80" t="s">
        <v>96</v>
      </c>
      <c r="H212" s="90">
        <v>7.923E-4</v>
      </c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</row>
    <row r="213">
      <c r="A213" s="79" t="s">
        <v>10157</v>
      </c>
      <c r="B213" s="45"/>
      <c r="C213" s="79" t="s">
        <v>10158</v>
      </c>
      <c r="D213" s="45"/>
      <c r="E213" s="79" t="s">
        <v>5218</v>
      </c>
      <c r="F213" s="79" t="s">
        <v>5300</v>
      </c>
      <c r="G213" s="80" t="s">
        <v>96</v>
      </c>
      <c r="H213" s="90">
        <v>7.903E-4</v>
      </c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</row>
    <row r="214">
      <c r="A214" s="79" t="s">
        <v>16378</v>
      </c>
      <c r="B214" s="45"/>
      <c r="C214" s="79" t="s">
        <v>16379</v>
      </c>
      <c r="D214" s="45"/>
      <c r="E214" s="79" t="s">
        <v>5276</v>
      </c>
      <c r="F214" s="79" t="s">
        <v>5300</v>
      </c>
      <c r="G214" s="80" t="s">
        <v>96</v>
      </c>
      <c r="H214" s="90">
        <v>7.889E-4</v>
      </c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</row>
    <row r="215">
      <c r="A215" s="79" t="s">
        <v>16380</v>
      </c>
      <c r="B215" s="45"/>
      <c r="C215" s="79" t="s">
        <v>16381</v>
      </c>
      <c r="D215" s="45"/>
      <c r="E215" s="79" t="s">
        <v>5291</v>
      </c>
      <c r="F215" s="79" t="s">
        <v>5300</v>
      </c>
      <c r="G215" s="80" t="s">
        <v>96</v>
      </c>
      <c r="H215" s="90">
        <v>7.88E-4</v>
      </c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</row>
    <row r="216">
      <c r="A216" s="79" t="s">
        <v>16382</v>
      </c>
      <c r="B216" s="45"/>
      <c r="C216" s="79" t="s">
        <v>16383</v>
      </c>
      <c r="D216" s="45"/>
      <c r="E216" s="79" t="s">
        <v>6472</v>
      </c>
      <c r="F216" s="79" t="s">
        <v>4357</v>
      </c>
      <c r="G216" s="80" t="s">
        <v>96</v>
      </c>
      <c r="H216" s="90">
        <v>7.88E-4</v>
      </c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</row>
    <row r="217">
      <c r="A217" s="79" t="s">
        <v>16384</v>
      </c>
      <c r="B217" s="45"/>
      <c r="C217" s="79" t="s">
        <v>16385</v>
      </c>
      <c r="D217" s="45"/>
      <c r="E217" s="79" t="s">
        <v>5218</v>
      </c>
      <c r="F217" s="79" t="s">
        <v>5300</v>
      </c>
      <c r="G217" s="80" t="s">
        <v>96</v>
      </c>
      <c r="H217" s="90">
        <v>7.872E-4</v>
      </c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</row>
    <row r="218">
      <c r="A218" s="79" t="s">
        <v>10030</v>
      </c>
      <c r="B218" s="45"/>
      <c r="C218" s="79" t="s">
        <v>10031</v>
      </c>
      <c r="D218" s="45"/>
      <c r="E218" s="79" t="s">
        <v>6130</v>
      </c>
      <c r="F218" s="79" t="s">
        <v>8759</v>
      </c>
      <c r="G218" s="80" t="s">
        <v>96</v>
      </c>
      <c r="H218" s="90">
        <v>7.869E-4</v>
      </c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</row>
    <row r="219">
      <c r="A219" s="79" t="s">
        <v>16386</v>
      </c>
      <c r="B219" s="45"/>
      <c r="C219" s="79" t="s">
        <v>16387</v>
      </c>
      <c r="D219" s="45"/>
      <c r="E219" s="79" t="s">
        <v>5264</v>
      </c>
      <c r="F219" s="79" t="s">
        <v>5300</v>
      </c>
      <c r="G219" s="80" t="s">
        <v>96</v>
      </c>
      <c r="H219" s="90">
        <v>7.859E-4</v>
      </c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</row>
    <row r="220">
      <c r="A220" s="79" t="s">
        <v>16388</v>
      </c>
      <c r="B220" s="45"/>
      <c r="C220" s="79" t="s">
        <v>16389</v>
      </c>
      <c r="D220" s="45"/>
      <c r="E220" s="79" t="s">
        <v>5650</v>
      </c>
      <c r="F220" s="79" t="s">
        <v>5300</v>
      </c>
      <c r="G220" s="80" t="s">
        <v>96</v>
      </c>
      <c r="H220" s="90">
        <v>7.854E-4</v>
      </c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</row>
    <row r="221">
      <c r="A221" s="79" t="s">
        <v>16390</v>
      </c>
      <c r="B221" s="45"/>
      <c r="C221" s="79" t="s">
        <v>16391</v>
      </c>
      <c r="D221" s="45"/>
      <c r="E221" s="79" t="s">
        <v>5404</v>
      </c>
      <c r="F221" s="79" t="s">
        <v>5425</v>
      </c>
      <c r="G221" s="80" t="s">
        <v>96</v>
      </c>
      <c r="H221" s="90">
        <v>7.836E-4</v>
      </c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</row>
    <row r="222">
      <c r="A222" s="79" t="s">
        <v>16392</v>
      </c>
      <c r="B222" s="45"/>
      <c r="C222" s="79" t="s">
        <v>16393</v>
      </c>
      <c r="D222" s="45"/>
      <c r="E222" s="79" t="s">
        <v>5267</v>
      </c>
      <c r="F222" s="79" t="s">
        <v>5300</v>
      </c>
      <c r="G222" s="80" t="s">
        <v>96</v>
      </c>
      <c r="H222" s="90">
        <v>7.826E-4</v>
      </c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</row>
    <row r="223">
      <c r="A223" s="79" t="s">
        <v>16394</v>
      </c>
      <c r="B223" s="45"/>
      <c r="C223" s="79" t="s">
        <v>16395</v>
      </c>
      <c r="D223" s="45"/>
      <c r="E223" s="79" t="s">
        <v>6389</v>
      </c>
      <c r="F223" s="79" t="s">
        <v>5300</v>
      </c>
      <c r="G223" s="80" t="s">
        <v>96</v>
      </c>
      <c r="H223" s="90">
        <v>7.805E-4</v>
      </c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</row>
    <row r="224">
      <c r="A224" s="79" t="s">
        <v>16396</v>
      </c>
      <c r="B224" s="45"/>
      <c r="C224" s="79" t="s">
        <v>16397</v>
      </c>
      <c r="D224" s="45"/>
      <c r="E224" s="79" t="s">
        <v>5404</v>
      </c>
      <c r="F224" s="79" t="s">
        <v>5300</v>
      </c>
      <c r="G224" s="80" t="s">
        <v>96</v>
      </c>
      <c r="H224" s="90">
        <v>7.8E-4</v>
      </c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</row>
    <row r="225">
      <c r="A225" s="79" t="s">
        <v>16398</v>
      </c>
      <c r="B225" s="45"/>
      <c r="C225" s="79" t="s">
        <v>16399</v>
      </c>
      <c r="D225" s="45"/>
      <c r="E225" s="79" t="s">
        <v>5276</v>
      </c>
      <c r="F225" s="79" t="s">
        <v>5300</v>
      </c>
      <c r="G225" s="80" t="s">
        <v>96</v>
      </c>
      <c r="H225" s="90">
        <v>7.797E-4</v>
      </c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</row>
    <row r="226">
      <c r="A226" s="79" t="s">
        <v>16400</v>
      </c>
      <c r="B226" s="45"/>
      <c r="C226" s="79" t="s">
        <v>16401</v>
      </c>
      <c r="D226" s="45"/>
      <c r="E226" s="79" t="s">
        <v>5855</v>
      </c>
      <c r="F226" s="79" t="s">
        <v>9021</v>
      </c>
      <c r="G226" s="80" t="s">
        <v>96</v>
      </c>
      <c r="H226" s="90">
        <v>7.792E-4</v>
      </c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</row>
    <row r="227">
      <c r="A227" s="79" t="s">
        <v>16402</v>
      </c>
      <c r="B227" s="45"/>
      <c r="C227" s="79" t="s">
        <v>16403</v>
      </c>
      <c r="D227" s="45"/>
      <c r="E227" s="79" t="s">
        <v>5374</v>
      </c>
      <c r="F227" s="79" t="s">
        <v>5300</v>
      </c>
      <c r="G227" s="80" t="s">
        <v>96</v>
      </c>
      <c r="H227" s="90">
        <v>7.754E-4</v>
      </c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</row>
    <row r="228">
      <c r="A228" s="79" t="s">
        <v>16404</v>
      </c>
      <c r="B228" s="45"/>
      <c r="C228" s="79" t="s">
        <v>16405</v>
      </c>
      <c r="D228" s="45"/>
      <c r="E228" s="79" t="s">
        <v>6487</v>
      </c>
      <c r="F228" s="79" t="s">
        <v>5300</v>
      </c>
      <c r="G228" s="80" t="s">
        <v>96</v>
      </c>
      <c r="H228" s="90">
        <v>7.749E-4</v>
      </c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</row>
    <row r="229">
      <c r="A229" s="79" t="s">
        <v>16406</v>
      </c>
      <c r="B229" s="45"/>
      <c r="C229" s="79" t="s">
        <v>16407</v>
      </c>
      <c r="D229" s="45"/>
      <c r="E229" s="79" t="s">
        <v>5450</v>
      </c>
      <c r="F229" s="79" t="s">
        <v>5300</v>
      </c>
      <c r="G229" s="80" t="s">
        <v>96</v>
      </c>
      <c r="H229" s="90">
        <v>7.74E-4</v>
      </c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</row>
    <row r="230">
      <c r="A230" s="79" t="s">
        <v>16408</v>
      </c>
      <c r="B230" s="45"/>
      <c r="C230" s="79" t="s">
        <v>16409</v>
      </c>
      <c r="D230" s="45"/>
      <c r="E230" s="79" t="s">
        <v>5283</v>
      </c>
      <c r="F230" s="79" t="s">
        <v>5300</v>
      </c>
      <c r="G230" s="80" t="s">
        <v>96</v>
      </c>
      <c r="H230" s="90">
        <v>7.731E-4</v>
      </c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</row>
    <row r="231">
      <c r="A231" s="79" t="s">
        <v>16410</v>
      </c>
      <c r="B231" s="45"/>
      <c r="C231" s="79" t="s">
        <v>16411</v>
      </c>
      <c r="D231" s="45"/>
      <c r="E231" s="79" t="s">
        <v>9189</v>
      </c>
      <c r="F231" s="79" t="s">
        <v>5300</v>
      </c>
      <c r="G231" s="80" t="s">
        <v>96</v>
      </c>
      <c r="H231" s="90">
        <v>7.694E-4</v>
      </c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</row>
    <row r="232">
      <c r="A232" s="79" t="s">
        <v>10199</v>
      </c>
      <c r="B232" s="45"/>
      <c r="C232" s="79" t="s">
        <v>10200</v>
      </c>
      <c r="D232" s="45"/>
      <c r="E232" s="79" t="s">
        <v>8951</v>
      </c>
      <c r="F232" s="79" t="s">
        <v>8759</v>
      </c>
      <c r="G232" s="80" t="s">
        <v>96</v>
      </c>
      <c r="H232" s="90">
        <v>7.665E-4</v>
      </c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</row>
    <row r="233">
      <c r="A233" s="79" t="s">
        <v>16412</v>
      </c>
      <c r="B233" s="45"/>
      <c r="C233" s="79" t="s">
        <v>16413</v>
      </c>
      <c r="D233" s="45"/>
      <c r="E233" s="79" t="s">
        <v>5478</v>
      </c>
      <c r="F233" s="79" t="s">
        <v>5300</v>
      </c>
      <c r="G233" s="80" t="s">
        <v>96</v>
      </c>
      <c r="H233" s="90">
        <v>7.66E-4</v>
      </c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</row>
    <row r="234">
      <c r="A234" s="79" t="s">
        <v>16414</v>
      </c>
      <c r="B234" s="45"/>
      <c r="C234" s="79" t="s">
        <v>16415</v>
      </c>
      <c r="D234" s="45"/>
      <c r="E234" s="79" t="s">
        <v>5261</v>
      </c>
      <c r="F234" s="79" t="s">
        <v>5300</v>
      </c>
      <c r="G234" s="80" t="s">
        <v>96</v>
      </c>
      <c r="H234" s="90">
        <v>7.652E-4</v>
      </c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</row>
    <row r="235">
      <c r="A235" s="79" t="s">
        <v>16416</v>
      </c>
      <c r="B235" s="45"/>
      <c r="C235" s="79" t="s">
        <v>16417</v>
      </c>
      <c r="D235" s="45"/>
      <c r="E235" s="79" t="s">
        <v>7248</v>
      </c>
      <c r="F235" s="79" t="s">
        <v>5268</v>
      </c>
      <c r="G235" s="80" t="s">
        <v>96</v>
      </c>
      <c r="H235" s="90">
        <v>7.651E-4</v>
      </c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</row>
    <row r="236">
      <c r="A236" s="79" t="s">
        <v>16418</v>
      </c>
      <c r="B236" s="45"/>
      <c r="C236" s="79" t="s">
        <v>16419</v>
      </c>
      <c r="D236" s="45"/>
      <c r="E236" s="79" t="s">
        <v>6012</v>
      </c>
      <c r="F236" s="79" t="s">
        <v>5300</v>
      </c>
      <c r="G236" s="80" t="s">
        <v>96</v>
      </c>
      <c r="H236" s="90">
        <v>7.651E-4</v>
      </c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</row>
    <row r="237">
      <c r="A237" s="79" t="s">
        <v>16420</v>
      </c>
      <c r="B237" s="45"/>
      <c r="C237" s="79" t="s">
        <v>16421</v>
      </c>
      <c r="D237" s="45"/>
      <c r="E237" s="79" t="s">
        <v>5276</v>
      </c>
      <c r="F237" s="79" t="s">
        <v>6988</v>
      </c>
      <c r="G237" s="80" t="s">
        <v>96</v>
      </c>
      <c r="H237" s="90">
        <v>7.614E-4</v>
      </c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</row>
    <row r="238">
      <c r="A238" s="79" t="s">
        <v>16422</v>
      </c>
      <c r="B238" s="45"/>
      <c r="C238" s="79" t="s">
        <v>16423</v>
      </c>
      <c r="D238" s="45"/>
      <c r="E238" s="79" t="s">
        <v>7169</v>
      </c>
      <c r="F238" s="79" t="s">
        <v>5300</v>
      </c>
      <c r="G238" s="80" t="s">
        <v>96</v>
      </c>
      <c r="H238" s="90">
        <v>7.602E-4</v>
      </c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</row>
    <row r="239">
      <c r="A239" s="79" t="s">
        <v>10225</v>
      </c>
      <c r="B239" s="45"/>
      <c r="C239" s="79" t="s">
        <v>10226</v>
      </c>
      <c r="D239" s="45"/>
      <c r="E239" s="79" t="s">
        <v>5264</v>
      </c>
      <c r="F239" s="79" t="s">
        <v>5425</v>
      </c>
      <c r="G239" s="80" t="s">
        <v>96</v>
      </c>
      <c r="H239" s="90">
        <v>7.591E-4</v>
      </c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</row>
    <row r="240">
      <c r="A240" s="79" t="s">
        <v>16424</v>
      </c>
      <c r="B240" s="45"/>
      <c r="C240" s="79" t="s">
        <v>16425</v>
      </c>
      <c r="D240" s="45"/>
      <c r="E240" s="79" t="s">
        <v>8230</v>
      </c>
      <c r="F240" s="79" t="s">
        <v>5425</v>
      </c>
      <c r="G240" s="80" t="s">
        <v>96</v>
      </c>
      <c r="H240" s="90">
        <v>7.573E-4</v>
      </c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</row>
    <row r="241">
      <c r="A241" s="79" t="s">
        <v>16426</v>
      </c>
      <c r="B241" s="45"/>
      <c r="C241" s="79" t="s">
        <v>16427</v>
      </c>
      <c r="D241" s="45"/>
      <c r="E241" s="79" t="s">
        <v>5357</v>
      </c>
      <c r="F241" s="79" t="s">
        <v>5300</v>
      </c>
      <c r="G241" s="80" t="s">
        <v>96</v>
      </c>
      <c r="H241" s="90">
        <v>7.563E-4</v>
      </c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</row>
    <row r="242">
      <c r="A242" s="79" t="s">
        <v>16428</v>
      </c>
      <c r="B242" s="45"/>
      <c r="C242" s="79" t="s">
        <v>16429</v>
      </c>
      <c r="D242" s="45"/>
      <c r="E242" s="79" t="s">
        <v>5759</v>
      </c>
      <c r="F242" s="79" t="s">
        <v>5300</v>
      </c>
      <c r="G242" s="80" t="s">
        <v>96</v>
      </c>
      <c r="H242" s="90">
        <v>7.54E-4</v>
      </c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</row>
    <row r="243">
      <c r="A243" s="79" t="s">
        <v>16430</v>
      </c>
      <c r="B243" s="45"/>
      <c r="C243" s="79" t="s">
        <v>16431</v>
      </c>
      <c r="D243" s="45"/>
      <c r="E243" s="79" t="s">
        <v>5374</v>
      </c>
      <c r="F243" s="79" t="s">
        <v>5300</v>
      </c>
      <c r="G243" s="80" t="s">
        <v>96</v>
      </c>
      <c r="H243" s="90">
        <v>7.523E-4</v>
      </c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</row>
    <row r="244">
      <c r="A244" s="79" t="s">
        <v>16432</v>
      </c>
      <c r="B244" s="45"/>
      <c r="C244" s="79" t="s">
        <v>16433</v>
      </c>
      <c r="D244" s="45"/>
      <c r="E244" s="79" t="s">
        <v>5215</v>
      </c>
      <c r="F244" s="79" t="s">
        <v>16434</v>
      </c>
      <c r="G244" s="80" t="s">
        <v>96</v>
      </c>
      <c r="H244" s="90">
        <v>7.515E-4</v>
      </c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</row>
    <row r="245">
      <c r="A245" s="79" t="s">
        <v>16435</v>
      </c>
      <c r="B245" s="45"/>
      <c r="C245" s="79" t="s">
        <v>16436</v>
      </c>
      <c r="D245" s="45"/>
      <c r="E245" s="79" t="s">
        <v>6389</v>
      </c>
      <c r="F245" s="79" t="s">
        <v>8784</v>
      </c>
      <c r="G245" s="80" t="s">
        <v>96</v>
      </c>
      <c r="H245" s="90">
        <v>7.509E-4</v>
      </c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</row>
    <row r="246">
      <c r="A246" s="79" t="s">
        <v>16437</v>
      </c>
      <c r="B246" s="45"/>
      <c r="C246" s="79" t="s">
        <v>16438</v>
      </c>
      <c r="D246" s="45"/>
      <c r="E246" s="79" t="s">
        <v>5283</v>
      </c>
      <c r="F246" s="79" t="s">
        <v>5300</v>
      </c>
      <c r="G246" s="80" t="s">
        <v>96</v>
      </c>
      <c r="H246" s="90">
        <v>7.509E-4</v>
      </c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</row>
    <row r="247">
      <c r="A247" s="79" t="s">
        <v>16439</v>
      </c>
      <c r="B247" s="45"/>
      <c r="C247" s="79" t="s">
        <v>16440</v>
      </c>
      <c r="D247" s="45"/>
      <c r="E247" s="79" t="s">
        <v>5650</v>
      </c>
      <c r="F247" s="79" t="s">
        <v>5300</v>
      </c>
      <c r="G247" s="80" t="s">
        <v>96</v>
      </c>
      <c r="H247" s="90">
        <v>7.497E-4</v>
      </c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</row>
    <row r="248">
      <c r="A248" s="79" t="s">
        <v>16441</v>
      </c>
      <c r="B248" s="45"/>
      <c r="C248" s="79" t="s">
        <v>16442</v>
      </c>
      <c r="D248" s="45"/>
      <c r="E248" s="79" t="s">
        <v>5215</v>
      </c>
      <c r="F248" s="79" t="s">
        <v>5300</v>
      </c>
      <c r="G248" s="80" t="s">
        <v>96</v>
      </c>
      <c r="H248" s="90">
        <v>7.49E-4</v>
      </c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</row>
    <row r="249">
      <c r="A249" s="79" t="s">
        <v>16443</v>
      </c>
      <c r="B249" s="45"/>
      <c r="C249" s="79" t="s">
        <v>16444</v>
      </c>
      <c r="D249" s="45"/>
      <c r="E249" s="79" t="s">
        <v>7471</v>
      </c>
      <c r="F249" s="79" t="s">
        <v>5300</v>
      </c>
      <c r="G249" s="80" t="s">
        <v>96</v>
      </c>
      <c r="H249" s="90">
        <v>7.481E-4</v>
      </c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</row>
    <row r="250">
      <c r="A250" s="79" t="s">
        <v>16445</v>
      </c>
      <c r="B250" s="45"/>
      <c r="C250" s="79" t="s">
        <v>16446</v>
      </c>
      <c r="D250" s="45"/>
      <c r="E250" s="79" t="s">
        <v>6249</v>
      </c>
      <c r="F250" s="79" t="s">
        <v>5300</v>
      </c>
      <c r="G250" s="80" t="s">
        <v>96</v>
      </c>
      <c r="H250" s="90">
        <v>7.47E-4</v>
      </c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</row>
    <row r="251">
      <c r="A251" s="79" t="s">
        <v>16447</v>
      </c>
      <c r="B251" s="45"/>
      <c r="C251" s="79" t="s">
        <v>16448</v>
      </c>
      <c r="D251" s="45"/>
      <c r="E251" s="79" t="s">
        <v>5650</v>
      </c>
      <c r="F251" s="79" t="s">
        <v>5300</v>
      </c>
      <c r="G251" s="80" t="s">
        <v>96</v>
      </c>
      <c r="H251" s="90">
        <v>7.461E-4</v>
      </c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</row>
    <row r="252">
      <c r="A252" s="79" t="s">
        <v>16449</v>
      </c>
      <c r="B252" s="45"/>
      <c r="C252" s="79" t="s">
        <v>16450</v>
      </c>
      <c r="D252" s="45"/>
      <c r="E252" s="79" t="s">
        <v>5215</v>
      </c>
      <c r="F252" s="79" t="s">
        <v>5300</v>
      </c>
      <c r="G252" s="80" t="s">
        <v>96</v>
      </c>
      <c r="H252" s="90">
        <v>7.455E-4</v>
      </c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</row>
    <row r="253">
      <c r="A253" s="79" t="s">
        <v>10185</v>
      </c>
      <c r="B253" s="45"/>
      <c r="C253" s="79" t="s">
        <v>10186</v>
      </c>
      <c r="D253" s="45"/>
      <c r="E253" s="79" t="s">
        <v>5650</v>
      </c>
      <c r="F253" s="79" t="s">
        <v>5747</v>
      </c>
      <c r="G253" s="80" t="s">
        <v>96</v>
      </c>
      <c r="H253" s="90">
        <v>7.454E-4</v>
      </c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</row>
    <row r="254">
      <c r="A254" s="79" t="s">
        <v>10070</v>
      </c>
      <c r="B254" s="45"/>
      <c r="C254" s="79" t="s">
        <v>10071</v>
      </c>
      <c r="D254" s="45"/>
      <c r="E254" s="79" t="s">
        <v>5735</v>
      </c>
      <c r="F254" s="79" t="s">
        <v>5425</v>
      </c>
      <c r="G254" s="80" t="s">
        <v>96</v>
      </c>
      <c r="H254" s="90">
        <v>7.447E-4</v>
      </c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</row>
    <row r="255">
      <c r="A255" s="79" t="s">
        <v>10048</v>
      </c>
      <c r="B255" s="45"/>
      <c r="C255" s="79" t="s">
        <v>10049</v>
      </c>
      <c r="D255" s="45"/>
      <c r="E255" s="79" t="s">
        <v>5561</v>
      </c>
      <c r="F255" s="79" t="s">
        <v>8759</v>
      </c>
      <c r="G255" s="80" t="s">
        <v>96</v>
      </c>
      <c r="H255" s="90">
        <v>7.408E-4</v>
      </c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</row>
    <row r="256">
      <c r="A256" s="79" t="s">
        <v>5324</v>
      </c>
      <c r="B256" s="45"/>
      <c r="C256" s="79" t="s">
        <v>16451</v>
      </c>
      <c r="D256" s="45"/>
      <c r="E256" s="79" t="s">
        <v>6157</v>
      </c>
      <c r="F256" s="79" t="s">
        <v>5300</v>
      </c>
      <c r="G256" s="80" t="s">
        <v>96</v>
      </c>
      <c r="H256" s="90">
        <v>7.375E-4</v>
      </c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</row>
    <row r="257">
      <c r="A257" s="79" t="s">
        <v>16452</v>
      </c>
      <c r="B257" s="45"/>
      <c r="C257" s="79" t="s">
        <v>16453</v>
      </c>
      <c r="D257" s="45"/>
      <c r="E257" s="79" t="s">
        <v>5218</v>
      </c>
      <c r="F257" s="79" t="s">
        <v>5268</v>
      </c>
      <c r="G257" s="80" t="s">
        <v>96</v>
      </c>
      <c r="H257" s="90">
        <v>7.374E-4</v>
      </c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</row>
    <row r="258">
      <c r="A258" s="79" t="s">
        <v>16454</v>
      </c>
      <c r="B258" s="45"/>
      <c r="C258" s="79" t="s">
        <v>16455</v>
      </c>
      <c r="D258" s="45"/>
      <c r="E258" s="79" t="s">
        <v>5855</v>
      </c>
      <c r="F258" s="79" t="s">
        <v>5300</v>
      </c>
      <c r="G258" s="80" t="s">
        <v>96</v>
      </c>
      <c r="H258" s="90">
        <v>7.372E-4</v>
      </c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</row>
    <row r="259">
      <c r="A259" s="79" t="s">
        <v>16456</v>
      </c>
      <c r="B259" s="45"/>
      <c r="C259" s="79" t="s">
        <v>16457</v>
      </c>
      <c r="D259" s="45"/>
      <c r="E259" s="79" t="s">
        <v>5422</v>
      </c>
      <c r="F259" s="79" t="s">
        <v>5836</v>
      </c>
      <c r="G259" s="80" t="s">
        <v>96</v>
      </c>
      <c r="H259" s="90">
        <v>7.364E-4</v>
      </c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</row>
    <row r="260">
      <c r="A260" s="79" t="s">
        <v>8975</v>
      </c>
      <c r="B260" s="45"/>
      <c r="C260" s="79" t="s">
        <v>16458</v>
      </c>
      <c r="D260" s="45"/>
      <c r="E260" s="79" t="s">
        <v>5226</v>
      </c>
      <c r="F260" s="79" t="s">
        <v>5836</v>
      </c>
      <c r="G260" s="80" t="s">
        <v>96</v>
      </c>
      <c r="H260" s="90">
        <v>7.357E-4</v>
      </c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</row>
    <row r="261">
      <c r="A261" s="79" t="s">
        <v>16459</v>
      </c>
      <c r="B261" s="45"/>
      <c r="C261" s="79" t="s">
        <v>16460</v>
      </c>
      <c r="D261" s="45"/>
      <c r="E261" s="79" t="s">
        <v>5467</v>
      </c>
      <c r="F261" s="79" t="s">
        <v>5300</v>
      </c>
      <c r="G261" s="80" t="s">
        <v>96</v>
      </c>
      <c r="H261" s="90">
        <v>7.355E-4</v>
      </c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</row>
    <row r="262">
      <c r="A262" s="79" t="s">
        <v>16461</v>
      </c>
      <c r="B262" s="45"/>
      <c r="C262" s="79" t="s">
        <v>16462</v>
      </c>
      <c r="D262" s="45"/>
      <c r="E262" s="79" t="s">
        <v>7611</v>
      </c>
      <c r="F262" s="79" t="s">
        <v>5300</v>
      </c>
      <c r="G262" s="80" t="s">
        <v>96</v>
      </c>
      <c r="H262" s="90">
        <v>7.339E-4</v>
      </c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</row>
    <row r="263">
      <c r="A263" s="79" t="s">
        <v>16463</v>
      </c>
      <c r="B263" s="45"/>
      <c r="C263" s="79" t="s">
        <v>16464</v>
      </c>
      <c r="D263" s="45"/>
      <c r="E263" s="79" t="s">
        <v>6475</v>
      </c>
      <c r="F263" s="79" t="s">
        <v>5300</v>
      </c>
      <c r="G263" s="80" t="s">
        <v>96</v>
      </c>
      <c r="H263" s="90">
        <v>7.337E-4</v>
      </c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</row>
    <row r="264">
      <c r="A264" s="79" t="s">
        <v>10386</v>
      </c>
      <c r="B264" s="45"/>
      <c r="C264" s="79" t="s">
        <v>10387</v>
      </c>
      <c r="D264" s="45"/>
      <c r="E264" s="79" t="s">
        <v>6338</v>
      </c>
      <c r="F264" s="79" t="s">
        <v>6210</v>
      </c>
      <c r="G264" s="80" t="s">
        <v>96</v>
      </c>
      <c r="H264" s="90">
        <v>7.334E-4</v>
      </c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</row>
    <row r="265">
      <c r="A265" s="79" t="s">
        <v>16465</v>
      </c>
      <c r="B265" s="45"/>
      <c r="C265" s="79" t="s">
        <v>16466</v>
      </c>
      <c r="D265" s="45"/>
      <c r="E265" s="79" t="s">
        <v>9189</v>
      </c>
      <c r="F265" s="79" t="s">
        <v>5300</v>
      </c>
      <c r="G265" s="80" t="s">
        <v>96</v>
      </c>
      <c r="H265" s="90">
        <v>7.31E-4</v>
      </c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</row>
    <row r="266">
      <c r="A266" s="79" t="s">
        <v>16467</v>
      </c>
      <c r="B266" s="45"/>
      <c r="C266" s="79" t="s">
        <v>16468</v>
      </c>
      <c r="D266" s="45"/>
      <c r="E266" s="79" t="s">
        <v>5578</v>
      </c>
      <c r="F266" s="79" t="s">
        <v>5300</v>
      </c>
      <c r="G266" s="80" t="s">
        <v>96</v>
      </c>
      <c r="H266" s="90">
        <v>7.307E-4</v>
      </c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</row>
    <row r="267">
      <c r="A267" s="79" t="s">
        <v>16469</v>
      </c>
      <c r="B267" s="45"/>
      <c r="C267" s="79" t="s">
        <v>16470</v>
      </c>
      <c r="D267" s="45"/>
      <c r="E267" s="79" t="s">
        <v>5316</v>
      </c>
      <c r="F267" s="79" t="s">
        <v>5300</v>
      </c>
      <c r="G267" s="80" t="s">
        <v>96</v>
      </c>
      <c r="H267" s="90">
        <v>7.303E-4</v>
      </c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</row>
    <row r="268">
      <c r="A268" s="79" t="s">
        <v>9962</v>
      </c>
      <c r="B268" s="45"/>
      <c r="C268" s="79" t="s">
        <v>9963</v>
      </c>
      <c r="D268" s="45"/>
      <c r="E268" s="79" t="s">
        <v>6238</v>
      </c>
      <c r="F268" s="79" t="s">
        <v>5277</v>
      </c>
      <c r="G268" s="80" t="s">
        <v>96</v>
      </c>
      <c r="H268" s="90">
        <v>7.299E-4</v>
      </c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</row>
    <row r="269">
      <c r="A269" s="79" t="s">
        <v>16471</v>
      </c>
      <c r="B269" s="45"/>
      <c r="C269" s="79" t="s">
        <v>16472</v>
      </c>
      <c r="D269" s="45"/>
      <c r="E269" s="79" t="s">
        <v>5578</v>
      </c>
      <c r="F269" s="79" t="s">
        <v>5300</v>
      </c>
      <c r="G269" s="80" t="s">
        <v>96</v>
      </c>
      <c r="H269" s="90">
        <v>7.294E-4</v>
      </c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</row>
    <row r="270">
      <c r="A270" s="79" t="s">
        <v>10005</v>
      </c>
      <c r="B270" s="45"/>
      <c r="C270" s="79" t="s">
        <v>10006</v>
      </c>
      <c r="D270" s="45"/>
      <c r="E270" s="79" t="s">
        <v>6947</v>
      </c>
      <c r="F270" s="79" t="s">
        <v>8784</v>
      </c>
      <c r="G270" s="80" t="s">
        <v>96</v>
      </c>
      <c r="H270" s="90">
        <v>7.257E-4</v>
      </c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</row>
    <row r="271">
      <c r="A271" s="79" t="s">
        <v>16473</v>
      </c>
      <c r="B271" s="45"/>
      <c r="C271" s="79" t="s">
        <v>16474</v>
      </c>
      <c r="D271" s="45"/>
      <c r="E271" s="79" t="s">
        <v>5395</v>
      </c>
      <c r="F271" s="79" t="s">
        <v>5300</v>
      </c>
      <c r="G271" s="80" t="s">
        <v>96</v>
      </c>
      <c r="H271" s="90">
        <v>7.22E-4</v>
      </c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</row>
    <row r="272">
      <c r="A272" s="79" t="s">
        <v>5639</v>
      </c>
      <c r="B272" s="45"/>
      <c r="C272" s="79" t="s">
        <v>16475</v>
      </c>
      <c r="D272" s="45"/>
      <c r="E272" s="79" t="s">
        <v>5296</v>
      </c>
      <c r="F272" s="79" t="s">
        <v>5300</v>
      </c>
      <c r="G272" s="80" t="s">
        <v>96</v>
      </c>
      <c r="H272" s="90">
        <v>7.22E-4</v>
      </c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</row>
    <row r="273">
      <c r="A273" s="79" t="s">
        <v>16476</v>
      </c>
      <c r="B273" s="45"/>
      <c r="C273" s="79" t="s">
        <v>16477</v>
      </c>
      <c r="D273" s="45"/>
      <c r="E273" s="79" t="s">
        <v>5276</v>
      </c>
      <c r="F273" s="79" t="s">
        <v>5300</v>
      </c>
      <c r="G273" s="80" t="s">
        <v>96</v>
      </c>
      <c r="H273" s="90">
        <v>7.217E-4</v>
      </c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</row>
    <row r="274">
      <c r="A274" s="79" t="s">
        <v>16478</v>
      </c>
      <c r="B274" s="45"/>
      <c r="C274" s="79" t="s">
        <v>16479</v>
      </c>
      <c r="D274" s="45"/>
      <c r="E274" s="79" t="s">
        <v>6191</v>
      </c>
      <c r="F274" s="79" t="s">
        <v>5300</v>
      </c>
      <c r="G274" s="80" t="s">
        <v>96</v>
      </c>
      <c r="H274" s="90">
        <v>7.217E-4</v>
      </c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</row>
    <row r="275">
      <c r="A275" s="79" t="s">
        <v>16480</v>
      </c>
      <c r="B275" s="45"/>
      <c r="C275" s="79" t="s">
        <v>16481</v>
      </c>
      <c r="D275" s="45"/>
      <c r="E275" s="79" t="s">
        <v>5775</v>
      </c>
      <c r="F275" s="79" t="s">
        <v>5300</v>
      </c>
      <c r="G275" s="80" t="s">
        <v>96</v>
      </c>
      <c r="H275" s="90">
        <v>7.212E-4</v>
      </c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</row>
    <row r="276">
      <c r="A276" s="79" t="s">
        <v>16482</v>
      </c>
      <c r="B276" s="45"/>
      <c r="C276" s="79" t="s">
        <v>16483</v>
      </c>
      <c r="D276" s="45"/>
      <c r="E276" s="79" t="s">
        <v>6012</v>
      </c>
      <c r="F276" s="79" t="s">
        <v>5300</v>
      </c>
      <c r="G276" s="80" t="s">
        <v>96</v>
      </c>
      <c r="H276" s="90">
        <v>7.21E-4</v>
      </c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</row>
    <row r="277">
      <c r="A277" s="79" t="s">
        <v>10009</v>
      </c>
      <c r="B277" s="45"/>
      <c r="C277" s="79" t="s">
        <v>10010</v>
      </c>
      <c r="D277" s="45"/>
      <c r="E277" s="79" t="s">
        <v>5456</v>
      </c>
      <c r="F277" s="79" t="s">
        <v>8784</v>
      </c>
      <c r="G277" s="80" t="s">
        <v>96</v>
      </c>
      <c r="H277" s="90">
        <v>7.192E-4</v>
      </c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</row>
    <row r="278">
      <c r="A278" s="79" t="s">
        <v>16484</v>
      </c>
      <c r="B278" s="45"/>
      <c r="C278" s="79" t="s">
        <v>16485</v>
      </c>
      <c r="D278" s="45"/>
      <c r="E278" s="79" t="s">
        <v>7471</v>
      </c>
      <c r="F278" s="79" t="s">
        <v>5300</v>
      </c>
      <c r="G278" s="80" t="s">
        <v>96</v>
      </c>
      <c r="H278" s="90">
        <v>7.19E-4</v>
      </c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</row>
    <row r="279">
      <c r="A279" s="79" t="s">
        <v>16486</v>
      </c>
      <c r="B279" s="45"/>
      <c r="C279" s="79" t="s">
        <v>16487</v>
      </c>
      <c r="D279" s="45"/>
      <c r="E279" s="79" t="s">
        <v>5291</v>
      </c>
      <c r="F279" s="79" t="s">
        <v>5300</v>
      </c>
      <c r="G279" s="80" t="s">
        <v>96</v>
      </c>
      <c r="H279" s="90">
        <v>7.175E-4</v>
      </c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</row>
    <row r="280">
      <c r="A280" s="79" t="s">
        <v>16488</v>
      </c>
      <c r="B280" s="45"/>
      <c r="C280" s="79" t="s">
        <v>16489</v>
      </c>
      <c r="D280" s="45"/>
      <c r="E280" s="79" t="s">
        <v>5288</v>
      </c>
      <c r="F280" s="79" t="s">
        <v>5836</v>
      </c>
      <c r="G280" s="80" t="s">
        <v>96</v>
      </c>
      <c r="H280" s="90">
        <v>7.165E-4</v>
      </c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</row>
    <row r="281">
      <c r="A281" s="79" t="s">
        <v>16490</v>
      </c>
      <c r="B281" s="45"/>
      <c r="C281" s="79" t="s">
        <v>16491</v>
      </c>
      <c r="D281" s="45"/>
      <c r="E281" s="79" t="s">
        <v>5811</v>
      </c>
      <c r="F281" s="79" t="s">
        <v>5300</v>
      </c>
      <c r="G281" s="80" t="s">
        <v>96</v>
      </c>
      <c r="H281" s="90">
        <v>7.152E-4</v>
      </c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</row>
    <row r="282">
      <c r="A282" s="79" t="s">
        <v>16492</v>
      </c>
      <c r="B282" s="45"/>
      <c r="C282" s="79" t="s">
        <v>16493</v>
      </c>
      <c r="D282" s="45"/>
      <c r="E282" s="79" t="s">
        <v>5366</v>
      </c>
      <c r="F282" s="79" t="s">
        <v>5300</v>
      </c>
      <c r="G282" s="80" t="s">
        <v>96</v>
      </c>
      <c r="H282" s="90">
        <v>7.108E-4</v>
      </c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</row>
    <row r="283">
      <c r="A283" s="79" t="s">
        <v>5618</v>
      </c>
      <c r="B283" s="45"/>
      <c r="C283" s="79" t="s">
        <v>16494</v>
      </c>
      <c r="D283" s="45"/>
      <c r="E283" s="79" t="s">
        <v>5395</v>
      </c>
      <c r="F283" s="79" t="s">
        <v>5300</v>
      </c>
      <c r="G283" s="80" t="s">
        <v>96</v>
      </c>
      <c r="H283" s="90">
        <v>7.103E-4</v>
      </c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</row>
    <row r="284">
      <c r="A284" s="79" t="s">
        <v>16495</v>
      </c>
      <c r="B284" s="45"/>
      <c r="C284" s="79" t="s">
        <v>16496</v>
      </c>
      <c r="D284" s="45"/>
      <c r="E284" s="79" t="s">
        <v>6266</v>
      </c>
      <c r="F284" s="79" t="s">
        <v>5300</v>
      </c>
      <c r="G284" s="80" t="s">
        <v>96</v>
      </c>
      <c r="H284" s="90">
        <v>7.096E-4</v>
      </c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</row>
    <row r="285">
      <c r="A285" s="79" t="s">
        <v>16497</v>
      </c>
      <c r="B285" s="45"/>
      <c r="C285" s="79" t="s">
        <v>16498</v>
      </c>
      <c r="D285" s="45"/>
      <c r="E285" s="79" t="s">
        <v>8230</v>
      </c>
      <c r="F285" s="79" t="s">
        <v>5300</v>
      </c>
      <c r="G285" s="80" t="s">
        <v>96</v>
      </c>
      <c r="H285" s="90">
        <v>7.094E-4</v>
      </c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</row>
    <row r="286">
      <c r="A286" s="79" t="s">
        <v>16499</v>
      </c>
      <c r="B286" s="45"/>
      <c r="C286" s="79" t="s">
        <v>16500</v>
      </c>
      <c r="D286" s="45"/>
      <c r="E286" s="79" t="s">
        <v>8230</v>
      </c>
      <c r="F286" s="79" t="s">
        <v>5300</v>
      </c>
      <c r="G286" s="80" t="s">
        <v>96</v>
      </c>
      <c r="H286" s="90">
        <v>7.09E-4</v>
      </c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</row>
    <row r="287">
      <c r="A287" s="79" t="s">
        <v>16501</v>
      </c>
      <c r="B287" s="45"/>
      <c r="C287" s="79" t="s">
        <v>16502</v>
      </c>
      <c r="D287" s="45"/>
      <c r="E287" s="79" t="s">
        <v>5434</v>
      </c>
      <c r="F287" s="79" t="s">
        <v>5300</v>
      </c>
      <c r="G287" s="80" t="s">
        <v>96</v>
      </c>
      <c r="H287" s="90">
        <v>7.058E-4</v>
      </c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</row>
    <row r="288">
      <c r="A288" s="79" t="s">
        <v>16503</v>
      </c>
      <c r="B288" s="45"/>
      <c r="C288" s="79" t="s">
        <v>16504</v>
      </c>
      <c r="D288" s="45"/>
      <c r="E288" s="79" t="s">
        <v>5218</v>
      </c>
      <c r="F288" s="79" t="s">
        <v>5268</v>
      </c>
      <c r="G288" s="80" t="s">
        <v>96</v>
      </c>
      <c r="H288" s="90">
        <v>7.053E-4</v>
      </c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</row>
    <row r="289">
      <c r="A289" s="79" t="s">
        <v>16505</v>
      </c>
      <c r="B289" s="45"/>
      <c r="C289" s="79" t="s">
        <v>16506</v>
      </c>
      <c r="D289" s="45"/>
      <c r="E289" s="79" t="s">
        <v>6090</v>
      </c>
      <c r="F289" s="79" t="s">
        <v>5300</v>
      </c>
      <c r="G289" s="80" t="s">
        <v>96</v>
      </c>
      <c r="H289" s="90">
        <v>7.021E-4</v>
      </c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</row>
    <row r="290">
      <c r="A290" s="79" t="s">
        <v>16507</v>
      </c>
      <c r="B290" s="45"/>
      <c r="C290" s="79" t="s">
        <v>16508</v>
      </c>
      <c r="D290" s="45"/>
      <c r="E290" s="79" t="s">
        <v>9189</v>
      </c>
      <c r="F290" s="79" t="s">
        <v>5300</v>
      </c>
      <c r="G290" s="80" t="s">
        <v>96</v>
      </c>
      <c r="H290" s="90">
        <v>7.015E-4</v>
      </c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</row>
    <row r="291">
      <c r="A291" s="79" t="s">
        <v>16509</v>
      </c>
      <c r="B291" s="45"/>
      <c r="C291" s="79" t="s">
        <v>16510</v>
      </c>
      <c r="D291" s="45"/>
      <c r="E291" s="79" t="s">
        <v>5445</v>
      </c>
      <c r="F291" s="79" t="s">
        <v>5300</v>
      </c>
      <c r="G291" s="80" t="s">
        <v>96</v>
      </c>
      <c r="H291" s="90">
        <v>7.013E-4</v>
      </c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</row>
    <row r="292">
      <c r="A292" s="79" t="s">
        <v>16511</v>
      </c>
      <c r="B292" s="45"/>
      <c r="C292" s="79" t="s">
        <v>16512</v>
      </c>
      <c r="D292" s="45"/>
      <c r="E292" s="79" t="s">
        <v>5215</v>
      </c>
      <c r="F292" s="79" t="s">
        <v>5300</v>
      </c>
      <c r="G292" s="80" t="s">
        <v>96</v>
      </c>
      <c r="H292" s="90">
        <v>7.011E-4</v>
      </c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</row>
    <row r="293">
      <c r="A293" s="79" t="s">
        <v>16513</v>
      </c>
      <c r="B293" s="45"/>
      <c r="C293" s="79" t="s">
        <v>16514</v>
      </c>
      <c r="D293" s="45"/>
      <c r="E293" s="79" t="s">
        <v>5564</v>
      </c>
      <c r="F293" s="79" t="s">
        <v>5300</v>
      </c>
      <c r="G293" s="80" t="s">
        <v>96</v>
      </c>
      <c r="H293" s="90">
        <v>7.009E-4</v>
      </c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</row>
    <row r="294">
      <c r="A294" s="79" t="s">
        <v>16515</v>
      </c>
      <c r="B294" s="45"/>
      <c r="C294" s="79" t="s">
        <v>16516</v>
      </c>
      <c r="D294" s="45"/>
      <c r="E294" s="79" t="s">
        <v>7471</v>
      </c>
      <c r="F294" s="79" t="s">
        <v>6210</v>
      </c>
      <c r="G294" s="80" t="s">
        <v>96</v>
      </c>
      <c r="H294" s="90">
        <v>7.005E-4</v>
      </c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</row>
    <row r="295">
      <c r="A295" s="79" t="s">
        <v>16517</v>
      </c>
      <c r="B295" s="45"/>
      <c r="C295" s="79" t="s">
        <v>16518</v>
      </c>
      <c r="D295" s="45"/>
      <c r="E295" s="79" t="s">
        <v>5226</v>
      </c>
      <c r="F295" s="79" t="s">
        <v>5836</v>
      </c>
      <c r="G295" s="80" t="s">
        <v>96</v>
      </c>
      <c r="H295" s="90">
        <v>6.99E-4</v>
      </c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</row>
    <row r="296">
      <c r="A296" s="79" t="s">
        <v>16519</v>
      </c>
      <c r="B296" s="45"/>
      <c r="C296" s="79" t="s">
        <v>16520</v>
      </c>
      <c r="D296" s="45"/>
      <c r="E296" s="79" t="s">
        <v>9553</v>
      </c>
      <c r="F296" s="79" t="s">
        <v>5300</v>
      </c>
      <c r="G296" s="80" t="s">
        <v>96</v>
      </c>
      <c r="H296" s="90">
        <v>6.984E-4</v>
      </c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</row>
    <row r="297">
      <c r="A297" s="79" t="s">
        <v>10161</v>
      </c>
      <c r="B297" s="45"/>
      <c r="C297" s="79" t="s">
        <v>10162</v>
      </c>
      <c r="D297" s="45"/>
      <c r="E297" s="79" t="s">
        <v>5283</v>
      </c>
      <c r="F297" s="79" t="s">
        <v>8759</v>
      </c>
      <c r="G297" s="80" t="s">
        <v>96</v>
      </c>
      <c r="H297" s="90">
        <v>6.982E-4</v>
      </c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</row>
    <row r="298">
      <c r="A298" s="79" t="s">
        <v>16521</v>
      </c>
      <c r="B298" s="45"/>
      <c r="C298" s="79" t="s">
        <v>16522</v>
      </c>
      <c r="D298" s="45"/>
      <c r="E298" s="79" t="s">
        <v>6238</v>
      </c>
      <c r="F298" s="79" t="s">
        <v>5300</v>
      </c>
      <c r="G298" s="80" t="s">
        <v>96</v>
      </c>
      <c r="H298" s="90">
        <v>6.982E-4</v>
      </c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</row>
    <row r="299">
      <c r="A299" s="79" t="s">
        <v>16523</v>
      </c>
      <c r="B299" s="45"/>
      <c r="C299" s="79" t="s">
        <v>16524</v>
      </c>
      <c r="D299" s="45"/>
      <c r="E299" s="79" t="s">
        <v>5516</v>
      </c>
      <c r="F299" s="79" t="s">
        <v>16525</v>
      </c>
      <c r="G299" s="80" t="s">
        <v>96</v>
      </c>
      <c r="H299" s="90">
        <v>6.96E-4</v>
      </c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</row>
    <row r="300">
      <c r="A300" s="79" t="s">
        <v>16526</v>
      </c>
      <c r="B300" s="45"/>
      <c r="C300" s="79" t="s">
        <v>16527</v>
      </c>
      <c r="D300" s="45"/>
      <c r="E300" s="79" t="s">
        <v>5374</v>
      </c>
      <c r="F300" s="79" t="s">
        <v>5747</v>
      </c>
      <c r="G300" s="80" t="s">
        <v>96</v>
      </c>
      <c r="H300" s="90">
        <v>6.955E-4</v>
      </c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</row>
    <row r="301">
      <c r="A301" s="79" t="s">
        <v>16528</v>
      </c>
      <c r="B301" s="45"/>
      <c r="C301" s="79" t="s">
        <v>16529</v>
      </c>
      <c r="D301" s="45"/>
      <c r="E301" s="79" t="s">
        <v>5276</v>
      </c>
      <c r="F301" s="79" t="s">
        <v>5300</v>
      </c>
      <c r="G301" s="80" t="s">
        <v>96</v>
      </c>
      <c r="H301" s="90">
        <v>6.949E-4</v>
      </c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</row>
    <row r="302">
      <c r="A302" s="79" t="s">
        <v>10163</v>
      </c>
      <c r="B302" s="45"/>
      <c r="C302" s="79" t="s">
        <v>10164</v>
      </c>
      <c r="D302" s="45"/>
      <c r="E302" s="79" t="s">
        <v>5404</v>
      </c>
      <c r="F302" s="79" t="s">
        <v>5425</v>
      </c>
      <c r="G302" s="80" t="s">
        <v>96</v>
      </c>
      <c r="H302" s="90">
        <v>6.929E-4</v>
      </c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</row>
    <row r="303">
      <c r="A303" s="79" t="s">
        <v>16530</v>
      </c>
      <c r="B303" s="45"/>
      <c r="C303" s="79" t="s">
        <v>16531</v>
      </c>
      <c r="D303" s="45"/>
      <c r="E303" s="79" t="s">
        <v>7098</v>
      </c>
      <c r="F303" s="79" t="s">
        <v>5300</v>
      </c>
      <c r="G303" s="80" t="s">
        <v>96</v>
      </c>
      <c r="H303" s="90">
        <v>6.909E-4</v>
      </c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</row>
    <row r="304">
      <c r="A304" s="79" t="s">
        <v>16532</v>
      </c>
      <c r="B304" s="45"/>
      <c r="C304" s="79" t="s">
        <v>16533</v>
      </c>
      <c r="D304" s="45"/>
      <c r="E304" s="79" t="s">
        <v>5215</v>
      </c>
      <c r="F304" s="79" t="s">
        <v>5300</v>
      </c>
      <c r="G304" s="80" t="s">
        <v>96</v>
      </c>
      <c r="H304" s="90">
        <v>6.906E-4</v>
      </c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</row>
    <row r="305">
      <c r="A305" s="79" t="s">
        <v>16534</v>
      </c>
      <c r="B305" s="45"/>
      <c r="C305" s="79" t="s">
        <v>16535</v>
      </c>
      <c r="D305" s="45"/>
      <c r="E305" s="79" t="s">
        <v>5456</v>
      </c>
      <c r="F305" s="79" t="s">
        <v>5300</v>
      </c>
      <c r="G305" s="80" t="s">
        <v>96</v>
      </c>
      <c r="H305" s="90">
        <v>6.906E-4</v>
      </c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</row>
    <row r="306">
      <c r="A306" s="79" t="s">
        <v>16536</v>
      </c>
      <c r="B306" s="45"/>
      <c r="C306" s="79" t="s">
        <v>16537</v>
      </c>
      <c r="D306" s="45"/>
      <c r="E306" s="79" t="s">
        <v>5258</v>
      </c>
      <c r="F306" s="79" t="s">
        <v>5836</v>
      </c>
      <c r="G306" s="80" t="s">
        <v>96</v>
      </c>
      <c r="H306" s="90">
        <v>6.905E-4</v>
      </c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</row>
    <row r="307">
      <c r="A307" s="79" t="s">
        <v>16538</v>
      </c>
      <c r="B307" s="45"/>
      <c r="C307" s="79" t="s">
        <v>16539</v>
      </c>
      <c r="D307" s="45"/>
      <c r="E307" s="79" t="s">
        <v>5271</v>
      </c>
      <c r="F307" s="79" t="s">
        <v>5300</v>
      </c>
      <c r="G307" s="80" t="s">
        <v>96</v>
      </c>
      <c r="H307" s="90">
        <v>6.892E-4</v>
      </c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</row>
    <row r="308">
      <c r="A308" s="79" t="s">
        <v>16540</v>
      </c>
      <c r="B308" s="45"/>
      <c r="C308" s="79" t="s">
        <v>16541</v>
      </c>
      <c r="D308" s="45"/>
      <c r="E308" s="79" t="s">
        <v>5374</v>
      </c>
      <c r="F308" s="79" t="s">
        <v>5300</v>
      </c>
      <c r="G308" s="80" t="s">
        <v>96</v>
      </c>
      <c r="H308" s="90">
        <v>6.886E-4</v>
      </c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</row>
    <row r="309">
      <c r="A309" s="79" t="s">
        <v>10173</v>
      </c>
      <c r="B309" s="45"/>
      <c r="C309" s="79" t="s">
        <v>10174</v>
      </c>
      <c r="D309" s="45"/>
      <c r="E309" s="79" t="s">
        <v>5267</v>
      </c>
      <c r="F309" s="79" t="s">
        <v>6988</v>
      </c>
      <c r="G309" s="80" t="s">
        <v>96</v>
      </c>
      <c r="H309" s="90">
        <v>6.877E-4</v>
      </c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</row>
    <row r="310">
      <c r="A310" s="79" t="s">
        <v>16542</v>
      </c>
      <c r="B310" s="45"/>
      <c r="C310" s="79" t="s">
        <v>16543</v>
      </c>
      <c r="D310" s="45"/>
      <c r="E310" s="79" t="s">
        <v>5434</v>
      </c>
      <c r="F310" s="79" t="s">
        <v>5300</v>
      </c>
      <c r="G310" s="80" t="s">
        <v>96</v>
      </c>
      <c r="H310" s="90">
        <v>6.876E-4</v>
      </c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</row>
    <row r="311">
      <c r="A311" s="79" t="s">
        <v>16544</v>
      </c>
      <c r="B311" s="45"/>
      <c r="C311" s="79" t="s">
        <v>16545</v>
      </c>
      <c r="D311" s="45"/>
      <c r="E311" s="79" t="s">
        <v>7248</v>
      </c>
      <c r="F311" s="79" t="s">
        <v>6210</v>
      </c>
      <c r="G311" s="80" t="s">
        <v>96</v>
      </c>
      <c r="H311" s="90">
        <v>6.868E-4</v>
      </c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</row>
    <row r="312">
      <c r="A312" s="79" t="s">
        <v>16546</v>
      </c>
      <c r="B312" s="45"/>
      <c r="C312" s="79" t="s">
        <v>16547</v>
      </c>
      <c r="D312" s="45"/>
      <c r="E312" s="79" t="s">
        <v>5855</v>
      </c>
      <c r="F312" s="79" t="s">
        <v>5425</v>
      </c>
      <c r="G312" s="80" t="s">
        <v>96</v>
      </c>
      <c r="H312" s="90">
        <v>6.844E-4</v>
      </c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</row>
    <row r="313">
      <c r="A313" s="79" t="s">
        <v>5574</v>
      </c>
      <c r="B313" s="45"/>
      <c r="C313" s="79" t="s">
        <v>16548</v>
      </c>
      <c r="D313" s="45"/>
      <c r="E313" s="79" t="s">
        <v>5404</v>
      </c>
      <c r="F313" s="79" t="s">
        <v>5300</v>
      </c>
      <c r="G313" s="80" t="s">
        <v>96</v>
      </c>
      <c r="H313" s="90">
        <v>6.842E-4</v>
      </c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</row>
    <row r="314">
      <c r="A314" s="79" t="s">
        <v>16549</v>
      </c>
      <c r="B314" s="45"/>
      <c r="C314" s="79" t="s">
        <v>16550</v>
      </c>
      <c r="D314" s="45"/>
      <c r="E314" s="79" t="s">
        <v>5215</v>
      </c>
      <c r="F314" s="79" t="s">
        <v>5300</v>
      </c>
      <c r="G314" s="80" t="s">
        <v>96</v>
      </c>
      <c r="H314" s="90">
        <v>6.838E-4</v>
      </c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</row>
    <row r="315">
      <c r="A315" s="79" t="s">
        <v>16551</v>
      </c>
      <c r="B315" s="45"/>
      <c r="C315" s="79" t="s">
        <v>16552</v>
      </c>
      <c r="D315" s="45"/>
      <c r="E315" s="79" t="s">
        <v>5261</v>
      </c>
      <c r="F315" s="79" t="s">
        <v>6210</v>
      </c>
      <c r="G315" s="80" t="s">
        <v>96</v>
      </c>
      <c r="H315" s="90">
        <v>6.76E-4</v>
      </c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</row>
    <row r="316">
      <c r="A316" s="79" t="s">
        <v>16553</v>
      </c>
      <c r="B316" s="45"/>
      <c r="C316" s="79" t="s">
        <v>16554</v>
      </c>
      <c r="D316" s="45"/>
      <c r="E316" s="79" t="s">
        <v>6012</v>
      </c>
      <c r="F316" s="79" t="s">
        <v>5300</v>
      </c>
      <c r="G316" s="80" t="s">
        <v>96</v>
      </c>
      <c r="H316" s="90">
        <v>6.759E-4</v>
      </c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</row>
    <row r="317">
      <c r="A317" s="79" t="s">
        <v>10308</v>
      </c>
      <c r="B317" s="45"/>
      <c r="C317" s="79" t="s">
        <v>10309</v>
      </c>
      <c r="D317" s="45"/>
      <c r="E317" s="79" t="s">
        <v>5261</v>
      </c>
      <c r="F317" s="79" t="s">
        <v>5425</v>
      </c>
      <c r="G317" s="80" t="s">
        <v>96</v>
      </c>
      <c r="H317" s="90">
        <v>6.752E-4</v>
      </c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</row>
    <row r="318">
      <c r="A318" s="79" t="s">
        <v>16555</v>
      </c>
      <c r="B318" s="45"/>
      <c r="C318" s="79" t="s">
        <v>16556</v>
      </c>
      <c r="D318" s="45"/>
      <c r="E318" s="79" t="s">
        <v>5404</v>
      </c>
      <c r="F318" s="79" t="s">
        <v>5300</v>
      </c>
      <c r="G318" s="80" t="s">
        <v>96</v>
      </c>
      <c r="H318" s="90">
        <v>6.734E-4</v>
      </c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</row>
    <row r="319">
      <c r="A319" s="79" t="s">
        <v>16557</v>
      </c>
      <c r="B319" s="45"/>
      <c r="C319" s="79" t="s">
        <v>16558</v>
      </c>
      <c r="D319" s="45"/>
      <c r="E319" s="79" t="s">
        <v>5280</v>
      </c>
      <c r="F319" s="79" t="s">
        <v>5300</v>
      </c>
      <c r="G319" s="80" t="s">
        <v>96</v>
      </c>
      <c r="H319" s="90">
        <v>6.706E-4</v>
      </c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</row>
    <row r="320">
      <c r="A320" s="79" t="s">
        <v>16559</v>
      </c>
      <c r="B320" s="45"/>
      <c r="C320" s="79" t="s">
        <v>16560</v>
      </c>
      <c r="D320" s="45"/>
      <c r="E320" s="79" t="s">
        <v>9810</v>
      </c>
      <c r="F320" s="79" t="s">
        <v>5300</v>
      </c>
      <c r="G320" s="80" t="s">
        <v>96</v>
      </c>
      <c r="H320" s="90">
        <v>6.706E-4</v>
      </c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</row>
    <row r="321">
      <c r="A321" s="79" t="s">
        <v>16561</v>
      </c>
      <c r="B321" s="45"/>
      <c r="C321" s="79" t="s">
        <v>16562</v>
      </c>
      <c r="D321" s="45"/>
      <c r="E321" s="79" t="s">
        <v>6012</v>
      </c>
      <c r="F321" s="79" t="s">
        <v>5300</v>
      </c>
      <c r="G321" s="80" t="s">
        <v>96</v>
      </c>
      <c r="H321" s="90">
        <v>6.674E-4</v>
      </c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</row>
    <row r="322">
      <c r="A322" s="79" t="s">
        <v>16563</v>
      </c>
      <c r="B322" s="45"/>
      <c r="C322" s="79" t="s">
        <v>16564</v>
      </c>
      <c r="D322" s="45"/>
      <c r="E322" s="79" t="s">
        <v>6514</v>
      </c>
      <c r="F322" s="79" t="s">
        <v>5300</v>
      </c>
      <c r="G322" s="80" t="s">
        <v>96</v>
      </c>
      <c r="H322" s="90">
        <v>6.672E-4</v>
      </c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</row>
    <row r="323">
      <c r="A323" s="79" t="s">
        <v>16565</v>
      </c>
      <c r="B323" s="45"/>
      <c r="C323" s="79" t="s">
        <v>16566</v>
      </c>
      <c r="D323" s="45"/>
      <c r="E323" s="79" t="s">
        <v>5961</v>
      </c>
      <c r="F323" s="79" t="s">
        <v>5927</v>
      </c>
      <c r="G323" s="80" t="s">
        <v>96</v>
      </c>
      <c r="H323" s="90">
        <v>6.671E-4</v>
      </c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</row>
    <row r="324">
      <c r="A324" s="79" t="s">
        <v>16567</v>
      </c>
      <c r="B324" s="45"/>
      <c r="C324" s="79" t="s">
        <v>16568</v>
      </c>
      <c r="D324" s="45"/>
      <c r="E324" s="79" t="s">
        <v>5445</v>
      </c>
      <c r="F324" s="79" t="s">
        <v>5300</v>
      </c>
      <c r="G324" s="80" t="s">
        <v>96</v>
      </c>
      <c r="H324" s="90">
        <v>6.671E-4</v>
      </c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</row>
    <row r="325">
      <c r="A325" s="79" t="s">
        <v>16569</v>
      </c>
      <c r="B325" s="45"/>
      <c r="C325" s="79" t="s">
        <v>16570</v>
      </c>
      <c r="D325" s="45"/>
      <c r="E325" s="79" t="s">
        <v>5276</v>
      </c>
      <c r="F325" s="79" t="s">
        <v>5300</v>
      </c>
      <c r="G325" s="80" t="s">
        <v>96</v>
      </c>
      <c r="H325" s="90">
        <v>6.651E-4</v>
      </c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</row>
    <row r="326">
      <c r="A326" s="79" t="s">
        <v>16571</v>
      </c>
      <c r="B326" s="45"/>
      <c r="C326" s="79" t="s">
        <v>16572</v>
      </c>
      <c r="D326" s="45"/>
      <c r="E326" s="79" t="s">
        <v>5641</v>
      </c>
      <c r="F326" s="79" t="s">
        <v>5300</v>
      </c>
      <c r="G326" s="80" t="s">
        <v>96</v>
      </c>
      <c r="H326" s="90">
        <v>6.649E-4</v>
      </c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</row>
    <row r="327">
      <c r="A327" s="79" t="s">
        <v>10419</v>
      </c>
      <c r="B327" s="45"/>
      <c r="C327" s="79" t="s">
        <v>10420</v>
      </c>
      <c r="D327" s="45"/>
      <c r="E327" s="79" t="s">
        <v>5561</v>
      </c>
      <c r="F327" s="79" t="s">
        <v>9021</v>
      </c>
      <c r="G327" s="80" t="s">
        <v>96</v>
      </c>
      <c r="H327" s="90">
        <v>6.647E-4</v>
      </c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</row>
    <row r="328">
      <c r="A328" s="79" t="s">
        <v>16573</v>
      </c>
      <c r="B328" s="45"/>
      <c r="C328" s="79" t="s">
        <v>16574</v>
      </c>
      <c r="D328" s="45"/>
      <c r="E328" s="79" t="s">
        <v>11397</v>
      </c>
      <c r="F328" s="79" t="s">
        <v>5300</v>
      </c>
      <c r="G328" s="80" t="s">
        <v>96</v>
      </c>
      <c r="H328" s="90">
        <v>6.63E-4</v>
      </c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</row>
    <row r="329">
      <c r="A329" s="79" t="s">
        <v>16575</v>
      </c>
      <c r="B329" s="45"/>
      <c r="C329" s="79" t="s">
        <v>16576</v>
      </c>
      <c r="D329" s="45"/>
      <c r="E329" s="79" t="s">
        <v>5215</v>
      </c>
      <c r="F329" s="79" t="s">
        <v>5300</v>
      </c>
      <c r="G329" s="80" t="s">
        <v>96</v>
      </c>
      <c r="H329" s="90">
        <v>6.622E-4</v>
      </c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</row>
    <row r="330">
      <c r="A330" s="79" t="s">
        <v>16577</v>
      </c>
      <c r="B330" s="45"/>
      <c r="C330" s="79" t="s">
        <v>16578</v>
      </c>
      <c r="D330" s="45"/>
      <c r="E330" s="79" t="s">
        <v>5650</v>
      </c>
      <c r="F330" s="79" t="s">
        <v>5300</v>
      </c>
      <c r="G330" s="80" t="s">
        <v>96</v>
      </c>
      <c r="H330" s="90">
        <v>6.622E-4</v>
      </c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</row>
    <row r="331">
      <c r="A331" s="79" t="s">
        <v>16579</v>
      </c>
      <c r="B331" s="45"/>
      <c r="C331" s="79" t="s">
        <v>16580</v>
      </c>
      <c r="D331" s="45"/>
      <c r="E331" s="79" t="s">
        <v>5215</v>
      </c>
      <c r="F331" s="79" t="s">
        <v>5300</v>
      </c>
      <c r="G331" s="80" t="s">
        <v>96</v>
      </c>
      <c r="H331" s="90">
        <v>6.618E-4</v>
      </c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</row>
    <row r="332">
      <c r="A332" s="79" t="s">
        <v>16581</v>
      </c>
      <c r="B332" s="45"/>
      <c r="C332" s="79" t="s">
        <v>16582</v>
      </c>
      <c r="D332" s="45"/>
      <c r="E332" s="79" t="s">
        <v>5478</v>
      </c>
      <c r="F332" s="79" t="s">
        <v>5300</v>
      </c>
      <c r="G332" s="80" t="s">
        <v>96</v>
      </c>
      <c r="H332" s="90">
        <v>6.61E-4</v>
      </c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</row>
    <row r="333">
      <c r="A333" s="79" t="s">
        <v>16583</v>
      </c>
      <c r="B333" s="45"/>
      <c r="C333" s="79" t="s">
        <v>16584</v>
      </c>
      <c r="D333" s="45"/>
      <c r="E333" s="79" t="s">
        <v>5232</v>
      </c>
      <c r="F333" s="79" t="s">
        <v>5300</v>
      </c>
      <c r="G333" s="80" t="s">
        <v>96</v>
      </c>
      <c r="H333" s="90">
        <v>6.599E-4</v>
      </c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</row>
    <row r="334">
      <c r="A334" s="79" t="s">
        <v>16585</v>
      </c>
      <c r="B334" s="45"/>
      <c r="C334" s="79" t="s">
        <v>16586</v>
      </c>
      <c r="D334" s="45"/>
      <c r="E334" s="79" t="s">
        <v>5276</v>
      </c>
      <c r="F334" s="79" t="s">
        <v>5300</v>
      </c>
      <c r="G334" s="80" t="s">
        <v>96</v>
      </c>
      <c r="H334" s="90">
        <v>6.58E-4</v>
      </c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</row>
    <row r="335">
      <c r="A335" s="79" t="s">
        <v>16587</v>
      </c>
      <c r="B335" s="45"/>
      <c r="C335" s="79" t="s">
        <v>16588</v>
      </c>
      <c r="D335" s="45"/>
      <c r="E335" s="79" t="s">
        <v>8230</v>
      </c>
      <c r="F335" s="79" t="s">
        <v>6988</v>
      </c>
      <c r="G335" s="80" t="s">
        <v>96</v>
      </c>
      <c r="H335" s="90">
        <v>6.56E-4</v>
      </c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</row>
    <row r="336">
      <c r="A336" s="79" t="s">
        <v>10518</v>
      </c>
      <c r="B336" s="45"/>
      <c r="C336" s="79" t="s">
        <v>10519</v>
      </c>
      <c r="D336" s="45"/>
      <c r="E336" s="79" t="s">
        <v>5742</v>
      </c>
      <c r="F336" s="79" t="s">
        <v>8784</v>
      </c>
      <c r="G336" s="80" t="s">
        <v>96</v>
      </c>
      <c r="H336" s="90">
        <v>6.558E-4</v>
      </c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</row>
    <row r="337">
      <c r="A337" s="79" t="s">
        <v>16589</v>
      </c>
      <c r="B337" s="45"/>
      <c r="C337" s="79" t="s">
        <v>16590</v>
      </c>
      <c r="D337" s="45"/>
      <c r="E337" s="79" t="s">
        <v>5226</v>
      </c>
      <c r="F337" s="79" t="s">
        <v>5836</v>
      </c>
      <c r="G337" s="80" t="s">
        <v>96</v>
      </c>
      <c r="H337" s="90">
        <v>6.534E-4</v>
      </c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</row>
    <row r="338">
      <c r="A338" s="79" t="s">
        <v>16591</v>
      </c>
      <c r="B338" s="45"/>
      <c r="C338" s="79" t="s">
        <v>16592</v>
      </c>
      <c r="D338" s="45"/>
      <c r="E338" s="79" t="s">
        <v>5283</v>
      </c>
      <c r="F338" s="79" t="s">
        <v>5300</v>
      </c>
      <c r="G338" s="80" t="s">
        <v>96</v>
      </c>
      <c r="H338" s="90">
        <v>6.53E-4</v>
      </c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</row>
    <row r="339">
      <c r="A339" s="79" t="s">
        <v>6280</v>
      </c>
      <c r="B339" s="45"/>
      <c r="C339" s="79" t="s">
        <v>16593</v>
      </c>
      <c r="D339" s="45"/>
      <c r="E339" s="79" t="s">
        <v>5407</v>
      </c>
      <c r="F339" s="79" t="s">
        <v>5300</v>
      </c>
      <c r="G339" s="80" t="s">
        <v>96</v>
      </c>
      <c r="H339" s="90">
        <v>6.523E-4</v>
      </c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</row>
    <row r="340">
      <c r="A340" s="79" t="s">
        <v>16594</v>
      </c>
      <c r="B340" s="45"/>
      <c r="C340" s="79" t="s">
        <v>16595</v>
      </c>
      <c r="D340" s="45"/>
      <c r="E340" s="79" t="s">
        <v>7251</v>
      </c>
      <c r="F340" s="79" t="s">
        <v>5300</v>
      </c>
      <c r="G340" s="80" t="s">
        <v>96</v>
      </c>
      <c r="H340" s="90">
        <v>6.519E-4</v>
      </c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</row>
    <row r="341">
      <c r="A341" s="79" t="s">
        <v>16596</v>
      </c>
      <c r="B341" s="45"/>
      <c r="C341" s="79" t="s">
        <v>16597</v>
      </c>
      <c r="D341" s="45"/>
      <c r="E341" s="79" t="s">
        <v>5377</v>
      </c>
      <c r="F341" s="79" t="s">
        <v>5300</v>
      </c>
      <c r="G341" s="80" t="s">
        <v>96</v>
      </c>
      <c r="H341" s="90">
        <v>6.519E-4</v>
      </c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</row>
    <row r="342">
      <c r="A342" s="79" t="s">
        <v>16598</v>
      </c>
      <c r="B342" s="45"/>
      <c r="C342" s="79" t="s">
        <v>16599</v>
      </c>
      <c r="D342" s="45"/>
      <c r="E342" s="79" t="s">
        <v>9959</v>
      </c>
      <c r="F342" s="79" t="s">
        <v>5300</v>
      </c>
      <c r="G342" s="80" t="s">
        <v>96</v>
      </c>
      <c r="H342" s="90">
        <v>6.517E-4</v>
      </c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</row>
    <row r="343">
      <c r="A343" s="79" t="s">
        <v>16600</v>
      </c>
      <c r="B343" s="45"/>
      <c r="C343" s="79" t="s">
        <v>16601</v>
      </c>
      <c r="D343" s="45"/>
      <c r="E343" s="79" t="s">
        <v>8951</v>
      </c>
      <c r="F343" s="79" t="s">
        <v>5300</v>
      </c>
      <c r="G343" s="80" t="s">
        <v>96</v>
      </c>
      <c r="H343" s="90">
        <v>6.501E-4</v>
      </c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</row>
    <row r="344">
      <c r="A344" s="79" t="s">
        <v>16602</v>
      </c>
      <c r="B344" s="45"/>
      <c r="C344" s="79" t="s">
        <v>16603</v>
      </c>
      <c r="D344" s="45"/>
      <c r="E344" s="79" t="s">
        <v>5366</v>
      </c>
      <c r="F344" s="79" t="s">
        <v>5300</v>
      </c>
      <c r="G344" s="80" t="s">
        <v>96</v>
      </c>
      <c r="H344" s="90">
        <v>6.493E-4</v>
      </c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</row>
    <row r="345">
      <c r="A345" s="79" t="s">
        <v>16604</v>
      </c>
      <c r="B345" s="45"/>
      <c r="C345" s="79" t="s">
        <v>16605</v>
      </c>
      <c r="D345" s="45"/>
      <c r="E345" s="79" t="s">
        <v>5422</v>
      </c>
      <c r="F345" s="79" t="s">
        <v>5300</v>
      </c>
      <c r="G345" s="80" t="s">
        <v>96</v>
      </c>
      <c r="H345" s="90">
        <v>6.46E-4</v>
      </c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</row>
    <row r="346">
      <c r="A346" s="79" t="s">
        <v>16606</v>
      </c>
      <c r="B346" s="45"/>
      <c r="C346" s="79" t="s">
        <v>16607</v>
      </c>
      <c r="D346" s="45"/>
      <c r="E346" s="79" t="s">
        <v>5434</v>
      </c>
      <c r="F346" s="79" t="s">
        <v>5300</v>
      </c>
      <c r="G346" s="80" t="s">
        <v>96</v>
      </c>
      <c r="H346" s="90">
        <v>6.453E-4</v>
      </c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</row>
    <row r="347">
      <c r="A347" s="79" t="s">
        <v>16608</v>
      </c>
      <c r="B347" s="45"/>
      <c r="C347" s="79" t="s">
        <v>16609</v>
      </c>
      <c r="D347" s="45"/>
      <c r="E347" s="79" t="s">
        <v>5215</v>
      </c>
      <c r="F347" s="79" t="s">
        <v>5425</v>
      </c>
      <c r="G347" s="80" t="s">
        <v>96</v>
      </c>
      <c r="H347" s="90">
        <v>6.443E-4</v>
      </c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</row>
    <row r="348">
      <c r="A348" s="79" t="s">
        <v>16610</v>
      </c>
      <c r="B348" s="45"/>
      <c r="C348" s="79" t="s">
        <v>16611</v>
      </c>
      <c r="D348" s="45"/>
      <c r="E348" s="79" t="s">
        <v>6249</v>
      </c>
      <c r="F348" s="79" t="s">
        <v>5300</v>
      </c>
      <c r="G348" s="80" t="s">
        <v>96</v>
      </c>
      <c r="H348" s="90">
        <v>6.442E-4</v>
      </c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</row>
    <row r="349">
      <c r="A349" s="79" t="s">
        <v>16612</v>
      </c>
      <c r="B349" s="45"/>
      <c r="C349" s="79" t="s">
        <v>16613</v>
      </c>
      <c r="D349" s="45"/>
      <c r="E349" s="79" t="s">
        <v>5232</v>
      </c>
      <c r="F349" s="79" t="s">
        <v>5300</v>
      </c>
      <c r="G349" s="80" t="s">
        <v>96</v>
      </c>
      <c r="H349" s="90">
        <v>6.438E-4</v>
      </c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</row>
    <row r="350">
      <c r="A350" s="79" t="s">
        <v>16614</v>
      </c>
      <c r="B350" s="45"/>
      <c r="C350" s="79" t="s">
        <v>16615</v>
      </c>
      <c r="D350" s="45"/>
      <c r="E350" s="79" t="s">
        <v>5215</v>
      </c>
      <c r="F350" s="79" t="s">
        <v>5300</v>
      </c>
      <c r="G350" s="80" t="s">
        <v>96</v>
      </c>
      <c r="H350" s="90">
        <v>6.434E-4</v>
      </c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</row>
    <row r="351">
      <c r="A351" s="79" t="s">
        <v>16616</v>
      </c>
      <c r="B351" s="45"/>
      <c r="C351" s="79" t="s">
        <v>16617</v>
      </c>
      <c r="D351" s="45"/>
      <c r="E351" s="79" t="s">
        <v>5374</v>
      </c>
      <c r="F351" s="79" t="s">
        <v>5300</v>
      </c>
      <c r="G351" s="80" t="s">
        <v>96</v>
      </c>
      <c r="H351" s="90">
        <v>6.417E-4</v>
      </c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</row>
    <row r="352">
      <c r="A352" s="79" t="s">
        <v>16618</v>
      </c>
      <c r="B352" s="45"/>
      <c r="C352" s="79" t="s">
        <v>16619</v>
      </c>
      <c r="D352" s="45"/>
      <c r="E352" s="79" t="s">
        <v>5253</v>
      </c>
      <c r="F352" s="79" t="s">
        <v>5300</v>
      </c>
      <c r="G352" s="80" t="s">
        <v>96</v>
      </c>
      <c r="H352" s="90">
        <v>6.417E-4</v>
      </c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</row>
    <row r="353">
      <c r="A353" s="79" t="s">
        <v>16620</v>
      </c>
      <c r="B353" s="45"/>
      <c r="C353" s="79" t="s">
        <v>16621</v>
      </c>
      <c r="D353" s="45"/>
      <c r="E353" s="79" t="s">
        <v>5624</v>
      </c>
      <c r="F353" s="79" t="s">
        <v>5300</v>
      </c>
      <c r="G353" s="80" t="s">
        <v>96</v>
      </c>
      <c r="H353" s="90">
        <v>6.405E-4</v>
      </c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</row>
    <row r="354">
      <c r="A354" s="79" t="s">
        <v>16622</v>
      </c>
      <c r="B354" s="45"/>
      <c r="C354" s="79" t="s">
        <v>16623</v>
      </c>
      <c r="D354" s="45"/>
      <c r="E354" s="79" t="s">
        <v>5478</v>
      </c>
      <c r="F354" s="79" t="s">
        <v>8759</v>
      </c>
      <c r="G354" s="80" t="s">
        <v>96</v>
      </c>
      <c r="H354" s="90">
        <v>6.398E-4</v>
      </c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</row>
    <row r="355">
      <c r="A355" s="79" t="s">
        <v>10142</v>
      </c>
      <c r="B355" s="45"/>
      <c r="C355" s="79" t="s">
        <v>10143</v>
      </c>
      <c r="D355" s="45"/>
      <c r="E355" s="79" t="s">
        <v>9144</v>
      </c>
      <c r="F355" s="79" t="s">
        <v>5747</v>
      </c>
      <c r="G355" s="80" t="s">
        <v>96</v>
      </c>
      <c r="H355" s="90">
        <v>6.387E-4</v>
      </c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</row>
    <row r="356">
      <c r="A356" s="79" t="s">
        <v>16624</v>
      </c>
      <c r="B356" s="45"/>
      <c r="C356" s="79" t="s">
        <v>16625</v>
      </c>
      <c r="D356" s="45"/>
      <c r="E356" s="79" t="s">
        <v>11397</v>
      </c>
      <c r="F356" s="79" t="s">
        <v>5300</v>
      </c>
      <c r="G356" s="80" t="s">
        <v>96</v>
      </c>
      <c r="H356" s="90">
        <v>6.368E-4</v>
      </c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</row>
    <row r="357">
      <c r="A357" s="79" t="s">
        <v>16626</v>
      </c>
      <c r="B357" s="45"/>
      <c r="C357" s="79" t="s">
        <v>16627</v>
      </c>
      <c r="D357" s="45"/>
      <c r="E357" s="79" t="s">
        <v>6012</v>
      </c>
      <c r="F357" s="79" t="s">
        <v>5300</v>
      </c>
      <c r="G357" s="80" t="s">
        <v>96</v>
      </c>
      <c r="H357" s="90">
        <v>6.368E-4</v>
      </c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</row>
    <row r="358">
      <c r="A358" s="79" t="s">
        <v>16628</v>
      </c>
      <c r="B358" s="45"/>
      <c r="C358" s="79" t="s">
        <v>16629</v>
      </c>
      <c r="D358" s="45"/>
      <c r="E358" s="79" t="s">
        <v>5276</v>
      </c>
      <c r="F358" s="79" t="s">
        <v>5300</v>
      </c>
      <c r="G358" s="80" t="s">
        <v>96</v>
      </c>
      <c r="H358" s="90">
        <v>6.367E-4</v>
      </c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</row>
    <row r="359">
      <c r="A359" s="79" t="s">
        <v>16630</v>
      </c>
      <c r="B359" s="45"/>
      <c r="C359" s="79" t="s">
        <v>16631</v>
      </c>
      <c r="D359" s="45"/>
      <c r="E359" s="79" t="s">
        <v>7248</v>
      </c>
      <c r="F359" s="79" t="s">
        <v>5300</v>
      </c>
      <c r="G359" s="80" t="s">
        <v>96</v>
      </c>
      <c r="H359" s="90">
        <v>6.357E-4</v>
      </c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</row>
    <row r="360">
      <c r="A360" s="79" t="s">
        <v>16632</v>
      </c>
      <c r="B360" s="45"/>
      <c r="C360" s="79" t="s">
        <v>16633</v>
      </c>
      <c r="D360" s="45"/>
      <c r="E360" s="79" t="s">
        <v>5276</v>
      </c>
      <c r="F360" s="79" t="s">
        <v>8767</v>
      </c>
      <c r="G360" s="80" t="s">
        <v>96</v>
      </c>
      <c r="H360" s="90">
        <v>6.357E-4</v>
      </c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</row>
    <row r="361">
      <c r="A361" s="79" t="s">
        <v>6639</v>
      </c>
      <c r="B361" s="45"/>
      <c r="C361" s="79" t="s">
        <v>16634</v>
      </c>
      <c r="D361" s="45"/>
      <c r="E361" s="79" t="s">
        <v>5226</v>
      </c>
      <c r="F361" s="79" t="s">
        <v>5300</v>
      </c>
      <c r="G361" s="80" t="s">
        <v>96</v>
      </c>
      <c r="H361" s="90">
        <v>6.352E-4</v>
      </c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</row>
    <row r="362">
      <c r="A362" s="79" t="s">
        <v>16635</v>
      </c>
      <c r="B362" s="45"/>
      <c r="C362" s="79" t="s">
        <v>16636</v>
      </c>
      <c r="D362" s="45"/>
      <c r="E362" s="79" t="s">
        <v>5395</v>
      </c>
      <c r="F362" s="79" t="s">
        <v>5300</v>
      </c>
      <c r="G362" s="80" t="s">
        <v>96</v>
      </c>
      <c r="H362" s="90">
        <v>6.34E-4</v>
      </c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</row>
    <row r="363">
      <c r="A363" s="79" t="s">
        <v>16637</v>
      </c>
      <c r="B363" s="45"/>
      <c r="C363" s="79" t="s">
        <v>16638</v>
      </c>
      <c r="D363" s="45"/>
      <c r="E363" s="79" t="s">
        <v>5742</v>
      </c>
      <c r="F363" s="79" t="s">
        <v>4095</v>
      </c>
      <c r="G363" s="80" t="s">
        <v>96</v>
      </c>
      <c r="H363" s="90">
        <v>6.337E-4</v>
      </c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</row>
    <row r="364">
      <c r="A364" s="79" t="s">
        <v>10189</v>
      </c>
      <c r="B364" s="45"/>
      <c r="C364" s="79" t="s">
        <v>10190</v>
      </c>
      <c r="D364" s="45"/>
      <c r="E364" s="79" t="s">
        <v>6130</v>
      </c>
      <c r="F364" s="79" t="s">
        <v>4153</v>
      </c>
      <c r="G364" s="80" t="s">
        <v>96</v>
      </c>
      <c r="H364" s="90">
        <v>6.337E-4</v>
      </c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</row>
    <row r="365">
      <c r="A365" s="79" t="s">
        <v>16639</v>
      </c>
      <c r="B365" s="45"/>
      <c r="C365" s="79" t="s">
        <v>16640</v>
      </c>
      <c r="D365" s="45"/>
      <c r="E365" s="79" t="s">
        <v>5215</v>
      </c>
      <c r="F365" s="79" t="s">
        <v>5300</v>
      </c>
      <c r="G365" s="80" t="s">
        <v>96</v>
      </c>
      <c r="H365" s="90">
        <v>6.327E-4</v>
      </c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</row>
    <row r="366">
      <c r="A366" s="79" t="s">
        <v>16641</v>
      </c>
      <c r="B366" s="45"/>
      <c r="C366" s="79" t="s">
        <v>16642</v>
      </c>
      <c r="D366" s="45"/>
      <c r="E366" s="79" t="s">
        <v>6115</v>
      </c>
      <c r="F366" s="79" t="s">
        <v>4095</v>
      </c>
      <c r="G366" s="80" t="s">
        <v>96</v>
      </c>
      <c r="H366" s="90">
        <v>6.326E-4</v>
      </c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</row>
    <row r="367">
      <c r="A367" s="79" t="s">
        <v>16643</v>
      </c>
      <c r="B367" s="45"/>
      <c r="C367" s="79" t="s">
        <v>16644</v>
      </c>
      <c r="D367" s="45"/>
      <c r="E367" s="79" t="s">
        <v>5377</v>
      </c>
      <c r="F367" s="79" t="s">
        <v>5300</v>
      </c>
      <c r="G367" s="80" t="s">
        <v>96</v>
      </c>
      <c r="H367" s="90">
        <v>6.299E-4</v>
      </c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</row>
    <row r="368">
      <c r="A368" s="79" t="s">
        <v>16645</v>
      </c>
      <c r="B368" s="45"/>
      <c r="C368" s="79" t="s">
        <v>16646</v>
      </c>
      <c r="D368" s="45"/>
      <c r="E368" s="79" t="s">
        <v>5650</v>
      </c>
      <c r="F368" s="79" t="s">
        <v>5300</v>
      </c>
      <c r="G368" s="80" t="s">
        <v>96</v>
      </c>
      <c r="H368" s="90">
        <v>6.298E-4</v>
      </c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</row>
    <row r="369">
      <c r="A369" s="79" t="s">
        <v>16647</v>
      </c>
      <c r="B369" s="45"/>
      <c r="C369" s="79" t="s">
        <v>16648</v>
      </c>
      <c r="D369" s="45"/>
      <c r="E369" s="79" t="s">
        <v>5215</v>
      </c>
      <c r="F369" s="79" t="s">
        <v>5300</v>
      </c>
      <c r="G369" s="80" t="s">
        <v>96</v>
      </c>
      <c r="H369" s="90">
        <v>6.281E-4</v>
      </c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</row>
    <row r="370">
      <c r="A370" s="79" t="s">
        <v>5786</v>
      </c>
      <c r="B370" s="45"/>
      <c r="C370" s="79" t="s">
        <v>5787</v>
      </c>
      <c r="D370" s="45"/>
      <c r="E370" s="79" t="s">
        <v>5450</v>
      </c>
      <c r="F370" s="79" t="s">
        <v>5329</v>
      </c>
      <c r="G370" s="80" t="s">
        <v>96</v>
      </c>
      <c r="H370" s="90">
        <v>6.276E-4</v>
      </c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</row>
    <row r="371">
      <c r="A371" s="79" t="s">
        <v>6394</v>
      </c>
      <c r="B371" s="45"/>
      <c r="C371" s="79" t="s">
        <v>16649</v>
      </c>
      <c r="D371" s="45"/>
      <c r="E371" s="79" t="s">
        <v>5578</v>
      </c>
      <c r="F371" s="79" t="s">
        <v>5300</v>
      </c>
      <c r="G371" s="80" t="s">
        <v>96</v>
      </c>
      <c r="H371" s="90">
        <v>6.276E-4</v>
      </c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</row>
    <row r="372">
      <c r="A372" s="79" t="s">
        <v>16650</v>
      </c>
      <c r="B372" s="45"/>
      <c r="C372" s="79" t="s">
        <v>16651</v>
      </c>
      <c r="D372" s="45"/>
      <c r="E372" s="79" t="s">
        <v>8230</v>
      </c>
      <c r="F372" s="79" t="s">
        <v>5300</v>
      </c>
      <c r="G372" s="80" t="s">
        <v>96</v>
      </c>
      <c r="H372" s="90">
        <v>6.266E-4</v>
      </c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</row>
    <row r="373">
      <c r="A373" s="79" t="s">
        <v>16652</v>
      </c>
      <c r="B373" s="45"/>
      <c r="C373" s="79" t="s">
        <v>16653</v>
      </c>
      <c r="D373" s="45"/>
      <c r="E373" s="79" t="s">
        <v>5215</v>
      </c>
      <c r="F373" s="79" t="s">
        <v>5300</v>
      </c>
      <c r="G373" s="80" t="s">
        <v>96</v>
      </c>
      <c r="H373" s="90">
        <v>6.256E-4</v>
      </c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</row>
    <row r="374">
      <c r="A374" s="79" t="s">
        <v>16654</v>
      </c>
      <c r="B374" s="45"/>
      <c r="C374" s="79" t="s">
        <v>16655</v>
      </c>
      <c r="D374" s="45"/>
      <c r="E374" s="79" t="s">
        <v>6801</v>
      </c>
      <c r="F374" s="79" t="s">
        <v>5300</v>
      </c>
      <c r="G374" s="80" t="s">
        <v>96</v>
      </c>
      <c r="H374" s="90">
        <v>6.247E-4</v>
      </c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</row>
    <row r="375">
      <c r="A375" s="79" t="s">
        <v>16656</v>
      </c>
      <c r="B375" s="45"/>
      <c r="C375" s="79" t="s">
        <v>16657</v>
      </c>
      <c r="D375" s="45"/>
      <c r="E375" s="79" t="s">
        <v>6868</v>
      </c>
      <c r="F375" s="79" t="s">
        <v>5836</v>
      </c>
      <c r="G375" s="80" t="s">
        <v>96</v>
      </c>
      <c r="H375" s="90">
        <v>6.246E-4</v>
      </c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</row>
    <row r="376">
      <c r="A376" s="79" t="s">
        <v>16658</v>
      </c>
      <c r="B376" s="45"/>
      <c r="C376" s="79" t="s">
        <v>16659</v>
      </c>
      <c r="D376" s="45"/>
      <c r="E376" s="79" t="s">
        <v>5467</v>
      </c>
      <c r="F376" s="79" t="s">
        <v>4095</v>
      </c>
      <c r="G376" s="80" t="s">
        <v>96</v>
      </c>
      <c r="H376" s="90">
        <v>6.227E-4</v>
      </c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</row>
    <row r="377">
      <c r="A377" s="79" t="s">
        <v>16660</v>
      </c>
      <c r="B377" s="45"/>
      <c r="C377" s="79" t="s">
        <v>16661</v>
      </c>
      <c r="D377" s="45"/>
      <c r="E377" s="79" t="s">
        <v>5467</v>
      </c>
      <c r="F377" s="79" t="s">
        <v>5300</v>
      </c>
      <c r="G377" s="80" t="s">
        <v>96</v>
      </c>
      <c r="H377" s="90">
        <v>6.225E-4</v>
      </c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</row>
    <row r="378">
      <c r="A378" s="79" t="s">
        <v>16662</v>
      </c>
      <c r="B378" s="45"/>
      <c r="C378" s="79" t="s">
        <v>16663</v>
      </c>
      <c r="D378" s="45"/>
      <c r="E378" s="79" t="s">
        <v>5811</v>
      </c>
      <c r="F378" s="79" t="s">
        <v>5300</v>
      </c>
      <c r="G378" s="80" t="s">
        <v>96</v>
      </c>
      <c r="H378" s="90">
        <v>6.197E-4</v>
      </c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</row>
    <row r="379">
      <c r="A379" s="79" t="s">
        <v>16664</v>
      </c>
      <c r="B379" s="45"/>
      <c r="C379" s="79" t="s">
        <v>16665</v>
      </c>
      <c r="D379" s="45"/>
      <c r="E379" s="79" t="s">
        <v>5501</v>
      </c>
      <c r="F379" s="79" t="s">
        <v>5268</v>
      </c>
      <c r="G379" s="80" t="s">
        <v>96</v>
      </c>
      <c r="H379" s="90">
        <v>6.192E-4</v>
      </c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</row>
    <row r="380">
      <c r="A380" s="79" t="s">
        <v>16666</v>
      </c>
      <c r="B380" s="45"/>
      <c r="C380" s="79" t="s">
        <v>16667</v>
      </c>
      <c r="D380" s="45"/>
      <c r="E380" s="79" t="s">
        <v>5453</v>
      </c>
      <c r="F380" s="79" t="s">
        <v>5300</v>
      </c>
      <c r="G380" s="80" t="s">
        <v>96</v>
      </c>
      <c r="H380" s="90">
        <v>6.192E-4</v>
      </c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</row>
    <row r="381">
      <c r="A381" s="79" t="s">
        <v>10265</v>
      </c>
      <c r="B381" s="45"/>
      <c r="C381" s="79" t="s">
        <v>10266</v>
      </c>
      <c r="D381" s="45"/>
      <c r="E381" s="79" t="s">
        <v>5467</v>
      </c>
      <c r="F381" s="79" t="s">
        <v>5425</v>
      </c>
      <c r="G381" s="80" t="s">
        <v>96</v>
      </c>
      <c r="H381" s="90">
        <v>6.182E-4</v>
      </c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</row>
    <row r="382">
      <c r="A382" s="79" t="s">
        <v>16668</v>
      </c>
      <c r="B382" s="45"/>
      <c r="C382" s="79" t="s">
        <v>16669</v>
      </c>
      <c r="D382" s="45"/>
      <c r="E382" s="79" t="s">
        <v>5478</v>
      </c>
      <c r="F382" s="79" t="s">
        <v>5300</v>
      </c>
      <c r="G382" s="80" t="s">
        <v>96</v>
      </c>
      <c r="H382" s="90">
        <v>6.173E-4</v>
      </c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</row>
    <row r="383">
      <c r="A383" s="79" t="s">
        <v>16670</v>
      </c>
      <c r="B383" s="45"/>
      <c r="C383" s="79" t="s">
        <v>16671</v>
      </c>
      <c r="D383" s="45"/>
      <c r="E383" s="79" t="s">
        <v>5742</v>
      </c>
      <c r="F383" s="79" t="s">
        <v>5300</v>
      </c>
      <c r="G383" s="80" t="s">
        <v>96</v>
      </c>
      <c r="H383" s="90">
        <v>6.171E-4</v>
      </c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</row>
    <row r="384">
      <c r="A384" s="79" t="s">
        <v>16672</v>
      </c>
      <c r="B384" s="45"/>
      <c r="C384" s="79" t="s">
        <v>16673</v>
      </c>
      <c r="D384" s="45"/>
      <c r="E384" s="79" t="s">
        <v>5258</v>
      </c>
      <c r="F384" s="79" t="s">
        <v>5836</v>
      </c>
      <c r="G384" s="80" t="s">
        <v>96</v>
      </c>
      <c r="H384" s="90">
        <v>6.17E-4</v>
      </c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</row>
    <row r="385">
      <c r="A385" s="79" t="s">
        <v>16674</v>
      </c>
      <c r="B385" s="45"/>
      <c r="C385" s="79" t="s">
        <v>16675</v>
      </c>
      <c r="D385" s="45"/>
      <c r="E385" s="79" t="s">
        <v>5226</v>
      </c>
      <c r="F385" s="79" t="s">
        <v>5300</v>
      </c>
      <c r="G385" s="80" t="s">
        <v>96</v>
      </c>
      <c r="H385" s="90">
        <v>6.159E-4</v>
      </c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</row>
    <row r="386">
      <c r="A386" s="79" t="s">
        <v>16676</v>
      </c>
      <c r="B386" s="45"/>
      <c r="C386" s="79" t="s">
        <v>16677</v>
      </c>
      <c r="D386" s="45"/>
      <c r="E386" s="79" t="s">
        <v>6266</v>
      </c>
      <c r="F386" s="79" t="s">
        <v>5300</v>
      </c>
      <c r="G386" s="80" t="s">
        <v>96</v>
      </c>
      <c r="H386" s="90">
        <v>6.147E-4</v>
      </c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</row>
    <row r="387">
      <c r="A387" s="79" t="s">
        <v>16678</v>
      </c>
      <c r="B387" s="45"/>
      <c r="C387" s="79" t="s">
        <v>16679</v>
      </c>
      <c r="D387" s="45"/>
      <c r="E387" s="79" t="s">
        <v>5478</v>
      </c>
      <c r="F387" s="79" t="s">
        <v>5300</v>
      </c>
      <c r="G387" s="80" t="s">
        <v>96</v>
      </c>
      <c r="H387" s="90">
        <v>6.143E-4</v>
      </c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</row>
    <row r="388">
      <c r="A388" s="79" t="s">
        <v>16680</v>
      </c>
      <c r="B388" s="45"/>
      <c r="C388" s="79" t="s">
        <v>16681</v>
      </c>
      <c r="D388" s="45"/>
      <c r="E388" s="79" t="s">
        <v>5467</v>
      </c>
      <c r="F388" s="79" t="s">
        <v>5300</v>
      </c>
      <c r="G388" s="80" t="s">
        <v>96</v>
      </c>
      <c r="H388" s="90">
        <v>6.142E-4</v>
      </c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</row>
    <row r="389">
      <c r="A389" s="79" t="s">
        <v>16682</v>
      </c>
      <c r="B389" s="45"/>
      <c r="C389" s="79" t="s">
        <v>16683</v>
      </c>
      <c r="D389" s="45"/>
      <c r="E389" s="79" t="s">
        <v>11325</v>
      </c>
      <c r="F389" s="79" t="s">
        <v>5425</v>
      </c>
      <c r="G389" s="80" t="s">
        <v>96</v>
      </c>
      <c r="H389" s="90">
        <v>6.14E-4</v>
      </c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</row>
    <row r="390">
      <c r="A390" s="79" t="s">
        <v>16684</v>
      </c>
      <c r="B390" s="45"/>
      <c r="C390" s="79" t="s">
        <v>16685</v>
      </c>
      <c r="D390" s="45"/>
      <c r="E390" s="79" t="s">
        <v>6249</v>
      </c>
      <c r="F390" s="79" t="s">
        <v>5300</v>
      </c>
      <c r="G390" s="80" t="s">
        <v>96</v>
      </c>
      <c r="H390" s="90">
        <v>6.136E-4</v>
      </c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</row>
    <row r="391">
      <c r="A391" s="79" t="s">
        <v>16686</v>
      </c>
      <c r="B391" s="45"/>
      <c r="C391" s="79" t="s">
        <v>16687</v>
      </c>
      <c r="D391" s="45"/>
      <c r="E391" s="79" t="s">
        <v>5641</v>
      </c>
      <c r="F391" s="79" t="s">
        <v>5300</v>
      </c>
      <c r="G391" s="80" t="s">
        <v>96</v>
      </c>
      <c r="H391" s="90">
        <v>6.131E-4</v>
      </c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</row>
    <row r="392">
      <c r="A392" s="79" t="s">
        <v>16688</v>
      </c>
      <c r="B392" s="45"/>
      <c r="C392" s="79" t="s">
        <v>16689</v>
      </c>
      <c r="D392" s="45"/>
      <c r="E392" s="79" t="s">
        <v>6238</v>
      </c>
      <c r="F392" s="79" t="s">
        <v>5277</v>
      </c>
      <c r="G392" s="80" t="s">
        <v>96</v>
      </c>
      <c r="H392" s="90">
        <v>6.112E-4</v>
      </c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</row>
    <row r="393">
      <c r="A393" s="79" t="s">
        <v>16690</v>
      </c>
      <c r="B393" s="45"/>
      <c r="C393" s="79" t="s">
        <v>16691</v>
      </c>
      <c r="D393" s="45"/>
      <c r="E393" s="79" t="s">
        <v>5377</v>
      </c>
      <c r="F393" s="79" t="s">
        <v>5300</v>
      </c>
      <c r="G393" s="80" t="s">
        <v>96</v>
      </c>
      <c r="H393" s="90">
        <v>6.095E-4</v>
      </c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</row>
    <row r="394">
      <c r="A394" s="79" t="s">
        <v>4578</v>
      </c>
      <c r="B394" s="45"/>
      <c r="C394" s="79" t="s">
        <v>10327</v>
      </c>
      <c r="D394" s="45"/>
      <c r="E394" s="79" t="s">
        <v>6130</v>
      </c>
      <c r="F394" s="79" t="s">
        <v>4357</v>
      </c>
      <c r="G394" s="80" t="s">
        <v>96</v>
      </c>
      <c r="H394" s="90">
        <v>6.086E-4</v>
      </c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</row>
    <row r="395">
      <c r="A395" s="79" t="s">
        <v>16692</v>
      </c>
      <c r="B395" s="45"/>
      <c r="C395" s="79" t="s">
        <v>16693</v>
      </c>
      <c r="D395" s="45"/>
      <c r="E395" s="79" t="s">
        <v>6110</v>
      </c>
      <c r="F395" s="79" t="s">
        <v>8767</v>
      </c>
      <c r="G395" s="80" t="s">
        <v>96</v>
      </c>
      <c r="H395" s="90">
        <v>6.076E-4</v>
      </c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</row>
    <row r="396">
      <c r="A396" s="79" t="s">
        <v>16694</v>
      </c>
      <c r="B396" s="45"/>
      <c r="C396" s="79" t="s">
        <v>16695</v>
      </c>
      <c r="D396" s="45"/>
      <c r="E396" s="79" t="s">
        <v>6729</v>
      </c>
      <c r="F396" s="79" t="s">
        <v>5300</v>
      </c>
      <c r="G396" s="80" t="s">
        <v>96</v>
      </c>
      <c r="H396" s="90">
        <v>6.075E-4</v>
      </c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</row>
    <row r="397">
      <c r="A397" s="79" t="s">
        <v>16696</v>
      </c>
      <c r="B397" s="45"/>
      <c r="C397" s="79" t="s">
        <v>16697</v>
      </c>
      <c r="D397" s="45"/>
      <c r="E397" s="79" t="s">
        <v>6130</v>
      </c>
      <c r="F397" s="79" t="s">
        <v>8784</v>
      </c>
      <c r="G397" s="80" t="s">
        <v>96</v>
      </c>
      <c r="H397" s="90">
        <v>6.073E-4</v>
      </c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</row>
    <row r="398">
      <c r="A398" s="79" t="s">
        <v>16698</v>
      </c>
      <c r="B398" s="45"/>
      <c r="C398" s="79" t="s">
        <v>16699</v>
      </c>
      <c r="D398" s="45"/>
      <c r="E398" s="79" t="s">
        <v>5321</v>
      </c>
      <c r="F398" s="79" t="s">
        <v>5300</v>
      </c>
      <c r="G398" s="80" t="s">
        <v>96</v>
      </c>
      <c r="H398" s="90">
        <v>6.065E-4</v>
      </c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</row>
    <row r="399">
      <c r="A399" s="79" t="s">
        <v>16700</v>
      </c>
      <c r="B399" s="45"/>
      <c r="C399" s="79" t="s">
        <v>16701</v>
      </c>
      <c r="D399" s="45"/>
      <c r="E399" s="79" t="s">
        <v>5267</v>
      </c>
      <c r="F399" s="79" t="s">
        <v>5300</v>
      </c>
      <c r="G399" s="80" t="s">
        <v>96</v>
      </c>
      <c r="H399" s="90">
        <v>6.056E-4</v>
      </c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</row>
    <row r="400">
      <c r="A400" s="79" t="s">
        <v>10593</v>
      </c>
      <c r="B400" s="45"/>
      <c r="C400" s="79" t="s">
        <v>10594</v>
      </c>
      <c r="D400" s="45"/>
      <c r="E400" s="79" t="s">
        <v>5241</v>
      </c>
      <c r="F400" s="79" t="s">
        <v>8759</v>
      </c>
      <c r="G400" s="80" t="s">
        <v>96</v>
      </c>
      <c r="H400" s="90">
        <v>6.041E-4</v>
      </c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</row>
    <row r="401">
      <c r="A401" s="79" t="s">
        <v>16702</v>
      </c>
      <c r="B401" s="45"/>
      <c r="C401" s="79" t="s">
        <v>16703</v>
      </c>
      <c r="D401" s="45"/>
      <c r="E401" s="79" t="s">
        <v>5288</v>
      </c>
      <c r="F401" s="79" t="s">
        <v>5941</v>
      </c>
      <c r="G401" s="80" t="s">
        <v>96</v>
      </c>
      <c r="H401" s="90">
        <v>6.03E-4</v>
      </c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</row>
    <row r="402">
      <c r="A402" s="79" t="s">
        <v>16704</v>
      </c>
      <c r="B402" s="45"/>
      <c r="C402" s="79" t="s">
        <v>16705</v>
      </c>
      <c r="D402" s="45"/>
      <c r="E402" s="79" t="s">
        <v>5404</v>
      </c>
      <c r="F402" s="79" t="s">
        <v>5747</v>
      </c>
      <c r="G402" s="80" t="s">
        <v>96</v>
      </c>
      <c r="H402" s="90">
        <v>6.027E-4</v>
      </c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</row>
    <row r="403">
      <c r="A403" s="79" t="s">
        <v>16706</v>
      </c>
      <c r="B403" s="45"/>
      <c r="C403" s="79" t="s">
        <v>16707</v>
      </c>
      <c r="D403" s="45"/>
      <c r="E403" s="79" t="s">
        <v>5267</v>
      </c>
      <c r="F403" s="79" t="s">
        <v>5300</v>
      </c>
      <c r="G403" s="80" t="s">
        <v>96</v>
      </c>
      <c r="H403" s="90">
        <v>6.024E-4</v>
      </c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</row>
    <row r="404">
      <c r="A404" s="79" t="s">
        <v>16708</v>
      </c>
      <c r="B404" s="45"/>
      <c r="C404" s="79" t="s">
        <v>16709</v>
      </c>
      <c r="D404" s="45"/>
      <c r="E404" s="79" t="s">
        <v>5276</v>
      </c>
      <c r="F404" s="79" t="s">
        <v>5300</v>
      </c>
      <c r="G404" s="80" t="s">
        <v>96</v>
      </c>
      <c r="H404" s="90">
        <v>6.022E-4</v>
      </c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</row>
    <row r="405">
      <c r="A405" s="79" t="s">
        <v>16710</v>
      </c>
      <c r="B405" s="45"/>
      <c r="C405" s="79" t="s">
        <v>16711</v>
      </c>
      <c r="D405" s="45"/>
      <c r="E405" s="79" t="s">
        <v>6130</v>
      </c>
      <c r="F405" s="79" t="s">
        <v>5300</v>
      </c>
      <c r="G405" s="80" t="s">
        <v>96</v>
      </c>
      <c r="H405" s="90">
        <v>6.015E-4</v>
      </c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</row>
    <row r="406">
      <c r="A406" s="79" t="s">
        <v>16712</v>
      </c>
      <c r="B406" s="45"/>
      <c r="C406" s="79" t="s">
        <v>16713</v>
      </c>
      <c r="D406" s="45"/>
      <c r="E406" s="79" t="s">
        <v>5232</v>
      </c>
      <c r="F406" s="79" t="s">
        <v>5300</v>
      </c>
      <c r="G406" s="80" t="s">
        <v>96</v>
      </c>
      <c r="H406" s="90">
        <v>6.008E-4</v>
      </c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</row>
    <row r="407">
      <c r="A407" s="79" t="s">
        <v>10340</v>
      </c>
      <c r="B407" s="45"/>
      <c r="C407" s="79" t="s">
        <v>10341</v>
      </c>
      <c r="D407" s="45"/>
      <c r="E407" s="79" t="s">
        <v>5215</v>
      </c>
      <c r="F407" s="79" t="s">
        <v>4436</v>
      </c>
      <c r="G407" s="80" t="s">
        <v>96</v>
      </c>
      <c r="H407" s="90">
        <v>5.995E-4</v>
      </c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</row>
    <row r="408">
      <c r="A408" s="79" t="s">
        <v>16714</v>
      </c>
      <c r="B408" s="45"/>
      <c r="C408" s="79" t="s">
        <v>16715</v>
      </c>
      <c r="D408" s="45"/>
      <c r="E408" s="79" t="s">
        <v>5382</v>
      </c>
      <c r="F408" s="79" t="s">
        <v>5300</v>
      </c>
      <c r="G408" s="80" t="s">
        <v>96</v>
      </c>
      <c r="H408" s="90">
        <v>5.98E-4</v>
      </c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</row>
    <row r="409">
      <c r="A409" s="79" t="s">
        <v>16716</v>
      </c>
      <c r="B409" s="45"/>
      <c r="C409" s="79" t="s">
        <v>16717</v>
      </c>
      <c r="D409" s="45"/>
      <c r="E409" s="79" t="s">
        <v>9189</v>
      </c>
      <c r="F409" s="79" t="s">
        <v>5425</v>
      </c>
      <c r="G409" s="80" t="s">
        <v>96</v>
      </c>
      <c r="H409" s="90">
        <v>5.978E-4</v>
      </c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</row>
    <row r="410">
      <c r="A410" s="79" t="s">
        <v>10151</v>
      </c>
      <c r="B410" s="45"/>
      <c r="C410" s="79" t="s">
        <v>10152</v>
      </c>
      <c r="D410" s="45"/>
      <c r="E410" s="79" t="s">
        <v>5321</v>
      </c>
      <c r="F410" s="79" t="s">
        <v>5425</v>
      </c>
      <c r="G410" s="80" t="s">
        <v>96</v>
      </c>
      <c r="H410" s="90">
        <v>5.958E-4</v>
      </c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</row>
    <row r="411">
      <c r="A411" s="79" t="s">
        <v>16718</v>
      </c>
      <c r="B411" s="45"/>
      <c r="C411" s="79" t="s">
        <v>16719</v>
      </c>
      <c r="D411" s="45"/>
      <c r="E411" s="79" t="s">
        <v>6249</v>
      </c>
      <c r="F411" s="79" t="s">
        <v>5300</v>
      </c>
      <c r="G411" s="80" t="s">
        <v>96</v>
      </c>
      <c r="H411" s="90">
        <v>5.955E-4</v>
      </c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</row>
    <row r="412">
      <c r="A412" s="79" t="s">
        <v>16720</v>
      </c>
      <c r="B412" s="45"/>
      <c r="C412" s="79" t="s">
        <v>16721</v>
      </c>
      <c r="D412" s="45"/>
      <c r="E412" s="79" t="s">
        <v>7471</v>
      </c>
      <c r="F412" s="79" t="s">
        <v>5300</v>
      </c>
      <c r="G412" s="80" t="s">
        <v>96</v>
      </c>
      <c r="H412" s="90">
        <v>5.931E-4</v>
      </c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</row>
    <row r="413">
      <c r="A413" s="79" t="s">
        <v>16722</v>
      </c>
      <c r="B413" s="45"/>
      <c r="C413" s="79" t="s">
        <v>16723</v>
      </c>
      <c r="D413" s="45"/>
      <c r="E413" s="79" t="s">
        <v>5407</v>
      </c>
      <c r="F413" s="79" t="s">
        <v>5300</v>
      </c>
      <c r="G413" s="80" t="s">
        <v>96</v>
      </c>
      <c r="H413" s="90">
        <v>5.909E-4</v>
      </c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</row>
    <row r="414">
      <c r="A414" s="79" t="s">
        <v>16724</v>
      </c>
      <c r="B414" s="45"/>
      <c r="C414" s="79" t="s">
        <v>16725</v>
      </c>
      <c r="D414" s="45"/>
      <c r="E414" s="79" t="s">
        <v>5291</v>
      </c>
      <c r="F414" s="79" t="s">
        <v>5300</v>
      </c>
      <c r="G414" s="80" t="s">
        <v>96</v>
      </c>
      <c r="H414" s="90">
        <v>5.905E-4</v>
      </c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</row>
    <row r="415">
      <c r="A415" s="79" t="s">
        <v>4483</v>
      </c>
      <c r="B415" s="45"/>
      <c r="C415" s="79" t="s">
        <v>16726</v>
      </c>
      <c r="D415" s="45"/>
      <c r="E415" s="79" t="s">
        <v>5215</v>
      </c>
      <c r="F415" s="79" t="s">
        <v>9617</v>
      </c>
      <c r="G415" s="80" t="s">
        <v>96</v>
      </c>
      <c r="H415" s="90">
        <v>5.902E-4</v>
      </c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</row>
    <row r="416">
      <c r="A416" s="79" t="s">
        <v>16727</v>
      </c>
      <c r="B416" s="45"/>
      <c r="C416" s="79" t="s">
        <v>16728</v>
      </c>
      <c r="D416" s="45"/>
      <c r="E416" s="79" t="s">
        <v>5261</v>
      </c>
      <c r="F416" s="79" t="s">
        <v>6210</v>
      </c>
      <c r="G416" s="80" t="s">
        <v>96</v>
      </c>
      <c r="H416" s="90">
        <v>5.9E-4</v>
      </c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</row>
    <row r="417">
      <c r="A417" s="79" t="s">
        <v>16729</v>
      </c>
      <c r="B417" s="45"/>
      <c r="C417" s="79" t="s">
        <v>16730</v>
      </c>
      <c r="D417" s="45"/>
      <c r="E417" s="79" t="s">
        <v>5855</v>
      </c>
      <c r="F417" s="79" t="s">
        <v>5300</v>
      </c>
      <c r="G417" s="80" t="s">
        <v>96</v>
      </c>
      <c r="H417" s="90">
        <v>5.855E-4</v>
      </c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</row>
    <row r="418">
      <c r="A418" s="79" t="s">
        <v>16731</v>
      </c>
      <c r="B418" s="45"/>
      <c r="C418" s="79" t="s">
        <v>16732</v>
      </c>
      <c r="D418" s="45"/>
      <c r="E418" s="79" t="s">
        <v>5276</v>
      </c>
      <c r="F418" s="79" t="s">
        <v>5836</v>
      </c>
      <c r="G418" s="80" t="s">
        <v>96</v>
      </c>
      <c r="H418" s="90">
        <v>5.845E-4</v>
      </c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</row>
    <row r="419">
      <c r="A419" s="79" t="s">
        <v>5468</v>
      </c>
      <c r="B419" s="45"/>
      <c r="C419" s="79" t="s">
        <v>16733</v>
      </c>
      <c r="D419" s="45"/>
      <c r="E419" s="79" t="s">
        <v>6238</v>
      </c>
      <c r="F419" s="79" t="s">
        <v>5300</v>
      </c>
      <c r="G419" s="80" t="s">
        <v>96</v>
      </c>
      <c r="H419" s="90">
        <v>5.845E-4</v>
      </c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</row>
    <row r="420">
      <c r="A420" s="79" t="s">
        <v>16734</v>
      </c>
      <c r="B420" s="45"/>
      <c r="C420" s="79" t="s">
        <v>16735</v>
      </c>
      <c r="D420" s="45"/>
      <c r="E420" s="79" t="s">
        <v>5704</v>
      </c>
      <c r="F420" s="79" t="s">
        <v>8759</v>
      </c>
      <c r="G420" s="80" t="s">
        <v>96</v>
      </c>
      <c r="H420" s="90">
        <v>5.844E-4</v>
      </c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</row>
    <row r="421">
      <c r="A421" s="79" t="s">
        <v>16736</v>
      </c>
      <c r="B421" s="45"/>
      <c r="C421" s="79" t="s">
        <v>16737</v>
      </c>
      <c r="D421" s="45"/>
      <c r="E421" s="79" t="s">
        <v>5395</v>
      </c>
      <c r="F421" s="79" t="s">
        <v>5300</v>
      </c>
      <c r="G421" s="80" t="s">
        <v>96</v>
      </c>
      <c r="H421" s="90">
        <v>5.836E-4</v>
      </c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</row>
    <row r="422">
      <c r="A422" s="79" t="s">
        <v>16738</v>
      </c>
      <c r="B422" s="45"/>
      <c r="C422" s="79" t="s">
        <v>16739</v>
      </c>
      <c r="D422" s="45"/>
      <c r="E422" s="79" t="s">
        <v>6191</v>
      </c>
      <c r="F422" s="79" t="s">
        <v>5300</v>
      </c>
      <c r="G422" s="80" t="s">
        <v>96</v>
      </c>
      <c r="H422" s="90">
        <v>5.827E-4</v>
      </c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</row>
    <row r="423">
      <c r="A423" s="79" t="s">
        <v>16740</v>
      </c>
      <c r="B423" s="45"/>
      <c r="C423" s="79" t="s">
        <v>16741</v>
      </c>
      <c r="D423" s="45"/>
      <c r="E423" s="79" t="s">
        <v>5431</v>
      </c>
      <c r="F423" s="79" t="s">
        <v>4095</v>
      </c>
      <c r="G423" s="80" t="s">
        <v>96</v>
      </c>
      <c r="H423" s="90">
        <v>5.82E-4</v>
      </c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</row>
    <row r="424">
      <c r="A424" s="79" t="s">
        <v>9868</v>
      </c>
      <c r="B424" s="45"/>
      <c r="C424" s="79" t="s">
        <v>16742</v>
      </c>
      <c r="D424" s="45"/>
      <c r="E424" s="79" t="s">
        <v>5226</v>
      </c>
      <c r="F424" s="79" t="s">
        <v>5836</v>
      </c>
      <c r="G424" s="80" t="s">
        <v>96</v>
      </c>
      <c r="H424" s="90">
        <v>5.81E-4</v>
      </c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</row>
    <row r="425">
      <c r="A425" s="79" t="s">
        <v>16743</v>
      </c>
      <c r="B425" s="45"/>
      <c r="C425" s="79" t="s">
        <v>16744</v>
      </c>
      <c r="D425" s="45"/>
      <c r="E425" s="79" t="s">
        <v>5501</v>
      </c>
      <c r="F425" s="79" t="s">
        <v>5300</v>
      </c>
      <c r="G425" s="80" t="s">
        <v>96</v>
      </c>
      <c r="H425" s="90">
        <v>5.807E-4</v>
      </c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</row>
    <row r="426">
      <c r="A426" s="79" t="s">
        <v>16745</v>
      </c>
      <c r="B426" s="45"/>
      <c r="C426" s="79" t="s">
        <v>16746</v>
      </c>
      <c r="D426" s="45"/>
      <c r="E426" s="79" t="s">
        <v>5226</v>
      </c>
      <c r="F426" s="79" t="s">
        <v>5300</v>
      </c>
      <c r="G426" s="80" t="s">
        <v>96</v>
      </c>
      <c r="H426" s="90">
        <v>5.805E-4</v>
      </c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</row>
    <row r="427">
      <c r="A427" s="79" t="s">
        <v>16747</v>
      </c>
      <c r="B427" s="45"/>
      <c r="C427" s="79" t="s">
        <v>16748</v>
      </c>
      <c r="D427" s="45"/>
      <c r="E427" s="79" t="s">
        <v>5335</v>
      </c>
      <c r="F427" s="79" t="s">
        <v>5300</v>
      </c>
      <c r="G427" s="80" t="s">
        <v>96</v>
      </c>
      <c r="H427" s="90">
        <v>5.79E-4</v>
      </c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</row>
    <row r="428">
      <c r="A428" s="79" t="s">
        <v>16749</v>
      </c>
      <c r="B428" s="45"/>
      <c r="C428" s="79" t="s">
        <v>16750</v>
      </c>
      <c r="D428" s="45"/>
      <c r="E428" s="79" t="s">
        <v>6238</v>
      </c>
      <c r="F428" s="79" t="s">
        <v>5300</v>
      </c>
      <c r="G428" s="80" t="s">
        <v>96</v>
      </c>
      <c r="H428" s="90">
        <v>5.785E-4</v>
      </c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</row>
    <row r="429">
      <c r="A429" s="79" t="s">
        <v>16751</v>
      </c>
      <c r="B429" s="45"/>
      <c r="C429" s="79" t="s">
        <v>16752</v>
      </c>
      <c r="D429" s="45"/>
      <c r="E429" s="79" t="s">
        <v>5226</v>
      </c>
      <c r="F429" s="79" t="s">
        <v>5836</v>
      </c>
      <c r="G429" s="80" t="s">
        <v>96</v>
      </c>
      <c r="H429" s="90">
        <v>5.781E-4</v>
      </c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</row>
    <row r="430">
      <c r="A430" s="79" t="s">
        <v>16753</v>
      </c>
      <c r="B430" s="45"/>
      <c r="C430" s="79" t="s">
        <v>16754</v>
      </c>
      <c r="D430" s="45"/>
      <c r="E430" s="79" t="s">
        <v>5215</v>
      </c>
      <c r="F430" s="79" t="s">
        <v>5300</v>
      </c>
      <c r="G430" s="80" t="s">
        <v>96</v>
      </c>
      <c r="H430" s="90">
        <v>5.777E-4</v>
      </c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</row>
    <row r="431">
      <c r="A431" s="79" t="s">
        <v>16755</v>
      </c>
      <c r="B431" s="45"/>
      <c r="C431" s="79" t="s">
        <v>16756</v>
      </c>
      <c r="D431" s="45"/>
      <c r="E431" s="79" t="s">
        <v>5609</v>
      </c>
      <c r="F431" s="79" t="s">
        <v>9414</v>
      </c>
      <c r="G431" s="80" t="s">
        <v>96</v>
      </c>
      <c r="H431" s="90">
        <v>5.775E-4</v>
      </c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</row>
    <row r="432">
      <c r="A432" s="79" t="s">
        <v>16757</v>
      </c>
      <c r="B432" s="45"/>
      <c r="C432" s="79" t="s">
        <v>16758</v>
      </c>
      <c r="D432" s="45"/>
      <c r="E432" s="79" t="s">
        <v>5271</v>
      </c>
      <c r="F432" s="79" t="s">
        <v>9299</v>
      </c>
      <c r="G432" s="80" t="s">
        <v>96</v>
      </c>
      <c r="H432" s="90">
        <v>5.765E-4</v>
      </c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</row>
    <row r="433">
      <c r="A433" s="79" t="s">
        <v>16759</v>
      </c>
      <c r="B433" s="45"/>
      <c r="C433" s="79" t="s">
        <v>16760</v>
      </c>
      <c r="D433" s="45"/>
      <c r="E433" s="79" t="s">
        <v>5283</v>
      </c>
      <c r="F433" s="79" t="s">
        <v>5300</v>
      </c>
      <c r="G433" s="80" t="s">
        <v>96</v>
      </c>
      <c r="H433" s="90">
        <v>5.765E-4</v>
      </c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</row>
    <row r="434">
      <c r="A434" s="79" t="s">
        <v>16761</v>
      </c>
      <c r="B434" s="45"/>
      <c r="C434" s="79" t="s">
        <v>16762</v>
      </c>
      <c r="D434" s="45"/>
      <c r="E434" s="79" t="s">
        <v>5283</v>
      </c>
      <c r="F434" s="79" t="s">
        <v>8767</v>
      </c>
      <c r="G434" s="80" t="s">
        <v>96</v>
      </c>
      <c r="H434" s="90">
        <v>5.764E-4</v>
      </c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</row>
    <row r="435">
      <c r="A435" s="79" t="s">
        <v>16763</v>
      </c>
      <c r="B435" s="45"/>
      <c r="C435" s="79" t="s">
        <v>16764</v>
      </c>
      <c r="D435" s="45"/>
      <c r="E435" s="79" t="s">
        <v>5759</v>
      </c>
      <c r="F435" s="79" t="s">
        <v>5300</v>
      </c>
      <c r="G435" s="80" t="s">
        <v>96</v>
      </c>
      <c r="H435" s="90">
        <v>5.762E-4</v>
      </c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</row>
    <row r="436">
      <c r="A436" s="79" t="s">
        <v>16765</v>
      </c>
      <c r="B436" s="45"/>
      <c r="C436" s="79" t="s">
        <v>16766</v>
      </c>
      <c r="D436" s="45"/>
      <c r="E436" s="79" t="s">
        <v>16767</v>
      </c>
      <c r="F436" s="79" t="s">
        <v>5300</v>
      </c>
      <c r="G436" s="80" t="s">
        <v>96</v>
      </c>
      <c r="H436" s="90">
        <v>5.76E-4</v>
      </c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</row>
    <row r="437">
      <c r="A437" s="79" t="s">
        <v>16768</v>
      </c>
      <c r="B437" s="45"/>
      <c r="C437" s="79" t="s">
        <v>16769</v>
      </c>
      <c r="D437" s="45"/>
      <c r="E437" s="79" t="s">
        <v>5311</v>
      </c>
      <c r="F437" s="79" t="s">
        <v>5300</v>
      </c>
      <c r="G437" s="80" t="s">
        <v>96</v>
      </c>
      <c r="H437" s="90">
        <v>5.758E-4</v>
      </c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</row>
    <row r="438">
      <c r="A438" s="79" t="s">
        <v>16770</v>
      </c>
      <c r="B438" s="45"/>
      <c r="C438" s="79" t="s">
        <v>16771</v>
      </c>
      <c r="D438" s="45"/>
      <c r="E438" s="79" t="s">
        <v>5478</v>
      </c>
      <c r="F438" s="79" t="s">
        <v>6210</v>
      </c>
      <c r="G438" s="80" t="s">
        <v>96</v>
      </c>
      <c r="H438" s="90">
        <v>5.75E-4</v>
      </c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</row>
    <row r="439">
      <c r="A439" s="79" t="s">
        <v>5627</v>
      </c>
      <c r="B439" s="45"/>
      <c r="C439" s="79" t="s">
        <v>16772</v>
      </c>
      <c r="D439" s="45"/>
      <c r="E439" s="79" t="s">
        <v>5513</v>
      </c>
      <c r="F439" s="79" t="s">
        <v>5300</v>
      </c>
      <c r="G439" s="80" t="s">
        <v>96</v>
      </c>
      <c r="H439" s="90">
        <v>5.749E-4</v>
      </c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</row>
    <row r="440">
      <c r="A440" s="79" t="s">
        <v>16773</v>
      </c>
      <c r="B440" s="45"/>
      <c r="C440" s="79" t="s">
        <v>16774</v>
      </c>
      <c r="D440" s="45"/>
      <c r="E440" s="79" t="s">
        <v>5450</v>
      </c>
      <c r="F440" s="79" t="s">
        <v>5329</v>
      </c>
      <c r="G440" s="80" t="s">
        <v>96</v>
      </c>
      <c r="H440" s="90">
        <v>5.747E-4</v>
      </c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</row>
    <row r="441">
      <c r="A441" s="79" t="s">
        <v>16775</v>
      </c>
      <c r="B441" s="45"/>
      <c r="C441" s="79" t="s">
        <v>16776</v>
      </c>
      <c r="D441" s="45"/>
      <c r="E441" s="79" t="s">
        <v>5377</v>
      </c>
      <c r="F441" s="79" t="s">
        <v>5747</v>
      </c>
      <c r="G441" s="80" t="s">
        <v>96</v>
      </c>
      <c r="H441" s="90">
        <v>5.747E-4</v>
      </c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</row>
    <row r="442">
      <c r="A442" s="79" t="s">
        <v>16777</v>
      </c>
      <c r="B442" s="45"/>
      <c r="C442" s="79" t="s">
        <v>16778</v>
      </c>
      <c r="D442" s="45"/>
      <c r="E442" s="79" t="s">
        <v>5445</v>
      </c>
      <c r="F442" s="79" t="s">
        <v>5300</v>
      </c>
      <c r="G442" s="80" t="s">
        <v>96</v>
      </c>
      <c r="H442" s="90">
        <v>5.738E-4</v>
      </c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</row>
    <row r="443">
      <c r="A443" s="79" t="s">
        <v>10334</v>
      </c>
      <c r="B443" s="45"/>
      <c r="C443" s="79" t="s">
        <v>10335</v>
      </c>
      <c r="D443" s="45"/>
      <c r="E443" s="79" t="s">
        <v>5624</v>
      </c>
      <c r="F443" s="79" t="s">
        <v>4095</v>
      </c>
      <c r="G443" s="80" t="s">
        <v>96</v>
      </c>
      <c r="H443" s="90">
        <v>5.736E-4</v>
      </c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</row>
    <row r="444">
      <c r="A444" s="79" t="s">
        <v>16779</v>
      </c>
      <c r="B444" s="45"/>
      <c r="C444" s="79" t="s">
        <v>16780</v>
      </c>
      <c r="D444" s="45"/>
      <c r="E444" s="79" t="s">
        <v>5501</v>
      </c>
      <c r="F444" s="79" t="s">
        <v>5747</v>
      </c>
      <c r="G444" s="80" t="s">
        <v>96</v>
      </c>
      <c r="H444" s="90">
        <v>5.73E-4</v>
      </c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</row>
    <row r="445">
      <c r="A445" s="79" t="s">
        <v>16781</v>
      </c>
      <c r="B445" s="45"/>
      <c r="C445" s="79" t="s">
        <v>16782</v>
      </c>
      <c r="D445" s="45"/>
      <c r="E445" s="79" t="s">
        <v>5742</v>
      </c>
      <c r="F445" s="79" t="s">
        <v>5300</v>
      </c>
      <c r="G445" s="80" t="s">
        <v>96</v>
      </c>
      <c r="H445" s="90">
        <v>5.729E-4</v>
      </c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</row>
    <row r="446">
      <c r="A446" s="79" t="s">
        <v>5622</v>
      </c>
      <c r="B446" s="45"/>
      <c r="C446" s="79" t="s">
        <v>16783</v>
      </c>
      <c r="D446" s="45"/>
      <c r="E446" s="79" t="s">
        <v>5478</v>
      </c>
      <c r="F446" s="79" t="s">
        <v>4095</v>
      </c>
      <c r="G446" s="80" t="s">
        <v>96</v>
      </c>
      <c r="H446" s="90">
        <v>5.699E-4</v>
      </c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</row>
    <row r="447">
      <c r="A447" s="79" t="s">
        <v>10252</v>
      </c>
      <c r="B447" s="45"/>
      <c r="C447" s="79" t="s">
        <v>10253</v>
      </c>
      <c r="D447" s="45"/>
      <c r="E447" s="79" t="s">
        <v>5218</v>
      </c>
      <c r="F447" s="79" t="s">
        <v>8784</v>
      </c>
      <c r="G447" s="80" t="s">
        <v>96</v>
      </c>
      <c r="H447" s="90">
        <v>5.693E-4</v>
      </c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</row>
    <row r="448">
      <c r="A448" s="79" t="s">
        <v>16784</v>
      </c>
      <c r="B448" s="45"/>
      <c r="C448" s="79" t="s">
        <v>16785</v>
      </c>
      <c r="D448" s="45"/>
      <c r="E448" s="79" t="s">
        <v>5341</v>
      </c>
      <c r="F448" s="79" t="s">
        <v>5300</v>
      </c>
      <c r="G448" s="80" t="s">
        <v>96</v>
      </c>
      <c r="H448" s="90">
        <v>5.692E-4</v>
      </c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</row>
    <row r="449">
      <c r="A449" s="79" t="s">
        <v>16786</v>
      </c>
      <c r="B449" s="45"/>
      <c r="C449" s="79" t="s">
        <v>16787</v>
      </c>
      <c r="D449" s="45"/>
      <c r="E449" s="79" t="s">
        <v>5311</v>
      </c>
      <c r="F449" s="79" t="s">
        <v>5300</v>
      </c>
      <c r="G449" s="80" t="s">
        <v>96</v>
      </c>
      <c r="H449" s="90">
        <v>5.674E-4</v>
      </c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</row>
    <row r="450">
      <c r="A450" s="79" t="s">
        <v>16788</v>
      </c>
      <c r="B450" s="45"/>
      <c r="C450" s="79" t="s">
        <v>16789</v>
      </c>
      <c r="D450" s="45"/>
      <c r="E450" s="79" t="s">
        <v>5215</v>
      </c>
      <c r="F450" s="79" t="s">
        <v>8767</v>
      </c>
      <c r="G450" s="80" t="s">
        <v>96</v>
      </c>
      <c r="H450" s="90">
        <v>5.672E-4</v>
      </c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</row>
    <row r="451">
      <c r="A451" s="79" t="s">
        <v>10248</v>
      </c>
      <c r="B451" s="45"/>
      <c r="C451" s="79" t="s">
        <v>10249</v>
      </c>
      <c r="D451" s="45"/>
      <c r="E451" s="79" t="s">
        <v>5650</v>
      </c>
      <c r="F451" s="79" t="s">
        <v>8784</v>
      </c>
      <c r="G451" s="80" t="s">
        <v>96</v>
      </c>
      <c r="H451" s="90">
        <v>5.67E-4</v>
      </c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</row>
    <row r="452">
      <c r="A452" s="79" t="s">
        <v>16790</v>
      </c>
      <c r="B452" s="45"/>
      <c r="C452" s="79" t="s">
        <v>16791</v>
      </c>
      <c r="D452" s="45"/>
      <c r="E452" s="79" t="s">
        <v>5341</v>
      </c>
      <c r="F452" s="79" t="s">
        <v>5300</v>
      </c>
      <c r="G452" s="80" t="s">
        <v>96</v>
      </c>
      <c r="H452" s="90">
        <v>5.663E-4</v>
      </c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</row>
    <row r="453">
      <c r="A453" s="79" t="s">
        <v>16792</v>
      </c>
      <c r="B453" s="45"/>
      <c r="C453" s="79" t="s">
        <v>16793</v>
      </c>
      <c r="D453" s="45"/>
      <c r="E453" s="79" t="s">
        <v>5366</v>
      </c>
      <c r="F453" s="79" t="s">
        <v>5300</v>
      </c>
      <c r="G453" s="80" t="s">
        <v>96</v>
      </c>
      <c r="H453" s="90">
        <v>5.643E-4</v>
      </c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</row>
    <row r="454">
      <c r="A454" s="79" t="s">
        <v>16794</v>
      </c>
      <c r="B454" s="45"/>
      <c r="C454" s="79" t="s">
        <v>16795</v>
      </c>
      <c r="D454" s="45"/>
      <c r="E454" s="79" t="s">
        <v>5467</v>
      </c>
      <c r="F454" s="79" t="s">
        <v>5300</v>
      </c>
      <c r="G454" s="80" t="s">
        <v>96</v>
      </c>
      <c r="H454" s="90">
        <v>5.638E-4</v>
      </c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</row>
    <row r="455">
      <c r="A455" s="79" t="s">
        <v>16796</v>
      </c>
      <c r="B455" s="45"/>
      <c r="C455" s="79" t="s">
        <v>16797</v>
      </c>
      <c r="D455" s="45"/>
      <c r="E455" s="79" t="s">
        <v>5283</v>
      </c>
      <c r="F455" s="79" t="s">
        <v>5300</v>
      </c>
      <c r="G455" s="80" t="s">
        <v>96</v>
      </c>
      <c r="H455" s="90">
        <v>5.636E-4</v>
      </c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</row>
    <row r="456">
      <c r="A456" s="79" t="s">
        <v>16798</v>
      </c>
      <c r="B456" s="45"/>
      <c r="C456" s="79" t="s">
        <v>16799</v>
      </c>
      <c r="D456" s="45"/>
      <c r="E456" s="79" t="s">
        <v>5456</v>
      </c>
      <c r="F456" s="79" t="s">
        <v>5300</v>
      </c>
      <c r="G456" s="80" t="s">
        <v>96</v>
      </c>
      <c r="H456" s="90">
        <v>5.633E-4</v>
      </c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</row>
    <row r="457">
      <c r="A457" s="79" t="s">
        <v>11438</v>
      </c>
      <c r="B457" s="45"/>
      <c r="C457" s="79" t="s">
        <v>16800</v>
      </c>
      <c r="D457" s="45"/>
      <c r="E457" s="79" t="s">
        <v>5276</v>
      </c>
      <c r="F457" s="79" t="s">
        <v>5300</v>
      </c>
      <c r="G457" s="80" t="s">
        <v>96</v>
      </c>
      <c r="H457" s="90">
        <v>5.628E-4</v>
      </c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</row>
    <row r="458">
      <c r="A458" s="79" t="s">
        <v>10365</v>
      </c>
      <c r="B458" s="45"/>
      <c r="C458" s="79" t="s">
        <v>10366</v>
      </c>
      <c r="D458" s="45"/>
      <c r="E458" s="79" t="s">
        <v>5215</v>
      </c>
      <c r="F458" s="79" t="s">
        <v>8784</v>
      </c>
      <c r="G458" s="80" t="s">
        <v>96</v>
      </c>
      <c r="H458" s="90">
        <v>5.627E-4</v>
      </c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</row>
    <row r="459">
      <c r="A459" s="79" t="s">
        <v>16801</v>
      </c>
      <c r="B459" s="45"/>
      <c r="C459" s="79" t="s">
        <v>16802</v>
      </c>
      <c r="D459" s="45"/>
      <c r="E459" s="79" t="s">
        <v>7251</v>
      </c>
      <c r="F459" s="79" t="s">
        <v>9021</v>
      </c>
      <c r="G459" s="80" t="s">
        <v>96</v>
      </c>
      <c r="H459" s="90">
        <v>5.624E-4</v>
      </c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</row>
    <row r="460">
      <c r="A460" s="79" t="s">
        <v>16343</v>
      </c>
      <c r="B460" s="45"/>
      <c r="C460" s="79" t="s">
        <v>16803</v>
      </c>
      <c r="D460" s="45"/>
      <c r="E460" s="79" t="s">
        <v>10454</v>
      </c>
      <c r="F460" s="79" t="s">
        <v>5836</v>
      </c>
      <c r="G460" s="80" t="s">
        <v>96</v>
      </c>
      <c r="H460" s="90">
        <v>5.61E-4</v>
      </c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</row>
    <row r="461">
      <c r="A461" s="79" t="s">
        <v>16804</v>
      </c>
      <c r="B461" s="45"/>
      <c r="C461" s="79" t="s">
        <v>16805</v>
      </c>
      <c r="D461" s="45"/>
      <c r="E461" s="79" t="s">
        <v>5238</v>
      </c>
      <c r="F461" s="79" t="s">
        <v>5300</v>
      </c>
      <c r="G461" s="80" t="s">
        <v>96</v>
      </c>
      <c r="H461" s="90">
        <v>5.608E-4</v>
      </c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</row>
    <row r="462">
      <c r="A462" s="79" t="s">
        <v>11797</v>
      </c>
      <c r="B462" s="45"/>
      <c r="C462" s="79" t="s">
        <v>16806</v>
      </c>
      <c r="D462" s="45"/>
      <c r="E462" s="79" t="s">
        <v>5311</v>
      </c>
      <c r="F462" s="79" t="s">
        <v>5300</v>
      </c>
      <c r="G462" s="80" t="s">
        <v>96</v>
      </c>
      <c r="H462" s="90">
        <v>5.599E-4</v>
      </c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</row>
    <row r="463">
      <c r="A463" s="79" t="s">
        <v>16807</v>
      </c>
      <c r="B463" s="45"/>
      <c r="C463" s="79" t="s">
        <v>16808</v>
      </c>
      <c r="D463" s="45"/>
      <c r="E463" s="79" t="s">
        <v>6191</v>
      </c>
      <c r="F463" s="79" t="s">
        <v>5300</v>
      </c>
      <c r="G463" s="80" t="s">
        <v>96</v>
      </c>
      <c r="H463" s="90">
        <v>5.589E-4</v>
      </c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</row>
    <row r="464">
      <c r="A464" s="79" t="s">
        <v>16809</v>
      </c>
      <c r="B464" s="45"/>
      <c r="C464" s="79" t="s">
        <v>16810</v>
      </c>
      <c r="D464" s="45"/>
      <c r="E464" s="79" t="s">
        <v>7169</v>
      </c>
      <c r="F464" s="79" t="s">
        <v>5300</v>
      </c>
      <c r="G464" s="80" t="s">
        <v>96</v>
      </c>
      <c r="H464" s="90">
        <v>5.586E-4</v>
      </c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</row>
    <row r="465">
      <c r="A465" s="79" t="s">
        <v>10461</v>
      </c>
      <c r="B465" s="45"/>
      <c r="C465" s="79" t="s">
        <v>10462</v>
      </c>
      <c r="D465" s="45"/>
      <c r="E465" s="79" t="s">
        <v>5264</v>
      </c>
      <c r="F465" s="79" t="s">
        <v>4153</v>
      </c>
      <c r="G465" s="80" t="s">
        <v>96</v>
      </c>
      <c r="H465" s="90">
        <v>5.584E-4</v>
      </c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</row>
    <row r="466">
      <c r="A466" s="79" t="s">
        <v>16811</v>
      </c>
      <c r="B466" s="45"/>
      <c r="C466" s="79" t="s">
        <v>16812</v>
      </c>
      <c r="D466" s="45"/>
      <c r="E466" s="79" t="s">
        <v>5366</v>
      </c>
      <c r="F466" s="79" t="s">
        <v>5300</v>
      </c>
      <c r="G466" s="80" t="s">
        <v>96</v>
      </c>
      <c r="H466" s="90">
        <v>5.565E-4</v>
      </c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</row>
    <row r="467">
      <c r="A467" s="79" t="s">
        <v>16813</v>
      </c>
      <c r="B467" s="45"/>
      <c r="C467" s="79" t="s">
        <v>16814</v>
      </c>
      <c r="D467" s="45"/>
      <c r="E467" s="79" t="s">
        <v>5395</v>
      </c>
      <c r="F467" s="79" t="s">
        <v>5425</v>
      </c>
      <c r="G467" s="80" t="s">
        <v>96</v>
      </c>
      <c r="H467" s="90">
        <v>5.557E-4</v>
      </c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</row>
    <row r="468">
      <c r="A468" s="79" t="s">
        <v>16815</v>
      </c>
      <c r="B468" s="45"/>
      <c r="C468" s="79" t="s">
        <v>16816</v>
      </c>
      <c r="D468" s="45"/>
      <c r="E468" s="79" t="s">
        <v>6266</v>
      </c>
      <c r="F468" s="79" t="s">
        <v>5300</v>
      </c>
      <c r="G468" s="80" t="s">
        <v>96</v>
      </c>
      <c r="H468" s="90">
        <v>5.555E-4</v>
      </c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</row>
    <row r="469">
      <c r="A469" s="79" t="s">
        <v>16817</v>
      </c>
      <c r="B469" s="45"/>
      <c r="C469" s="79" t="s">
        <v>16818</v>
      </c>
      <c r="D469" s="45"/>
      <c r="E469" s="79" t="s">
        <v>5407</v>
      </c>
      <c r="F469" s="79" t="s">
        <v>5300</v>
      </c>
      <c r="G469" s="80" t="s">
        <v>96</v>
      </c>
      <c r="H469" s="90">
        <v>5.555E-4</v>
      </c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</row>
    <row r="470">
      <c r="A470" s="79" t="s">
        <v>16819</v>
      </c>
      <c r="B470" s="45"/>
      <c r="C470" s="79" t="s">
        <v>16820</v>
      </c>
      <c r="D470" s="45"/>
      <c r="E470" s="79" t="s">
        <v>5276</v>
      </c>
      <c r="F470" s="79" t="s">
        <v>5300</v>
      </c>
      <c r="G470" s="80" t="s">
        <v>96</v>
      </c>
      <c r="H470" s="90">
        <v>5.544E-4</v>
      </c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</row>
    <row r="471">
      <c r="A471" s="79" t="s">
        <v>16821</v>
      </c>
      <c r="B471" s="45"/>
      <c r="C471" s="79" t="s">
        <v>16822</v>
      </c>
      <c r="D471" s="45"/>
      <c r="E471" s="79" t="s">
        <v>7476</v>
      </c>
      <c r="F471" s="79" t="s">
        <v>5300</v>
      </c>
      <c r="G471" s="80" t="s">
        <v>96</v>
      </c>
      <c r="H471" s="90">
        <v>5.542E-4</v>
      </c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</row>
    <row r="472">
      <c r="A472" s="79" t="s">
        <v>16823</v>
      </c>
      <c r="B472" s="45"/>
      <c r="C472" s="79" t="s">
        <v>16824</v>
      </c>
      <c r="D472" s="45"/>
      <c r="E472" s="79" t="s">
        <v>5261</v>
      </c>
      <c r="F472" s="79" t="s">
        <v>5300</v>
      </c>
      <c r="G472" s="80" t="s">
        <v>96</v>
      </c>
      <c r="H472" s="90">
        <v>5.53E-4</v>
      </c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</row>
    <row r="473">
      <c r="A473" s="79" t="s">
        <v>16825</v>
      </c>
      <c r="B473" s="45"/>
      <c r="C473" s="79" t="s">
        <v>16826</v>
      </c>
      <c r="D473" s="45"/>
      <c r="E473" s="79" t="s">
        <v>5401</v>
      </c>
      <c r="F473" s="79" t="s">
        <v>5300</v>
      </c>
      <c r="G473" s="80" t="s">
        <v>96</v>
      </c>
      <c r="H473" s="90">
        <v>5.53E-4</v>
      </c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</row>
    <row r="474">
      <c r="A474" s="79" t="s">
        <v>16827</v>
      </c>
      <c r="B474" s="45"/>
      <c r="C474" s="79" t="s">
        <v>16828</v>
      </c>
      <c r="D474" s="45"/>
      <c r="E474" s="79" t="s">
        <v>5226</v>
      </c>
      <c r="F474" s="79" t="s">
        <v>5300</v>
      </c>
      <c r="G474" s="80" t="s">
        <v>96</v>
      </c>
      <c r="H474" s="90">
        <v>5.529E-4</v>
      </c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</row>
    <row r="475">
      <c r="A475" s="79" t="s">
        <v>16829</v>
      </c>
      <c r="B475" s="45"/>
      <c r="C475" s="79" t="s">
        <v>16830</v>
      </c>
      <c r="D475" s="45"/>
      <c r="E475" s="79" t="s">
        <v>5578</v>
      </c>
      <c r="F475" s="79" t="s">
        <v>5300</v>
      </c>
      <c r="G475" s="80" t="s">
        <v>96</v>
      </c>
      <c r="H475" s="90">
        <v>5.527E-4</v>
      </c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</row>
    <row r="476">
      <c r="A476" s="79" t="s">
        <v>16831</v>
      </c>
      <c r="B476" s="45"/>
      <c r="C476" s="79" t="s">
        <v>16832</v>
      </c>
      <c r="D476" s="45"/>
      <c r="E476" s="79" t="s">
        <v>5578</v>
      </c>
      <c r="F476" s="79" t="s">
        <v>5300</v>
      </c>
      <c r="G476" s="80" t="s">
        <v>96</v>
      </c>
      <c r="H476" s="90">
        <v>5.511E-4</v>
      </c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</row>
    <row r="477">
      <c r="A477" s="79" t="s">
        <v>16833</v>
      </c>
      <c r="B477" s="45"/>
      <c r="C477" s="79" t="s">
        <v>16834</v>
      </c>
      <c r="D477" s="45"/>
      <c r="E477" s="79" t="s">
        <v>5226</v>
      </c>
      <c r="F477" s="79" t="s">
        <v>5300</v>
      </c>
      <c r="G477" s="80" t="s">
        <v>96</v>
      </c>
      <c r="H477" s="90">
        <v>5.492E-4</v>
      </c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</row>
    <row r="478">
      <c r="A478" s="79" t="s">
        <v>16835</v>
      </c>
      <c r="B478" s="45"/>
      <c r="C478" s="79" t="s">
        <v>16836</v>
      </c>
      <c r="D478" s="45"/>
      <c r="E478" s="79" t="s">
        <v>5478</v>
      </c>
      <c r="F478" s="79" t="s">
        <v>5300</v>
      </c>
      <c r="G478" s="80" t="s">
        <v>96</v>
      </c>
      <c r="H478" s="90">
        <v>5.49E-4</v>
      </c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</row>
    <row r="479">
      <c r="A479" s="79" t="s">
        <v>16837</v>
      </c>
      <c r="B479" s="45"/>
      <c r="C479" s="79" t="s">
        <v>16838</v>
      </c>
      <c r="D479" s="45"/>
      <c r="E479" s="79" t="s">
        <v>5775</v>
      </c>
      <c r="F479" s="79" t="s">
        <v>5300</v>
      </c>
      <c r="G479" s="80" t="s">
        <v>96</v>
      </c>
      <c r="H479" s="90">
        <v>5.488E-4</v>
      </c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</row>
    <row r="480">
      <c r="A480" s="79" t="s">
        <v>10330</v>
      </c>
      <c r="B480" s="45"/>
      <c r="C480" s="79" t="s">
        <v>10331</v>
      </c>
      <c r="D480" s="45"/>
      <c r="E480" s="79" t="s">
        <v>5434</v>
      </c>
      <c r="F480" s="79" t="s">
        <v>8784</v>
      </c>
      <c r="G480" s="80" t="s">
        <v>96</v>
      </c>
      <c r="H480" s="90">
        <v>5.474E-4</v>
      </c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</row>
    <row r="481">
      <c r="A481" s="79" t="s">
        <v>16839</v>
      </c>
      <c r="B481" s="45"/>
      <c r="C481" s="79" t="s">
        <v>16840</v>
      </c>
      <c r="D481" s="45"/>
      <c r="E481" s="79" t="s">
        <v>5335</v>
      </c>
      <c r="F481" s="79" t="s">
        <v>5300</v>
      </c>
      <c r="G481" s="80" t="s">
        <v>96</v>
      </c>
      <c r="H481" s="90">
        <v>5.469E-4</v>
      </c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</row>
    <row r="482">
      <c r="A482" s="79" t="s">
        <v>16841</v>
      </c>
      <c r="B482" s="45"/>
      <c r="C482" s="79" t="s">
        <v>16842</v>
      </c>
      <c r="D482" s="45"/>
      <c r="E482" s="79" t="s">
        <v>7611</v>
      </c>
      <c r="F482" s="79" t="s">
        <v>5300</v>
      </c>
      <c r="G482" s="80" t="s">
        <v>96</v>
      </c>
      <c r="H482" s="90">
        <v>5.461E-4</v>
      </c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</row>
    <row r="483">
      <c r="A483" s="79" t="s">
        <v>16843</v>
      </c>
      <c r="B483" s="45"/>
      <c r="C483" s="79" t="s">
        <v>16844</v>
      </c>
      <c r="D483" s="45"/>
      <c r="E483" s="79" t="s">
        <v>5382</v>
      </c>
      <c r="F483" s="79" t="s">
        <v>5300</v>
      </c>
      <c r="G483" s="80" t="s">
        <v>96</v>
      </c>
      <c r="H483" s="90">
        <v>5.459E-4</v>
      </c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</row>
    <row r="484">
      <c r="A484" s="79" t="s">
        <v>10382</v>
      </c>
      <c r="B484" s="45"/>
      <c r="C484" s="79" t="s">
        <v>10383</v>
      </c>
      <c r="D484" s="45"/>
      <c r="E484" s="79" t="s">
        <v>5377</v>
      </c>
      <c r="F484" s="79" t="s">
        <v>9414</v>
      </c>
      <c r="G484" s="80" t="s">
        <v>96</v>
      </c>
      <c r="H484" s="90">
        <v>5.448E-4</v>
      </c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</row>
    <row r="485">
      <c r="A485" s="79" t="s">
        <v>16845</v>
      </c>
      <c r="B485" s="45"/>
      <c r="C485" s="79" t="s">
        <v>16846</v>
      </c>
      <c r="D485" s="45"/>
      <c r="E485" s="79" t="s">
        <v>5218</v>
      </c>
      <c r="F485" s="79" t="s">
        <v>5300</v>
      </c>
      <c r="G485" s="80" t="s">
        <v>96</v>
      </c>
      <c r="H485" s="90">
        <v>5.445E-4</v>
      </c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</row>
    <row r="486">
      <c r="A486" s="79" t="s">
        <v>16847</v>
      </c>
      <c r="B486" s="45"/>
      <c r="C486" s="79" t="s">
        <v>16848</v>
      </c>
      <c r="D486" s="45"/>
      <c r="E486" s="79" t="s">
        <v>6266</v>
      </c>
      <c r="F486" s="79" t="s">
        <v>5300</v>
      </c>
      <c r="G486" s="80" t="s">
        <v>96</v>
      </c>
      <c r="H486" s="90">
        <v>5.437E-4</v>
      </c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</row>
    <row r="487">
      <c r="A487" s="79" t="s">
        <v>16849</v>
      </c>
      <c r="B487" s="45"/>
      <c r="C487" s="79" t="s">
        <v>16850</v>
      </c>
      <c r="D487" s="45"/>
      <c r="E487" s="79" t="s">
        <v>5811</v>
      </c>
      <c r="F487" s="79" t="s">
        <v>5300</v>
      </c>
      <c r="G487" s="80" t="s">
        <v>96</v>
      </c>
      <c r="H487" s="90">
        <v>5.435E-4</v>
      </c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</row>
    <row r="488">
      <c r="A488" s="79" t="s">
        <v>16851</v>
      </c>
      <c r="B488" s="45"/>
      <c r="C488" s="79" t="s">
        <v>16852</v>
      </c>
      <c r="D488" s="45"/>
      <c r="E488" s="79" t="s">
        <v>5478</v>
      </c>
      <c r="F488" s="79" t="s">
        <v>5300</v>
      </c>
      <c r="G488" s="80" t="s">
        <v>96</v>
      </c>
      <c r="H488" s="90">
        <v>5.43E-4</v>
      </c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</row>
    <row r="489">
      <c r="A489" s="79" t="s">
        <v>16853</v>
      </c>
      <c r="B489" s="45"/>
      <c r="C489" s="79" t="s">
        <v>16854</v>
      </c>
      <c r="D489" s="45"/>
      <c r="E489" s="79" t="s">
        <v>5271</v>
      </c>
      <c r="F489" s="79" t="s">
        <v>5300</v>
      </c>
      <c r="G489" s="80" t="s">
        <v>96</v>
      </c>
      <c r="H489" s="90">
        <v>5.427E-4</v>
      </c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</row>
    <row r="490">
      <c r="A490" s="79" t="s">
        <v>16855</v>
      </c>
      <c r="B490" s="45"/>
      <c r="C490" s="79" t="s">
        <v>16856</v>
      </c>
      <c r="D490" s="45"/>
      <c r="E490" s="79" t="s">
        <v>7360</v>
      </c>
      <c r="F490" s="79" t="s">
        <v>5300</v>
      </c>
      <c r="G490" s="80" t="s">
        <v>96</v>
      </c>
      <c r="H490" s="90">
        <v>5.426E-4</v>
      </c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</row>
    <row r="491">
      <c r="A491" s="79" t="s">
        <v>10746</v>
      </c>
      <c r="B491" s="45"/>
      <c r="C491" s="79" t="s">
        <v>16857</v>
      </c>
      <c r="D491" s="45"/>
      <c r="E491" s="79" t="s">
        <v>6389</v>
      </c>
      <c r="F491" s="79" t="s">
        <v>4095</v>
      </c>
      <c r="G491" s="80" t="s">
        <v>96</v>
      </c>
      <c r="H491" s="90">
        <v>5.423E-4</v>
      </c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</row>
    <row r="492">
      <c r="A492" s="79" t="s">
        <v>16858</v>
      </c>
      <c r="B492" s="45"/>
      <c r="C492" s="79" t="s">
        <v>16859</v>
      </c>
      <c r="D492" s="45"/>
      <c r="E492" s="79" t="s">
        <v>6130</v>
      </c>
      <c r="F492" s="79" t="s">
        <v>5300</v>
      </c>
      <c r="G492" s="80" t="s">
        <v>96</v>
      </c>
      <c r="H492" s="90">
        <v>5.412E-4</v>
      </c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</row>
    <row r="493">
      <c r="A493" s="79" t="s">
        <v>10528</v>
      </c>
      <c r="B493" s="45"/>
      <c r="C493" s="79" t="s">
        <v>10529</v>
      </c>
      <c r="D493" s="45"/>
      <c r="E493" s="79" t="s">
        <v>10530</v>
      </c>
      <c r="F493" s="79" t="s">
        <v>8784</v>
      </c>
      <c r="G493" s="80" t="s">
        <v>96</v>
      </c>
      <c r="H493" s="90">
        <v>5.409E-4</v>
      </c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</row>
    <row r="494">
      <c r="A494" s="79" t="s">
        <v>10587</v>
      </c>
      <c r="B494" s="45"/>
      <c r="C494" s="79" t="s">
        <v>10588</v>
      </c>
      <c r="D494" s="45"/>
      <c r="E494" s="79" t="s">
        <v>5434</v>
      </c>
      <c r="F494" s="79" t="s">
        <v>5425</v>
      </c>
      <c r="G494" s="80" t="s">
        <v>96</v>
      </c>
      <c r="H494" s="90">
        <v>5.397E-4</v>
      </c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</row>
    <row r="495">
      <c r="A495" s="79" t="s">
        <v>16860</v>
      </c>
      <c r="B495" s="45"/>
      <c r="C495" s="79" t="s">
        <v>16861</v>
      </c>
      <c r="D495" s="45"/>
      <c r="E495" s="79" t="s">
        <v>5407</v>
      </c>
      <c r="F495" s="79" t="s">
        <v>5300</v>
      </c>
      <c r="G495" s="80" t="s">
        <v>96</v>
      </c>
      <c r="H495" s="90">
        <v>5.394E-4</v>
      </c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</row>
    <row r="496">
      <c r="A496" s="79" t="s">
        <v>16862</v>
      </c>
      <c r="B496" s="45"/>
      <c r="C496" s="79" t="s">
        <v>16863</v>
      </c>
      <c r="D496" s="45"/>
      <c r="E496" s="79" t="s">
        <v>9189</v>
      </c>
      <c r="F496" s="79" t="s">
        <v>5300</v>
      </c>
      <c r="G496" s="80" t="s">
        <v>96</v>
      </c>
      <c r="H496" s="90">
        <v>5.392E-4</v>
      </c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</row>
    <row r="497">
      <c r="A497" s="79" t="s">
        <v>16864</v>
      </c>
      <c r="B497" s="45"/>
      <c r="C497" s="79" t="s">
        <v>16865</v>
      </c>
      <c r="D497" s="45"/>
      <c r="E497" s="79" t="s">
        <v>6191</v>
      </c>
      <c r="F497" s="79" t="s">
        <v>5300</v>
      </c>
      <c r="G497" s="80" t="s">
        <v>96</v>
      </c>
      <c r="H497" s="90">
        <v>5.387E-4</v>
      </c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</row>
    <row r="498">
      <c r="A498" s="79" t="s">
        <v>16866</v>
      </c>
      <c r="B498" s="45"/>
      <c r="C498" s="79" t="s">
        <v>16867</v>
      </c>
      <c r="D498" s="45"/>
      <c r="E498" s="79" t="s">
        <v>6191</v>
      </c>
      <c r="F498" s="79" t="s">
        <v>5836</v>
      </c>
      <c r="G498" s="80" t="s">
        <v>96</v>
      </c>
      <c r="H498" s="90">
        <v>5.385E-4</v>
      </c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</row>
    <row r="499">
      <c r="A499" s="79" t="s">
        <v>16868</v>
      </c>
      <c r="B499" s="45"/>
      <c r="C499" s="79" t="s">
        <v>16869</v>
      </c>
      <c r="D499" s="45"/>
      <c r="E499" s="79" t="s">
        <v>6249</v>
      </c>
      <c r="F499" s="79" t="s">
        <v>5300</v>
      </c>
      <c r="G499" s="80" t="s">
        <v>96</v>
      </c>
      <c r="H499" s="90">
        <v>5.384E-4</v>
      </c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</row>
    <row r="500">
      <c r="A500" s="79" t="s">
        <v>16870</v>
      </c>
      <c r="B500" s="45"/>
      <c r="C500" s="79" t="s">
        <v>16871</v>
      </c>
      <c r="D500" s="45"/>
      <c r="E500" s="79" t="s">
        <v>5387</v>
      </c>
      <c r="F500" s="79" t="s">
        <v>5300</v>
      </c>
      <c r="G500" s="80" t="s">
        <v>96</v>
      </c>
      <c r="H500" s="90">
        <v>5.375E-4</v>
      </c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</row>
    <row r="501">
      <c r="A501" s="79" t="s">
        <v>16872</v>
      </c>
      <c r="B501" s="45"/>
      <c r="C501" s="79" t="s">
        <v>16873</v>
      </c>
      <c r="D501" s="45"/>
      <c r="E501" s="79" t="s">
        <v>5264</v>
      </c>
      <c r="F501" s="79" t="s">
        <v>5300</v>
      </c>
      <c r="G501" s="80" t="s">
        <v>96</v>
      </c>
      <c r="H501" s="90">
        <v>5.361E-4</v>
      </c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</row>
    <row r="502">
      <c r="A502" s="79" t="s">
        <v>16874</v>
      </c>
      <c r="B502" s="45"/>
      <c r="C502" s="79" t="s">
        <v>16875</v>
      </c>
      <c r="D502" s="45"/>
      <c r="E502" s="79" t="s">
        <v>5326</v>
      </c>
      <c r="F502" s="79" t="s">
        <v>5300</v>
      </c>
      <c r="G502" s="80" t="s">
        <v>96</v>
      </c>
      <c r="H502" s="90">
        <v>5.359E-4</v>
      </c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</row>
    <row r="503">
      <c r="A503" s="79" t="s">
        <v>5702</v>
      </c>
      <c r="B503" s="45"/>
      <c r="C503" s="79" t="s">
        <v>16876</v>
      </c>
      <c r="D503" s="45"/>
      <c r="E503" s="79" t="s">
        <v>6150</v>
      </c>
      <c r="F503" s="79" t="s">
        <v>6210</v>
      </c>
      <c r="G503" s="80" t="s">
        <v>96</v>
      </c>
      <c r="H503" s="90">
        <v>5.357E-4</v>
      </c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</row>
    <row r="504">
      <c r="A504" s="79" t="s">
        <v>16877</v>
      </c>
      <c r="B504" s="45"/>
      <c r="C504" s="79" t="s">
        <v>16878</v>
      </c>
      <c r="D504" s="45"/>
      <c r="E504" s="79" t="s">
        <v>5445</v>
      </c>
      <c r="F504" s="79" t="s">
        <v>5300</v>
      </c>
      <c r="G504" s="80" t="s">
        <v>96</v>
      </c>
      <c r="H504" s="90">
        <v>5.354E-4</v>
      </c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</row>
    <row r="505">
      <c r="A505" s="79" t="s">
        <v>16879</v>
      </c>
      <c r="B505" s="45"/>
      <c r="C505" s="79" t="s">
        <v>16880</v>
      </c>
      <c r="D505" s="45"/>
      <c r="E505" s="79" t="s">
        <v>5453</v>
      </c>
      <c r="F505" s="79" t="s">
        <v>5300</v>
      </c>
      <c r="G505" s="80" t="s">
        <v>96</v>
      </c>
      <c r="H505" s="90">
        <v>5.333E-4</v>
      </c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</row>
    <row r="506">
      <c r="A506" s="79" t="s">
        <v>10378</v>
      </c>
      <c r="B506" s="45"/>
      <c r="C506" s="79" t="s">
        <v>10379</v>
      </c>
      <c r="D506" s="45"/>
      <c r="E506" s="79" t="s">
        <v>6130</v>
      </c>
      <c r="F506" s="79" t="s">
        <v>9299</v>
      </c>
      <c r="G506" s="80" t="s">
        <v>96</v>
      </c>
      <c r="H506" s="90">
        <v>5.33E-4</v>
      </c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</row>
    <row r="507">
      <c r="A507" s="79" t="s">
        <v>16881</v>
      </c>
      <c r="B507" s="45"/>
      <c r="C507" s="79" t="s">
        <v>16882</v>
      </c>
      <c r="D507" s="45"/>
      <c r="E507" s="79" t="s">
        <v>7248</v>
      </c>
      <c r="F507" s="79" t="s">
        <v>5747</v>
      </c>
      <c r="G507" s="80" t="s">
        <v>96</v>
      </c>
      <c r="H507" s="90">
        <v>5.325E-4</v>
      </c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</row>
    <row r="508">
      <c r="A508" s="79" t="s">
        <v>16883</v>
      </c>
      <c r="B508" s="45"/>
      <c r="C508" s="79" t="s">
        <v>16884</v>
      </c>
      <c r="D508" s="45"/>
      <c r="E508" s="79" t="s">
        <v>6130</v>
      </c>
      <c r="F508" s="79" t="s">
        <v>5836</v>
      </c>
      <c r="G508" s="80" t="s">
        <v>96</v>
      </c>
      <c r="H508" s="90">
        <v>5.322E-4</v>
      </c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</row>
    <row r="509">
      <c r="A509" s="79" t="s">
        <v>16885</v>
      </c>
      <c r="B509" s="45"/>
      <c r="C509" s="79" t="s">
        <v>16886</v>
      </c>
      <c r="D509" s="45"/>
      <c r="E509" s="79" t="s">
        <v>7169</v>
      </c>
      <c r="F509" s="79" t="s">
        <v>8784</v>
      </c>
      <c r="G509" s="80" t="s">
        <v>96</v>
      </c>
      <c r="H509" s="90">
        <v>5.311E-4</v>
      </c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</row>
    <row r="510">
      <c r="A510" s="79" t="s">
        <v>10042</v>
      </c>
      <c r="B510" s="45"/>
      <c r="C510" s="79" t="s">
        <v>16887</v>
      </c>
      <c r="D510" s="45"/>
      <c r="E510" s="79" t="s">
        <v>5868</v>
      </c>
      <c r="F510" s="79" t="s">
        <v>5300</v>
      </c>
      <c r="G510" s="80" t="s">
        <v>96</v>
      </c>
      <c r="H510" s="90">
        <v>5.311E-4</v>
      </c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</row>
    <row r="511">
      <c r="A511" s="79" t="s">
        <v>5385</v>
      </c>
      <c r="B511" s="45"/>
      <c r="C511" s="79" t="s">
        <v>16888</v>
      </c>
      <c r="D511" s="45"/>
      <c r="E511" s="79" t="s">
        <v>5525</v>
      </c>
      <c r="F511" s="79" t="s">
        <v>4095</v>
      </c>
      <c r="G511" s="80" t="s">
        <v>96</v>
      </c>
      <c r="H511" s="90">
        <v>5.303E-4</v>
      </c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</row>
    <row r="512">
      <c r="A512" s="79" t="s">
        <v>16889</v>
      </c>
      <c r="B512" s="45"/>
      <c r="C512" s="79" t="s">
        <v>16890</v>
      </c>
      <c r="D512" s="45"/>
      <c r="E512" s="79" t="s">
        <v>5246</v>
      </c>
      <c r="F512" s="79" t="s">
        <v>8784</v>
      </c>
      <c r="G512" s="80" t="s">
        <v>96</v>
      </c>
      <c r="H512" s="90">
        <v>5.292E-4</v>
      </c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</row>
    <row r="513">
      <c r="A513" s="79" t="s">
        <v>9518</v>
      </c>
      <c r="B513" s="45"/>
      <c r="C513" s="79" t="s">
        <v>16891</v>
      </c>
      <c r="D513" s="45"/>
      <c r="E513" s="79" t="s">
        <v>6514</v>
      </c>
      <c r="F513" s="79" t="s">
        <v>5300</v>
      </c>
      <c r="G513" s="80" t="s">
        <v>96</v>
      </c>
      <c r="H513" s="90">
        <v>5.29E-4</v>
      </c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</row>
    <row r="514">
      <c r="A514" s="79" t="s">
        <v>16892</v>
      </c>
      <c r="B514" s="45"/>
      <c r="C514" s="79" t="s">
        <v>16893</v>
      </c>
      <c r="D514" s="45"/>
      <c r="E514" s="79" t="s">
        <v>5650</v>
      </c>
      <c r="F514" s="79" t="s">
        <v>5300</v>
      </c>
      <c r="G514" s="80" t="s">
        <v>96</v>
      </c>
      <c r="H514" s="90">
        <v>5.281E-4</v>
      </c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</row>
    <row r="515">
      <c r="A515" s="79" t="s">
        <v>16894</v>
      </c>
      <c r="B515" s="45"/>
      <c r="C515" s="79" t="s">
        <v>16895</v>
      </c>
      <c r="D515" s="45"/>
      <c r="E515" s="79" t="s">
        <v>5501</v>
      </c>
      <c r="F515" s="79" t="s">
        <v>5300</v>
      </c>
      <c r="G515" s="80" t="s">
        <v>96</v>
      </c>
      <c r="H515" s="90">
        <v>5.27E-4</v>
      </c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</row>
    <row r="516">
      <c r="A516" s="79" t="s">
        <v>10293</v>
      </c>
      <c r="B516" s="45"/>
      <c r="C516" s="79" t="s">
        <v>10294</v>
      </c>
      <c r="D516" s="45"/>
      <c r="E516" s="79" t="s">
        <v>5232</v>
      </c>
      <c r="F516" s="79" t="s">
        <v>8784</v>
      </c>
      <c r="G516" s="80" t="s">
        <v>96</v>
      </c>
      <c r="H516" s="90">
        <v>5.262E-4</v>
      </c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</row>
    <row r="517">
      <c r="A517" s="79" t="s">
        <v>16896</v>
      </c>
      <c r="B517" s="45"/>
      <c r="C517" s="79" t="s">
        <v>16897</v>
      </c>
      <c r="D517" s="45"/>
      <c r="E517" s="79" t="s">
        <v>5513</v>
      </c>
      <c r="F517" s="79" t="s">
        <v>6210</v>
      </c>
      <c r="G517" s="80" t="s">
        <v>96</v>
      </c>
      <c r="H517" s="90">
        <v>5.256E-4</v>
      </c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</row>
    <row r="518">
      <c r="A518" s="79" t="s">
        <v>16898</v>
      </c>
      <c r="B518" s="45"/>
      <c r="C518" s="79" t="s">
        <v>16899</v>
      </c>
      <c r="D518" s="45"/>
      <c r="E518" s="79" t="s">
        <v>5215</v>
      </c>
      <c r="F518" s="79" t="s">
        <v>4357</v>
      </c>
      <c r="G518" s="80" t="s">
        <v>96</v>
      </c>
      <c r="H518" s="90">
        <v>5.253E-4</v>
      </c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</row>
    <row r="519">
      <c r="A519" s="79" t="s">
        <v>16900</v>
      </c>
      <c r="B519" s="45"/>
      <c r="C519" s="79" t="s">
        <v>16901</v>
      </c>
      <c r="D519" s="45"/>
      <c r="E519" s="79" t="s">
        <v>5335</v>
      </c>
      <c r="F519" s="79" t="s">
        <v>5300</v>
      </c>
      <c r="G519" s="80" t="s">
        <v>96</v>
      </c>
      <c r="H519" s="90">
        <v>5.24E-4</v>
      </c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</row>
    <row r="520">
      <c r="A520" s="79" t="s">
        <v>16902</v>
      </c>
      <c r="B520" s="45"/>
      <c r="C520" s="79" t="s">
        <v>16903</v>
      </c>
      <c r="D520" s="45"/>
      <c r="E520" s="79" t="s">
        <v>9189</v>
      </c>
      <c r="F520" s="79" t="s">
        <v>5425</v>
      </c>
      <c r="G520" s="80" t="s">
        <v>96</v>
      </c>
      <c r="H520" s="90">
        <v>5.238E-4</v>
      </c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</row>
    <row r="521">
      <c r="A521" s="79" t="s">
        <v>16904</v>
      </c>
      <c r="B521" s="45"/>
      <c r="C521" s="79" t="s">
        <v>16905</v>
      </c>
      <c r="D521" s="45"/>
      <c r="E521" s="79" t="s">
        <v>5450</v>
      </c>
      <c r="F521" s="79" t="s">
        <v>5300</v>
      </c>
      <c r="G521" s="80" t="s">
        <v>96</v>
      </c>
      <c r="H521" s="90">
        <v>5.237E-4</v>
      </c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</row>
    <row r="522">
      <c r="A522" s="79" t="s">
        <v>16906</v>
      </c>
      <c r="B522" s="45"/>
      <c r="C522" s="79" t="s">
        <v>16907</v>
      </c>
      <c r="D522" s="45"/>
      <c r="E522" s="79" t="s">
        <v>5641</v>
      </c>
      <c r="F522" s="79" t="s">
        <v>5300</v>
      </c>
      <c r="G522" s="80" t="s">
        <v>96</v>
      </c>
      <c r="H522" s="90">
        <v>5.22E-4</v>
      </c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</row>
    <row r="523">
      <c r="A523" s="79" t="s">
        <v>16908</v>
      </c>
      <c r="B523" s="45"/>
      <c r="C523" s="79" t="s">
        <v>16909</v>
      </c>
      <c r="D523" s="45"/>
      <c r="E523" s="79" t="s">
        <v>5271</v>
      </c>
      <c r="F523" s="79" t="s">
        <v>5300</v>
      </c>
      <c r="G523" s="80" t="s">
        <v>96</v>
      </c>
      <c r="H523" s="90">
        <v>5.196E-4</v>
      </c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</row>
    <row r="524">
      <c r="A524" s="79" t="s">
        <v>16910</v>
      </c>
      <c r="B524" s="45"/>
      <c r="C524" s="79" t="s">
        <v>16911</v>
      </c>
      <c r="D524" s="45"/>
      <c r="E524" s="79" t="s">
        <v>5283</v>
      </c>
      <c r="F524" s="79" t="s">
        <v>5300</v>
      </c>
      <c r="G524" s="80" t="s">
        <v>96</v>
      </c>
      <c r="H524" s="90">
        <v>5.196E-4</v>
      </c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</row>
    <row r="525">
      <c r="A525" s="79" t="s">
        <v>16912</v>
      </c>
      <c r="B525" s="45"/>
      <c r="C525" s="79" t="s">
        <v>16913</v>
      </c>
      <c r="D525" s="45"/>
      <c r="E525" s="79" t="s">
        <v>5650</v>
      </c>
      <c r="F525" s="79" t="s">
        <v>5300</v>
      </c>
      <c r="G525" s="80" t="s">
        <v>96</v>
      </c>
      <c r="H525" s="90">
        <v>5.194E-4</v>
      </c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</row>
    <row r="526">
      <c r="A526" s="79" t="s">
        <v>16914</v>
      </c>
      <c r="B526" s="45"/>
      <c r="C526" s="79" t="s">
        <v>16915</v>
      </c>
      <c r="D526" s="45"/>
      <c r="E526" s="79" t="s">
        <v>5961</v>
      </c>
      <c r="F526" s="79" t="s">
        <v>5300</v>
      </c>
      <c r="G526" s="80" t="s">
        <v>96</v>
      </c>
      <c r="H526" s="90">
        <v>5.194E-4</v>
      </c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</row>
    <row r="527">
      <c r="A527" s="79" t="s">
        <v>16916</v>
      </c>
      <c r="B527" s="45"/>
      <c r="C527" s="79" t="s">
        <v>16917</v>
      </c>
      <c r="D527" s="45"/>
      <c r="E527" s="79" t="s">
        <v>5215</v>
      </c>
      <c r="F527" s="79" t="s">
        <v>8767</v>
      </c>
      <c r="G527" s="80" t="s">
        <v>96</v>
      </c>
      <c r="H527" s="90">
        <v>5.188E-4</v>
      </c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</row>
    <row r="528">
      <c r="A528" s="79" t="s">
        <v>16918</v>
      </c>
      <c r="B528" s="45"/>
      <c r="C528" s="79" t="s">
        <v>16919</v>
      </c>
      <c r="D528" s="45"/>
      <c r="E528" s="79" t="s">
        <v>5218</v>
      </c>
      <c r="F528" s="79" t="s">
        <v>8759</v>
      </c>
      <c r="G528" s="80" t="s">
        <v>96</v>
      </c>
      <c r="H528" s="90">
        <v>5.172E-4</v>
      </c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</row>
    <row r="529">
      <c r="A529" s="79" t="s">
        <v>16920</v>
      </c>
      <c r="B529" s="45"/>
      <c r="C529" s="79" t="s">
        <v>16921</v>
      </c>
      <c r="D529" s="45"/>
      <c r="E529" s="79" t="s">
        <v>5291</v>
      </c>
      <c r="F529" s="79" t="s">
        <v>5300</v>
      </c>
      <c r="G529" s="80" t="s">
        <v>96</v>
      </c>
      <c r="H529" s="90">
        <v>5.166E-4</v>
      </c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</row>
    <row r="530">
      <c r="A530" s="79" t="s">
        <v>5830</v>
      </c>
      <c r="B530" s="45"/>
      <c r="C530" s="79" t="s">
        <v>16922</v>
      </c>
      <c r="D530" s="45"/>
      <c r="E530" s="79" t="s">
        <v>5238</v>
      </c>
      <c r="F530" s="79" t="s">
        <v>5836</v>
      </c>
      <c r="G530" s="80" t="s">
        <v>96</v>
      </c>
      <c r="H530" s="90">
        <v>5.165E-4</v>
      </c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</row>
    <row r="531">
      <c r="A531" s="79" t="s">
        <v>16923</v>
      </c>
      <c r="B531" s="45"/>
      <c r="C531" s="79" t="s">
        <v>16924</v>
      </c>
      <c r="D531" s="45"/>
      <c r="E531" s="79" t="s">
        <v>5215</v>
      </c>
      <c r="F531" s="79" t="s">
        <v>5300</v>
      </c>
      <c r="G531" s="80" t="s">
        <v>96</v>
      </c>
      <c r="H531" s="90">
        <v>5.16E-4</v>
      </c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</row>
    <row r="532">
      <c r="A532" s="79" t="s">
        <v>16925</v>
      </c>
      <c r="B532" s="45"/>
      <c r="C532" s="79" t="s">
        <v>16926</v>
      </c>
      <c r="D532" s="45"/>
      <c r="E532" s="79" t="s">
        <v>5561</v>
      </c>
      <c r="F532" s="79" t="s">
        <v>5300</v>
      </c>
      <c r="G532" s="80" t="s">
        <v>96</v>
      </c>
      <c r="H532" s="90">
        <v>5.159E-4</v>
      </c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</row>
    <row r="533">
      <c r="A533" s="79" t="s">
        <v>6696</v>
      </c>
      <c r="B533" s="45"/>
      <c r="C533" s="79" t="s">
        <v>16927</v>
      </c>
      <c r="D533" s="45"/>
      <c r="E533" s="79" t="s">
        <v>6191</v>
      </c>
      <c r="F533" s="79" t="s">
        <v>5300</v>
      </c>
      <c r="G533" s="80" t="s">
        <v>96</v>
      </c>
      <c r="H533" s="90">
        <v>5.139E-4</v>
      </c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</row>
    <row r="534">
      <c r="A534" s="79" t="s">
        <v>16928</v>
      </c>
      <c r="B534" s="45"/>
      <c r="C534" s="79" t="s">
        <v>16929</v>
      </c>
      <c r="D534" s="45"/>
      <c r="E534" s="79" t="s">
        <v>5641</v>
      </c>
      <c r="F534" s="79" t="s">
        <v>5300</v>
      </c>
      <c r="G534" s="80" t="s">
        <v>96</v>
      </c>
      <c r="H534" s="90">
        <v>5.133E-4</v>
      </c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</row>
    <row r="535">
      <c r="A535" s="79" t="s">
        <v>16930</v>
      </c>
      <c r="B535" s="45"/>
      <c r="C535" s="79" t="s">
        <v>16931</v>
      </c>
      <c r="D535" s="45"/>
      <c r="E535" s="79" t="s">
        <v>5650</v>
      </c>
      <c r="F535" s="79" t="s">
        <v>5300</v>
      </c>
      <c r="G535" s="80" t="s">
        <v>96</v>
      </c>
      <c r="H535" s="90">
        <v>5.117E-4</v>
      </c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</row>
    <row r="536">
      <c r="A536" s="79" t="s">
        <v>16932</v>
      </c>
      <c r="B536" s="45"/>
      <c r="C536" s="79" t="s">
        <v>16933</v>
      </c>
      <c r="D536" s="45"/>
      <c r="E536" s="79" t="s">
        <v>8154</v>
      </c>
      <c r="F536" s="79" t="s">
        <v>5300</v>
      </c>
      <c r="G536" s="80" t="s">
        <v>96</v>
      </c>
      <c r="H536" s="90">
        <v>5.117E-4</v>
      </c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</row>
    <row r="537">
      <c r="A537" s="79" t="s">
        <v>16934</v>
      </c>
      <c r="B537" s="45"/>
      <c r="C537" s="79" t="s">
        <v>16935</v>
      </c>
      <c r="D537" s="45"/>
      <c r="E537" s="79" t="s">
        <v>9478</v>
      </c>
      <c r="F537" s="79" t="s">
        <v>5300</v>
      </c>
      <c r="G537" s="80" t="s">
        <v>96</v>
      </c>
      <c r="H537" s="90">
        <v>5.116E-4</v>
      </c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</row>
    <row r="538">
      <c r="A538" s="79" t="s">
        <v>16936</v>
      </c>
      <c r="B538" s="45"/>
      <c r="C538" s="79" t="s">
        <v>16937</v>
      </c>
      <c r="D538" s="45"/>
      <c r="E538" s="79" t="s">
        <v>5267</v>
      </c>
      <c r="F538" s="79" t="s">
        <v>5300</v>
      </c>
      <c r="G538" s="80" t="s">
        <v>96</v>
      </c>
      <c r="H538" s="90">
        <v>5.112E-4</v>
      </c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</row>
    <row r="539">
      <c r="A539" s="79" t="s">
        <v>16938</v>
      </c>
      <c r="B539" s="45"/>
      <c r="C539" s="79" t="s">
        <v>16939</v>
      </c>
      <c r="D539" s="45"/>
      <c r="E539" s="79" t="s">
        <v>7251</v>
      </c>
      <c r="F539" s="79" t="s">
        <v>5300</v>
      </c>
      <c r="G539" s="80" t="s">
        <v>96</v>
      </c>
      <c r="H539" s="90">
        <v>5.106E-4</v>
      </c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</row>
    <row r="540">
      <c r="A540" s="79" t="s">
        <v>10342</v>
      </c>
      <c r="B540" s="45"/>
      <c r="C540" s="79" t="s">
        <v>3735</v>
      </c>
      <c r="D540" s="45"/>
      <c r="E540" s="79" t="s">
        <v>6130</v>
      </c>
      <c r="F540" s="79" t="s">
        <v>9617</v>
      </c>
      <c r="G540" s="80" t="s">
        <v>96</v>
      </c>
      <c r="H540" s="90">
        <v>5.09E-4</v>
      </c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</row>
    <row r="541">
      <c r="A541" s="79" t="s">
        <v>16940</v>
      </c>
      <c r="B541" s="45"/>
      <c r="C541" s="79" t="s">
        <v>16941</v>
      </c>
      <c r="D541" s="45"/>
      <c r="E541" s="79" t="s">
        <v>5264</v>
      </c>
      <c r="F541" s="79" t="s">
        <v>5300</v>
      </c>
      <c r="G541" s="80" t="s">
        <v>96</v>
      </c>
      <c r="H541" s="90">
        <v>5.089E-4</v>
      </c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</row>
    <row r="542">
      <c r="A542" s="79" t="s">
        <v>16942</v>
      </c>
      <c r="B542" s="45"/>
      <c r="C542" s="79" t="s">
        <v>16943</v>
      </c>
      <c r="D542" s="45"/>
      <c r="E542" s="79" t="s">
        <v>5434</v>
      </c>
      <c r="F542" s="79" t="s">
        <v>5300</v>
      </c>
      <c r="G542" s="80" t="s">
        <v>96</v>
      </c>
      <c r="H542" s="90">
        <v>5.081E-4</v>
      </c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</row>
    <row r="543">
      <c r="A543" s="79" t="s">
        <v>16944</v>
      </c>
      <c r="B543" s="45"/>
      <c r="C543" s="79" t="s">
        <v>16945</v>
      </c>
      <c r="D543" s="45"/>
      <c r="E543" s="79" t="s">
        <v>5229</v>
      </c>
      <c r="F543" s="79" t="s">
        <v>5425</v>
      </c>
      <c r="G543" s="80" t="s">
        <v>96</v>
      </c>
      <c r="H543" s="90">
        <v>5.07E-4</v>
      </c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</row>
    <row r="544">
      <c r="A544" s="79" t="s">
        <v>16946</v>
      </c>
      <c r="B544" s="45"/>
      <c r="C544" s="79" t="s">
        <v>16947</v>
      </c>
      <c r="D544" s="45"/>
      <c r="E544" s="79" t="s">
        <v>5459</v>
      </c>
      <c r="F544" s="79" t="s">
        <v>5300</v>
      </c>
      <c r="G544" s="80" t="s">
        <v>96</v>
      </c>
      <c r="H544" s="90">
        <v>5.058E-4</v>
      </c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</row>
    <row r="545">
      <c r="A545" s="79" t="s">
        <v>16948</v>
      </c>
      <c r="B545" s="45"/>
      <c r="C545" s="79" t="s">
        <v>16949</v>
      </c>
      <c r="D545" s="45"/>
      <c r="E545" s="79" t="s">
        <v>5235</v>
      </c>
      <c r="F545" s="79" t="s">
        <v>5300</v>
      </c>
      <c r="G545" s="80" t="s">
        <v>96</v>
      </c>
      <c r="H545" s="90">
        <v>5.054E-4</v>
      </c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</row>
    <row r="546">
      <c r="A546" s="79" t="s">
        <v>16950</v>
      </c>
      <c r="B546" s="45"/>
      <c r="C546" s="79" t="s">
        <v>16951</v>
      </c>
      <c r="D546" s="45"/>
      <c r="E546" s="79" t="s">
        <v>5516</v>
      </c>
      <c r="F546" s="79" t="s">
        <v>5300</v>
      </c>
      <c r="G546" s="80" t="s">
        <v>96</v>
      </c>
      <c r="H546" s="90">
        <v>5.048E-4</v>
      </c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</row>
    <row r="547">
      <c r="A547" s="79" t="s">
        <v>16952</v>
      </c>
      <c r="B547" s="45"/>
      <c r="C547" s="79" t="s">
        <v>16953</v>
      </c>
      <c r="D547" s="45"/>
      <c r="E547" s="79" t="s">
        <v>5434</v>
      </c>
      <c r="F547" s="79" t="s">
        <v>5300</v>
      </c>
      <c r="G547" s="80" t="s">
        <v>96</v>
      </c>
      <c r="H547" s="90">
        <v>5.042E-4</v>
      </c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</row>
    <row r="548">
      <c r="A548" s="79" t="s">
        <v>16954</v>
      </c>
      <c r="B548" s="45"/>
      <c r="C548" s="79" t="s">
        <v>16955</v>
      </c>
      <c r="D548" s="45"/>
      <c r="E548" s="79" t="s">
        <v>5341</v>
      </c>
      <c r="F548" s="79" t="s">
        <v>5300</v>
      </c>
      <c r="G548" s="80" t="s">
        <v>96</v>
      </c>
      <c r="H548" s="90">
        <v>5.038E-4</v>
      </c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</row>
    <row r="549">
      <c r="A549" s="79" t="s">
        <v>16956</v>
      </c>
      <c r="B549" s="45"/>
      <c r="C549" s="79" t="s">
        <v>16957</v>
      </c>
      <c r="D549" s="45"/>
      <c r="E549" s="79" t="s">
        <v>5276</v>
      </c>
      <c r="F549" s="79" t="s">
        <v>5300</v>
      </c>
      <c r="G549" s="80" t="s">
        <v>96</v>
      </c>
      <c r="H549" s="90">
        <v>5.031E-4</v>
      </c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</row>
    <row r="550">
      <c r="A550" s="79" t="s">
        <v>16958</v>
      </c>
      <c r="B550" s="45"/>
      <c r="C550" s="79" t="s">
        <v>16959</v>
      </c>
      <c r="D550" s="45"/>
      <c r="E550" s="79" t="s">
        <v>5276</v>
      </c>
      <c r="F550" s="79" t="s">
        <v>5300</v>
      </c>
      <c r="G550" s="80" t="s">
        <v>96</v>
      </c>
      <c r="H550" s="90">
        <v>5.02E-4</v>
      </c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</row>
    <row r="551">
      <c r="A551" s="79" t="s">
        <v>16960</v>
      </c>
      <c r="B551" s="45"/>
      <c r="C551" s="79" t="s">
        <v>16961</v>
      </c>
      <c r="D551" s="45"/>
      <c r="E551" s="79" t="s">
        <v>5280</v>
      </c>
      <c r="F551" s="79" t="s">
        <v>5300</v>
      </c>
      <c r="G551" s="80" t="s">
        <v>96</v>
      </c>
      <c r="H551" s="90">
        <v>5.017E-4</v>
      </c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</row>
    <row r="552">
      <c r="A552" s="79" t="s">
        <v>8779</v>
      </c>
      <c r="B552" s="45"/>
      <c r="C552" s="79" t="s">
        <v>16962</v>
      </c>
      <c r="D552" s="45"/>
      <c r="E552" s="79" t="s">
        <v>5961</v>
      </c>
      <c r="F552" s="79" t="s">
        <v>5300</v>
      </c>
      <c r="G552" s="80" t="s">
        <v>96</v>
      </c>
      <c r="H552" s="90">
        <v>5.007E-4</v>
      </c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</row>
    <row r="553">
      <c r="A553" s="79" t="s">
        <v>16963</v>
      </c>
      <c r="B553" s="45"/>
      <c r="C553" s="79" t="s">
        <v>16964</v>
      </c>
      <c r="D553" s="45"/>
      <c r="E553" s="79" t="s">
        <v>5473</v>
      </c>
      <c r="F553" s="79" t="s">
        <v>5300</v>
      </c>
      <c r="G553" s="80" t="s">
        <v>96</v>
      </c>
      <c r="H553" s="90">
        <v>5.002E-4</v>
      </c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</row>
    <row r="554">
      <c r="A554" s="79" t="s">
        <v>10234</v>
      </c>
      <c r="B554" s="45"/>
      <c r="C554" s="79" t="s">
        <v>10235</v>
      </c>
      <c r="D554" s="45"/>
      <c r="E554" s="79" t="s">
        <v>5215</v>
      </c>
      <c r="F554" s="79" t="s">
        <v>8784</v>
      </c>
      <c r="G554" s="80" t="s">
        <v>96</v>
      </c>
      <c r="H554" s="90">
        <v>4.999E-4</v>
      </c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</row>
    <row r="555">
      <c r="A555" s="79" t="s">
        <v>16965</v>
      </c>
      <c r="B555" s="45"/>
      <c r="C555" s="79" t="s">
        <v>16966</v>
      </c>
      <c r="D555" s="45"/>
      <c r="E555" s="79" t="s">
        <v>5348</v>
      </c>
      <c r="F555" s="79" t="s">
        <v>5836</v>
      </c>
      <c r="G555" s="80" t="s">
        <v>96</v>
      </c>
      <c r="H555" s="90">
        <v>4.985E-4</v>
      </c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</row>
    <row r="556">
      <c r="A556" s="79" t="s">
        <v>16967</v>
      </c>
      <c r="B556" s="45"/>
      <c r="C556" s="79" t="s">
        <v>16968</v>
      </c>
      <c r="D556" s="45"/>
      <c r="E556" s="79" t="s">
        <v>6110</v>
      </c>
      <c r="F556" s="79" t="s">
        <v>5300</v>
      </c>
      <c r="G556" s="80" t="s">
        <v>96</v>
      </c>
      <c r="H556" s="90">
        <v>4.984E-4</v>
      </c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</row>
    <row r="557">
      <c r="A557" s="79" t="s">
        <v>16969</v>
      </c>
      <c r="B557" s="45"/>
      <c r="C557" s="79" t="s">
        <v>16970</v>
      </c>
      <c r="D557" s="45"/>
      <c r="E557" s="79" t="s">
        <v>5238</v>
      </c>
      <c r="F557" s="79" t="s">
        <v>5425</v>
      </c>
      <c r="G557" s="80" t="s">
        <v>96</v>
      </c>
      <c r="H557" s="90">
        <v>4.98E-4</v>
      </c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</row>
    <row r="558">
      <c r="A558" s="79" t="s">
        <v>10108</v>
      </c>
      <c r="B558" s="45"/>
      <c r="C558" s="79" t="s">
        <v>3763</v>
      </c>
      <c r="D558" s="45"/>
      <c r="E558" s="79" t="s">
        <v>5246</v>
      </c>
      <c r="F558" s="79" t="s">
        <v>9021</v>
      </c>
      <c r="G558" s="80" t="s">
        <v>96</v>
      </c>
      <c r="H558" s="90">
        <v>4.971E-4</v>
      </c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</row>
    <row r="559">
      <c r="A559" s="79" t="s">
        <v>16971</v>
      </c>
      <c r="B559" s="45"/>
      <c r="C559" s="79" t="s">
        <v>16972</v>
      </c>
      <c r="D559" s="45"/>
      <c r="E559" s="79" t="s">
        <v>5283</v>
      </c>
      <c r="F559" s="79" t="s">
        <v>5300</v>
      </c>
      <c r="G559" s="80" t="s">
        <v>96</v>
      </c>
      <c r="H559" s="90">
        <v>4.969E-4</v>
      </c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</row>
    <row r="560">
      <c r="A560" s="79" t="s">
        <v>16973</v>
      </c>
      <c r="B560" s="45"/>
      <c r="C560" s="79" t="s">
        <v>16974</v>
      </c>
      <c r="D560" s="45"/>
      <c r="E560" s="79" t="s">
        <v>5261</v>
      </c>
      <c r="F560" s="79" t="s">
        <v>6210</v>
      </c>
      <c r="G560" s="80" t="s">
        <v>96</v>
      </c>
      <c r="H560" s="90">
        <v>4.961E-4</v>
      </c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</row>
    <row r="561">
      <c r="A561" s="79" t="s">
        <v>16975</v>
      </c>
      <c r="B561" s="45"/>
      <c r="C561" s="79" t="s">
        <v>16976</v>
      </c>
      <c r="D561" s="45"/>
      <c r="E561" s="79" t="s">
        <v>5715</v>
      </c>
      <c r="F561" s="79" t="s">
        <v>5300</v>
      </c>
      <c r="G561" s="80" t="s">
        <v>96</v>
      </c>
      <c r="H561" s="90">
        <v>4.959E-4</v>
      </c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</row>
    <row r="562">
      <c r="A562" s="79" t="s">
        <v>16977</v>
      </c>
      <c r="B562" s="45"/>
      <c r="C562" s="79" t="s">
        <v>16978</v>
      </c>
      <c r="D562" s="45"/>
      <c r="E562" s="79" t="s">
        <v>5401</v>
      </c>
      <c r="F562" s="79" t="s">
        <v>5300</v>
      </c>
      <c r="G562" s="80" t="s">
        <v>96</v>
      </c>
      <c r="H562" s="90">
        <v>4.956E-4</v>
      </c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</row>
    <row r="563">
      <c r="A563" s="79" t="s">
        <v>10463</v>
      </c>
      <c r="B563" s="45"/>
      <c r="C563" s="79" t="s">
        <v>10464</v>
      </c>
      <c r="D563" s="45"/>
      <c r="E563" s="79" t="s">
        <v>5459</v>
      </c>
      <c r="F563" s="79" t="s">
        <v>5425</v>
      </c>
      <c r="G563" s="80" t="s">
        <v>96</v>
      </c>
      <c r="H563" s="90">
        <v>4.954E-4</v>
      </c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</row>
    <row r="564">
      <c r="A564" s="79" t="s">
        <v>11220</v>
      </c>
      <c r="B564" s="45"/>
      <c r="C564" s="79" t="s">
        <v>16979</v>
      </c>
      <c r="D564" s="45"/>
      <c r="E564" s="79" t="s">
        <v>5229</v>
      </c>
      <c r="F564" s="79" t="s">
        <v>5300</v>
      </c>
      <c r="G564" s="80" t="s">
        <v>96</v>
      </c>
      <c r="H564" s="90">
        <v>4.95E-4</v>
      </c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</row>
    <row r="565">
      <c r="A565" s="79" t="s">
        <v>16980</v>
      </c>
      <c r="B565" s="45"/>
      <c r="C565" s="79" t="s">
        <v>16981</v>
      </c>
      <c r="D565" s="45"/>
      <c r="E565" s="79" t="s">
        <v>8648</v>
      </c>
      <c r="F565" s="79" t="s">
        <v>5300</v>
      </c>
      <c r="G565" s="80" t="s">
        <v>96</v>
      </c>
      <c r="H565" s="90">
        <v>4.945E-4</v>
      </c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</row>
    <row r="566">
      <c r="A566" s="79" t="s">
        <v>16982</v>
      </c>
      <c r="B566" s="45"/>
      <c r="C566" s="79" t="s">
        <v>16983</v>
      </c>
      <c r="D566" s="45"/>
      <c r="E566" s="79" t="s">
        <v>5249</v>
      </c>
      <c r="F566" s="79" t="s">
        <v>5300</v>
      </c>
      <c r="G566" s="80" t="s">
        <v>96</v>
      </c>
      <c r="H566" s="90">
        <v>4.944E-4</v>
      </c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</row>
    <row r="567">
      <c r="A567" s="79" t="s">
        <v>16984</v>
      </c>
      <c r="B567" s="45"/>
      <c r="C567" s="79" t="s">
        <v>16985</v>
      </c>
      <c r="D567" s="45"/>
      <c r="E567" s="79" t="s">
        <v>5267</v>
      </c>
      <c r="F567" s="79" t="s">
        <v>9617</v>
      </c>
      <c r="G567" s="80" t="s">
        <v>96</v>
      </c>
      <c r="H567" s="90">
        <v>4.937E-4</v>
      </c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</row>
    <row r="568">
      <c r="A568" s="79" t="s">
        <v>16986</v>
      </c>
      <c r="B568" s="45"/>
      <c r="C568" s="79" t="s">
        <v>16987</v>
      </c>
      <c r="D568" s="45"/>
      <c r="E568" s="79" t="s">
        <v>5675</v>
      </c>
      <c r="F568" s="79" t="s">
        <v>5425</v>
      </c>
      <c r="G568" s="80" t="s">
        <v>96</v>
      </c>
      <c r="H568" s="90">
        <v>4.931E-4</v>
      </c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</row>
    <row r="569">
      <c r="A569" s="79" t="s">
        <v>16988</v>
      </c>
      <c r="B569" s="45"/>
      <c r="C569" s="79" t="s">
        <v>16989</v>
      </c>
      <c r="D569" s="45"/>
      <c r="E569" s="79" t="s">
        <v>5691</v>
      </c>
      <c r="F569" s="79" t="s">
        <v>5300</v>
      </c>
      <c r="G569" s="80" t="s">
        <v>96</v>
      </c>
      <c r="H569" s="90">
        <v>4.918E-4</v>
      </c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</row>
    <row r="570">
      <c r="A570" s="79" t="s">
        <v>10625</v>
      </c>
      <c r="B570" s="45"/>
      <c r="C570" s="79" t="s">
        <v>10626</v>
      </c>
      <c r="D570" s="45"/>
      <c r="E570" s="79" t="s">
        <v>5369</v>
      </c>
      <c r="F570" s="79" t="s">
        <v>8784</v>
      </c>
      <c r="G570" s="80" t="s">
        <v>96</v>
      </c>
      <c r="H570" s="90">
        <v>4.914E-4</v>
      </c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</row>
    <row r="571">
      <c r="A571" s="79" t="s">
        <v>10581</v>
      </c>
      <c r="B571" s="45"/>
      <c r="C571" s="79" t="s">
        <v>10582</v>
      </c>
      <c r="D571" s="45"/>
      <c r="E571" s="79" t="s">
        <v>5341</v>
      </c>
      <c r="F571" s="79" t="s">
        <v>8784</v>
      </c>
      <c r="G571" s="80" t="s">
        <v>96</v>
      </c>
      <c r="H571" s="90">
        <v>4.901E-4</v>
      </c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</row>
    <row r="572">
      <c r="A572" s="79" t="s">
        <v>10380</v>
      </c>
      <c r="B572" s="45"/>
      <c r="C572" s="79" t="s">
        <v>10381</v>
      </c>
      <c r="D572" s="45"/>
      <c r="E572" s="79" t="s">
        <v>5561</v>
      </c>
      <c r="F572" s="79" t="s">
        <v>8784</v>
      </c>
      <c r="G572" s="80" t="s">
        <v>96</v>
      </c>
      <c r="H572" s="90">
        <v>4.894E-4</v>
      </c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</row>
    <row r="573">
      <c r="A573" s="79" t="s">
        <v>10390</v>
      </c>
      <c r="B573" s="45"/>
      <c r="C573" s="79" t="s">
        <v>10391</v>
      </c>
      <c r="D573" s="45"/>
      <c r="E573" s="79" t="s">
        <v>9189</v>
      </c>
      <c r="F573" s="79" t="s">
        <v>8784</v>
      </c>
      <c r="G573" s="80" t="s">
        <v>96</v>
      </c>
      <c r="H573" s="90">
        <v>4.858E-4</v>
      </c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</row>
    <row r="574">
      <c r="A574" s="79" t="s">
        <v>16990</v>
      </c>
      <c r="B574" s="45"/>
      <c r="C574" s="79" t="s">
        <v>16991</v>
      </c>
      <c r="D574" s="45"/>
      <c r="E574" s="79" t="s">
        <v>5691</v>
      </c>
      <c r="F574" s="79" t="s">
        <v>5300</v>
      </c>
      <c r="G574" s="80" t="s">
        <v>96</v>
      </c>
      <c r="H574" s="90">
        <v>4.848E-4</v>
      </c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</row>
    <row r="575">
      <c r="A575" s="79" t="s">
        <v>16992</v>
      </c>
      <c r="B575" s="45"/>
      <c r="C575" s="79" t="s">
        <v>16993</v>
      </c>
      <c r="D575" s="45"/>
      <c r="E575" s="79" t="s">
        <v>16994</v>
      </c>
      <c r="F575" s="79" t="s">
        <v>5300</v>
      </c>
      <c r="G575" s="80" t="s">
        <v>96</v>
      </c>
      <c r="H575" s="90">
        <v>4.839E-4</v>
      </c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</row>
    <row r="576">
      <c r="A576" s="79" t="s">
        <v>16995</v>
      </c>
      <c r="B576" s="45"/>
      <c r="C576" s="79" t="s">
        <v>16996</v>
      </c>
      <c r="D576" s="45"/>
      <c r="E576" s="79" t="s">
        <v>6416</v>
      </c>
      <c r="F576" s="79" t="s">
        <v>5300</v>
      </c>
      <c r="G576" s="80" t="s">
        <v>96</v>
      </c>
      <c r="H576" s="90">
        <v>4.836E-4</v>
      </c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</row>
    <row r="577">
      <c r="A577" s="79" t="s">
        <v>16997</v>
      </c>
      <c r="B577" s="45"/>
      <c r="C577" s="79" t="s">
        <v>16998</v>
      </c>
      <c r="D577" s="45"/>
      <c r="E577" s="79" t="s">
        <v>9553</v>
      </c>
      <c r="F577" s="79" t="s">
        <v>5300</v>
      </c>
      <c r="G577" s="80" t="s">
        <v>96</v>
      </c>
      <c r="H577" s="90">
        <v>4.823E-4</v>
      </c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</row>
    <row r="578">
      <c r="A578" s="79" t="s">
        <v>16999</v>
      </c>
      <c r="B578" s="45"/>
      <c r="C578" s="79" t="s">
        <v>3778</v>
      </c>
      <c r="D578" s="45"/>
      <c r="E578" s="79" t="s">
        <v>5434</v>
      </c>
      <c r="F578" s="79" t="s">
        <v>9021</v>
      </c>
      <c r="G578" s="80" t="s">
        <v>96</v>
      </c>
      <c r="H578" s="90">
        <v>4.804E-4</v>
      </c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</row>
    <row r="579">
      <c r="A579" s="79" t="s">
        <v>10570</v>
      </c>
      <c r="B579" s="45"/>
      <c r="C579" s="79" t="s">
        <v>10571</v>
      </c>
      <c r="D579" s="45"/>
      <c r="E579" s="79" t="s">
        <v>5564</v>
      </c>
      <c r="F579" s="79" t="s">
        <v>5941</v>
      </c>
      <c r="G579" s="80" t="s">
        <v>96</v>
      </c>
      <c r="H579" s="90">
        <v>4.795E-4</v>
      </c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</row>
    <row r="580">
      <c r="A580" s="79" t="s">
        <v>17000</v>
      </c>
      <c r="B580" s="45"/>
      <c r="C580" s="79" t="s">
        <v>17001</v>
      </c>
      <c r="D580" s="45"/>
      <c r="E580" s="79" t="s">
        <v>6249</v>
      </c>
      <c r="F580" s="79" t="s">
        <v>5300</v>
      </c>
      <c r="G580" s="80" t="s">
        <v>96</v>
      </c>
      <c r="H580" s="90">
        <v>4.793E-4</v>
      </c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</row>
    <row r="581">
      <c r="A581" s="79" t="s">
        <v>17002</v>
      </c>
      <c r="B581" s="45"/>
      <c r="C581" s="79" t="s">
        <v>17003</v>
      </c>
      <c r="D581" s="45"/>
      <c r="E581" s="79" t="s">
        <v>5434</v>
      </c>
      <c r="F581" s="79" t="s">
        <v>5300</v>
      </c>
      <c r="G581" s="80" t="s">
        <v>96</v>
      </c>
      <c r="H581" s="90">
        <v>4.79E-4</v>
      </c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</row>
    <row r="582">
      <c r="A582" s="79" t="s">
        <v>17004</v>
      </c>
      <c r="B582" s="45"/>
      <c r="C582" s="79" t="s">
        <v>17005</v>
      </c>
      <c r="D582" s="45"/>
      <c r="E582" s="79" t="s">
        <v>5276</v>
      </c>
      <c r="F582" s="79" t="s">
        <v>5300</v>
      </c>
      <c r="G582" s="80" t="s">
        <v>96</v>
      </c>
      <c r="H582" s="90">
        <v>4.787E-4</v>
      </c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</row>
    <row r="583">
      <c r="A583" s="79" t="s">
        <v>17006</v>
      </c>
      <c r="B583" s="45"/>
      <c r="C583" s="79" t="s">
        <v>17007</v>
      </c>
      <c r="D583" s="45"/>
      <c r="E583" s="79" t="s">
        <v>5775</v>
      </c>
      <c r="F583" s="79" t="s">
        <v>5300</v>
      </c>
      <c r="G583" s="80" t="s">
        <v>96</v>
      </c>
      <c r="H583" s="90">
        <v>4.786E-4</v>
      </c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</row>
    <row r="584">
      <c r="A584" s="79" t="s">
        <v>10374</v>
      </c>
      <c r="B584" s="45"/>
      <c r="C584" s="79" t="s">
        <v>10375</v>
      </c>
      <c r="D584" s="45"/>
      <c r="E584" s="79" t="s">
        <v>5422</v>
      </c>
      <c r="F584" s="79" t="s">
        <v>4095</v>
      </c>
      <c r="G584" s="80" t="s">
        <v>96</v>
      </c>
      <c r="H584" s="90">
        <v>4.777E-4</v>
      </c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</row>
    <row r="585">
      <c r="A585" s="79" t="s">
        <v>10423</v>
      </c>
      <c r="B585" s="45"/>
      <c r="C585" s="79" t="s">
        <v>10424</v>
      </c>
      <c r="D585" s="45"/>
      <c r="E585" s="79" t="s">
        <v>5704</v>
      </c>
      <c r="F585" s="79" t="s">
        <v>8784</v>
      </c>
      <c r="G585" s="80" t="s">
        <v>96</v>
      </c>
      <c r="H585" s="90">
        <v>4.775E-4</v>
      </c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</row>
    <row r="586">
      <c r="A586" s="79" t="s">
        <v>17008</v>
      </c>
      <c r="B586" s="45"/>
      <c r="C586" s="79" t="s">
        <v>17009</v>
      </c>
      <c r="D586" s="45"/>
      <c r="E586" s="79" t="s">
        <v>5276</v>
      </c>
      <c r="F586" s="79" t="s">
        <v>5300</v>
      </c>
      <c r="G586" s="80" t="s">
        <v>96</v>
      </c>
      <c r="H586" s="90">
        <v>4.763E-4</v>
      </c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</row>
    <row r="587">
      <c r="A587" s="79" t="s">
        <v>17010</v>
      </c>
      <c r="B587" s="45"/>
      <c r="C587" s="79" t="s">
        <v>17011</v>
      </c>
      <c r="D587" s="45"/>
      <c r="E587" s="79" t="s">
        <v>5641</v>
      </c>
      <c r="F587" s="79" t="s">
        <v>5300</v>
      </c>
      <c r="G587" s="80" t="s">
        <v>96</v>
      </c>
      <c r="H587" s="90">
        <v>4.759E-4</v>
      </c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</row>
    <row r="588">
      <c r="A588" s="79" t="s">
        <v>17012</v>
      </c>
      <c r="B588" s="45"/>
      <c r="C588" s="79" t="s">
        <v>17013</v>
      </c>
      <c r="D588" s="45"/>
      <c r="E588" s="79" t="s">
        <v>5434</v>
      </c>
      <c r="F588" s="79" t="s">
        <v>5300</v>
      </c>
      <c r="G588" s="80" t="s">
        <v>96</v>
      </c>
      <c r="H588" s="90">
        <v>4.758E-4</v>
      </c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</row>
    <row r="589">
      <c r="A589" s="79" t="s">
        <v>17014</v>
      </c>
      <c r="B589" s="45"/>
      <c r="C589" s="79" t="s">
        <v>17015</v>
      </c>
      <c r="D589" s="45"/>
      <c r="E589" s="79" t="s">
        <v>6487</v>
      </c>
      <c r="F589" s="79" t="s">
        <v>5300</v>
      </c>
      <c r="G589" s="80" t="s">
        <v>96</v>
      </c>
      <c r="H589" s="90">
        <v>4.757E-4</v>
      </c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</row>
    <row r="590">
      <c r="A590" s="79" t="s">
        <v>17016</v>
      </c>
      <c r="B590" s="45"/>
      <c r="C590" s="79" t="s">
        <v>17017</v>
      </c>
      <c r="D590" s="45"/>
      <c r="E590" s="79" t="s">
        <v>7248</v>
      </c>
      <c r="F590" s="79" t="s">
        <v>5300</v>
      </c>
      <c r="G590" s="80" t="s">
        <v>96</v>
      </c>
      <c r="H590" s="90">
        <v>4.75E-4</v>
      </c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</row>
    <row r="591">
      <c r="A591" s="79" t="s">
        <v>10720</v>
      </c>
      <c r="B591" s="45"/>
      <c r="C591" s="79" t="s">
        <v>10721</v>
      </c>
      <c r="D591" s="45"/>
      <c r="E591" s="79" t="s">
        <v>6090</v>
      </c>
      <c r="F591" s="79" t="s">
        <v>8784</v>
      </c>
      <c r="G591" s="80" t="s">
        <v>96</v>
      </c>
      <c r="H591" s="90">
        <v>4.747E-4</v>
      </c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</row>
    <row r="592">
      <c r="A592" s="79" t="s">
        <v>17018</v>
      </c>
      <c r="B592" s="45"/>
      <c r="C592" s="79" t="s">
        <v>17019</v>
      </c>
      <c r="D592" s="45"/>
      <c r="E592" s="79" t="s">
        <v>5283</v>
      </c>
      <c r="F592" s="79" t="s">
        <v>9513</v>
      </c>
      <c r="G592" s="80" t="s">
        <v>96</v>
      </c>
      <c r="H592" s="90">
        <v>4.74E-4</v>
      </c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</row>
    <row r="593">
      <c r="A593" s="79" t="s">
        <v>10486</v>
      </c>
      <c r="B593" s="45"/>
      <c r="C593" s="79" t="s">
        <v>10487</v>
      </c>
      <c r="D593" s="45"/>
      <c r="E593" s="79" t="s">
        <v>5232</v>
      </c>
      <c r="F593" s="79" t="s">
        <v>8784</v>
      </c>
      <c r="G593" s="80" t="s">
        <v>96</v>
      </c>
      <c r="H593" s="90">
        <v>4.731E-4</v>
      </c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</row>
    <row r="594">
      <c r="A594" s="79" t="s">
        <v>17020</v>
      </c>
      <c r="B594" s="45"/>
      <c r="C594" s="79" t="s">
        <v>17021</v>
      </c>
      <c r="D594" s="45"/>
      <c r="E594" s="79" t="s">
        <v>5283</v>
      </c>
      <c r="F594" s="79" t="s">
        <v>5425</v>
      </c>
      <c r="G594" s="80" t="s">
        <v>96</v>
      </c>
      <c r="H594" s="90">
        <v>4.73E-4</v>
      </c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</row>
    <row r="595">
      <c r="A595" s="79" t="s">
        <v>17022</v>
      </c>
      <c r="B595" s="45"/>
      <c r="C595" s="79" t="s">
        <v>17023</v>
      </c>
      <c r="D595" s="45"/>
      <c r="E595" s="79" t="s">
        <v>5374</v>
      </c>
      <c r="F595" s="79" t="s">
        <v>5300</v>
      </c>
      <c r="G595" s="80" t="s">
        <v>96</v>
      </c>
      <c r="H595" s="90">
        <v>4.729E-4</v>
      </c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</row>
    <row r="596">
      <c r="A596" s="79" t="s">
        <v>17024</v>
      </c>
      <c r="B596" s="45"/>
      <c r="C596" s="79" t="s">
        <v>17025</v>
      </c>
      <c r="D596" s="45"/>
      <c r="E596" s="79" t="s">
        <v>5609</v>
      </c>
      <c r="F596" s="79" t="s">
        <v>5300</v>
      </c>
      <c r="G596" s="80" t="s">
        <v>96</v>
      </c>
      <c r="H596" s="90">
        <v>4.72E-4</v>
      </c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</row>
    <row r="597">
      <c r="A597" s="79" t="s">
        <v>17026</v>
      </c>
      <c r="B597" s="45"/>
      <c r="C597" s="79" t="s">
        <v>17027</v>
      </c>
      <c r="D597" s="45"/>
      <c r="E597" s="79" t="s">
        <v>5478</v>
      </c>
      <c r="F597" s="79" t="s">
        <v>5300</v>
      </c>
      <c r="G597" s="80" t="s">
        <v>96</v>
      </c>
      <c r="H597" s="90">
        <v>4.716E-4</v>
      </c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</row>
    <row r="598">
      <c r="A598" s="79" t="s">
        <v>17028</v>
      </c>
      <c r="B598" s="45"/>
      <c r="C598" s="79" t="s">
        <v>17029</v>
      </c>
      <c r="D598" s="45"/>
      <c r="E598" s="79" t="s">
        <v>9039</v>
      </c>
      <c r="F598" s="79" t="s">
        <v>5300</v>
      </c>
      <c r="G598" s="80" t="s">
        <v>96</v>
      </c>
      <c r="H598" s="90">
        <v>4.715E-4</v>
      </c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</row>
    <row r="599">
      <c r="A599" s="79" t="s">
        <v>17030</v>
      </c>
      <c r="B599" s="45"/>
      <c r="C599" s="79" t="s">
        <v>17031</v>
      </c>
      <c r="D599" s="45"/>
      <c r="E599" s="79" t="s">
        <v>5226</v>
      </c>
      <c r="F599" s="79" t="s">
        <v>5300</v>
      </c>
      <c r="G599" s="80" t="s">
        <v>96</v>
      </c>
      <c r="H599" s="90">
        <v>4.704E-4</v>
      </c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</row>
    <row r="600">
      <c r="A600" s="79" t="s">
        <v>17032</v>
      </c>
      <c r="B600" s="45"/>
      <c r="C600" s="79" t="s">
        <v>17033</v>
      </c>
      <c r="D600" s="45"/>
      <c r="E600" s="79" t="s">
        <v>5267</v>
      </c>
      <c r="F600" s="79" t="s">
        <v>5300</v>
      </c>
      <c r="G600" s="80" t="s">
        <v>96</v>
      </c>
      <c r="H600" s="90">
        <v>4.7E-4</v>
      </c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</row>
    <row r="601">
      <c r="A601" s="79" t="s">
        <v>17034</v>
      </c>
      <c r="B601" s="45"/>
      <c r="C601" s="79" t="s">
        <v>17035</v>
      </c>
      <c r="D601" s="45"/>
      <c r="E601" s="79" t="s">
        <v>5276</v>
      </c>
      <c r="F601" s="79" t="s">
        <v>5836</v>
      </c>
      <c r="G601" s="80" t="s">
        <v>96</v>
      </c>
      <c r="H601" s="90">
        <v>4.699E-4</v>
      </c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</row>
    <row r="602">
      <c r="A602" s="79" t="s">
        <v>10667</v>
      </c>
      <c r="B602" s="45"/>
      <c r="C602" s="79" t="s">
        <v>10668</v>
      </c>
      <c r="D602" s="45"/>
      <c r="E602" s="79" t="s">
        <v>5742</v>
      </c>
      <c r="F602" s="79" t="s">
        <v>5927</v>
      </c>
      <c r="G602" s="80" t="s">
        <v>96</v>
      </c>
      <c r="H602" s="90">
        <v>4.692E-4</v>
      </c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</row>
    <row r="603">
      <c r="A603" s="79" t="s">
        <v>17036</v>
      </c>
      <c r="B603" s="45"/>
      <c r="C603" s="79" t="s">
        <v>17037</v>
      </c>
      <c r="D603" s="45"/>
      <c r="E603" s="79" t="s">
        <v>6191</v>
      </c>
      <c r="F603" s="79" t="s">
        <v>8784</v>
      </c>
      <c r="G603" s="80" t="s">
        <v>96</v>
      </c>
      <c r="H603" s="90">
        <v>4.691E-4</v>
      </c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</row>
    <row r="604">
      <c r="A604" s="79" t="s">
        <v>5830</v>
      </c>
      <c r="B604" s="45"/>
      <c r="C604" s="79" t="s">
        <v>17038</v>
      </c>
      <c r="D604" s="45"/>
      <c r="E604" s="79" t="s">
        <v>5218</v>
      </c>
      <c r="F604" s="79" t="s">
        <v>5300</v>
      </c>
      <c r="G604" s="80" t="s">
        <v>96</v>
      </c>
      <c r="H604" s="90">
        <v>4.686E-4</v>
      </c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</row>
    <row r="605">
      <c r="A605" s="79" t="s">
        <v>17039</v>
      </c>
      <c r="B605" s="45"/>
      <c r="C605" s="79" t="s">
        <v>17040</v>
      </c>
      <c r="D605" s="45"/>
      <c r="E605" s="79" t="s">
        <v>5215</v>
      </c>
      <c r="F605" s="79" t="s">
        <v>9299</v>
      </c>
      <c r="G605" s="80" t="s">
        <v>96</v>
      </c>
      <c r="H605" s="90">
        <v>4.683E-4</v>
      </c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</row>
    <row r="606">
      <c r="A606" s="79" t="s">
        <v>17041</v>
      </c>
      <c r="B606" s="45"/>
      <c r="C606" s="79" t="s">
        <v>17042</v>
      </c>
      <c r="D606" s="45"/>
      <c r="E606" s="79" t="s">
        <v>5855</v>
      </c>
      <c r="F606" s="79" t="s">
        <v>8767</v>
      </c>
      <c r="G606" s="80" t="s">
        <v>96</v>
      </c>
      <c r="H606" s="90">
        <v>4.672E-4</v>
      </c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</row>
    <row r="607">
      <c r="A607" s="79" t="s">
        <v>17043</v>
      </c>
      <c r="B607" s="45"/>
      <c r="C607" s="79" t="s">
        <v>17044</v>
      </c>
      <c r="D607" s="45"/>
      <c r="E607" s="79" t="s">
        <v>5390</v>
      </c>
      <c r="F607" s="79" t="s">
        <v>4095</v>
      </c>
      <c r="G607" s="80" t="s">
        <v>96</v>
      </c>
      <c r="H607" s="90">
        <v>4.67E-4</v>
      </c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</row>
    <row r="608">
      <c r="A608" s="79" t="s">
        <v>17045</v>
      </c>
      <c r="B608" s="45"/>
      <c r="C608" s="79" t="s">
        <v>17046</v>
      </c>
      <c r="D608" s="45"/>
      <c r="E608" s="79" t="s">
        <v>6389</v>
      </c>
      <c r="F608" s="79" t="s">
        <v>8784</v>
      </c>
      <c r="G608" s="80" t="s">
        <v>96</v>
      </c>
      <c r="H608" s="90">
        <v>4.669E-4</v>
      </c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</row>
    <row r="609">
      <c r="A609" s="79" t="s">
        <v>17047</v>
      </c>
      <c r="B609" s="45"/>
      <c r="C609" s="79" t="s">
        <v>17048</v>
      </c>
      <c r="D609" s="45"/>
      <c r="E609" s="79" t="s">
        <v>5241</v>
      </c>
      <c r="F609" s="79" t="s">
        <v>5927</v>
      </c>
      <c r="G609" s="80" t="s">
        <v>96</v>
      </c>
      <c r="H609" s="90">
        <v>4.665E-4</v>
      </c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</row>
    <row r="610">
      <c r="A610" s="79" t="s">
        <v>10353</v>
      </c>
      <c r="B610" s="45"/>
      <c r="C610" s="79" t="s">
        <v>10354</v>
      </c>
      <c r="D610" s="45"/>
      <c r="E610" s="79" t="s">
        <v>5964</v>
      </c>
      <c r="F610" s="79" t="s">
        <v>5747</v>
      </c>
      <c r="G610" s="80" t="s">
        <v>96</v>
      </c>
      <c r="H610" s="90">
        <v>4.665E-4</v>
      </c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</row>
    <row r="611">
      <c r="A611" s="79" t="s">
        <v>17049</v>
      </c>
      <c r="B611" s="45"/>
      <c r="C611" s="79" t="s">
        <v>17050</v>
      </c>
      <c r="D611" s="45"/>
      <c r="E611" s="79" t="s">
        <v>5249</v>
      </c>
      <c r="F611" s="79" t="s">
        <v>5300</v>
      </c>
      <c r="G611" s="80" t="s">
        <v>96</v>
      </c>
      <c r="H611" s="90">
        <v>4.662E-4</v>
      </c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</row>
    <row r="612">
      <c r="A612" s="79" t="s">
        <v>17051</v>
      </c>
      <c r="B612" s="45"/>
      <c r="C612" s="79" t="s">
        <v>17052</v>
      </c>
      <c r="D612" s="45"/>
      <c r="E612" s="79" t="s">
        <v>7248</v>
      </c>
      <c r="F612" s="79" t="s">
        <v>6698</v>
      </c>
      <c r="G612" s="80" t="s">
        <v>96</v>
      </c>
      <c r="H612" s="90">
        <v>4.66E-4</v>
      </c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</row>
    <row r="613">
      <c r="A613" s="79" t="s">
        <v>17053</v>
      </c>
      <c r="B613" s="45"/>
      <c r="C613" s="79" t="s">
        <v>17054</v>
      </c>
      <c r="D613" s="45"/>
      <c r="E613" s="79" t="s">
        <v>5276</v>
      </c>
      <c r="F613" s="79" t="s">
        <v>5300</v>
      </c>
      <c r="G613" s="80" t="s">
        <v>96</v>
      </c>
      <c r="H613" s="90">
        <v>4.655E-4</v>
      </c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</row>
    <row r="614">
      <c r="A614" s="79" t="s">
        <v>10490</v>
      </c>
      <c r="B614" s="45"/>
      <c r="C614" s="79" t="s">
        <v>10491</v>
      </c>
      <c r="D614" s="45"/>
      <c r="E614" s="79" t="s">
        <v>5961</v>
      </c>
      <c r="F614" s="79" t="s">
        <v>8784</v>
      </c>
      <c r="G614" s="80" t="s">
        <v>96</v>
      </c>
      <c r="H614" s="90">
        <v>4.651E-4</v>
      </c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</row>
    <row r="615">
      <c r="A615" s="79" t="s">
        <v>17055</v>
      </c>
      <c r="B615" s="45"/>
      <c r="C615" s="79" t="s">
        <v>17056</v>
      </c>
      <c r="D615" s="45"/>
      <c r="E615" s="79" t="s">
        <v>5215</v>
      </c>
      <c r="F615" s="79" t="s">
        <v>5300</v>
      </c>
      <c r="G615" s="80" t="s">
        <v>96</v>
      </c>
      <c r="H615" s="90">
        <v>4.648E-4</v>
      </c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</row>
    <row r="616">
      <c r="A616" s="79" t="s">
        <v>17057</v>
      </c>
      <c r="B616" s="45"/>
      <c r="C616" s="79" t="s">
        <v>17058</v>
      </c>
      <c r="D616" s="45"/>
      <c r="E616" s="79" t="s">
        <v>6338</v>
      </c>
      <c r="F616" s="79" t="s">
        <v>5300</v>
      </c>
      <c r="G616" s="80" t="s">
        <v>96</v>
      </c>
      <c r="H616" s="90">
        <v>4.642E-4</v>
      </c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</row>
    <row r="617">
      <c r="A617" s="79" t="s">
        <v>17059</v>
      </c>
      <c r="B617" s="45"/>
      <c r="C617" s="79" t="s">
        <v>17060</v>
      </c>
      <c r="D617" s="45"/>
      <c r="E617" s="79" t="s">
        <v>6130</v>
      </c>
      <c r="F617" s="79" t="s">
        <v>5300</v>
      </c>
      <c r="G617" s="80" t="s">
        <v>96</v>
      </c>
      <c r="H617" s="90">
        <v>4.635E-4</v>
      </c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</row>
    <row r="618">
      <c r="A618" s="79" t="s">
        <v>10351</v>
      </c>
      <c r="B618" s="45"/>
      <c r="C618" s="79" t="s">
        <v>10352</v>
      </c>
      <c r="D618" s="45"/>
      <c r="E618" s="79" t="s">
        <v>5321</v>
      </c>
      <c r="F618" s="79" t="s">
        <v>8784</v>
      </c>
      <c r="G618" s="80" t="s">
        <v>96</v>
      </c>
      <c r="H618" s="90">
        <v>4.633E-4</v>
      </c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</row>
    <row r="619">
      <c r="A619" s="79" t="s">
        <v>17061</v>
      </c>
      <c r="B619" s="45"/>
      <c r="C619" s="79" t="s">
        <v>17062</v>
      </c>
      <c r="D619" s="45"/>
      <c r="E619" s="79" t="s">
        <v>6759</v>
      </c>
      <c r="F619" s="79" t="s">
        <v>5300</v>
      </c>
      <c r="G619" s="80" t="s">
        <v>96</v>
      </c>
      <c r="H619" s="90">
        <v>4.631E-4</v>
      </c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</row>
    <row r="620">
      <c r="A620" s="79" t="s">
        <v>17063</v>
      </c>
      <c r="B620" s="45"/>
      <c r="C620" s="79" t="s">
        <v>17064</v>
      </c>
      <c r="D620" s="45"/>
      <c r="E620" s="79" t="s">
        <v>5650</v>
      </c>
      <c r="F620" s="79" t="s">
        <v>5300</v>
      </c>
      <c r="G620" s="80" t="s">
        <v>96</v>
      </c>
      <c r="H620" s="90">
        <v>4.627E-4</v>
      </c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</row>
    <row r="621">
      <c r="A621" s="79" t="s">
        <v>17065</v>
      </c>
      <c r="B621" s="45"/>
      <c r="C621" s="79" t="s">
        <v>17066</v>
      </c>
      <c r="D621" s="45"/>
      <c r="E621" s="79" t="s">
        <v>5450</v>
      </c>
      <c r="F621" s="79" t="s">
        <v>4357</v>
      </c>
      <c r="G621" s="80" t="s">
        <v>96</v>
      </c>
      <c r="H621" s="90">
        <v>4.627E-4</v>
      </c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</row>
    <row r="622">
      <c r="A622" s="79" t="s">
        <v>17067</v>
      </c>
      <c r="B622" s="45"/>
      <c r="C622" s="79" t="s">
        <v>17068</v>
      </c>
      <c r="D622" s="45"/>
      <c r="E622" s="79" t="s">
        <v>5326</v>
      </c>
      <c r="F622" s="79" t="s">
        <v>5300</v>
      </c>
      <c r="G622" s="80" t="s">
        <v>96</v>
      </c>
      <c r="H622" s="90">
        <v>4.616E-4</v>
      </c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</row>
    <row r="623">
      <c r="A623" s="79" t="s">
        <v>10561</v>
      </c>
      <c r="B623" s="45"/>
      <c r="C623" s="79" t="s">
        <v>10562</v>
      </c>
      <c r="D623" s="45"/>
      <c r="E623" s="79" t="s">
        <v>5742</v>
      </c>
      <c r="F623" s="79" t="s">
        <v>9513</v>
      </c>
      <c r="G623" s="80" t="s">
        <v>96</v>
      </c>
      <c r="H623" s="90">
        <v>4.613E-4</v>
      </c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</row>
    <row r="624">
      <c r="A624" s="79" t="s">
        <v>17069</v>
      </c>
      <c r="B624" s="45"/>
      <c r="C624" s="79" t="s">
        <v>17070</v>
      </c>
      <c r="D624" s="45"/>
      <c r="E624" s="79" t="s">
        <v>8230</v>
      </c>
      <c r="F624" s="79" t="s">
        <v>5425</v>
      </c>
      <c r="G624" s="80" t="s">
        <v>96</v>
      </c>
      <c r="H624" s="90">
        <v>4.61E-4</v>
      </c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</row>
    <row r="625">
      <c r="A625" s="79" t="s">
        <v>17071</v>
      </c>
      <c r="B625" s="45"/>
      <c r="C625" s="79" t="s">
        <v>17072</v>
      </c>
      <c r="D625" s="45"/>
      <c r="E625" s="79" t="s">
        <v>5276</v>
      </c>
      <c r="F625" s="79" t="s">
        <v>5300</v>
      </c>
      <c r="G625" s="80" t="s">
        <v>96</v>
      </c>
      <c r="H625" s="90">
        <v>4.607E-4</v>
      </c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</row>
    <row r="626">
      <c r="A626" s="79" t="s">
        <v>17073</v>
      </c>
      <c r="B626" s="45"/>
      <c r="C626" s="79" t="s">
        <v>17074</v>
      </c>
      <c r="D626" s="45"/>
      <c r="E626" s="79" t="s">
        <v>5215</v>
      </c>
      <c r="F626" s="79" t="s">
        <v>5300</v>
      </c>
      <c r="G626" s="80" t="s">
        <v>96</v>
      </c>
      <c r="H626" s="90">
        <v>4.603E-4</v>
      </c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</row>
    <row r="627">
      <c r="A627" s="79" t="s">
        <v>17075</v>
      </c>
      <c r="B627" s="45"/>
      <c r="C627" s="79" t="s">
        <v>17076</v>
      </c>
      <c r="D627" s="45"/>
      <c r="E627" s="79" t="s">
        <v>5276</v>
      </c>
      <c r="F627" s="79" t="s">
        <v>5300</v>
      </c>
      <c r="G627" s="80" t="s">
        <v>96</v>
      </c>
      <c r="H627" s="90">
        <v>4.6E-4</v>
      </c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</row>
    <row r="628">
      <c r="A628" s="79" t="s">
        <v>17077</v>
      </c>
      <c r="B628" s="45"/>
      <c r="C628" s="79" t="s">
        <v>17078</v>
      </c>
      <c r="D628" s="45"/>
      <c r="E628" s="79" t="s">
        <v>6475</v>
      </c>
      <c r="F628" s="79" t="s">
        <v>5300</v>
      </c>
      <c r="G628" s="80" t="s">
        <v>96</v>
      </c>
      <c r="H628" s="90">
        <v>4.594E-4</v>
      </c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</row>
    <row r="629">
      <c r="A629" s="79" t="s">
        <v>17079</v>
      </c>
      <c r="B629" s="45"/>
      <c r="C629" s="79" t="s">
        <v>17080</v>
      </c>
      <c r="D629" s="45"/>
      <c r="E629" s="79" t="s">
        <v>5377</v>
      </c>
      <c r="F629" s="79" t="s">
        <v>5300</v>
      </c>
      <c r="G629" s="80" t="s">
        <v>96</v>
      </c>
      <c r="H629" s="90">
        <v>4.59E-4</v>
      </c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</row>
    <row r="630">
      <c r="A630" s="79" t="s">
        <v>17081</v>
      </c>
      <c r="B630" s="45"/>
      <c r="C630" s="79" t="s">
        <v>17082</v>
      </c>
      <c r="D630" s="45"/>
      <c r="E630" s="79" t="s">
        <v>6191</v>
      </c>
      <c r="F630" s="79" t="s">
        <v>5300</v>
      </c>
      <c r="G630" s="80" t="s">
        <v>96</v>
      </c>
      <c r="H630" s="90">
        <v>4.59E-4</v>
      </c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</row>
    <row r="631">
      <c r="A631" s="79" t="s">
        <v>17083</v>
      </c>
      <c r="B631" s="45"/>
      <c r="C631" s="79" t="s">
        <v>17084</v>
      </c>
      <c r="D631" s="45"/>
      <c r="E631" s="79" t="s">
        <v>5964</v>
      </c>
      <c r="F631" s="79" t="s">
        <v>8784</v>
      </c>
      <c r="G631" s="80" t="s">
        <v>96</v>
      </c>
      <c r="H631" s="90">
        <v>4.573E-4</v>
      </c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</row>
    <row r="632">
      <c r="A632" s="79" t="s">
        <v>17085</v>
      </c>
      <c r="B632" s="45"/>
      <c r="C632" s="79" t="s">
        <v>17086</v>
      </c>
      <c r="D632" s="45"/>
      <c r="E632" s="79" t="s">
        <v>5246</v>
      </c>
      <c r="F632" s="79" t="s">
        <v>5300</v>
      </c>
      <c r="G632" s="80" t="s">
        <v>96</v>
      </c>
      <c r="H632" s="90">
        <v>4.571E-4</v>
      </c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</row>
    <row r="633">
      <c r="A633" s="79" t="s">
        <v>17087</v>
      </c>
      <c r="B633" s="45"/>
      <c r="C633" s="79" t="s">
        <v>17088</v>
      </c>
      <c r="D633" s="45"/>
      <c r="E633" s="79" t="s">
        <v>5215</v>
      </c>
      <c r="F633" s="79" t="s">
        <v>5300</v>
      </c>
      <c r="G633" s="80" t="s">
        <v>96</v>
      </c>
      <c r="H633" s="90">
        <v>4.571E-4</v>
      </c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</row>
    <row r="634">
      <c r="A634" s="79" t="s">
        <v>17089</v>
      </c>
      <c r="B634" s="45"/>
      <c r="C634" s="79" t="s">
        <v>17090</v>
      </c>
      <c r="D634" s="45"/>
      <c r="E634" s="79" t="s">
        <v>8480</v>
      </c>
      <c r="F634" s="79" t="s">
        <v>8759</v>
      </c>
      <c r="G634" s="80" t="s">
        <v>96</v>
      </c>
      <c r="H634" s="90">
        <v>4.568E-4</v>
      </c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</row>
    <row r="635">
      <c r="A635" s="79" t="s">
        <v>17091</v>
      </c>
      <c r="B635" s="45"/>
      <c r="C635" s="79" t="s">
        <v>17092</v>
      </c>
      <c r="D635" s="45"/>
      <c r="E635" s="79" t="s">
        <v>5478</v>
      </c>
      <c r="F635" s="79" t="s">
        <v>5300</v>
      </c>
      <c r="G635" s="80" t="s">
        <v>96</v>
      </c>
      <c r="H635" s="90">
        <v>4.559E-4</v>
      </c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</row>
    <row r="636">
      <c r="A636" s="79" t="s">
        <v>17093</v>
      </c>
      <c r="B636" s="45"/>
      <c r="C636" s="79" t="s">
        <v>5424</v>
      </c>
      <c r="D636" s="45"/>
      <c r="E636" s="79" t="s">
        <v>5215</v>
      </c>
      <c r="F636" s="79" t="s">
        <v>5425</v>
      </c>
      <c r="G636" s="80" t="s">
        <v>96</v>
      </c>
      <c r="H636" s="90">
        <v>4.559E-4</v>
      </c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</row>
    <row r="637">
      <c r="A637" s="79" t="s">
        <v>10585</v>
      </c>
      <c r="B637" s="45"/>
      <c r="C637" s="79" t="s">
        <v>10586</v>
      </c>
      <c r="D637" s="45"/>
      <c r="E637" s="79" t="s">
        <v>5704</v>
      </c>
      <c r="F637" s="79" t="s">
        <v>8784</v>
      </c>
      <c r="G637" s="80" t="s">
        <v>96</v>
      </c>
      <c r="H637" s="90">
        <v>4.554E-4</v>
      </c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</row>
    <row r="638">
      <c r="A638" s="79" t="s">
        <v>17094</v>
      </c>
      <c r="B638" s="45"/>
      <c r="C638" s="79" t="s">
        <v>17095</v>
      </c>
      <c r="D638" s="45"/>
      <c r="E638" s="79" t="s">
        <v>5215</v>
      </c>
      <c r="F638" s="79" t="s">
        <v>5300</v>
      </c>
      <c r="G638" s="80" t="s">
        <v>96</v>
      </c>
      <c r="H638" s="90">
        <v>4.539E-4</v>
      </c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</row>
    <row r="639">
      <c r="A639" s="79" t="s">
        <v>17096</v>
      </c>
      <c r="B639" s="45"/>
      <c r="C639" s="79" t="s">
        <v>5835</v>
      </c>
      <c r="D639" s="45"/>
      <c r="E639" s="79" t="s">
        <v>5258</v>
      </c>
      <c r="F639" s="79" t="s">
        <v>5836</v>
      </c>
      <c r="G639" s="80" t="s">
        <v>96</v>
      </c>
      <c r="H639" s="90">
        <v>4.535E-4</v>
      </c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</row>
    <row r="640">
      <c r="A640" s="79" t="s">
        <v>17097</v>
      </c>
      <c r="B640" s="45"/>
      <c r="C640" s="79" t="s">
        <v>17098</v>
      </c>
      <c r="D640" s="45"/>
      <c r="E640" s="79" t="s">
        <v>5478</v>
      </c>
      <c r="F640" s="79" t="s">
        <v>5300</v>
      </c>
      <c r="G640" s="80" t="s">
        <v>96</v>
      </c>
      <c r="H640" s="90">
        <v>4.526E-4</v>
      </c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</row>
    <row r="641">
      <c r="A641" s="79" t="s">
        <v>17099</v>
      </c>
      <c r="B641" s="45"/>
      <c r="C641" s="79" t="s">
        <v>17100</v>
      </c>
      <c r="D641" s="45"/>
      <c r="E641" s="79" t="s">
        <v>7471</v>
      </c>
      <c r="F641" s="79" t="s">
        <v>5300</v>
      </c>
      <c r="G641" s="80" t="s">
        <v>96</v>
      </c>
      <c r="H641" s="90">
        <v>4.525E-4</v>
      </c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</row>
    <row r="642">
      <c r="A642" s="79" t="s">
        <v>17101</v>
      </c>
      <c r="B642" s="45"/>
      <c r="C642" s="79" t="s">
        <v>17102</v>
      </c>
      <c r="D642" s="45"/>
      <c r="E642" s="79" t="s">
        <v>5264</v>
      </c>
      <c r="F642" s="79" t="s">
        <v>5747</v>
      </c>
      <c r="G642" s="80" t="s">
        <v>96</v>
      </c>
      <c r="H642" s="90">
        <v>4.517E-4</v>
      </c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</row>
    <row r="643">
      <c r="A643" s="79" t="s">
        <v>17103</v>
      </c>
      <c r="B643" s="45"/>
      <c r="C643" s="79" t="s">
        <v>17104</v>
      </c>
      <c r="D643" s="45"/>
      <c r="E643" s="79" t="s">
        <v>5775</v>
      </c>
      <c r="F643" s="79" t="s">
        <v>5300</v>
      </c>
      <c r="G643" s="80" t="s">
        <v>96</v>
      </c>
      <c r="H643" s="90">
        <v>4.506E-4</v>
      </c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</row>
    <row r="644">
      <c r="A644" s="79" t="s">
        <v>17105</v>
      </c>
      <c r="B644" s="45"/>
      <c r="C644" s="79" t="s">
        <v>17106</v>
      </c>
      <c r="D644" s="45"/>
      <c r="E644" s="79" t="s">
        <v>5316</v>
      </c>
      <c r="F644" s="79" t="s">
        <v>5300</v>
      </c>
      <c r="G644" s="80" t="s">
        <v>96</v>
      </c>
      <c r="H644" s="90">
        <v>4.505E-4</v>
      </c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</row>
    <row r="645">
      <c r="A645" s="79" t="s">
        <v>17107</v>
      </c>
      <c r="B645" s="45"/>
      <c r="C645" s="79" t="s">
        <v>17108</v>
      </c>
      <c r="D645" s="45"/>
      <c r="E645" s="79" t="s">
        <v>7248</v>
      </c>
      <c r="F645" s="79" t="s">
        <v>5300</v>
      </c>
      <c r="G645" s="80" t="s">
        <v>96</v>
      </c>
      <c r="H645" s="90">
        <v>4.502E-4</v>
      </c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</row>
    <row r="646">
      <c r="A646" s="79" t="s">
        <v>17109</v>
      </c>
      <c r="B646" s="45"/>
      <c r="C646" s="79" t="s">
        <v>17110</v>
      </c>
      <c r="D646" s="45"/>
      <c r="E646" s="79" t="s">
        <v>7248</v>
      </c>
      <c r="F646" s="79" t="s">
        <v>6988</v>
      </c>
      <c r="G646" s="80" t="s">
        <v>96</v>
      </c>
      <c r="H646" s="90">
        <v>4.5E-4</v>
      </c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</row>
    <row r="647">
      <c r="A647" s="79" t="s">
        <v>9414</v>
      </c>
      <c r="B647" s="45"/>
      <c r="C647" s="79" t="s">
        <v>17111</v>
      </c>
      <c r="D647" s="45"/>
      <c r="E647" s="79" t="s">
        <v>8154</v>
      </c>
      <c r="F647" s="79" t="s">
        <v>5300</v>
      </c>
      <c r="G647" s="80" t="s">
        <v>96</v>
      </c>
      <c r="H647" s="90">
        <v>4.495E-4</v>
      </c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</row>
    <row r="648">
      <c r="A648" s="79" t="s">
        <v>17112</v>
      </c>
      <c r="B648" s="45"/>
      <c r="C648" s="79" t="s">
        <v>17113</v>
      </c>
      <c r="D648" s="45"/>
      <c r="E648" s="79" t="s">
        <v>5377</v>
      </c>
      <c r="F648" s="79" t="s">
        <v>6988</v>
      </c>
      <c r="G648" s="80" t="s">
        <v>96</v>
      </c>
      <c r="H648" s="90">
        <v>4.494E-4</v>
      </c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</row>
    <row r="649">
      <c r="A649" s="79" t="s">
        <v>10677</v>
      </c>
      <c r="B649" s="45"/>
      <c r="C649" s="79" t="s">
        <v>10678</v>
      </c>
      <c r="D649" s="45"/>
      <c r="E649" s="79" t="s">
        <v>8154</v>
      </c>
      <c r="F649" s="79" t="s">
        <v>8784</v>
      </c>
      <c r="G649" s="80" t="s">
        <v>96</v>
      </c>
      <c r="H649" s="90">
        <v>4.488E-4</v>
      </c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</row>
    <row r="650">
      <c r="A650" s="79" t="s">
        <v>17114</v>
      </c>
      <c r="B650" s="45"/>
      <c r="C650" s="79" t="s">
        <v>17115</v>
      </c>
      <c r="D650" s="45"/>
      <c r="E650" s="79" t="s">
        <v>6191</v>
      </c>
      <c r="F650" s="79" t="s">
        <v>4357</v>
      </c>
      <c r="G650" s="80" t="s">
        <v>96</v>
      </c>
      <c r="H650" s="90">
        <v>4.484E-4</v>
      </c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</row>
    <row r="651">
      <c r="A651" s="79" t="s">
        <v>17116</v>
      </c>
      <c r="B651" s="45"/>
      <c r="C651" s="79" t="s">
        <v>17117</v>
      </c>
      <c r="D651" s="45"/>
      <c r="E651" s="79" t="s">
        <v>5229</v>
      </c>
      <c r="F651" s="79" t="s">
        <v>5300</v>
      </c>
      <c r="G651" s="80" t="s">
        <v>96</v>
      </c>
      <c r="H651" s="90">
        <v>4.477E-4</v>
      </c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</row>
    <row r="652">
      <c r="A652" s="79" t="s">
        <v>17118</v>
      </c>
      <c r="B652" s="45"/>
      <c r="C652" s="79" t="s">
        <v>17119</v>
      </c>
      <c r="D652" s="45"/>
      <c r="E652" s="79" t="s">
        <v>5283</v>
      </c>
      <c r="F652" s="79" t="s">
        <v>5300</v>
      </c>
      <c r="G652" s="80" t="s">
        <v>96</v>
      </c>
      <c r="H652" s="90">
        <v>4.471E-4</v>
      </c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</row>
    <row r="653">
      <c r="A653" s="79" t="s">
        <v>10661</v>
      </c>
      <c r="B653" s="45"/>
      <c r="C653" s="79" t="s">
        <v>10662</v>
      </c>
      <c r="D653" s="45"/>
      <c r="E653" s="79" t="s">
        <v>7236</v>
      </c>
      <c r="F653" s="79" t="s">
        <v>8784</v>
      </c>
      <c r="G653" s="80" t="s">
        <v>96</v>
      </c>
      <c r="H653" s="90">
        <v>4.47E-4</v>
      </c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</row>
    <row r="654">
      <c r="A654" s="79" t="s">
        <v>17120</v>
      </c>
      <c r="B654" s="45"/>
      <c r="C654" s="79" t="s">
        <v>17121</v>
      </c>
      <c r="D654" s="45"/>
      <c r="E654" s="79" t="s">
        <v>5775</v>
      </c>
      <c r="F654" s="79" t="s">
        <v>5300</v>
      </c>
      <c r="G654" s="80" t="s">
        <v>96</v>
      </c>
      <c r="H654" s="90">
        <v>4.468E-4</v>
      </c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</row>
    <row r="655">
      <c r="A655" s="79" t="s">
        <v>17122</v>
      </c>
      <c r="B655" s="45"/>
      <c r="C655" s="79" t="s">
        <v>17123</v>
      </c>
      <c r="D655" s="45"/>
      <c r="E655" s="79" t="s">
        <v>5478</v>
      </c>
      <c r="F655" s="79" t="s">
        <v>5300</v>
      </c>
      <c r="G655" s="80" t="s">
        <v>96</v>
      </c>
      <c r="H655" s="90">
        <v>4.468E-4</v>
      </c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</row>
    <row r="656">
      <c r="A656" s="79" t="s">
        <v>17124</v>
      </c>
      <c r="B656" s="45"/>
      <c r="C656" s="79" t="s">
        <v>17125</v>
      </c>
      <c r="D656" s="45"/>
      <c r="E656" s="79" t="s">
        <v>5478</v>
      </c>
      <c r="F656" s="79" t="s">
        <v>5300</v>
      </c>
      <c r="G656" s="80" t="s">
        <v>96</v>
      </c>
      <c r="H656" s="90">
        <v>4.467E-4</v>
      </c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</row>
    <row r="657">
      <c r="A657" s="79" t="s">
        <v>17126</v>
      </c>
      <c r="B657" s="45"/>
      <c r="C657" s="79" t="s">
        <v>17127</v>
      </c>
      <c r="D657" s="45"/>
      <c r="E657" s="79" t="s">
        <v>5238</v>
      </c>
      <c r="F657" s="79" t="s">
        <v>5300</v>
      </c>
      <c r="G657" s="80" t="s">
        <v>96</v>
      </c>
      <c r="H657" s="90">
        <v>4.466E-4</v>
      </c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</row>
    <row r="658">
      <c r="A658" s="79" t="s">
        <v>17128</v>
      </c>
      <c r="B658" s="45"/>
      <c r="C658" s="79" t="s">
        <v>17129</v>
      </c>
      <c r="D658" s="45"/>
      <c r="E658" s="79" t="s">
        <v>5478</v>
      </c>
      <c r="F658" s="79" t="s">
        <v>5300</v>
      </c>
      <c r="G658" s="80" t="s">
        <v>96</v>
      </c>
      <c r="H658" s="90">
        <v>4.455E-4</v>
      </c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</row>
    <row r="659">
      <c r="A659" s="79" t="s">
        <v>17130</v>
      </c>
      <c r="B659" s="45"/>
      <c r="C659" s="79" t="s">
        <v>17131</v>
      </c>
      <c r="D659" s="45"/>
      <c r="E659" s="79" t="s">
        <v>5374</v>
      </c>
      <c r="F659" s="79" t="s">
        <v>5747</v>
      </c>
      <c r="G659" s="80" t="s">
        <v>96</v>
      </c>
      <c r="H659" s="90">
        <v>4.452E-4</v>
      </c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</row>
    <row r="660">
      <c r="A660" s="79" t="s">
        <v>17132</v>
      </c>
      <c r="B660" s="45"/>
      <c r="C660" s="79" t="s">
        <v>17133</v>
      </c>
      <c r="D660" s="45"/>
      <c r="E660" s="79" t="s">
        <v>5450</v>
      </c>
      <c r="F660" s="79" t="s">
        <v>5836</v>
      </c>
      <c r="G660" s="80" t="s">
        <v>96</v>
      </c>
      <c r="H660" s="90">
        <v>4.452E-4</v>
      </c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</row>
    <row r="661">
      <c r="A661" s="79" t="s">
        <v>10245</v>
      </c>
      <c r="B661" s="45"/>
      <c r="C661" s="79" t="s">
        <v>10246</v>
      </c>
      <c r="D661" s="45"/>
      <c r="E661" s="79" t="s">
        <v>5390</v>
      </c>
      <c r="F661" s="79" t="s">
        <v>8784</v>
      </c>
      <c r="G661" s="80" t="s">
        <v>96</v>
      </c>
      <c r="H661" s="90">
        <v>4.434E-4</v>
      </c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</row>
    <row r="662">
      <c r="A662" s="79" t="s">
        <v>10318</v>
      </c>
      <c r="B662" s="45"/>
      <c r="C662" s="79" t="s">
        <v>10319</v>
      </c>
      <c r="D662" s="45"/>
      <c r="E662" s="79" t="s">
        <v>5501</v>
      </c>
      <c r="F662" s="79" t="s">
        <v>8784</v>
      </c>
      <c r="G662" s="80" t="s">
        <v>96</v>
      </c>
      <c r="H662" s="90">
        <v>4.432E-4</v>
      </c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</row>
    <row r="663">
      <c r="A663" s="79" t="s">
        <v>4654</v>
      </c>
      <c r="B663" s="45"/>
      <c r="C663" s="79" t="s">
        <v>10600</v>
      </c>
      <c r="D663" s="45"/>
      <c r="E663" s="79" t="s">
        <v>5309</v>
      </c>
      <c r="F663" s="79" t="s">
        <v>5300</v>
      </c>
      <c r="G663" s="80" t="s">
        <v>96</v>
      </c>
      <c r="H663" s="90">
        <v>4.427E-4</v>
      </c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</row>
    <row r="664">
      <c r="A664" s="79" t="s">
        <v>17134</v>
      </c>
      <c r="B664" s="45"/>
      <c r="C664" s="79" t="s">
        <v>17135</v>
      </c>
      <c r="D664" s="45"/>
      <c r="E664" s="79" t="s">
        <v>5450</v>
      </c>
      <c r="F664" s="79" t="s">
        <v>5300</v>
      </c>
      <c r="G664" s="80" t="s">
        <v>96</v>
      </c>
      <c r="H664" s="90">
        <v>4.426E-4</v>
      </c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</row>
    <row r="665">
      <c r="A665" s="79" t="s">
        <v>17136</v>
      </c>
      <c r="B665" s="45"/>
      <c r="C665" s="79" t="s">
        <v>17137</v>
      </c>
      <c r="D665" s="45"/>
      <c r="E665" s="79" t="s">
        <v>5609</v>
      </c>
      <c r="F665" s="79" t="s">
        <v>5300</v>
      </c>
      <c r="G665" s="80" t="s">
        <v>96</v>
      </c>
      <c r="H665" s="90">
        <v>4.423E-4</v>
      </c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</row>
    <row r="666">
      <c r="A666" s="79" t="s">
        <v>17138</v>
      </c>
      <c r="B666" s="45"/>
      <c r="C666" s="79" t="s">
        <v>17139</v>
      </c>
      <c r="D666" s="45"/>
      <c r="E666" s="79" t="s">
        <v>6389</v>
      </c>
      <c r="F666" s="79" t="s">
        <v>5300</v>
      </c>
      <c r="G666" s="80" t="s">
        <v>96</v>
      </c>
      <c r="H666" s="90">
        <v>4.419E-4</v>
      </c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</row>
    <row r="667">
      <c r="A667" s="79" t="s">
        <v>17140</v>
      </c>
      <c r="B667" s="45"/>
      <c r="C667" s="79" t="s">
        <v>17141</v>
      </c>
      <c r="D667" s="45"/>
      <c r="E667" s="79" t="s">
        <v>5775</v>
      </c>
      <c r="F667" s="79" t="s">
        <v>5300</v>
      </c>
      <c r="G667" s="80" t="s">
        <v>96</v>
      </c>
      <c r="H667" s="90">
        <v>4.415E-4</v>
      </c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</row>
    <row r="668">
      <c r="A668" s="79" t="s">
        <v>17142</v>
      </c>
      <c r="B668" s="45"/>
      <c r="C668" s="79" t="s">
        <v>17143</v>
      </c>
      <c r="D668" s="45"/>
      <c r="E668" s="79" t="s">
        <v>5478</v>
      </c>
      <c r="F668" s="79" t="s">
        <v>5300</v>
      </c>
      <c r="G668" s="80" t="s">
        <v>96</v>
      </c>
      <c r="H668" s="90">
        <v>4.413E-4</v>
      </c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</row>
    <row r="669">
      <c r="A669" s="79" t="s">
        <v>17144</v>
      </c>
      <c r="B669" s="45"/>
      <c r="C669" s="79" t="s">
        <v>17145</v>
      </c>
      <c r="D669" s="45"/>
      <c r="E669" s="79" t="s">
        <v>5691</v>
      </c>
      <c r="F669" s="79" t="s">
        <v>5300</v>
      </c>
      <c r="G669" s="80" t="s">
        <v>96</v>
      </c>
      <c r="H669" s="90">
        <v>4.409E-4</v>
      </c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</row>
    <row r="670">
      <c r="A670" s="79" t="s">
        <v>10612</v>
      </c>
      <c r="B670" s="45"/>
      <c r="C670" s="79" t="s">
        <v>10613</v>
      </c>
      <c r="D670" s="45"/>
      <c r="E670" s="79" t="s">
        <v>6012</v>
      </c>
      <c r="F670" s="79" t="s">
        <v>4095</v>
      </c>
      <c r="G670" s="80" t="s">
        <v>96</v>
      </c>
      <c r="H670" s="90">
        <v>4.403E-4</v>
      </c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</row>
    <row r="671">
      <c r="A671" s="79" t="s">
        <v>17146</v>
      </c>
      <c r="B671" s="45"/>
      <c r="C671" s="79" t="s">
        <v>17147</v>
      </c>
      <c r="D671" s="45"/>
      <c r="E671" s="79" t="s">
        <v>6630</v>
      </c>
      <c r="F671" s="79" t="s">
        <v>5300</v>
      </c>
      <c r="G671" s="80" t="s">
        <v>96</v>
      </c>
      <c r="H671" s="90">
        <v>4.4E-4</v>
      </c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</row>
    <row r="672">
      <c r="A672" s="79" t="s">
        <v>17148</v>
      </c>
      <c r="B672" s="45"/>
      <c r="C672" s="79" t="s">
        <v>17149</v>
      </c>
      <c r="D672" s="45"/>
      <c r="E672" s="79" t="s">
        <v>5650</v>
      </c>
      <c r="F672" s="79" t="s">
        <v>5927</v>
      </c>
      <c r="G672" s="80" t="s">
        <v>96</v>
      </c>
      <c r="H672" s="90">
        <v>4.393E-4</v>
      </c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</row>
    <row r="673">
      <c r="A673" s="79" t="s">
        <v>17150</v>
      </c>
      <c r="B673" s="45"/>
      <c r="C673" s="79" t="s">
        <v>17151</v>
      </c>
      <c r="D673" s="45"/>
      <c r="E673" s="79" t="s">
        <v>5249</v>
      </c>
      <c r="F673" s="79" t="s">
        <v>5300</v>
      </c>
      <c r="G673" s="80" t="s">
        <v>96</v>
      </c>
      <c r="H673" s="90">
        <v>4.392E-4</v>
      </c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</row>
    <row r="674">
      <c r="A674" s="79" t="s">
        <v>17152</v>
      </c>
      <c r="B674" s="45"/>
      <c r="C674" s="79" t="s">
        <v>17153</v>
      </c>
      <c r="D674" s="45"/>
      <c r="E674" s="79" t="s">
        <v>6759</v>
      </c>
      <c r="F674" s="79" t="s">
        <v>5300</v>
      </c>
      <c r="G674" s="80" t="s">
        <v>96</v>
      </c>
      <c r="H674" s="90">
        <v>4.39E-4</v>
      </c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</row>
    <row r="675">
      <c r="A675" s="79" t="s">
        <v>17154</v>
      </c>
      <c r="B675" s="45"/>
      <c r="C675" s="79" t="s">
        <v>17155</v>
      </c>
      <c r="D675" s="45"/>
      <c r="E675" s="79" t="s">
        <v>5341</v>
      </c>
      <c r="F675" s="79" t="s">
        <v>5300</v>
      </c>
      <c r="G675" s="80" t="s">
        <v>96</v>
      </c>
      <c r="H675" s="90">
        <v>4.385E-4</v>
      </c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</row>
    <row r="676">
      <c r="A676" s="79" t="s">
        <v>17156</v>
      </c>
      <c r="B676" s="45"/>
      <c r="C676" s="79" t="s">
        <v>17157</v>
      </c>
      <c r="D676" s="45"/>
      <c r="E676" s="79" t="s">
        <v>6157</v>
      </c>
      <c r="F676" s="79" t="s">
        <v>5300</v>
      </c>
      <c r="G676" s="80" t="s">
        <v>96</v>
      </c>
      <c r="H676" s="90">
        <v>4.384E-4</v>
      </c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</row>
    <row r="677">
      <c r="A677" s="79" t="s">
        <v>17158</v>
      </c>
      <c r="B677" s="45"/>
      <c r="C677" s="79" t="s">
        <v>17159</v>
      </c>
      <c r="D677" s="45"/>
      <c r="E677" s="79" t="s">
        <v>8110</v>
      </c>
      <c r="F677" s="79" t="s">
        <v>5300</v>
      </c>
      <c r="G677" s="80" t="s">
        <v>96</v>
      </c>
      <c r="H677" s="90">
        <v>4.383E-4</v>
      </c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</row>
    <row r="678">
      <c r="A678" s="79" t="s">
        <v>10469</v>
      </c>
      <c r="B678" s="45"/>
      <c r="C678" s="79" t="s">
        <v>10470</v>
      </c>
      <c r="D678" s="45"/>
      <c r="E678" s="79" t="s">
        <v>5232</v>
      </c>
      <c r="F678" s="79" t="s">
        <v>8784</v>
      </c>
      <c r="G678" s="80" t="s">
        <v>96</v>
      </c>
      <c r="H678" s="90">
        <v>4.365E-4</v>
      </c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</row>
    <row r="679">
      <c r="A679" s="79" t="s">
        <v>10637</v>
      </c>
      <c r="B679" s="45"/>
      <c r="C679" s="79" t="s">
        <v>10638</v>
      </c>
      <c r="D679" s="45"/>
      <c r="E679" s="79" t="s">
        <v>5249</v>
      </c>
      <c r="F679" s="79" t="s">
        <v>8784</v>
      </c>
      <c r="G679" s="80" t="s">
        <v>96</v>
      </c>
      <c r="H679" s="90">
        <v>4.364E-4</v>
      </c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</row>
    <row r="680">
      <c r="A680" s="79" t="s">
        <v>17160</v>
      </c>
      <c r="B680" s="45"/>
      <c r="C680" s="79" t="s">
        <v>17161</v>
      </c>
      <c r="D680" s="45"/>
      <c r="E680" s="79" t="s">
        <v>5276</v>
      </c>
      <c r="F680" s="79" t="s">
        <v>5300</v>
      </c>
      <c r="G680" s="80" t="s">
        <v>96</v>
      </c>
      <c r="H680" s="90">
        <v>4.363E-4</v>
      </c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</row>
    <row r="681">
      <c r="A681" s="79" t="s">
        <v>17162</v>
      </c>
      <c r="B681" s="45"/>
      <c r="C681" s="79" t="s">
        <v>17163</v>
      </c>
      <c r="D681" s="45"/>
      <c r="E681" s="79" t="s">
        <v>6040</v>
      </c>
      <c r="F681" s="79" t="s">
        <v>5300</v>
      </c>
      <c r="G681" s="80" t="s">
        <v>96</v>
      </c>
      <c r="H681" s="90">
        <v>4.357E-4</v>
      </c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</row>
    <row r="682">
      <c r="A682" s="79" t="s">
        <v>17164</v>
      </c>
      <c r="B682" s="45"/>
      <c r="C682" s="79" t="s">
        <v>17165</v>
      </c>
      <c r="D682" s="45"/>
      <c r="E682" s="79" t="s">
        <v>5215</v>
      </c>
      <c r="F682" s="79" t="s">
        <v>5300</v>
      </c>
      <c r="G682" s="80" t="s">
        <v>96</v>
      </c>
      <c r="H682" s="90">
        <v>4.35E-4</v>
      </c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</row>
    <row r="683">
      <c r="A683" s="79" t="s">
        <v>17166</v>
      </c>
      <c r="B683" s="45"/>
      <c r="C683" s="79" t="s">
        <v>17167</v>
      </c>
      <c r="D683" s="45"/>
      <c r="E683" s="79" t="s">
        <v>8110</v>
      </c>
      <c r="F683" s="79" t="s">
        <v>5300</v>
      </c>
      <c r="G683" s="80" t="s">
        <v>96</v>
      </c>
      <c r="H683" s="90">
        <v>4.34E-4</v>
      </c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</row>
    <row r="684">
      <c r="A684" s="79" t="s">
        <v>17168</v>
      </c>
      <c r="B684" s="45"/>
      <c r="C684" s="79" t="s">
        <v>17169</v>
      </c>
      <c r="D684" s="45"/>
      <c r="E684" s="79" t="s">
        <v>5456</v>
      </c>
      <c r="F684" s="79" t="s">
        <v>8784</v>
      </c>
      <c r="G684" s="80" t="s">
        <v>96</v>
      </c>
      <c r="H684" s="90">
        <v>4.326E-4</v>
      </c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</row>
    <row r="685">
      <c r="A685" s="79" t="s">
        <v>17170</v>
      </c>
      <c r="B685" s="45"/>
      <c r="C685" s="79" t="s">
        <v>17171</v>
      </c>
      <c r="D685" s="45"/>
      <c r="E685" s="79" t="s">
        <v>8648</v>
      </c>
      <c r="F685" s="79" t="s">
        <v>8767</v>
      </c>
      <c r="G685" s="80" t="s">
        <v>96</v>
      </c>
      <c r="H685" s="90">
        <v>4.324E-4</v>
      </c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</row>
    <row r="686">
      <c r="A686" s="79" t="s">
        <v>5565</v>
      </c>
      <c r="B686" s="45"/>
      <c r="C686" s="79" t="s">
        <v>17172</v>
      </c>
      <c r="D686" s="45"/>
      <c r="E686" s="79" t="s">
        <v>6012</v>
      </c>
      <c r="F686" s="79" t="s">
        <v>5300</v>
      </c>
      <c r="G686" s="80" t="s">
        <v>96</v>
      </c>
      <c r="H686" s="90">
        <v>4.319E-4</v>
      </c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</row>
    <row r="687">
      <c r="A687" s="79" t="s">
        <v>17173</v>
      </c>
      <c r="B687" s="45"/>
      <c r="C687" s="79" t="s">
        <v>17174</v>
      </c>
      <c r="D687" s="45"/>
      <c r="E687" s="79" t="s">
        <v>5276</v>
      </c>
      <c r="F687" s="79" t="s">
        <v>5300</v>
      </c>
      <c r="G687" s="80" t="s">
        <v>96</v>
      </c>
      <c r="H687" s="90">
        <v>4.318E-4</v>
      </c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</row>
    <row r="688">
      <c r="A688" s="79" t="s">
        <v>17175</v>
      </c>
      <c r="B688" s="45"/>
      <c r="C688" s="79" t="s">
        <v>17176</v>
      </c>
      <c r="D688" s="45"/>
      <c r="E688" s="79" t="s">
        <v>5650</v>
      </c>
      <c r="F688" s="79" t="s">
        <v>5300</v>
      </c>
      <c r="G688" s="80" t="s">
        <v>96</v>
      </c>
      <c r="H688" s="90">
        <v>4.309E-4</v>
      </c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</row>
    <row r="689">
      <c r="A689" s="79" t="s">
        <v>10443</v>
      </c>
      <c r="B689" s="45"/>
      <c r="C689" s="79" t="s">
        <v>10444</v>
      </c>
      <c r="D689" s="45"/>
      <c r="E689" s="79" t="s">
        <v>5434</v>
      </c>
      <c r="F689" s="79" t="s">
        <v>5268</v>
      </c>
      <c r="G689" s="80" t="s">
        <v>96</v>
      </c>
      <c r="H689" s="90">
        <v>4.309E-4</v>
      </c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</row>
    <row r="690">
      <c r="A690" s="79" t="s">
        <v>17177</v>
      </c>
      <c r="B690" s="45"/>
      <c r="C690" s="79" t="s">
        <v>17178</v>
      </c>
      <c r="D690" s="45"/>
      <c r="E690" s="79" t="s">
        <v>6191</v>
      </c>
      <c r="F690" s="79" t="s">
        <v>5425</v>
      </c>
      <c r="G690" s="80" t="s">
        <v>96</v>
      </c>
      <c r="H690" s="90">
        <v>4.303E-4</v>
      </c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</row>
    <row r="691">
      <c r="A691" s="79" t="s">
        <v>17179</v>
      </c>
      <c r="B691" s="45"/>
      <c r="C691" s="79" t="s">
        <v>17180</v>
      </c>
      <c r="D691" s="45"/>
      <c r="E691" s="79" t="s">
        <v>9553</v>
      </c>
      <c r="F691" s="79" t="s">
        <v>5300</v>
      </c>
      <c r="G691" s="80" t="s">
        <v>96</v>
      </c>
      <c r="H691" s="90">
        <v>4.297E-4</v>
      </c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</row>
    <row r="692">
      <c r="A692" s="79" t="s">
        <v>17181</v>
      </c>
      <c r="B692" s="45"/>
      <c r="C692" s="79" t="s">
        <v>17182</v>
      </c>
      <c r="D692" s="45"/>
      <c r="E692" s="79" t="s">
        <v>5742</v>
      </c>
      <c r="F692" s="79" t="s">
        <v>5300</v>
      </c>
      <c r="G692" s="80" t="s">
        <v>96</v>
      </c>
      <c r="H692" s="90">
        <v>4.29E-4</v>
      </c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</row>
    <row r="693">
      <c r="A693" s="79" t="s">
        <v>17183</v>
      </c>
      <c r="B693" s="45"/>
      <c r="C693" s="79" t="s">
        <v>17184</v>
      </c>
      <c r="D693" s="45"/>
      <c r="E693" s="79" t="s">
        <v>5283</v>
      </c>
      <c r="F693" s="79" t="s">
        <v>5300</v>
      </c>
      <c r="G693" s="80" t="s">
        <v>96</v>
      </c>
      <c r="H693" s="90">
        <v>4.29E-4</v>
      </c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</row>
    <row r="694">
      <c r="A694" s="79" t="s">
        <v>5614</v>
      </c>
      <c r="B694" s="45"/>
      <c r="C694" s="79" t="s">
        <v>5615</v>
      </c>
      <c r="D694" s="45"/>
      <c r="E694" s="79" t="s">
        <v>5267</v>
      </c>
      <c r="F694" s="79" t="s">
        <v>5277</v>
      </c>
      <c r="G694" s="80" t="s">
        <v>96</v>
      </c>
      <c r="H694" s="90">
        <v>4.29E-4</v>
      </c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</row>
    <row r="695">
      <c r="A695" s="79" t="s">
        <v>17185</v>
      </c>
      <c r="B695" s="45"/>
      <c r="C695" s="79" t="s">
        <v>17186</v>
      </c>
      <c r="D695" s="45"/>
      <c r="E695" s="79" t="s">
        <v>5456</v>
      </c>
      <c r="F695" s="79" t="s">
        <v>5300</v>
      </c>
      <c r="G695" s="80" t="s">
        <v>96</v>
      </c>
      <c r="H695" s="90">
        <v>4.267E-4</v>
      </c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</row>
    <row r="696">
      <c r="A696" s="79" t="s">
        <v>17187</v>
      </c>
      <c r="B696" s="45"/>
      <c r="C696" s="79" t="s">
        <v>17188</v>
      </c>
      <c r="D696" s="45"/>
      <c r="E696" s="79" t="s">
        <v>5276</v>
      </c>
      <c r="F696" s="79" t="s">
        <v>5300</v>
      </c>
      <c r="G696" s="80" t="s">
        <v>96</v>
      </c>
      <c r="H696" s="90">
        <v>4.266E-4</v>
      </c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</row>
    <row r="697">
      <c r="A697" s="79" t="s">
        <v>17189</v>
      </c>
      <c r="B697" s="45"/>
      <c r="C697" s="79" t="s">
        <v>17190</v>
      </c>
      <c r="D697" s="45"/>
      <c r="E697" s="79" t="s">
        <v>5589</v>
      </c>
      <c r="F697" s="79" t="s">
        <v>17191</v>
      </c>
      <c r="G697" s="80" t="s">
        <v>96</v>
      </c>
      <c r="H697" s="90">
        <v>4.262E-4</v>
      </c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</row>
    <row r="698">
      <c r="A698" s="79" t="s">
        <v>17192</v>
      </c>
      <c r="B698" s="45"/>
      <c r="C698" s="79" t="s">
        <v>17193</v>
      </c>
      <c r="D698" s="45"/>
      <c r="E698" s="79" t="s">
        <v>5229</v>
      </c>
      <c r="F698" s="79" t="s">
        <v>5300</v>
      </c>
      <c r="G698" s="80" t="s">
        <v>96</v>
      </c>
      <c r="H698" s="90">
        <v>4.26E-4</v>
      </c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</row>
    <row r="699">
      <c r="A699" s="79" t="s">
        <v>17194</v>
      </c>
      <c r="B699" s="45"/>
      <c r="C699" s="79" t="s">
        <v>17195</v>
      </c>
      <c r="D699" s="45"/>
      <c r="E699" s="79" t="s">
        <v>5525</v>
      </c>
      <c r="F699" s="79" t="s">
        <v>5300</v>
      </c>
      <c r="G699" s="80" t="s">
        <v>96</v>
      </c>
      <c r="H699" s="90">
        <v>4.258E-4</v>
      </c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</row>
    <row r="700">
      <c r="A700" s="79" t="s">
        <v>17196</v>
      </c>
      <c r="B700" s="45"/>
      <c r="C700" s="79" t="s">
        <v>17197</v>
      </c>
      <c r="D700" s="45"/>
      <c r="E700" s="79" t="s">
        <v>5311</v>
      </c>
      <c r="F700" s="79" t="s">
        <v>5836</v>
      </c>
      <c r="G700" s="80" t="s">
        <v>96</v>
      </c>
      <c r="H700" s="90">
        <v>4.254E-4</v>
      </c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</row>
    <row r="701">
      <c r="A701" s="79" t="s">
        <v>17198</v>
      </c>
      <c r="B701" s="45"/>
      <c r="C701" s="79" t="s">
        <v>17199</v>
      </c>
      <c r="D701" s="45"/>
      <c r="E701" s="79" t="s">
        <v>9039</v>
      </c>
      <c r="F701" s="79" t="s">
        <v>5300</v>
      </c>
      <c r="G701" s="80" t="s">
        <v>96</v>
      </c>
      <c r="H701" s="90">
        <v>4.254E-4</v>
      </c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</row>
    <row r="702">
      <c r="A702" s="79" t="s">
        <v>17200</v>
      </c>
      <c r="B702" s="45"/>
      <c r="C702" s="79" t="s">
        <v>17201</v>
      </c>
      <c r="D702" s="45"/>
      <c r="E702" s="79" t="s">
        <v>6191</v>
      </c>
      <c r="F702" s="79" t="s">
        <v>8784</v>
      </c>
      <c r="G702" s="80" t="s">
        <v>96</v>
      </c>
      <c r="H702" s="90">
        <v>4.251E-4</v>
      </c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</row>
    <row r="703">
      <c r="A703" s="79" t="s">
        <v>17202</v>
      </c>
      <c r="B703" s="45"/>
      <c r="C703" s="79" t="s">
        <v>17203</v>
      </c>
      <c r="D703" s="45"/>
      <c r="E703" s="79" t="s">
        <v>5404</v>
      </c>
      <c r="F703" s="79" t="s">
        <v>5268</v>
      </c>
      <c r="G703" s="80" t="s">
        <v>96</v>
      </c>
      <c r="H703" s="90">
        <v>4.251E-4</v>
      </c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</row>
    <row r="704">
      <c r="A704" s="79" t="s">
        <v>10473</v>
      </c>
      <c r="B704" s="45"/>
      <c r="C704" s="79" t="s">
        <v>10474</v>
      </c>
      <c r="D704" s="45"/>
      <c r="E704" s="79" t="s">
        <v>5366</v>
      </c>
      <c r="F704" s="79" t="s">
        <v>4095</v>
      </c>
      <c r="G704" s="80" t="s">
        <v>96</v>
      </c>
      <c r="H704" s="90">
        <v>4.243E-4</v>
      </c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</row>
    <row r="705">
      <c r="A705" s="79" t="s">
        <v>17204</v>
      </c>
      <c r="B705" s="45"/>
      <c r="C705" s="79" t="s">
        <v>17205</v>
      </c>
      <c r="D705" s="45"/>
      <c r="E705" s="79" t="s">
        <v>5283</v>
      </c>
      <c r="F705" s="79" t="s">
        <v>5300</v>
      </c>
      <c r="G705" s="80" t="s">
        <v>96</v>
      </c>
      <c r="H705" s="90">
        <v>4.221E-4</v>
      </c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</row>
    <row r="706">
      <c r="A706" s="79" t="s">
        <v>17206</v>
      </c>
      <c r="B706" s="45"/>
      <c r="C706" s="79" t="s">
        <v>17207</v>
      </c>
      <c r="D706" s="45"/>
      <c r="E706" s="79" t="s">
        <v>5516</v>
      </c>
      <c r="F706" s="79" t="s">
        <v>5300</v>
      </c>
      <c r="G706" s="80" t="s">
        <v>96</v>
      </c>
      <c r="H706" s="90">
        <v>4.21E-4</v>
      </c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</row>
    <row r="707">
      <c r="A707" s="79" t="s">
        <v>17208</v>
      </c>
      <c r="B707" s="45"/>
      <c r="C707" s="79" t="s">
        <v>17209</v>
      </c>
      <c r="D707" s="45"/>
      <c r="E707" s="79" t="s">
        <v>5374</v>
      </c>
      <c r="F707" s="79" t="s">
        <v>5300</v>
      </c>
      <c r="G707" s="80" t="s">
        <v>96</v>
      </c>
      <c r="H707" s="90">
        <v>4.21E-4</v>
      </c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</row>
    <row r="708">
      <c r="A708" s="79" t="s">
        <v>17210</v>
      </c>
      <c r="B708" s="45"/>
      <c r="C708" s="79" t="s">
        <v>17211</v>
      </c>
      <c r="D708" s="45"/>
      <c r="E708" s="79" t="s">
        <v>7846</v>
      </c>
      <c r="F708" s="79" t="s">
        <v>5300</v>
      </c>
      <c r="G708" s="80" t="s">
        <v>96</v>
      </c>
      <c r="H708" s="90">
        <v>4.209E-4</v>
      </c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</row>
    <row r="709">
      <c r="A709" s="79" t="s">
        <v>17212</v>
      </c>
      <c r="B709" s="45"/>
      <c r="C709" s="79" t="s">
        <v>17213</v>
      </c>
      <c r="D709" s="45"/>
      <c r="E709" s="79" t="s">
        <v>5453</v>
      </c>
      <c r="F709" s="79" t="s">
        <v>5300</v>
      </c>
      <c r="G709" s="80" t="s">
        <v>96</v>
      </c>
      <c r="H709" s="90">
        <v>4.203E-4</v>
      </c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</row>
    <row r="710">
      <c r="A710" s="79" t="s">
        <v>17214</v>
      </c>
      <c r="B710" s="45"/>
      <c r="C710" s="79" t="s">
        <v>17215</v>
      </c>
      <c r="D710" s="45"/>
      <c r="E710" s="79" t="s">
        <v>9189</v>
      </c>
      <c r="F710" s="79" t="s">
        <v>5300</v>
      </c>
      <c r="G710" s="80" t="s">
        <v>96</v>
      </c>
      <c r="H710" s="90">
        <v>4.202E-4</v>
      </c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</row>
    <row r="711">
      <c r="A711" s="79" t="s">
        <v>17216</v>
      </c>
      <c r="B711" s="45"/>
      <c r="C711" s="79" t="s">
        <v>17217</v>
      </c>
      <c r="D711" s="45"/>
      <c r="E711" s="79" t="s">
        <v>5456</v>
      </c>
      <c r="F711" s="79" t="s">
        <v>5300</v>
      </c>
      <c r="G711" s="80" t="s">
        <v>96</v>
      </c>
      <c r="H711" s="90">
        <v>4.201E-4</v>
      </c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</row>
    <row r="712">
      <c r="A712" s="79" t="s">
        <v>17218</v>
      </c>
      <c r="B712" s="45"/>
      <c r="C712" s="79" t="s">
        <v>17219</v>
      </c>
      <c r="D712" s="45"/>
      <c r="E712" s="79" t="s">
        <v>6801</v>
      </c>
      <c r="F712" s="79" t="s">
        <v>5300</v>
      </c>
      <c r="G712" s="80" t="s">
        <v>96</v>
      </c>
      <c r="H712" s="90">
        <v>4.199E-4</v>
      </c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</row>
    <row r="713">
      <c r="A713" s="79" t="s">
        <v>17220</v>
      </c>
      <c r="B713" s="45"/>
      <c r="C713" s="79" t="s">
        <v>17221</v>
      </c>
      <c r="D713" s="45"/>
      <c r="E713" s="79" t="s">
        <v>5288</v>
      </c>
      <c r="F713" s="79" t="s">
        <v>5300</v>
      </c>
      <c r="G713" s="80" t="s">
        <v>96</v>
      </c>
      <c r="H713" s="90">
        <v>4.197E-4</v>
      </c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</row>
    <row r="714">
      <c r="A714" s="79" t="s">
        <v>17222</v>
      </c>
      <c r="B714" s="45"/>
      <c r="C714" s="79" t="s">
        <v>17223</v>
      </c>
      <c r="D714" s="45"/>
      <c r="E714" s="79" t="s">
        <v>5855</v>
      </c>
      <c r="F714" s="79" t="s">
        <v>6988</v>
      </c>
      <c r="G714" s="80" t="s">
        <v>96</v>
      </c>
      <c r="H714" s="90">
        <v>4.196E-4</v>
      </c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</row>
    <row r="715">
      <c r="A715" s="79" t="s">
        <v>9146</v>
      </c>
      <c r="B715" s="45"/>
      <c r="C715" s="79" t="s">
        <v>17224</v>
      </c>
      <c r="D715" s="45"/>
      <c r="E715" s="79" t="s">
        <v>5258</v>
      </c>
      <c r="F715" s="79" t="s">
        <v>5836</v>
      </c>
      <c r="G715" s="80" t="s">
        <v>96</v>
      </c>
      <c r="H715" s="90">
        <v>4.187E-4</v>
      </c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</row>
    <row r="716">
      <c r="A716" s="79" t="s">
        <v>17225</v>
      </c>
      <c r="B716" s="45"/>
      <c r="C716" s="79" t="s">
        <v>17226</v>
      </c>
      <c r="D716" s="45"/>
      <c r="E716" s="79" t="s">
        <v>5478</v>
      </c>
      <c r="F716" s="79" t="s">
        <v>5300</v>
      </c>
      <c r="G716" s="80" t="s">
        <v>96</v>
      </c>
      <c r="H716" s="90">
        <v>4.185E-4</v>
      </c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</row>
    <row r="717">
      <c r="A717" s="79" t="s">
        <v>10657</v>
      </c>
      <c r="B717" s="45"/>
      <c r="C717" s="79" t="s">
        <v>10658</v>
      </c>
      <c r="D717" s="45"/>
      <c r="E717" s="79" t="s">
        <v>5241</v>
      </c>
      <c r="F717" s="79" t="s">
        <v>8784</v>
      </c>
      <c r="G717" s="80" t="s">
        <v>96</v>
      </c>
      <c r="H717" s="90">
        <v>4.182E-4</v>
      </c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</row>
    <row r="718">
      <c r="A718" s="79" t="s">
        <v>17227</v>
      </c>
      <c r="B718" s="45"/>
      <c r="C718" s="79" t="s">
        <v>17228</v>
      </c>
      <c r="D718" s="45"/>
      <c r="E718" s="79" t="s">
        <v>5215</v>
      </c>
      <c r="F718" s="79" t="s">
        <v>8767</v>
      </c>
      <c r="G718" s="80" t="s">
        <v>96</v>
      </c>
      <c r="H718" s="90">
        <v>4.162E-4</v>
      </c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</row>
    <row r="719">
      <c r="A719" s="79" t="s">
        <v>17229</v>
      </c>
      <c r="B719" s="45"/>
      <c r="C719" s="79" t="s">
        <v>17230</v>
      </c>
      <c r="D719" s="45"/>
      <c r="E719" s="79" t="s">
        <v>6115</v>
      </c>
      <c r="F719" s="79" t="s">
        <v>5300</v>
      </c>
      <c r="G719" s="80" t="s">
        <v>96</v>
      </c>
      <c r="H719" s="90">
        <v>4.159E-4</v>
      </c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</row>
    <row r="720">
      <c r="A720" s="79" t="s">
        <v>10792</v>
      </c>
      <c r="B720" s="45"/>
      <c r="C720" s="79" t="s">
        <v>10793</v>
      </c>
      <c r="D720" s="45"/>
      <c r="E720" s="79" t="s">
        <v>6172</v>
      </c>
      <c r="F720" s="79" t="s">
        <v>6698</v>
      </c>
      <c r="G720" s="80" t="s">
        <v>96</v>
      </c>
      <c r="H720" s="90">
        <v>4.151E-4</v>
      </c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</row>
    <row r="721">
      <c r="A721" s="79" t="s">
        <v>17231</v>
      </c>
      <c r="B721" s="45"/>
      <c r="C721" s="79" t="s">
        <v>17232</v>
      </c>
      <c r="D721" s="45"/>
      <c r="E721" s="79" t="s">
        <v>5855</v>
      </c>
      <c r="F721" s="79" t="s">
        <v>5300</v>
      </c>
      <c r="G721" s="80" t="s">
        <v>96</v>
      </c>
      <c r="H721" s="90">
        <v>4.151E-4</v>
      </c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</row>
    <row r="722">
      <c r="A722" s="79" t="s">
        <v>17233</v>
      </c>
      <c r="B722" s="45"/>
      <c r="C722" s="79" t="s">
        <v>17234</v>
      </c>
      <c r="D722" s="45"/>
      <c r="E722" s="79" t="s">
        <v>5296</v>
      </c>
      <c r="F722" s="79" t="s">
        <v>5300</v>
      </c>
      <c r="G722" s="80" t="s">
        <v>96</v>
      </c>
      <c r="H722" s="90">
        <v>4.149E-4</v>
      </c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</row>
    <row r="723">
      <c r="A723" s="79" t="s">
        <v>17235</v>
      </c>
      <c r="B723" s="45"/>
      <c r="C723" s="79" t="s">
        <v>17236</v>
      </c>
      <c r="D723" s="45"/>
      <c r="E723" s="79" t="s">
        <v>7251</v>
      </c>
      <c r="F723" s="79" t="s">
        <v>5300</v>
      </c>
      <c r="G723" s="80" t="s">
        <v>96</v>
      </c>
      <c r="H723" s="90">
        <v>4.145E-4</v>
      </c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</row>
    <row r="724">
      <c r="A724" s="79" t="s">
        <v>17237</v>
      </c>
      <c r="B724" s="45"/>
      <c r="C724" s="79" t="s">
        <v>17238</v>
      </c>
      <c r="D724" s="45"/>
      <c r="E724" s="79" t="s">
        <v>5218</v>
      </c>
      <c r="F724" s="79" t="s">
        <v>5836</v>
      </c>
      <c r="G724" s="80" t="s">
        <v>96</v>
      </c>
      <c r="H724" s="90">
        <v>4.143E-4</v>
      </c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</row>
    <row r="725">
      <c r="A725" s="79" t="s">
        <v>17239</v>
      </c>
      <c r="B725" s="45"/>
      <c r="C725" s="79" t="s">
        <v>17240</v>
      </c>
      <c r="D725" s="45"/>
      <c r="E725" s="79" t="s">
        <v>5478</v>
      </c>
      <c r="F725" s="79" t="s">
        <v>5300</v>
      </c>
      <c r="G725" s="80" t="s">
        <v>96</v>
      </c>
      <c r="H725" s="90">
        <v>4.139E-4</v>
      </c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</row>
    <row r="726">
      <c r="A726" s="79" t="s">
        <v>10608</v>
      </c>
      <c r="B726" s="45"/>
      <c r="C726" s="79" t="s">
        <v>10609</v>
      </c>
      <c r="D726" s="45"/>
      <c r="E726" s="79" t="s">
        <v>5650</v>
      </c>
      <c r="F726" s="79" t="s">
        <v>8784</v>
      </c>
      <c r="G726" s="80" t="s">
        <v>96</v>
      </c>
      <c r="H726" s="90">
        <v>4.134E-4</v>
      </c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</row>
    <row r="727">
      <c r="A727" s="79" t="s">
        <v>17241</v>
      </c>
      <c r="B727" s="45"/>
      <c r="C727" s="79" t="s">
        <v>17242</v>
      </c>
      <c r="D727" s="45"/>
      <c r="E727" s="79" t="s">
        <v>5253</v>
      </c>
      <c r="F727" s="79" t="s">
        <v>5927</v>
      </c>
      <c r="G727" s="80" t="s">
        <v>96</v>
      </c>
      <c r="H727" s="90">
        <v>4.134E-4</v>
      </c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</row>
    <row r="728">
      <c r="A728" s="79" t="s">
        <v>5754</v>
      </c>
      <c r="B728" s="45"/>
      <c r="C728" s="79" t="s">
        <v>17243</v>
      </c>
      <c r="D728" s="45"/>
      <c r="E728" s="79" t="s">
        <v>5215</v>
      </c>
      <c r="F728" s="79" t="s">
        <v>5300</v>
      </c>
      <c r="G728" s="80" t="s">
        <v>96</v>
      </c>
      <c r="H728" s="90">
        <v>4.119E-4</v>
      </c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</row>
    <row r="729">
      <c r="A729" s="79" t="s">
        <v>17244</v>
      </c>
      <c r="B729" s="45"/>
      <c r="C729" s="79" t="s">
        <v>17245</v>
      </c>
      <c r="D729" s="45"/>
      <c r="E729" s="79" t="s">
        <v>5241</v>
      </c>
      <c r="F729" s="79" t="s">
        <v>5300</v>
      </c>
      <c r="G729" s="80" t="s">
        <v>96</v>
      </c>
      <c r="H729" s="90">
        <v>4.118E-4</v>
      </c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</row>
    <row r="730">
      <c r="A730" s="79" t="s">
        <v>17246</v>
      </c>
      <c r="B730" s="45"/>
      <c r="C730" s="79" t="s">
        <v>17247</v>
      </c>
      <c r="D730" s="45"/>
      <c r="E730" s="79" t="s">
        <v>5249</v>
      </c>
      <c r="F730" s="79" t="s">
        <v>5300</v>
      </c>
      <c r="G730" s="80" t="s">
        <v>96</v>
      </c>
      <c r="H730" s="90">
        <v>4.113E-4</v>
      </c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</row>
    <row r="731">
      <c r="A731" s="79" t="s">
        <v>17248</v>
      </c>
      <c r="B731" s="45"/>
      <c r="C731" s="79" t="s">
        <v>17249</v>
      </c>
      <c r="D731" s="45"/>
      <c r="E731" s="79" t="s">
        <v>5311</v>
      </c>
      <c r="F731" s="79" t="s">
        <v>5300</v>
      </c>
      <c r="G731" s="80" t="s">
        <v>96</v>
      </c>
      <c r="H731" s="90">
        <v>4.112E-4</v>
      </c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</row>
    <row r="732">
      <c r="A732" s="79" t="s">
        <v>17250</v>
      </c>
      <c r="B732" s="45"/>
      <c r="C732" s="79" t="s">
        <v>17251</v>
      </c>
      <c r="D732" s="45"/>
      <c r="E732" s="79" t="s">
        <v>5395</v>
      </c>
      <c r="F732" s="79" t="s">
        <v>5300</v>
      </c>
      <c r="G732" s="80" t="s">
        <v>96</v>
      </c>
      <c r="H732" s="90">
        <v>4.11E-4</v>
      </c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</row>
    <row r="733">
      <c r="A733" s="79" t="s">
        <v>17252</v>
      </c>
      <c r="B733" s="45"/>
      <c r="C733" s="79" t="s">
        <v>17253</v>
      </c>
      <c r="D733" s="45"/>
      <c r="E733" s="79" t="s">
        <v>5218</v>
      </c>
      <c r="F733" s="79" t="s">
        <v>5425</v>
      </c>
      <c r="G733" s="80" t="s">
        <v>96</v>
      </c>
      <c r="H733" s="90">
        <v>4.106E-4</v>
      </c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</row>
    <row r="734">
      <c r="A734" s="79" t="s">
        <v>17254</v>
      </c>
      <c r="B734" s="45"/>
      <c r="C734" s="79" t="s">
        <v>17255</v>
      </c>
      <c r="D734" s="45"/>
      <c r="E734" s="79" t="s">
        <v>5775</v>
      </c>
      <c r="F734" s="79" t="s">
        <v>5300</v>
      </c>
      <c r="G734" s="80" t="s">
        <v>96</v>
      </c>
      <c r="H734" s="90">
        <v>4.095E-4</v>
      </c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</row>
    <row r="735">
      <c r="A735" s="79" t="s">
        <v>17256</v>
      </c>
      <c r="B735" s="45"/>
      <c r="C735" s="79" t="s">
        <v>17257</v>
      </c>
      <c r="D735" s="45"/>
      <c r="E735" s="79" t="s">
        <v>5374</v>
      </c>
      <c r="F735" s="79" t="s">
        <v>5300</v>
      </c>
      <c r="G735" s="80" t="s">
        <v>96</v>
      </c>
      <c r="H735" s="90">
        <v>4.092E-4</v>
      </c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</row>
    <row r="736">
      <c r="A736" s="79" t="s">
        <v>17258</v>
      </c>
      <c r="B736" s="45"/>
      <c r="C736" s="79" t="s">
        <v>17259</v>
      </c>
      <c r="D736" s="45"/>
      <c r="E736" s="79" t="s">
        <v>5283</v>
      </c>
      <c r="F736" s="79" t="s">
        <v>5300</v>
      </c>
      <c r="G736" s="80" t="s">
        <v>96</v>
      </c>
      <c r="H736" s="90">
        <v>4.09E-4</v>
      </c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</row>
    <row r="737">
      <c r="A737" s="79" t="s">
        <v>10685</v>
      </c>
      <c r="B737" s="45"/>
      <c r="C737" s="79" t="s">
        <v>10686</v>
      </c>
      <c r="D737" s="45"/>
      <c r="E737" s="79" t="s">
        <v>9553</v>
      </c>
      <c r="F737" s="79" t="s">
        <v>8784</v>
      </c>
      <c r="G737" s="80" t="s">
        <v>96</v>
      </c>
      <c r="H737" s="90">
        <v>4.087E-4</v>
      </c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</row>
    <row r="738">
      <c r="A738" s="79" t="s">
        <v>10703</v>
      </c>
      <c r="B738" s="45"/>
      <c r="C738" s="79" t="s">
        <v>10704</v>
      </c>
      <c r="D738" s="45"/>
      <c r="E738" s="79" t="s">
        <v>5395</v>
      </c>
      <c r="F738" s="79" t="s">
        <v>8759</v>
      </c>
      <c r="G738" s="80" t="s">
        <v>96</v>
      </c>
      <c r="H738" s="90">
        <v>4.08E-4</v>
      </c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</row>
    <row r="739">
      <c r="A739" s="79" t="s">
        <v>17260</v>
      </c>
      <c r="B739" s="45"/>
      <c r="C739" s="79" t="s">
        <v>17261</v>
      </c>
      <c r="D739" s="45"/>
      <c r="E739" s="79" t="s">
        <v>5478</v>
      </c>
      <c r="F739" s="79" t="s">
        <v>5300</v>
      </c>
      <c r="G739" s="80" t="s">
        <v>96</v>
      </c>
      <c r="H739" s="90">
        <v>4.08E-4</v>
      </c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</row>
    <row r="740">
      <c r="A740" s="79" t="s">
        <v>17262</v>
      </c>
      <c r="B740" s="45"/>
      <c r="C740" s="79" t="s">
        <v>17263</v>
      </c>
      <c r="D740" s="45"/>
      <c r="E740" s="79" t="s">
        <v>5448</v>
      </c>
      <c r="F740" s="79" t="s">
        <v>5300</v>
      </c>
      <c r="G740" s="80" t="s">
        <v>96</v>
      </c>
      <c r="H740" s="90">
        <v>4.08E-4</v>
      </c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</row>
    <row r="741">
      <c r="A741" s="79" t="s">
        <v>5986</v>
      </c>
      <c r="B741" s="45"/>
      <c r="C741" s="79" t="s">
        <v>17264</v>
      </c>
      <c r="D741" s="45"/>
      <c r="E741" s="79" t="s">
        <v>6012</v>
      </c>
      <c r="F741" s="79" t="s">
        <v>5836</v>
      </c>
      <c r="G741" s="80" t="s">
        <v>96</v>
      </c>
      <c r="H741" s="90">
        <v>4.073E-4</v>
      </c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</row>
    <row r="742">
      <c r="A742" s="79" t="s">
        <v>10417</v>
      </c>
      <c r="B742" s="45"/>
      <c r="C742" s="79" t="s">
        <v>10418</v>
      </c>
      <c r="D742" s="45"/>
      <c r="E742" s="79" t="s">
        <v>5249</v>
      </c>
      <c r="F742" s="79" t="s">
        <v>4436</v>
      </c>
      <c r="G742" s="80" t="s">
        <v>96</v>
      </c>
      <c r="H742" s="90">
        <v>4.072E-4</v>
      </c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</row>
    <row r="743">
      <c r="A743" s="79" t="s">
        <v>17265</v>
      </c>
      <c r="B743" s="45"/>
      <c r="C743" s="79" t="s">
        <v>17266</v>
      </c>
      <c r="D743" s="45"/>
      <c r="E743" s="79" t="s">
        <v>5316</v>
      </c>
      <c r="F743" s="79" t="s">
        <v>5300</v>
      </c>
      <c r="G743" s="80" t="s">
        <v>96</v>
      </c>
      <c r="H743" s="90">
        <v>4.071E-4</v>
      </c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</row>
    <row r="744">
      <c r="A744" s="79" t="s">
        <v>10520</v>
      </c>
      <c r="B744" s="45"/>
      <c r="C744" s="79" t="s">
        <v>10521</v>
      </c>
      <c r="D744" s="45"/>
      <c r="E744" s="79" t="s">
        <v>5280</v>
      </c>
      <c r="F744" s="79" t="s">
        <v>5300</v>
      </c>
      <c r="G744" s="80" t="s">
        <v>96</v>
      </c>
      <c r="H744" s="90">
        <v>4.067E-4</v>
      </c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</row>
    <row r="745">
      <c r="A745" s="79" t="s">
        <v>17267</v>
      </c>
      <c r="B745" s="45"/>
      <c r="C745" s="79" t="s">
        <v>17268</v>
      </c>
      <c r="D745" s="45"/>
      <c r="E745" s="79" t="s">
        <v>5478</v>
      </c>
      <c r="F745" s="79" t="s">
        <v>5300</v>
      </c>
      <c r="G745" s="80" t="s">
        <v>96</v>
      </c>
      <c r="H745" s="90">
        <v>4.064E-4</v>
      </c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</row>
    <row r="746">
      <c r="A746" s="79" t="s">
        <v>17269</v>
      </c>
      <c r="B746" s="45"/>
      <c r="C746" s="79" t="s">
        <v>17270</v>
      </c>
      <c r="D746" s="45"/>
      <c r="E746" s="79" t="s">
        <v>6115</v>
      </c>
      <c r="F746" s="79" t="s">
        <v>5300</v>
      </c>
      <c r="G746" s="80" t="s">
        <v>96</v>
      </c>
      <c r="H746" s="90">
        <v>4.063E-4</v>
      </c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</row>
    <row r="747">
      <c r="A747" s="79" t="s">
        <v>17271</v>
      </c>
      <c r="B747" s="45"/>
      <c r="C747" s="79" t="s">
        <v>17272</v>
      </c>
      <c r="D747" s="45"/>
      <c r="E747" s="79" t="s">
        <v>9189</v>
      </c>
      <c r="F747" s="79" t="s">
        <v>5300</v>
      </c>
      <c r="G747" s="80" t="s">
        <v>96</v>
      </c>
      <c r="H747" s="90">
        <v>4.057E-4</v>
      </c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</row>
    <row r="748">
      <c r="A748" s="79" t="s">
        <v>10711</v>
      </c>
      <c r="B748" s="45"/>
      <c r="C748" s="79" t="s">
        <v>10712</v>
      </c>
      <c r="D748" s="45"/>
      <c r="E748" s="79" t="s">
        <v>5215</v>
      </c>
      <c r="F748" s="79" t="s">
        <v>9617</v>
      </c>
      <c r="G748" s="80" t="s">
        <v>96</v>
      </c>
      <c r="H748" s="90">
        <v>4.056E-4</v>
      </c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</row>
    <row r="749">
      <c r="A749" s="79" t="s">
        <v>17273</v>
      </c>
      <c r="B749" s="45"/>
      <c r="C749" s="79" t="s">
        <v>17274</v>
      </c>
      <c r="D749" s="45"/>
      <c r="E749" s="79" t="s">
        <v>5341</v>
      </c>
      <c r="F749" s="79" t="s">
        <v>5300</v>
      </c>
      <c r="G749" s="80" t="s">
        <v>96</v>
      </c>
      <c r="H749" s="90">
        <v>4.054E-4</v>
      </c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</row>
    <row r="750">
      <c r="A750" s="79" t="s">
        <v>17275</v>
      </c>
      <c r="B750" s="45"/>
      <c r="C750" s="79" t="s">
        <v>17276</v>
      </c>
      <c r="D750" s="45"/>
      <c r="E750" s="79" t="s">
        <v>6514</v>
      </c>
      <c r="F750" s="79" t="s">
        <v>5300</v>
      </c>
      <c r="G750" s="80" t="s">
        <v>96</v>
      </c>
      <c r="H750" s="90">
        <v>4.053E-4</v>
      </c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</row>
    <row r="751">
      <c r="A751" s="79" t="s">
        <v>17277</v>
      </c>
      <c r="B751" s="45"/>
      <c r="C751" s="79" t="s">
        <v>17278</v>
      </c>
      <c r="D751" s="45"/>
      <c r="E751" s="79" t="s">
        <v>5756</v>
      </c>
      <c r="F751" s="79" t="s">
        <v>5941</v>
      </c>
      <c r="G751" s="80" t="s">
        <v>96</v>
      </c>
      <c r="H751" s="90">
        <v>4.051E-4</v>
      </c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</row>
    <row r="752">
      <c r="A752" s="79" t="s">
        <v>17279</v>
      </c>
      <c r="B752" s="45"/>
      <c r="C752" s="79" t="s">
        <v>17280</v>
      </c>
      <c r="D752" s="45"/>
      <c r="E752" s="79" t="s">
        <v>5578</v>
      </c>
      <c r="F752" s="79" t="s">
        <v>5300</v>
      </c>
      <c r="G752" s="80" t="s">
        <v>96</v>
      </c>
      <c r="H752" s="90">
        <v>4.045E-4</v>
      </c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</row>
    <row r="753">
      <c r="A753" s="79" t="s">
        <v>16212</v>
      </c>
      <c r="B753" s="45"/>
      <c r="C753" s="79" t="s">
        <v>17281</v>
      </c>
      <c r="D753" s="45"/>
      <c r="E753" s="79" t="s">
        <v>6115</v>
      </c>
      <c r="F753" s="79" t="s">
        <v>4357</v>
      </c>
      <c r="G753" s="80" t="s">
        <v>96</v>
      </c>
      <c r="H753" s="90">
        <v>4.04E-4</v>
      </c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</row>
    <row r="754">
      <c r="A754" s="79" t="s">
        <v>10579</v>
      </c>
      <c r="B754" s="45"/>
      <c r="C754" s="79" t="s">
        <v>10580</v>
      </c>
      <c r="D754" s="45"/>
      <c r="E754" s="79" t="s">
        <v>6249</v>
      </c>
      <c r="F754" s="79" t="s">
        <v>4357</v>
      </c>
      <c r="G754" s="80" t="s">
        <v>96</v>
      </c>
      <c r="H754" s="90">
        <v>4.04E-4</v>
      </c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</row>
    <row r="755">
      <c r="A755" s="79" t="s">
        <v>17282</v>
      </c>
      <c r="B755" s="45"/>
      <c r="C755" s="79" t="s">
        <v>17283</v>
      </c>
      <c r="D755" s="45"/>
      <c r="E755" s="79" t="s">
        <v>5276</v>
      </c>
      <c r="F755" s="79" t="s">
        <v>5300</v>
      </c>
      <c r="G755" s="80" t="s">
        <v>96</v>
      </c>
      <c r="H755" s="90">
        <v>4.036E-4</v>
      </c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</row>
    <row r="756">
      <c r="A756" s="79" t="s">
        <v>11525</v>
      </c>
      <c r="B756" s="45"/>
      <c r="C756" s="79" t="s">
        <v>17284</v>
      </c>
      <c r="D756" s="45"/>
      <c r="E756" s="79" t="s">
        <v>6480</v>
      </c>
      <c r="F756" s="79" t="s">
        <v>5300</v>
      </c>
      <c r="G756" s="80" t="s">
        <v>96</v>
      </c>
      <c r="H756" s="90">
        <v>4.033E-4</v>
      </c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</row>
    <row r="757">
      <c r="A757" s="79" t="s">
        <v>17285</v>
      </c>
      <c r="B757" s="45"/>
      <c r="C757" s="79" t="s">
        <v>17286</v>
      </c>
      <c r="D757" s="45"/>
      <c r="E757" s="79" t="s">
        <v>5335</v>
      </c>
      <c r="F757" s="79" t="s">
        <v>5300</v>
      </c>
      <c r="G757" s="80" t="s">
        <v>96</v>
      </c>
      <c r="H757" s="90">
        <v>4.03E-4</v>
      </c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</row>
    <row r="758">
      <c r="A758" s="79" t="s">
        <v>17287</v>
      </c>
      <c r="B758" s="45"/>
      <c r="C758" s="79" t="s">
        <v>17288</v>
      </c>
      <c r="D758" s="45"/>
      <c r="E758" s="79" t="s">
        <v>5366</v>
      </c>
      <c r="F758" s="79" t="s">
        <v>8784</v>
      </c>
      <c r="G758" s="80" t="s">
        <v>96</v>
      </c>
      <c r="H758" s="90">
        <v>4.023E-4</v>
      </c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</row>
    <row r="759">
      <c r="A759" s="79" t="s">
        <v>17289</v>
      </c>
      <c r="B759" s="45"/>
      <c r="C759" s="79" t="s">
        <v>17290</v>
      </c>
      <c r="D759" s="45"/>
      <c r="E759" s="79" t="s">
        <v>5759</v>
      </c>
      <c r="F759" s="79" t="s">
        <v>5300</v>
      </c>
      <c r="G759" s="80" t="s">
        <v>96</v>
      </c>
      <c r="H759" s="90">
        <v>4.019E-4</v>
      </c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</row>
    <row r="760">
      <c r="A760" s="79" t="s">
        <v>17291</v>
      </c>
      <c r="B760" s="45"/>
      <c r="C760" s="79" t="s">
        <v>17292</v>
      </c>
      <c r="D760" s="45"/>
      <c r="E760" s="79" t="s">
        <v>5276</v>
      </c>
      <c r="F760" s="79" t="s">
        <v>5300</v>
      </c>
      <c r="G760" s="80" t="s">
        <v>96</v>
      </c>
      <c r="H760" s="90">
        <v>4.016E-4</v>
      </c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</row>
    <row r="761">
      <c r="A761" s="79" t="s">
        <v>10830</v>
      </c>
      <c r="B761" s="45"/>
      <c r="C761" s="79" t="s">
        <v>10831</v>
      </c>
      <c r="D761" s="45"/>
      <c r="E761" s="79" t="s">
        <v>5374</v>
      </c>
      <c r="F761" s="79" t="s">
        <v>8784</v>
      </c>
      <c r="G761" s="80" t="s">
        <v>96</v>
      </c>
      <c r="H761" s="90">
        <v>4.008E-4</v>
      </c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</row>
    <row r="762">
      <c r="A762" s="79" t="s">
        <v>17293</v>
      </c>
      <c r="B762" s="45"/>
      <c r="C762" s="79" t="s">
        <v>17294</v>
      </c>
      <c r="D762" s="45"/>
      <c r="E762" s="79" t="s">
        <v>5377</v>
      </c>
      <c r="F762" s="79" t="s">
        <v>8784</v>
      </c>
      <c r="G762" s="80" t="s">
        <v>96</v>
      </c>
      <c r="H762" s="90">
        <v>4.008E-4</v>
      </c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</row>
    <row r="763">
      <c r="A763" s="79" t="s">
        <v>17295</v>
      </c>
      <c r="B763" s="45"/>
      <c r="C763" s="79" t="s">
        <v>17296</v>
      </c>
      <c r="D763" s="45"/>
      <c r="E763" s="79" t="s">
        <v>5561</v>
      </c>
      <c r="F763" s="79" t="s">
        <v>9021</v>
      </c>
      <c r="G763" s="80" t="s">
        <v>96</v>
      </c>
      <c r="H763" s="90">
        <v>4.006E-4</v>
      </c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</row>
    <row r="764">
      <c r="A764" s="79" t="s">
        <v>17297</v>
      </c>
      <c r="B764" s="45"/>
      <c r="C764" s="79" t="s">
        <v>17298</v>
      </c>
      <c r="D764" s="45"/>
      <c r="E764" s="79" t="s">
        <v>5276</v>
      </c>
      <c r="F764" s="79" t="s">
        <v>9021</v>
      </c>
      <c r="G764" s="80" t="s">
        <v>96</v>
      </c>
      <c r="H764" s="90">
        <v>4.005E-4</v>
      </c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</row>
    <row r="765">
      <c r="A765" s="79" t="s">
        <v>17299</v>
      </c>
      <c r="B765" s="45"/>
      <c r="C765" s="79" t="s">
        <v>17300</v>
      </c>
      <c r="D765" s="45"/>
      <c r="E765" s="79" t="s">
        <v>6630</v>
      </c>
      <c r="F765" s="79" t="s">
        <v>5300</v>
      </c>
      <c r="G765" s="80" t="s">
        <v>96</v>
      </c>
      <c r="H765" s="90">
        <v>4.005E-4</v>
      </c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</row>
    <row r="766">
      <c r="A766" s="79" t="s">
        <v>17301</v>
      </c>
      <c r="B766" s="45"/>
      <c r="C766" s="79" t="s">
        <v>17302</v>
      </c>
      <c r="D766" s="45"/>
      <c r="E766" s="79" t="s">
        <v>5283</v>
      </c>
      <c r="F766" s="79" t="s">
        <v>9021</v>
      </c>
      <c r="G766" s="80" t="s">
        <v>96</v>
      </c>
      <c r="H766" s="90">
        <v>4.0E-4</v>
      </c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</row>
    <row r="767">
      <c r="A767" s="79" t="s">
        <v>17303</v>
      </c>
      <c r="B767" s="45"/>
      <c r="C767" s="79" t="s">
        <v>17304</v>
      </c>
      <c r="D767" s="45"/>
      <c r="E767" s="79" t="s">
        <v>5961</v>
      </c>
      <c r="F767" s="79" t="s">
        <v>5300</v>
      </c>
      <c r="G767" s="80" t="s">
        <v>96</v>
      </c>
      <c r="H767" s="90">
        <v>3.996E-4</v>
      </c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</row>
    <row r="768">
      <c r="A768" s="79" t="s">
        <v>10752</v>
      </c>
      <c r="B768" s="45"/>
      <c r="C768" s="79" t="s">
        <v>10753</v>
      </c>
      <c r="D768" s="45"/>
      <c r="E768" s="79" t="s">
        <v>5561</v>
      </c>
      <c r="F768" s="79" t="s">
        <v>8784</v>
      </c>
      <c r="G768" s="80" t="s">
        <v>96</v>
      </c>
      <c r="H768" s="90">
        <v>3.99E-4</v>
      </c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</row>
    <row r="769">
      <c r="A769" s="79" t="s">
        <v>17305</v>
      </c>
      <c r="B769" s="45"/>
      <c r="C769" s="79" t="s">
        <v>17306</v>
      </c>
      <c r="D769" s="45"/>
      <c r="E769" s="79" t="s">
        <v>5261</v>
      </c>
      <c r="F769" s="79" t="s">
        <v>6210</v>
      </c>
      <c r="G769" s="80" t="s">
        <v>96</v>
      </c>
      <c r="H769" s="90">
        <v>3.988E-4</v>
      </c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</row>
    <row r="770">
      <c r="A770" s="79" t="s">
        <v>16434</v>
      </c>
      <c r="B770" s="45"/>
      <c r="C770" s="79" t="s">
        <v>17307</v>
      </c>
      <c r="D770" s="45"/>
      <c r="E770" s="79" t="s">
        <v>5226</v>
      </c>
      <c r="F770" s="79" t="s">
        <v>5300</v>
      </c>
      <c r="G770" s="80" t="s">
        <v>96</v>
      </c>
      <c r="H770" s="90">
        <v>3.98E-4</v>
      </c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</row>
    <row r="771">
      <c r="A771" s="79" t="s">
        <v>17308</v>
      </c>
      <c r="B771" s="45"/>
      <c r="C771" s="79" t="s">
        <v>17309</v>
      </c>
      <c r="D771" s="45"/>
      <c r="E771" s="79" t="s">
        <v>6275</v>
      </c>
      <c r="F771" s="79" t="s">
        <v>9021</v>
      </c>
      <c r="G771" s="80" t="s">
        <v>96</v>
      </c>
      <c r="H771" s="90">
        <v>3.979E-4</v>
      </c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</row>
    <row r="772">
      <c r="A772" s="79" t="s">
        <v>17310</v>
      </c>
      <c r="B772" s="45"/>
      <c r="C772" s="79" t="s">
        <v>17311</v>
      </c>
      <c r="D772" s="45"/>
      <c r="E772" s="79" t="s">
        <v>5215</v>
      </c>
      <c r="F772" s="79" t="s">
        <v>5300</v>
      </c>
      <c r="G772" s="80" t="s">
        <v>96</v>
      </c>
      <c r="H772" s="90">
        <v>3.977E-4</v>
      </c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</row>
    <row r="773">
      <c r="A773" s="79" t="s">
        <v>17312</v>
      </c>
      <c r="B773" s="45"/>
      <c r="C773" s="79" t="s">
        <v>17313</v>
      </c>
      <c r="D773" s="45"/>
      <c r="E773" s="79" t="s">
        <v>8230</v>
      </c>
      <c r="F773" s="79" t="s">
        <v>5300</v>
      </c>
      <c r="G773" s="80" t="s">
        <v>96</v>
      </c>
      <c r="H773" s="90">
        <v>3.956E-4</v>
      </c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</row>
    <row r="774">
      <c r="A774" s="79" t="s">
        <v>17314</v>
      </c>
      <c r="B774" s="45"/>
      <c r="C774" s="79" t="s">
        <v>17315</v>
      </c>
      <c r="D774" s="45"/>
      <c r="E774" s="79" t="s">
        <v>5374</v>
      </c>
      <c r="F774" s="79" t="s">
        <v>5425</v>
      </c>
      <c r="G774" s="80" t="s">
        <v>96</v>
      </c>
      <c r="H774" s="90">
        <v>3.955E-4</v>
      </c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</row>
    <row r="775">
      <c r="A775" s="79" t="s">
        <v>17316</v>
      </c>
      <c r="B775" s="45"/>
      <c r="C775" s="79" t="s">
        <v>17317</v>
      </c>
      <c r="D775" s="45"/>
      <c r="E775" s="79" t="s">
        <v>5691</v>
      </c>
      <c r="F775" s="79" t="s">
        <v>5300</v>
      </c>
      <c r="G775" s="80" t="s">
        <v>96</v>
      </c>
      <c r="H775" s="90">
        <v>3.95E-4</v>
      </c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</row>
    <row r="776">
      <c r="A776" s="79" t="s">
        <v>10549</v>
      </c>
      <c r="B776" s="45"/>
      <c r="C776" s="79" t="s">
        <v>10550</v>
      </c>
      <c r="D776" s="45"/>
      <c r="E776" s="79" t="s">
        <v>5369</v>
      </c>
      <c r="F776" s="79" t="s">
        <v>8784</v>
      </c>
      <c r="G776" s="80" t="s">
        <v>96</v>
      </c>
      <c r="H776" s="90">
        <v>3.942E-4</v>
      </c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</row>
    <row r="777">
      <c r="A777" s="79" t="s">
        <v>7082</v>
      </c>
      <c r="B777" s="45"/>
      <c r="C777" s="79" t="s">
        <v>17318</v>
      </c>
      <c r="D777" s="45"/>
      <c r="E777" s="79" t="s">
        <v>5354</v>
      </c>
      <c r="F777" s="79" t="s">
        <v>5300</v>
      </c>
      <c r="G777" s="80" t="s">
        <v>96</v>
      </c>
      <c r="H777" s="90">
        <v>3.942E-4</v>
      </c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</row>
    <row r="778">
      <c r="A778" s="79" t="s">
        <v>17319</v>
      </c>
      <c r="B778" s="45"/>
      <c r="C778" s="79" t="s">
        <v>17320</v>
      </c>
      <c r="D778" s="45"/>
      <c r="E778" s="79" t="s">
        <v>5450</v>
      </c>
      <c r="F778" s="79" t="s">
        <v>5300</v>
      </c>
      <c r="G778" s="80" t="s">
        <v>96</v>
      </c>
      <c r="H778" s="90">
        <v>3.938E-4</v>
      </c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</row>
    <row r="779">
      <c r="A779" s="79" t="s">
        <v>17321</v>
      </c>
      <c r="B779" s="45"/>
      <c r="C779" s="79" t="s">
        <v>17322</v>
      </c>
      <c r="D779" s="45"/>
      <c r="E779" s="79" t="s">
        <v>5235</v>
      </c>
      <c r="F779" s="79" t="s">
        <v>4095</v>
      </c>
      <c r="G779" s="80" t="s">
        <v>96</v>
      </c>
      <c r="H779" s="90">
        <v>3.938E-4</v>
      </c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</row>
    <row r="780">
      <c r="A780" s="79" t="s">
        <v>17323</v>
      </c>
      <c r="B780" s="45"/>
      <c r="C780" s="79" t="s">
        <v>17324</v>
      </c>
      <c r="D780" s="45"/>
      <c r="E780" s="79" t="s">
        <v>5249</v>
      </c>
      <c r="F780" s="79" t="s">
        <v>5300</v>
      </c>
      <c r="G780" s="80" t="s">
        <v>96</v>
      </c>
      <c r="H780" s="90">
        <v>3.928E-4</v>
      </c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</row>
    <row r="781">
      <c r="A781" s="79" t="s">
        <v>17325</v>
      </c>
      <c r="B781" s="45"/>
      <c r="C781" s="79" t="s">
        <v>17326</v>
      </c>
      <c r="D781" s="45"/>
      <c r="E781" s="79" t="s">
        <v>5291</v>
      </c>
      <c r="F781" s="79" t="s">
        <v>5300</v>
      </c>
      <c r="G781" s="80" t="s">
        <v>96</v>
      </c>
      <c r="H781" s="90">
        <v>3.927E-4</v>
      </c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</row>
    <row r="782">
      <c r="A782" s="79" t="s">
        <v>17327</v>
      </c>
      <c r="B782" s="45"/>
      <c r="C782" s="79" t="s">
        <v>17328</v>
      </c>
      <c r="D782" s="45"/>
      <c r="E782" s="79" t="s">
        <v>5235</v>
      </c>
      <c r="F782" s="79" t="s">
        <v>6698</v>
      </c>
      <c r="G782" s="80" t="s">
        <v>96</v>
      </c>
      <c r="H782" s="90">
        <v>3.922E-4</v>
      </c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</row>
    <row r="783">
      <c r="A783" s="79" t="s">
        <v>17329</v>
      </c>
      <c r="B783" s="45"/>
      <c r="C783" s="79" t="s">
        <v>17330</v>
      </c>
      <c r="D783" s="45"/>
      <c r="E783" s="79" t="s">
        <v>9039</v>
      </c>
      <c r="F783" s="79" t="s">
        <v>5300</v>
      </c>
      <c r="G783" s="80" t="s">
        <v>96</v>
      </c>
      <c r="H783" s="90">
        <v>3.921E-4</v>
      </c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</row>
    <row r="784">
      <c r="A784" s="79" t="s">
        <v>7612</v>
      </c>
      <c r="B784" s="45"/>
      <c r="C784" s="79" t="s">
        <v>10737</v>
      </c>
      <c r="D784" s="45"/>
      <c r="E784" s="79" t="s">
        <v>5366</v>
      </c>
      <c r="F784" s="79" t="s">
        <v>8784</v>
      </c>
      <c r="G784" s="80" t="s">
        <v>96</v>
      </c>
      <c r="H784" s="90">
        <v>3.921E-4</v>
      </c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</row>
    <row r="785">
      <c r="A785" s="79" t="s">
        <v>17331</v>
      </c>
      <c r="B785" s="45"/>
      <c r="C785" s="79" t="s">
        <v>17332</v>
      </c>
      <c r="D785" s="45"/>
      <c r="E785" s="79" t="s">
        <v>5215</v>
      </c>
      <c r="F785" s="79" t="s">
        <v>4357</v>
      </c>
      <c r="G785" s="80" t="s">
        <v>96</v>
      </c>
      <c r="H785" s="90">
        <v>3.919E-4</v>
      </c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</row>
    <row r="786">
      <c r="A786" s="79" t="s">
        <v>17333</v>
      </c>
      <c r="B786" s="45"/>
      <c r="C786" s="79" t="s">
        <v>17334</v>
      </c>
      <c r="D786" s="45"/>
      <c r="E786" s="79" t="s">
        <v>5276</v>
      </c>
      <c r="F786" s="79" t="s">
        <v>5300</v>
      </c>
      <c r="G786" s="80" t="s">
        <v>96</v>
      </c>
      <c r="H786" s="90">
        <v>3.912E-4</v>
      </c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</row>
    <row r="787">
      <c r="A787" s="79" t="s">
        <v>17335</v>
      </c>
      <c r="B787" s="45"/>
      <c r="C787" s="79" t="s">
        <v>17336</v>
      </c>
      <c r="D787" s="45"/>
      <c r="E787" s="79" t="s">
        <v>8154</v>
      </c>
      <c r="F787" s="79" t="s">
        <v>5300</v>
      </c>
      <c r="G787" s="80" t="s">
        <v>96</v>
      </c>
      <c r="H787" s="90">
        <v>3.9E-4</v>
      </c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</row>
    <row r="788">
      <c r="A788" s="79" t="s">
        <v>10610</v>
      </c>
      <c r="B788" s="45"/>
      <c r="C788" s="79" t="s">
        <v>10611</v>
      </c>
      <c r="D788" s="45"/>
      <c r="E788" s="79" t="s">
        <v>5241</v>
      </c>
      <c r="F788" s="79" t="s">
        <v>6988</v>
      </c>
      <c r="G788" s="80" t="s">
        <v>96</v>
      </c>
      <c r="H788" s="90">
        <v>3.894E-4</v>
      </c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</row>
    <row r="789">
      <c r="A789" s="79" t="s">
        <v>17337</v>
      </c>
      <c r="B789" s="45"/>
      <c r="C789" s="79" t="s">
        <v>17338</v>
      </c>
      <c r="D789" s="45"/>
      <c r="E789" s="79" t="s">
        <v>5215</v>
      </c>
      <c r="F789" s="79" t="s">
        <v>5300</v>
      </c>
      <c r="G789" s="80" t="s">
        <v>96</v>
      </c>
      <c r="H789" s="90">
        <v>3.891E-4</v>
      </c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</row>
    <row r="790">
      <c r="A790" s="79" t="s">
        <v>17339</v>
      </c>
      <c r="B790" s="45"/>
      <c r="C790" s="79" t="s">
        <v>17340</v>
      </c>
      <c r="D790" s="45"/>
      <c r="E790" s="79" t="s">
        <v>5271</v>
      </c>
      <c r="F790" s="79" t="s">
        <v>5300</v>
      </c>
      <c r="G790" s="80" t="s">
        <v>96</v>
      </c>
      <c r="H790" s="90">
        <v>3.884E-4</v>
      </c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</row>
    <row r="791">
      <c r="A791" s="79" t="s">
        <v>10459</v>
      </c>
      <c r="B791" s="45"/>
      <c r="C791" s="79" t="s">
        <v>10460</v>
      </c>
      <c r="D791" s="45"/>
      <c r="E791" s="79" t="s">
        <v>5431</v>
      </c>
      <c r="F791" s="79" t="s">
        <v>8784</v>
      </c>
      <c r="G791" s="80" t="s">
        <v>96</v>
      </c>
      <c r="H791" s="90">
        <v>3.874E-4</v>
      </c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</row>
    <row r="792">
      <c r="A792" s="79" t="s">
        <v>17341</v>
      </c>
      <c r="B792" s="45"/>
      <c r="C792" s="79" t="s">
        <v>17342</v>
      </c>
      <c r="D792" s="45"/>
      <c r="E792" s="79" t="s">
        <v>5354</v>
      </c>
      <c r="F792" s="79" t="s">
        <v>5300</v>
      </c>
      <c r="G792" s="80" t="s">
        <v>96</v>
      </c>
      <c r="H792" s="90">
        <v>3.871E-4</v>
      </c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</row>
    <row r="793">
      <c r="A793" s="79" t="s">
        <v>17343</v>
      </c>
      <c r="B793" s="45"/>
      <c r="C793" s="79" t="s">
        <v>17344</v>
      </c>
      <c r="D793" s="45"/>
      <c r="E793" s="79" t="s">
        <v>9810</v>
      </c>
      <c r="F793" s="79" t="s">
        <v>5300</v>
      </c>
      <c r="G793" s="80" t="s">
        <v>96</v>
      </c>
      <c r="H793" s="90">
        <v>3.87E-4</v>
      </c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</row>
    <row r="794">
      <c r="A794" s="79" t="s">
        <v>17345</v>
      </c>
      <c r="B794" s="45"/>
      <c r="C794" s="79" t="s">
        <v>17346</v>
      </c>
      <c r="D794" s="45"/>
      <c r="E794" s="79" t="s">
        <v>5271</v>
      </c>
      <c r="F794" s="79" t="s">
        <v>5300</v>
      </c>
      <c r="G794" s="80" t="s">
        <v>96</v>
      </c>
      <c r="H794" s="90">
        <v>3.87E-4</v>
      </c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</row>
    <row r="795">
      <c r="A795" s="79" t="s">
        <v>17347</v>
      </c>
      <c r="B795" s="45"/>
      <c r="C795" s="79" t="s">
        <v>17348</v>
      </c>
      <c r="D795" s="45"/>
      <c r="E795" s="79" t="s">
        <v>5338</v>
      </c>
      <c r="F795" s="79" t="s">
        <v>4095</v>
      </c>
      <c r="G795" s="80" t="s">
        <v>96</v>
      </c>
      <c r="H795" s="90">
        <v>3.869E-4</v>
      </c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</row>
    <row r="796">
      <c r="A796" s="79" t="s">
        <v>17349</v>
      </c>
      <c r="B796" s="45"/>
      <c r="C796" s="79" t="s">
        <v>17350</v>
      </c>
      <c r="D796" s="45"/>
      <c r="E796" s="79" t="s">
        <v>6115</v>
      </c>
      <c r="F796" s="79" t="s">
        <v>5300</v>
      </c>
      <c r="G796" s="80" t="s">
        <v>96</v>
      </c>
      <c r="H796" s="90">
        <v>3.866E-4</v>
      </c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</row>
    <row r="797">
      <c r="A797" s="79" t="s">
        <v>17351</v>
      </c>
      <c r="B797" s="45"/>
      <c r="C797" s="79" t="s">
        <v>17352</v>
      </c>
      <c r="D797" s="45"/>
      <c r="E797" s="79" t="s">
        <v>5215</v>
      </c>
      <c r="F797" s="79" t="s">
        <v>5300</v>
      </c>
      <c r="G797" s="80" t="s">
        <v>96</v>
      </c>
      <c r="H797" s="90">
        <v>3.862E-4</v>
      </c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</row>
    <row r="798">
      <c r="A798" s="79" t="s">
        <v>10508</v>
      </c>
      <c r="B798" s="45"/>
      <c r="C798" s="79" t="s">
        <v>10509</v>
      </c>
      <c r="D798" s="45"/>
      <c r="E798" s="79" t="s">
        <v>7098</v>
      </c>
      <c r="F798" s="79" t="s">
        <v>8784</v>
      </c>
      <c r="G798" s="80" t="s">
        <v>96</v>
      </c>
      <c r="H798" s="90">
        <v>3.861E-4</v>
      </c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</row>
    <row r="799">
      <c r="A799" s="79" t="s">
        <v>17353</v>
      </c>
      <c r="B799" s="45"/>
      <c r="C799" s="79" t="s">
        <v>17354</v>
      </c>
      <c r="D799" s="45"/>
      <c r="E799" s="79" t="s">
        <v>5226</v>
      </c>
      <c r="F799" s="79" t="s">
        <v>5300</v>
      </c>
      <c r="G799" s="80" t="s">
        <v>96</v>
      </c>
      <c r="H799" s="90">
        <v>3.857E-4</v>
      </c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</row>
    <row r="800">
      <c r="A800" s="79" t="s">
        <v>10816</v>
      </c>
      <c r="B800" s="45"/>
      <c r="C800" s="79" t="s">
        <v>10817</v>
      </c>
      <c r="D800" s="45"/>
      <c r="E800" s="79" t="s">
        <v>5326</v>
      </c>
      <c r="F800" s="79" t="s">
        <v>4357</v>
      </c>
      <c r="G800" s="80" t="s">
        <v>96</v>
      </c>
      <c r="H800" s="90">
        <v>3.847E-4</v>
      </c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</row>
    <row r="801">
      <c r="A801" s="79" t="s">
        <v>17355</v>
      </c>
      <c r="B801" s="45"/>
      <c r="C801" s="79" t="s">
        <v>17356</v>
      </c>
      <c r="D801" s="45"/>
      <c r="E801" s="79" t="s">
        <v>5283</v>
      </c>
      <c r="F801" s="79" t="s">
        <v>9021</v>
      </c>
      <c r="G801" s="80" t="s">
        <v>96</v>
      </c>
      <c r="H801" s="90">
        <v>3.843E-4</v>
      </c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</row>
    <row r="802">
      <c r="A802" s="79" t="s">
        <v>10645</v>
      </c>
      <c r="B802" s="45"/>
      <c r="C802" s="79" t="s">
        <v>10646</v>
      </c>
      <c r="D802" s="45"/>
      <c r="E802" s="79" t="s">
        <v>5218</v>
      </c>
      <c r="F802" s="79" t="s">
        <v>8784</v>
      </c>
      <c r="G802" s="80" t="s">
        <v>96</v>
      </c>
      <c r="H802" s="90">
        <v>3.84E-4</v>
      </c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</row>
    <row r="803">
      <c r="A803" s="79" t="s">
        <v>17357</v>
      </c>
      <c r="B803" s="45"/>
      <c r="C803" s="79" t="s">
        <v>17358</v>
      </c>
      <c r="D803" s="45"/>
      <c r="E803" s="79" t="s">
        <v>7611</v>
      </c>
      <c r="F803" s="79" t="s">
        <v>5300</v>
      </c>
      <c r="G803" s="80" t="s">
        <v>96</v>
      </c>
      <c r="H803" s="90">
        <v>3.839E-4</v>
      </c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</row>
    <row r="804">
      <c r="A804" s="79" t="s">
        <v>4560</v>
      </c>
      <c r="B804" s="45"/>
      <c r="C804" s="79" t="s">
        <v>17359</v>
      </c>
      <c r="D804" s="45"/>
      <c r="E804" s="79" t="s">
        <v>5390</v>
      </c>
      <c r="F804" s="79" t="s">
        <v>5425</v>
      </c>
      <c r="G804" s="80" t="s">
        <v>96</v>
      </c>
      <c r="H804" s="90">
        <v>3.838E-4</v>
      </c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</row>
    <row r="805">
      <c r="A805" s="79" t="s">
        <v>10445</v>
      </c>
      <c r="B805" s="45"/>
      <c r="C805" s="79" t="s">
        <v>10446</v>
      </c>
      <c r="D805" s="45"/>
      <c r="E805" s="79" t="s">
        <v>6238</v>
      </c>
      <c r="F805" s="79" t="s">
        <v>5747</v>
      </c>
      <c r="G805" s="80" t="s">
        <v>96</v>
      </c>
      <c r="H805" s="90">
        <v>3.833E-4</v>
      </c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</row>
    <row r="806">
      <c r="A806" s="79" t="s">
        <v>17360</v>
      </c>
      <c r="B806" s="45"/>
      <c r="C806" s="79" t="s">
        <v>17361</v>
      </c>
      <c r="D806" s="45"/>
      <c r="E806" s="79" t="s">
        <v>6012</v>
      </c>
      <c r="F806" s="79" t="s">
        <v>5300</v>
      </c>
      <c r="G806" s="80" t="s">
        <v>96</v>
      </c>
      <c r="H806" s="90">
        <v>3.828E-4</v>
      </c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</row>
    <row r="807">
      <c r="A807" s="79" t="s">
        <v>10434</v>
      </c>
      <c r="B807" s="45"/>
      <c r="C807" s="79" t="s">
        <v>10435</v>
      </c>
      <c r="D807" s="45"/>
      <c r="E807" s="79" t="s">
        <v>5218</v>
      </c>
      <c r="F807" s="79" t="s">
        <v>8784</v>
      </c>
      <c r="G807" s="80" t="s">
        <v>96</v>
      </c>
      <c r="H807" s="90">
        <v>3.824E-4</v>
      </c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</row>
    <row r="808">
      <c r="A808" s="79" t="s">
        <v>17362</v>
      </c>
      <c r="B808" s="45"/>
      <c r="C808" s="79" t="s">
        <v>17363</v>
      </c>
      <c r="D808" s="45"/>
      <c r="E808" s="79" t="s">
        <v>5374</v>
      </c>
      <c r="F808" s="79" t="s">
        <v>5300</v>
      </c>
      <c r="G808" s="80" t="s">
        <v>96</v>
      </c>
      <c r="H808" s="90">
        <v>3.821E-4</v>
      </c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</row>
    <row r="809">
      <c r="A809" s="79" t="s">
        <v>17364</v>
      </c>
      <c r="B809" s="45"/>
      <c r="C809" s="79" t="s">
        <v>17365</v>
      </c>
      <c r="D809" s="45"/>
      <c r="E809" s="79" t="s">
        <v>5283</v>
      </c>
      <c r="F809" s="79" t="s">
        <v>8767</v>
      </c>
      <c r="G809" s="80" t="s">
        <v>96</v>
      </c>
      <c r="H809" s="90">
        <v>3.82E-4</v>
      </c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</row>
    <row r="810">
      <c r="A810" s="79" t="s">
        <v>10478</v>
      </c>
      <c r="B810" s="45"/>
      <c r="C810" s="79" t="s">
        <v>10479</v>
      </c>
      <c r="D810" s="45"/>
      <c r="E810" s="79" t="s">
        <v>5374</v>
      </c>
      <c r="F810" s="79" t="s">
        <v>8784</v>
      </c>
      <c r="G810" s="80" t="s">
        <v>96</v>
      </c>
      <c r="H810" s="90">
        <v>3.816E-4</v>
      </c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</row>
    <row r="811">
      <c r="A811" s="79" t="s">
        <v>17366</v>
      </c>
      <c r="B811" s="45"/>
      <c r="C811" s="79" t="s">
        <v>17367</v>
      </c>
      <c r="D811" s="45"/>
      <c r="E811" s="79" t="s">
        <v>5215</v>
      </c>
      <c r="F811" s="79" t="s">
        <v>16434</v>
      </c>
      <c r="G811" s="80" t="s">
        <v>96</v>
      </c>
      <c r="H811" s="90">
        <v>3.814E-4</v>
      </c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</row>
    <row r="812">
      <c r="A812" s="79" t="s">
        <v>17368</v>
      </c>
      <c r="B812" s="45"/>
      <c r="C812" s="79" t="s">
        <v>17369</v>
      </c>
      <c r="D812" s="45"/>
      <c r="E812" s="79" t="s">
        <v>7471</v>
      </c>
      <c r="F812" s="79" t="s">
        <v>5300</v>
      </c>
      <c r="G812" s="80" t="s">
        <v>96</v>
      </c>
      <c r="H812" s="90">
        <v>3.813E-4</v>
      </c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</row>
    <row r="813">
      <c r="A813" s="79" t="s">
        <v>17370</v>
      </c>
      <c r="B813" s="45"/>
      <c r="C813" s="79" t="s">
        <v>17371</v>
      </c>
      <c r="D813" s="45"/>
      <c r="E813" s="79" t="s">
        <v>5561</v>
      </c>
      <c r="F813" s="79" t="s">
        <v>8759</v>
      </c>
      <c r="G813" s="80" t="s">
        <v>96</v>
      </c>
      <c r="H813" s="90">
        <v>3.808E-4</v>
      </c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</row>
    <row r="814">
      <c r="A814" s="79" t="s">
        <v>17372</v>
      </c>
      <c r="B814" s="45"/>
      <c r="C814" s="79" t="s">
        <v>17373</v>
      </c>
      <c r="D814" s="45"/>
      <c r="E814" s="79" t="s">
        <v>6130</v>
      </c>
      <c r="F814" s="79" t="s">
        <v>5300</v>
      </c>
      <c r="G814" s="80" t="s">
        <v>96</v>
      </c>
      <c r="H814" s="90">
        <v>3.807E-4</v>
      </c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</row>
    <row r="815">
      <c r="A815" s="79" t="s">
        <v>17374</v>
      </c>
      <c r="B815" s="45"/>
      <c r="C815" s="79" t="s">
        <v>17375</v>
      </c>
      <c r="D815" s="45"/>
      <c r="E815" s="79" t="s">
        <v>5215</v>
      </c>
      <c r="F815" s="79" t="s">
        <v>5300</v>
      </c>
      <c r="G815" s="80" t="s">
        <v>96</v>
      </c>
      <c r="H815" s="90">
        <v>3.806E-4</v>
      </c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</row>
    <row r="816">
      <c r="A816" s="79" t="s">
        <v>17376</v>
      </c>
      <c r="B816" s="45"/>
      <c r="C816" s="79" t="s">
        <v>17377</v>
      </c>
      <c r="D816" s="45"/>
      <c r="E816" s="79" t="s">
        <v>5235</v>
      </c>
      <c r="F816" s="79" t="s">
        <v>5300</v>
      </c>
      <c r="G816" s="80" t="s">
        <v>96</v>
      </c>
      <c r="H816" s="90">
        <v>3.806E-4</v>
      </c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</row>
    <row r="817">
      <c r="A817" s="79" t="s">
        <v>17378</v>
      </c>
      <c r="B817" s="45"/>
      <c r="C817" s="79" t="s">
        <v>17379</v>
      </c>
      <c r="D817" s="45"/>
      <c r="E817" s="79" t="s">
        <v>5450</v>
      </c>
      <c r="F817" s="79" t="s">
        <v>9698</v>
      </c>
      <c r="G817" s="80" t="s">
        <v>96</v>
      </c>
      <c r="H817" s="90">
        <v>3.805E-4</v>
      </c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</row>
    <row r="818">
      <c r="A818" s="79" t="s">
        <v>10526</v>
      </c>
      <c r="B818" s="45"/>
      <c r="C818" s="79" t="s">
        <v>10527</v>
      </c>
      <c r="D818" s="45"/>
      <c r="E818" s="79" t="s">
        <v>5326</v>
      </c>
      <c r="F818" s="79" t="s">
        <v>8784</v>
      </c>
      <c r="G818" s="80" t="s">
        <v>96</v>
      </c>
      <c r="H818" s="90">
        <v>3.79E-4</v>
      </c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</row>
    <row r="819">
      <c r="A819" s="79" t="s">
        <v>10834</v>
      </c>
      <c r="B819" s="45"/>
      <c r="C819" s="79" t="s">
        <v>10835</v>
      </c>
      <c r="D819" s="45"/>
      <c r="E819" s="79" t="s">
        <v>5670</v>
      </c>
      <c r="F819" s="79" t="s">
        <v>8784</v>
      </c>
      <c r="G819" s="80" t="s">
        <v>96</v>
      </c>
      <c r="H819" s="90">
        <v>3.788E-4</v>
      </c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</row>
    <row r="820">
      <c r="A820" s="79" t="s">
        <v>10828</v>
      </c>
      <c r="B820" s="45"/>
      <c r="C820" s="79" t="s">
        <v>10829</v>
      </c>
      <c r="D820" s="45"/>
      <c r="E820" s="79" t="s">
        <v>5321</v>
      </c>
      <c r="F820" s="79" t="s">
        <v>8784</v>
      </c>
      <c r="G820" s="80" t="s">
        <v>96</v>
      </c>
      <c r="H820" s="90">
        <v>3.786E-4</v>
      </c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</row>
    <row r="821">
      <c r="A821" s="79" t="s">
        <v>17380</v>
      </c>
      <c r="B821" s="45"/>
      <c r="C821" s="79" t="s">
        <v>17381</v>
      </c>
      <c r="D821" s="45"/>
      <c r="E821" s="79" t="s">
        <v>6191</v>
      </c>
      <c r="F821" s="79" t="s">
        <v>5300</v>
      </c>
      <c r="G821" s="80" t="s">
        <v>96</v>
      </c>
      <c r="H821" s="90">
        <v>3.786E-4</v>
      </c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</row>
    <row r="822">
      <c r="A822" s="79" t="s">
        <v>17382</v>
      </c>
      <c r="B822" s="45"/>
      <c r="C822" s="79" t="s">
        <v>17383</v>
      </c>
      <c r="D822" s="45"/>
      <c r="E822" s="79" t="s">
        <v>5218</v>
      </c>
      <c r="F822" s="79" t="s">
        <v>5300</v>
      </c>
      <c r="G822" s="80" t="s">
        <v>96</v>
      </c>
      <c r="H822" s="90">
        <v>3.782E-4</v>
      </c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</row>
    <row r="823">
      <c r="A823" s="79" t="s">
        <v>17384</v>
      </c>
      <c r="B823" s="45"/>
      <c r="C823" s="79" t="s">
        <v>17385</v>
      </c>
      <c r="D823" s="45"/>
      <c r="E823" s="79" t="s">
        <v>5434</v>
      </c>
      <c r="F823" s="79" t="s">
        <v>4436</v>
      </c>
      <c r="G823" s="80" t="s">
        <v>96</v>
      </c>
      <c r="H823" s="90">
        <v>3.782E-4</v>
      </c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</row>
    <row r="824">
      <c r="A824" s="79" t="s">
        <v>17386</v>
      </c>
      <c r="B824" s="45"/>
      <c r="C824" s="79" t="s">
        <v>17387</v>
      </c>
      <c r="D824" s="45"/>
      <c r="E824" s="79" t="s">
        <v>5215</v>
      </c>
      <c r="F824" s="79" t="s">
        <v>9908</v>
      </c>
      <c r="G824" s="80" t="s">
        <v>96</v>
      </c>
      <c r="H824" s="90">
        <v>3.777E-4</v>
      </c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</row>
    <row r="825">
      <c r="A825" s="79" t="s">
        <v>6864</v>
      </c>
      <c r="B825" s="45"/>
      <c r="C825" s="79" t="s">
        <v>17388</v>
      </c>
      <c r="D825" s="45"/>
      <c r="E825" s="79" t="s">
        <v>5650</v>
      </c>
      <c r="F825" s="79" t="s">
        <v>9617</v>
      </c>
      <c r="G825" s="80" t="s">
        <v>96</v>
      </c>
      <c r="H825" s="90">
        <v>3.775E-4</v>
      </c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</row>
    <row r="826">
      <c r="A826" s="79" t="s">
        <v>17389</v>
      </c>
      <c r="B826" s="45"/>
      <c r="C826" s="79" t="s">
        <v>17390</v>
      </c>
      <c r="D826" s="45"/>
      <c r="E826" s="79" t="s">
        <v>6389</v>
      </c>
      <c r="F826" s="79" t="s">
        <v>5300</v>
      </c>
      <c r="G826" s="80" t="s">
        <v>96</v>
      </c>
      <c r="H826" s="90">
        <v>3.774E-4</v>
      </c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</row>
    <row r="827">
      <c r="A827" s="79" t="s">
        <v>17391</v>
      </c>
      <c r="B827" s="45"/>
      <c r="C827" s="79" t="s">
        <v>17392</v>
      </c>
      <c r="D827" s="45"/>
      <c r="E827" s="79" t="s">
        <v>6130</v>
      </c>
      <c r="F827" s="79" t="s">
        <v>5300</v>
      </c>
      <c r="G827" s="80" t="s">
        <v>96</v>
      </c>
      <c r="H827" s="90">
        <v>3.774E-4</v>
      </c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</row>
    <row r="828">
      <c r="A828" s="79" t="s">
        <v>10591</v>
      </c>
      <c r="B828" s="45"/>
      <c r="C828" s="79" t="s">
        <v>10592</v>
      </c>
      <c r="D828" s="45"/>
      <c r="E828" s="79" t="s">
        <v>5978</v>
      </c>
      <c r="F828" s="79" t="s">
        <v>8784</v>
      </c>
      <c r="G828" s="80" t="s">
        <v>96</v>
      </c>
      <c r="H828" s="90">
        <v>3.773E-4</v>
      </c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</row>
    <row r="829">
      <c r="A829" s="79" t="s">
        <v>17393</v>
      </c>
      <c r="B829" s="45"/>
      <c r="C829" s="79" t="s">
        <v>17394</v>
      </c>
      <c r="D829" s="45"/>
      <c r="E829" s="79" t="s">
        <v>5253</v>
      </c>
      <c r="F829" s="79" t="s">
        <v>11496</v>
      </c>
      <c r="G829" s="80" t="s">
        <v>96</v>
      </c>
      <c r="H829" s="90">
        <v>3.773E-4</v>
      </c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</row>
    <row r="830">
      <c r="A830" s="79" t="s">
        <v>17395</v>
      </c>
      <c r="B830" s="45"/>
      <c r="C830" s="79" t="s">
        <v>17396</v>
      </c>
      <c r="D830" s="45"/>
      <c r="E830" s="79" t="s">
        <v>5288</v>
      </c>
      <c r="F830" s="79" t="s">
        <v>4357</v>
      </c>
      <c r="G830" s="80" t="s">
        <v>96</v>
      </c>
      <c r="H830" s="90">
        <v>3.771E-4</v>
      </c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</row>
    <row r="831">
      <c r="A831" s="79" t="s">
        <v>17397</v>
      </c>
      <c r="B831" s="45"/>
      <c r="C831" s="79" t="s">
        <v>17398</v>
      </c>
      <c r="D831" s="45"/>
      <c r="E831" s="79" t="s">
        <v>5561</v>
      </c>
      <c r="F831" s="79" t="s">
        <v>5300</v>
      </c>
      <c r="G831" s="80" t="s">
        <v>96</v>
      </c>
      <c r="H831" s="90">
        <v>3.77E-4</v>
      </c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</row>
    <row r="832">
      <c r="A832" s="79" t="s">
        <v>17399</v>
      </c>
      <c r="B832" s="45"/>
      <c r="C832" s="79" t="s">
        <v>17400</v>
      </c>
      <c r="D832" s="45"/>
      <c r="E832" s="79" t="s">
        <v>5341</v>
      </c>
      <c r="F832" s="79" t="s">
        <v>5300</v>
      </c>
      <c r="G832" s="80" t="s">
        <v>96</v>
      </c>
      <c r="H832" s="90">
        <v>3.763E-4</v>
      </c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</row>
    <row r="833">
      <c r="A833" s="79" t="s">
        <v>17401</v>
      </c>
      <c r="B833" s="45"/>
      <c r="C833" s="79" t="s">
        <v>17402</v>
      </c>
      <c r="D833" s="45"/>
      <c r="E833" s="79" t="s">
        <v>5249</v>
      </c>
      <c r="F833" s="79" t="s">
        <v>5425</v>
      </c>
      <c r="G833" s="80" t="s">
        <v>96</v>
      </c>
      <c r="H833" s="90">
        <v>3.753E-4</v>
      </c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</row>
    <row r="834">
      <c r="A834" s="79" t="s">
        <v>17403</v>
      </c>
      <c r="B834" s="45"/>
      <c r="C834" s="79" t="s">
        <v>17404</v>
      </c>
      <c r="D834" s="45"/>
      <c r="E834" s="79" t="s">
        <v>5775</v>
      </c>
      <c r="F834" s="79" t="s">
        <v>5300</v>
      </c>
      <c r="G834" s="80" t="s">
        <v>96</v>
      </c>
      <c r="H834" s="90">
        <v>3.746E-4</v>
      </c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</row>
    <row r="835">
      <c r="A835" s="79" t="s">
        <v>10539</v>
      </c>
      <c r="B835" s="45"/>
      <c r="C835" s="79" t="s">
        <v>10540</v>
      </c>
      <c r="D835" s="45"/>
      <c r="E835" s="79" t="s">
        <v>5650</v>
      </c>
      <c r="F835" s="79" t="s">
        <v>9299</v>
      </c>
      <c r="G835" s="80" t="s">
        <v>96</v>
      </c>
      <c r="H835" s="90">
        <v>3.745E-4</v>
      </c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</row>
    <row r="836">
      <c r="A836" s="79" t="s">
        <v>17405</v>
      </c>
      <c r="B836" s="45"/>
      <c r="C836" s="79" t="s">
        <v>17406</v>
      </c>
      <c r="D836" s="45"/>
      <c r="E836" s="79" t="s">
        <v>5756</v>
      </c>
      <c r="F836" s="79" t="s">
        <v>9414</v>
      </c>
      <c r="G836" s="80" t="s">
        <v>96</v>
      </c>
      <c r="H836" s="90">
        <v>3.743E-4</v>
      </c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</row>
    <row r="837">
      <c r="A837" s="79" t="s">
        <v>17407</v>
      </c>
      <c r="B837" s="45"/>
      <c r="C837" s="79" t="s">
        <v>17408</v>
      </c>
      <c r="D837" s="45"/>
      <c r="E837" s="79" t="s">
        <v>6480</v>
      </c>
      <c r="F837" s="79" t="s">
        <v>9021</v>
      </c>
      <c r="G837" s="80" t="s">
        <v>96</v>
      </c>
      <c r="H837" s="90">
        <v>3.742E-4</v>
      </c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</row>
    <row r="838">
      <c r="A838" s="79" t="s">
        <v>17409</v>
      </c>
      <c r="B838" s="45"/>
      <c r="C838" s="79" t="s">
        <v>17410</v>
      </c>
      <c r="D838" s="45"/>
      <c r="E838" s="79" t="s">
        <v>5445</v>
      </c>
      <c r="F838" s="79" t="s">
        <v>16434</v>
      </c>
      <c r="G838" s="80" t="s">
        <v>96</v>
      </c>
      <c r="H838" s="90">
        <v>3.739E-4</v>
      </c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</row>
    <row r="839">
      <c r="A839" s="79" t="s">
        <v>17411</v>
      </c>
      <c r="B839" s="45"/>
      <c r="C839" s="79" t="s">
        <v>17412</v>
      </c>
      <c r="D839" s="45"/>
      <c r="E839" s="79" t="s">
        <v>5445</v>
      </c>
      <c r="F839" s="79" t="s">
        <v>5300</v>
      </c>
      <c r="G839" s="80" t="s">
        <v>96</v>
      </c>
      <c r="H839" s="90">
        <v>3.739E-4</v>
      </c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</row>
    <row r="840">
      <c r="A840" s="79" t="s">
        <v>17413</v>
      </c>
      <c r="B840" s="45"/>
      <c r="C840" s="79" t="s">
        <v>17414</v>
      </c>
      <c r="D840" s="45"/>
      <c r="E840" s="79" t="s">
        <v>5478</v>
      </c>
      <c r="F840" s="79" t="s">
        <v>5300</v>
      </c>
      <c r="G840" s="80" t="s">
        <v>96</v>
      </c>
      <c r="H840" s="90">
        <v>3.735E-4</v>
      </c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</row>
    <row r="841">
      <c r="A841" s="79" t="s">
        <v>17415</v>
      </c>
      <c r="B841" s="45"/>
      <c r="C841" s="79" t="s">
        <v>17416</v>
      </c>
      <c r="D841" s="45"/>
      <c r="E841" s="79" t="s">
        <v>6040</v>
      </c>
      <c r="F841" s="79" t="s">
        <v>5425</v>
      </c>
      <c r="G841" s="80" t="s">
        <v>96</v>
      </c>
      <c r="H841" s="90">
        <v>3.732E-4</v>
      </c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</row>
    <row r="842">
      <c r="A842" s="79" t="s">
        <v>17417</v>
      </c>
      <c r="B842" s="45"/>
      <c r="C842" s="79" t="s">
        <v>17418</v>
      </c>
      <c r="D842" s="45"/>
      <c r="E842" s="79" t="s">
        <v>5404</v>
      </c>
      <c r="F842" s="79" t="s">
        <v>5300</v>
      </c>
      <c r="G842" s="80" t="s">
        <v>96</v>
      </c>
      <c r="H842" s="90">
        <v>3.728E-4</v>
      </c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</row>
    <row r="843">
      <c r="A843" s="79" t="s">
        <v>17419</v>
      </c>
      <c r="B843" s="45"/>
      <c r="C843" s="79" t="s">
        <v>17420</v>
      </c>
      <c r="D843" s="45"/>
      <c r="E843" s="79" t="s">
        <v>5450</v>
      </c>
      <c r="F843" s="79" t="s">
        <v>5300</v>
      </c>
      <c r="G843" s="80" t="s">
        <v>96</v>
      </c>
      <c r="H843" s="90">
        <v>3.728E-4</v>
      </c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</row>
    <row r="844">
      <c r="A844" s="79" t="s">
        <v>17421</v>
      </c>
      <c r="B844" s="45"/>
      <c r="C844" s="79" t="s">
        <v>17422</v>
      </c>
      <c r="D844" s="45"/>
      <c r="E844" s="79" t="s">
        <v>5276</v>
      </c>
      <c r="F844" s="79" t="s">
        <v>5836</v>
      </c>
      <c r="G844" s="80" t="s">
        <v>96</v>
      </c>
      <c r="H844" s="90">
        <v>3.719E-4</v>
      </c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</row>
    <row r="845">
      <c r="A845" s="79" t="s">
        <v>10484</v>
      </c>
      <c r="B845" s="45"/>
      <c r="C845" s="79" t="s">
        <v>10485</v>
      </c>
      <c r="D845" s="45"/>
      <c r="E845" s="79" t="s">
        <v>5341</v>
      </c>
      <c r="F845" s="79" t="s">
        <v>5425</v>
      </c>
      <c r="G845" s="80" t="s">
        <v>96</v>
      </c>
      <c r="H845" s="90">
        <v>3.715E-4</v>
      </c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</row>
    <row r="846">
      <c r="A846" s="79" t="s">
        <v>17423</v>
      </c>
      <c r="B846" s="45"/>
      <c r="C846" s="79" t="s">
        <v>17424</v>
      </c>
      <c r="D846" s="45"/>
      <c r="E846" s="79" t="s">
        <v>5215</v>
      </c>
      <c r="F846" s="79" t="s">
        <v>9021</v>
      </c>
      <c r="G846" s="80" t="s">
        <v>96</v>
      </c>
      <c r="H846" s="90">
        <v>3.715E-4</v>
      </c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</row>
    <row r="847">
      <c r="A847" s="79" t="s">
        <v>10864</v>
      </c>
      <c r="B847" s="45"/>
      <c r="C847" s="79" t="s">
        <v>10865</v>
      </c>
      <c r="D847" s="45"/>
      <c r="E847" s="79" t="s">
        <v>6238</v>
      </c>
      <c r="F847" s="79" t="s">
        <v>9513</v>
      </c>
      <c r="G847" s="80" t="s">
        <v>96</v>
      </c>
      <c r="H847" s="90">
        <v>3.711E-4</v>
      </c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</row>
    <row r="848">
      <c r="A848" s="79" t="s">
        <v>17425</v>
      </c>
      <c r="B848" s="45"/>
      <c r="C848" s="79" t="s">
        <v>17426</v>
      </c>
      <c r="D848" s="45"/>
      <c r="E848" s="79" t="s">
        <v>5226</v>
      </c>
      <c r="F848" s="79" t="s">
        <v>5836</v>
      </c>
      <c r="G848" s="80" t="s">
        <v>96</v>
      </c>
      <c r="H848" s="90">
        <v>3.707E-4</v>
      </c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</row>
    <row r="849">
      <c r="A849" s="79" t="s">
        <v>17427</v>
      </c>
      <c r="B849" s="45"/>
      <c r="C849" s="79" t="s">
        <v>17428</v>
      </c>
      <c r="D849" s="45"/>
      <c r="E849" s="79" t="s">
        <v>6947</v>
      </c>
      <c r="F849" s="79" t="s">
        <v>5300</v>
      </c>
      <c r="G849" s="80" t="s">
        <v>96</v>
      </c>
      <c r="H849" s="90">
        <v>3.705E-4</v>
      </c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</row>
    <row r="850">
      <c r="A850" s="79" t="s">
        <v>17429</v>
      </c>
      <c r="B850" s="45"/>
      <c r="C850" s="79" t="s">
        <v>17430</v>
      </c>
      <c r="D850" s="45"/>
      <c r="E850" s="79" t="s">
        <v>5501</v>
      </c>
      <c r="F850" s="79" t="s">
        <v>5836</v>
      </c>
      <c r="G850" s="80" t="s">
        <v>96</v>
      </c>
      <c r="H850" s="90">
        <v>3.702E-4</v>
      </c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</row>
    <row r="851">
      <c r="A851" s="79" t="s">
        <v>17431</v>
      </c>
      <c r="B851" s="45"/>
      <c r="C851" s="79" t="s">
        <v>17432</v>
      </c>
      <c r="D851" s="45"/>
      <c r="E851" s="79" t="s">
        <v>5478</v>
      </c>
      <c r="F851" s="79" t="s">
        <v>5300</v>
      </c>
      <c r="G851" s="80" t="s">
        <v>96</v>
      </c>
      <c r="H851" s="90">
        <v>3.701E-4</v>
      </c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</row>
    <row r="852">
      <c r="A852" s="79" t="s">
        <v>17433</v>
      </c>
      <c r="B852" s="45"/>
      <c r="C852" s="79" t="s">
        <v>17434</v>
      </c>
      <c r="D852" s="45"/>
      <c r="E852" s="79" t="s">
        <v>6150</v>
      </c>
      <c r="F852" s="79" t="s">
        <v>5425</v>
      </c>
      <c r="G852" s="80" t="s">
        <v>96</v>
      </c>
      <c r="H852" s="90">
        <v>3.698E-4</v>
      </c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</row>
    <row r="853">
      <c r="A853" s="79" t="s">
        <v>17435</v>
      </c>
      <c r="B853" s="45"/>
      <c r="C853" s="79" t="s">
        <v>17436</v>
      </c>
      <c r="D853" s="45"/>
      <c r="E853" s="79" t="s">
        <v>5516</v>
      </c>
      <c r="F853" s="79" t="s">
        <v>5300</v>
      </c>
      <c r="G853" s="80" t="s">
        <v>96</v>
      </c>
      <c r="H853" s="90">
        <v>3.69E-4</v>
      </c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</row>
    <row r="854">
      <c r="A854" s="79" t="s">
        <v>17437</v>
      </c>
      <c r="B854" s="45"/>
      <c r="C854" s="79" t="s">
        <v>17438</v>
      </c>
      <c r="D854" s="45"/>
      <c r="E854" s="79" t="s">
        <v>9959</v>
      </c>
      <c r="F854" s="79" t="s">
        <v>5836</v>
      </c>
      <c r="G854" s="80" t="s">
        <v>96</v>
      </c>
      <c r="H854" s="90">
        <v>3.69E-4</v>
      </c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</row>
    <row r="855">
      <c r="A855" s="79" t="s">
        <v>10596</v>
      </c>
      <c r="B855" s="45"/>
      <c r="C855" s="79" t="s">
        <v>10597</v>
      </c>
      <c r="D855" s="45"/>
      <c r="E855" s="79" t="s">
        <v>6798</v>
      </c>
      <c r="F855" s="79" t="s">
        <v>8784</v>
      </c>
      <c r="G855" s="80" t="s">
        <v>96</v>
      </c>
      <c r="H855" s="90">
        <v>3.685E-4</v>
      </c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</row>
    <row r="856">
      <c r="A856" s="79" t="s">
        <v>17439</v>
      </c>
      <c r="B856" s="45"/>
      <c r="C856" s="79" t="s">
        <v>17440</v>
      </c>
      <c r="D856" s="45"/>
      <c r="E856" s="79" t="s">
        <v>5215</v>
      </c>
      <c r="F856" s="79" t="s">
        <v>5300</v>
      </c>
      <c r="G856" s="80" t="s">
        <v>96</v>
      </c>
      <c r="H856" s="90">
        <v>3.682E-4</v>
      </c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</row>
    <row r="857">
      <c r="A857" s="79" t="s">
        <v>10798</v>
      </c>
      <c r="B857" s="45"/>
      <c r="C857" s="79" t="s">
        <v>10799</v>
      </c>
      <c r="D857" s="45"/>
      <c r="E857" s="79" t="s">
        <v>5316</v>
      </c>
      <c r="F857" s="79" t="s">
        <v>5277</v>
      </c>
      <c r="G857" s="80" t="s">
        <v>96</v>
      </c>
      <c r="H857" s="90">
        <v>3.68E-4</v>
      </c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</row>
    <row r="858">
      <c r="A858" s="79" t="s">
        <v>17441</v>
      </c>
      <c r="B858" s="45"/>
      <c r="C858" s="79" t="s">
        <v>17442</v>
      </c>
      <c r="D858" s="45"/>
      <c r="E858" s="79" t="s">
        <v>5467</v>
      </c>
      <c r="F858" s="79" t="s">
        <v>5300</v>
      </c>
      <c r="G858" s="80" t="s">
        <v>96</v>
      </c>
      <c r="H858" s="90">
        <v>3.678E-4</v>
      </c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</row>
    <row r="859">
      <c r="A859" s="79" t="s">
        <v>17443</v>
      </c>
      <c r="B859" s="45"/>
      <c r="C859" s="79" t="s">
        <v>17444</v>
      </c>
      <c r="D859" s="45"/>
      <c r="E859" s="79" t="s">
        <v>5215</v>
      </c>
      <c r="F859" s="79" t="s">
        <v>5300</v>
      </c>
      <c r="G859" s="80" t="s">
        <v>96</v>
      </c>
      <c r="H859" s="90">
        <v>3.677E-4</v>
      </c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</row>
    <row r="860">
      <c r="A860" s="79" t="s">
        <v>17445</v>
      </c>
      <c r="B860" s="45"/>
      <c r="C860" s="79" t="s">
        <v>17446</v>
      </c>
      <c r="D860" s="45"/>
      <c r="E860" s="79" t="s">
        <v>5218</v>
      </c>
      <c r="F860" s="79" t="s">
        <v>5300</v>
      </c>
      <c r="G860" s="80" t="s">
        <v>96</v>
      </c>
      <c r="H860" s="90">
        <v>3.672E-4</v>
      </c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</row>
    <row r="861">
      <c r="A861" s="79" t="s">
        <v>17447</v>
      </c>
      <c r="B861" s="45"/>
      <c r="C861" s="79" t="s">
        <v>17448</v>
      </c>
      <c r="D861" s="45"/>
      <c r="E861" s="79" t="s">
        <v>5341</v>
      </c>
      <c r="F861" s="79" t="s">
        <v>5300</v>
      </c>
      <c r="G861" s="80" t="s">
        <v>96</v>
      </c>
      <c r="H861" s="90">
        <v>3.666E-4</v>
      </c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</row>
    <row r="862">
      <c r="A862" s="79" t="s">
        <v>17449</v>
      </c>
      <c r="B862" s="45"/>
      <c r="C862" s="79" t="s">
        <v>17450</v>
      </c>
      <c r="D862" s="45"/>
      <c r="E862" s="79" t="s">
        <v>5478</v>
      </c>
      <c r="F862" s="79" t="s">
        <v>5300</v>
      </c>
      <c r="G862" s="80" t="s">
        <v>96</v>
      </c>
      <c r="H862" s="90">
        <v>3.66E-4</v>
      </c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</row>
    <row r="863">
      <c r="A863" s="79" t="s">
        <v>17451</v>
      </c>
      <c r="B863" s="45"/>
      <c r="C863" s="79" t="s">
        <v>17452</v>
      </c>
      <c r="D863" s="45"/>
      <c r="E863" s="79" t="s">
        <v>5249</v>
      </c>
      <c r="F863" s="79" t="s">
        <v>5425</v>
      </c>
      <c r="G863" s="80" t="s">
        <v>96</v>
      </c>
      <c r="H863" s="90">
        <v>3.65E-4</v>
      </c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</row>
    <row r="864">
      <c r="A864" s="79" t="s">
        <v>10559</v>
      </c>
      <c r="B864" s="45"/>
      <c r="C864" s="79" t="s">
        <v>10560</v>
      </c>
      <c r="D864" s="45"/>
      <c r="E864" s="79" t="s">
        <v>5682</v>
      </c>
      <c r="F864" s="79" t="s">
        <v>4357</v>
      </c>
      <c r="G864" s="80" t="s">
        <v>96</v>
      </c>
      <c r="H864" s="90">
        <v>3.648E-4</v>
      </c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</row>
    <row r="865">
      <c r="A865" s="79" t="s">
        <v>17453</v>
      </c>
      <c r="B865" s="45"/>
      <c r="C865" s="79" t="s">
        <v>17454</v>
      </c>
      <c r="D865" s="45"/>
      <c r="E865" s="79" t="s">
        <v>5283</v>
      </c>
      <c r="F865" s="79" t="s">
        <v>5300</v>
      </c>
      <c r="G865" s="80" t="s">
        <v>96</v>
      </c>
      <c r="H865" s="90">
        <v>3.64E-4</v>
      </c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</row>
    <row r="866">
      <c r="A866" s="79" t="s">
        <v>17455</v>
      </c>
      <c r="B866" s="45"/>
      <c r="C866" s="79" t="s">
        <v>17456</v>
      </c>
      <c r="D866" s="45"/>
      <c r="E866" s="79" t="s">
        <v>6012</v>
      </c>
      <c r="F866" s="79" t="s">
        <v>5300</v>
      </c>
      <c r="G866" s="80" t="s">
        <v>96</v>
      </c>
      <c r="H866" s="90">
        <v>3.634E-4</v>
      </c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</row>
    <row r="867">
      <c r="A867" s="79" t="s">
        <v>17457</v>
      </c>
      <c r="B867" s="45"/>
      <c r="C867" s="79" t="s">
        <v>17458</v>
      </c>
      <c r="D867" s="45"/>
      <c r="E867" s="79" t="s">
        <v>5215</v>
      </c>
      <c r="F867" s="79" t="s">
        <v>5300</v>
      </c>
      <c r="G867" s="80" t="s">
        <v>96</v>
      </c>
      <c r="H867" s="90">
        <v>3.631E-4</v>
      </c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</row>
    <row r="868">
      <c r="A868" s="79" t="s">
        <v>17459</v>
      </c>
      <c r="B868" s="45"/>
      <c r="C868" s="79" t="s">
        <v>17460</v>
      </c>
      <c r="D868" s="45"/>
      <c r="E868" s="79" t="s">
        <v>6130</v>
      </c>
      <c r="F868" s="79" t="s">
        <v>8784</v>
      </c>
      <c r="G868" s="80" t="s">
        <v>96</v>
      </c>
      <c r="H868" s="90">
        <v>3.629E-4</v>
      </c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</row>
    <row r="869">
      <c r="A869" s="79" t="s">
        <v>17461</v>
      </c>
      <c r="B869" s="45"/>
      <c r="C869" s="79" t="s">
        <v>17462</v>
      </c>
      <c r="D869" s="45"/>
      <c r="E869" s="79" t="s">
        <v>5961</v>
      </c>
      <c r="F869" s="79" t="s">
        <v>8759</v>
      </c>
      <c r="G869" s="80" t="s">
        <v>96</v>
      </c>
      <c r="H869" s="90">
        <v>3.629E-4</v>
      </c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</row>
    <row r="870">
      <c r="A870" s="79" t="s">
        <v>17463</v>
      </c>
      <c r="B870" s="45"/>
      <c r="C870" s="79" t="s">
        <v>17464</v>
      </c>
      <c r="D870" s="45"/>
      <c r="E870" s="79" t="s">
        <v>8230</v>
      </c>
      <c r="F870" s="79" t="s">
        <v>5300</v>
      </c>
      <c r="G870" s="80" t="s">
        <v>96</v>
      </c>
      <c r="H870" s="90">
        <v>3.624E-4</v>
      </c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</row>
    <row r="871">
      <c r="A871" s="79" t="s">
        <v>17465</v>
      </c>
      <c r="B871" s="45"/>
      <c r="C871" s="79" t="s">
        <v>17466</v>
      </c>
      <c r="D871" s="45"/>
      <c r="E871" s="79" t="s">
        <v>5407</v>
      </c>
      <c r="F871" s="79" t="s">
        <v>5425</v>
      </c>
      <c r="G871" s="80" t="s">
        <v>96</v>
      </c>
      <c r="H871" s="90">
        <v>3.623E-4</v>
      </c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</row>
    <row r="872">
      <c r="A872" s="79" t="s">
        <v>17467</v>
      </c>
      <c r="B872" s="45"/>
      <c r="C872" s="79" t="s">
        <v>17468</v>
      </c>
      <c r="D872" s="45"/>
      <c r="E872" s="79" t="s">
        <v>5434</v>
      </c>
      <c r="F872" s="79" t="s">
        <v>5300</v>
      </c>
      <c r="G872" s="80" t="s">
        <v>96</v>
      </c>
      <c r="H872" s="90">
        <v>3.62E-4</v>
      </c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</row>
    <row r="873">
      <c r="A873" s="79" t="s">
        <v>10655</v>
      </c>
      <c r="B873" s="45"/>
      <c r="C873" s="79" t="s">
        <v>10656</v>
      </c>
      <c r="D873" s="45"/>
      <c r="E873" s="79" t="s">
        <v>5434</v>
      </c>
      <c r="F873" s="79" t="s">
        <v>8784</v>
      </c>
      <c r="G873" s="80" t="s">
        <v>96</v>
      </c>
      <c r="H873" s="90">
        <v>3.614E-4</v>
      </c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</row>
    <row r="874">
      <c r="A874" s="79" t="s">
        <v>10603</v>
      </c>
      <c r="B874" s="45"/>
      <c r="C874" s="79" t="s">
        <v>10604</v>
      </c>
      <c r="D874" s="45"/>
      <c r="E874" s="79" t="s">
        <v>5215</v>
      </c>
      <c r="F874" s="79" t="s">
        <v>8784</v>
      </c>
      <c r="G874" s="80" t="s">
        <v>96</v>
      </c>
      <c r="H874" s="90">
        <v>3.611E-4</v>
      </c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</row>
    <row r="875">
      <c r="A875" s="79" t="s">
        <v>17469</v>
      </c>
      <c r="B875" s="45"/>
      <c r="C875" s="79" t="s">
        <v>17470</v>
      </c>
      <c r="D875" s="45"/>
      <c r="E875" s="79" t="s">
        <v>5276</v>
      </c>
      <c r="F875" s="79" t="s">
        <v>5300</v>
      </c>
      <c r="G875" s="80" t="s">
        <v>96</v>
      </c>
      <c r="H875" s="90">
        <v>3.607E-4</v>
      </c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</row>
    <row r="876">
      <c r="A876" s="79" t="s">
        <v>17471</v>
      </c>
      <c r="B876" s="45"/>
      <c r="C876" s="79" t="s">
        <v>17472</v>
      </c>
      <c r="D876" s="45"/>
      <c r="E876" s="79" t="s">
        <v>5326</v>
      </c>
      <c r="F876" s="79" t="s">
        <v>5300</v>
      </c>
      <c r="G876" s="80" t="s">
        <v>96</v>
      </c>
      <c r="H876" s="90">
        <v>3.601E-4</v>
      </c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</row>
    <row r="877">
      <c r="A877" s="79" t="s">
        <v>10845</v>
      </c>
      <c r="B877" s="45"/>
      <c r="C877" s="79" t="s">
        <v>10846</v>
      </c>
      <c r="D877" s="45"/>
      <c r="E877" s="79" t="s">
        <v>5326</v>
      </c>
      <c r="F877" s="79" t="s">
        <v>8784</v>
      </c>
      <c r="G877" s="80" t="s">
        <v>96</v>
      </c>
      <c r="H877" s="90">
        <v>3.599E-4</v>
      </c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</row>
    <row r="878">
      <c r="A878" s="79" t="s">
        <v>10601</v>
      </c>
      <c r="B878" s="45"/>
      <c r="C878" s="79" t="s">
        <v>10602</v>
      </c>
      <c r="D878" s="45"/>
      <c r="E878" s="79" t="s">
        <v>5238</v>
      </c>
      <c r="F878" s="79" t="s">
        <v>9021</v>
      </c>
      <c r="G878" s="80" t="s">
        <v>96</v>
      </c>
      <c r="H878" s="90">
        <v>3.594E-4</v>
      </c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</row>
    <row r="879">
      <c r="A879" s="79" t="s">
        <v>17473</v>
      </c>
      <c r="B879" s="45"/>
      <c r="C879" s="79" t="s">
        <v>17474</v>
      </c>
      <c r="D879" s="45"/>
      <c r="E879" s="79" t="s">
        <v>5855</v>
      </c>
      <c r="F879" s="79" t="s">
        <v>5300</v>
      </c>
      <c r="G879" s="80" t="s">
        <v>96</v>
      </c>
      <c r="H879" s="90">
        <v>3.594E-4</v>
      </c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</row>
    <row r="880">
      <c r="A880" s="79" t="s">
        <v>9297</v>
      </c>
      <c r="B880" s="45"/>
      <c r="C880" s="79" t="s">
        <v>17475</v>
      </c>
      <c r="D880" s="45"/>
      <c r="E880" s="79" t="s">
        <v>5374</v>
      </c>
      <c r="F880" s="79" t="s">
        <v>5300</v>
      </c>
      <c r="G880" s="80" t="s">
        <v>96</v>
      </c>
      <c r="H880" s="90">
        <v>3.59E-4</v>
      </c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</row>
    <row r="881">
      <c r="A881" s="79" t="s">
        <v>17476</v>
      </c>
      <c r="B881" s="45"/>
      <c r="C881" s="79" t="s">
        <v>17477</v>
      </c>
      <c r="D881" s="45"/>
      <c r="E881" s="79" t="s">
        <v>5395</v>
      </c>
      <c r="F881" s="79" t="s">
        <v>5300</v>
      </c>
      <c r="G881" s="80" t="s">
        <v>96</v>
      </c>
      <c r="H881" s="90">
        <v>3.586E-4</v>
      </c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</row>
    <row r="882">
      <c r="A882" s="79" t="s">
        <v>17478</v>
      </c>
      <c r="B882" s="45"/>
      <c r="C882" s="79" t="s">
        <v>17479</v>
      </c>
      <c r="D882" s="45"/>
      <c r="E882" s="79" t="s">
        <v>8648</v>
      </c>
      <c r="F882" s="79" t="s">
        <v>9021</v>
      </c>
      <c r="G882" s="80" t="s">
        <v>96</v>
      </c>
      <c r="H882" s="90">
        <v>3.573E-4</v>
      </c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</row>
    <row r="883">
      <c r="A883" s="79" t="s">
        <v>17480</v>
      </c>
      <c r="B883" s="45"/>
      <c r="C883" s="79" t="s">
        <v>17481</v>
      </c>
      <c r="D883" s="45"/>
      <c r="E883" s="79" t="s">
        <v>5296</v>
      </c>
      <c r="F883" s="79" t="s">
        <v>5300</v>
      </c>
      <c r="G883" s="80" t="s">
        <v>96</v>
      </c>
      <c r="H883" s="90">
        <v>3.569E-4</v>
      </c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</row>
    <row r="884">
      <c r="A884" s="79" t="s">
        <v>17482</v>
      </c>
      <c r="B884" s="45"/>
      <c r="C884" s="79" t="s">
        <v>17483</v>
      </c>
      <c r="D884" s="45"/>
      <c r="E884" s="79" t="s">
        <v>5691</v>
      </c>
      <c r="F884" s="79" t="s">
        <v>5300</v>
      </c>
      <c r="G884" s="80" t="s">
        <v>96</v>
      </c>
      <c r="H884" s="90">
        <v>3.559E-4</v>
      </c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</row>
    <row r="885">
      <c r="A885" s="79" t="s">
        <v>17484</v>
      </c>
      <c r="B885" s="45"/>
      <c r="C885" s="79" t="s">
        <v>17485</v>
      </c>
      <c r="D885" s="45"/>
      <c r="E885" s="79" t="s">
        <v>5229</v>
      </c>
      <c r="F885" s="79" t="s">
        <v>8759</v>
      </c>
      <c r="G885" s="80" t="s">
        <v>96</v>
      </c>
      <c r="H885" s="90">
        <v>3.556E-4</v>
      </c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</row>
    <row r="886">
      <c r="A886" s="79" t="s">
        <v>17486</v>
      </c>
      <c r="B886" s="45"/>
      <c r="C886" s="79" t="s">
        <v>17487</v>
      </c>
      <c r="D886" s="45"/>
      <c r="E886" s="79" t="s">
        <v>5691</v>
      </c>
      <c r="F886" s="79" t="s">
        <v>6698</v>
      </c>
      <c r="G886" s="80" t="s">
        <v>96</v>
      </c>
      <c r="H886" s="90">
        <v>3.554E-4</v>
      </c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</row>
    <row r="887">
      <c r="A887" s="79" t="s">
        <v>17488</v>
      </c>
      <c r="B887" s="45"/>
      <c r="C887" s="79" t="s">
        <v>17489</v>
      </c>
      <c r="D887" s="45"/>
      <c r="E887" s="79" t="s">
        <v>5215</v>
      </c>
      <c r="F887" s="79" t="s">
        <v>5300</v>
      </c>
      <c r="G887" s="80" t="s">
        <v>96</v>
      </c>
      <c r="H887" s="90">
        <v>3.55E-4</v>
      </c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</row>
    <row r="888">
      <c r="A888" s="79" t="s">
        <v>16499</v>
      </c>
      <c r="B888" s="45"/>
      <c r="C888" s="79" t="s">
        <v>17490</v>
      </c>
      <c r="D888" s="45"/>
      <c r="E888" s="79" t="s">
        <v>5267</v>
      </c>
      <c r="F888" s="79" t="s">
        <v>8767</v>
      </c>
      <c r="G888" s="80" t="s">
        <v>96</v>
      </c>
      <c r="H888" s="90">
        <v>3.547E-4</v>
      </c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</row>
    <row r="889">
      <c r="A889" s="79" t="s">
        <v>17491</v>
      </c>
      <c r="B889" s="45"/>
      <c r="C889" s="79" t="s">
        <v>17492</v>
      </c>
      <c r="D889" s="45"/>
      <c r="E889" s="79" t="s">
        <v>5276</v>
      </c>
      <c r="F889" s="79" t="s">
        <v>5300</v>
      </c>
      <c r="G889" s="80" t="s">
        <v>96</v>
      </c>
      <c r="H889" s="90">
        <v>3.547E-4</v>
      </c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</row>
    <row r="890">
      <c r="A890" s="79" t="s">
        <v>17493</v>
      </c>
      <c r="B890" s="45"/>
      <c r="C890" s="79" t="s">
        <v>17494</v>
      </c>
      <c r="D890" s="45"/>
      <c r="E890" s="79" t="s">
        <v>6130</v>
      </c>
      <c r="F890" s="79" t="s">
        <v>5425</v>
      </c>
      <c r="G890" s="80" t="s">
        <v>96</v>
      </c>
      <c r="H890" s="90">
        <v>3.544E-4</v>
      </c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</row>
    <row r="891">
      <c r="A891" s="79" t="s">
        <v>17495</v>
      </c>
      <c r="B891" s="45"/>
      <c r="C891" s="79" t="s">
        <v>17496</v>
      </c>
      <c r="D891" s="45"/>
      <c r="E891" s="79" t="s">
        <v>5276</v>
      </c>
      <c r="F891" s="79" t="s">
        <v>5300</v>
      </c>
      <c r="G891" s="80" t="s">
        <v>96</v>
      </c>
      <c r="H891" s="90">
        <v>3.543E-4</v>
      </c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</row>
    <row r="892">
      <c r="A892" s="79" t="s">
        <v>17497</v>
      </c>
      <c r="B892" s="45"/>
      <c r="C892" s="79" t="s">
        <v>17498</v>
      </c>
      <c r="D892" s="45"/>
      <c r="E892" s="79" t="s">
        <v>5226</v>
      </c>
      <c r="F892" s="79" t="s">
        <v>5300</v>
      </c>
      <c r="G892" s="80" t="s">
        <v>96</v>
      </c>
      <c r="H892" s="90">
        <v>3.541E-4</v>
      </c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</row>
    <row r="893">
      <c r="A893" s="79" t="s">
        <v>17499</v>
      </c>
      <c r="B893" s="45"/>
      <c r="C893" s="79" t="s">
        <v>17500</v>
      </c>
      <c r="D893" s="45"/>
      <c r="E893" s="79" t="s">
        <v>5516</v>
      </c>
      <c r="F893" s="79" t="s">
        <v>5300</v>
      </c>
      <c r="G893" s="80" t="s">
        <v>96</v>
      </c>
      <c r="H893" s="90">
        <v>3.537E-4</v>
      </c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</row>
    <row r="894">
      <c r="A894" s="79" t="s">
        <v>17501</v>
      </c>
      <c r="B894" s="45"/>
      <c r="C894" s="79" t="s">
        <v>17502</v>
      </c>
      <c r="D894" s="45"/>
      <c r="E894" s="79" t="s">
        <v>7248</v>
      </c>
      <c r="F894" s="79" t="s">
        <v>5300</v>
      </c>
      <c r="G894" s="80" t="s">
        <v>96</v>
      </c>
      <c r="H894" s="90">
        <v>3.536E-4</v>
      </c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</row>
    <row r="895">
      <c r="A895" s="79" t="s">
        <v>10872</v>
      </c>
      <c r="B895" s="45"/>
      <c r="C895" s="79" t="s">
        <v>10873</v>
      </c>
      <c r="D895" s="45"/>
      <c r="E895" s="79" t="s">
        <v>5501</v>
      </c>
      <c r="F895" s="79" t="s">
        <v>8784</v>
      </c>
      <c r="G895" s="80" t="s">
        <v>96</v>
      </c>
      <c r="H895" s="90">
        <v>3.532E-4</v>
      </c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</row>
    <row r="896">
      <c r="A896" s="79" t="s">
        <v>17503</v>
      </c>
      <c r="B896" s="45"/>
      <c r="C896" s="79" t="s">
        <v>17504</v>
      </c>
      <c r="D896" s="45"/>
      <c r="E896" s="79" t="s">
        <v>7169</v>
      </c>
      <c r="F896" s="79" t="s">
        <v>4153</v>
      </c>
      <c r="G896" s="80" t="s">
        <v>96</v>
      </c>
      <c r="H896" s="90">
        <v>3.53E-4</v>
      </c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</row>
    <row r="897">
      <c r="A897" s="79" t="s">
        <v>17505</v>
      </c>
      <c r="B897" s="45"/>
      <c r="C897" s="79" t="s">
        <v>17506</v>
      </c>
      <c r="D897" s="45"/>
      <c r="E897" s="79" t="s">
        <v>5253</v>
      </c>
      <c r="F897" s="79" t="s">
        <v>5300</v>
      </c>
      <c r="G897" s="80" t="s">
        <v>96</v>
      </c>
      <c r="H897" s="90">
        <v>3.526E-4</v>
      </c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</row>
    <row r="898">
      <c r="A898" s="79" t="s">
        <v>17507</v>
      </c>
      <c r="B898" s="45"/>
      <c r="C898" s="79" t="s">
        <v>17508</v>
      </c>
      <c r="D898" s="45"/>
      <c r="E898" s="79" t="s">
        <v>5650</v>
      </c>
      <c r="F898" s="79" t="s">
        <v>5300</v>
      </c>
      <c r="G898" s="80" t="s">
        <v>96</v>
      </c>
      <c r="H898" s="90">
        <v>3.523E-4</v>
      </c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</row>
    <row r="899">
      <c r="A899" s="79" t="s">
        <v>10669</v>
      </c>
      <c r="B899" s="45"/>
      <c r="C899" s="79" t="s">
        <v>10670</v>
      </c>
      <c r="D899" s="45"/>
      <c r="E899" s="79" t="s">
        <v>5564</v>
      </c>
      <c r="F899" s="79" t="s">
        <v>5941</v>
      </c>
      <c r="G899" s="80" t="s">
        <v>96</v>
      </c>
      <c r="H899" s="90">
        <v>3.522E-4</v>
      </c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</row>
    <row r="900">
      <c r="A900" s="79" t="s">
        <v>10403</v>
      </c>
      <c r="B900" s="45"/>
      <c r="C900" s="79" t="s">
        <v>10404</v>
      </c>
      <c r="D900" s="45"/>
      <c r="E900" s="79" t="s">
        <v>5501</v>
      </c>
      <c r="F900" s="79" t="s">
        <v>8784</v>
      </c>
      <c r="G900" s="80" t="s">
        <v>96</v>
      </c>
      <c r="H900" s="90">
        <v>3.521E-4</v>
      </c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</row>
    <row r="901">
      <c r="A901" s="79" t="s">
        <v>11676</v>
      </c>
      <c r="B901" s="45"/>
      <c r="C901" s="79" t="s">
        <v>17509</v>
      </c>
      <c r="D901" s="45"/>
      <c r="E901" s="79" t="s">
        <v>7846</v>
      </c>
      <c r="F901" s="79" t="s">
        <v>5300</v>
      </c>
      <c r="G901" s="80" t="s">
        <v>96</v>
      </c>
      <c r="H901" s="90">
        <v>3.515E-4</v>
      </c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</row>
    <row r="902">
      <c r="A902" s="79" t="s">
        <v>17510</v>
      </c>
      <c r="B902" s="45"/>
      <c r="C902" s="79" t="s">
        <v>17511</v>
      </c>
      <c r="D902" s="45"/>
      <c r="E902" s="79" t="s">
        <v>5609</v>
      </c>
      <c r="F902" s="79" t="s">
        <v>9414</v>
      </c>
      <c r="G902" s="80" t="s">
        <v>96</v>
      </c>
      <c r="H902" s="90">
        <v>3.511E-4</v>
      </c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</row>
    <row r="903">
      <c r="A903" s="79" t="s">
        <v>17512</v>
      </c>
      <c r="B903" s="45"/>
      <c r="C903" s="79" t="s">
        <v>17513</v>
      </c>
      <c r="D903" s="45"/>
      <c r="E903" s="79" t="s">
        <v>7248</v>
      </c>
      <c r="F903" s="79" t="s">
        <v>5300</v>
      </c>
      <c r="G903" s="80" t="s">
        <v>96</v>
      </c>
      <c r="H903" s="90">
        <v>3.511E-4</v>
      </c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</row>
    <row r="904">
      <c r="A904" s="79" t="s">
        <v>17514</v>
      </c>
      <c r="B904" s="45"/>
      <c r="C904" s="79" t="s">
        <v>17515</v>
      </c>
      <c r="D904" s="45"/>
      <c r="E904" s="79" t="s">
        <v>5366</v>
      </c>
      <c r="F904" s="79" t="s">
        <v>5300</v>
      </c>
      <c r="G904" s="80" t="s">
        <v>96</v>
      </c>
      <c r="H904" s="90">
        <v>3.51E-4</v>
      </c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</row>
    <row r="905">
      <c r="A905" s="79" t="s">
        <v>10762</v>
      </c>
      <c r="B905" s="45"/>
      <c r="C905" s="79" t="s">
        <v>10763</v>
      </c>
      <c r="D905" s="45"/>
      <c r="E905" s="79" t="s">
        <v>6427</v>
      </c>
      <c r="F905" s="79" t="s">
        <v>8784</v>
      </c>
      <c r="G905" s="80" t="s">
        <v>96</v>
      </c>
      <c r="H905" s="90">
        <v>3.509E-4</v>
      </c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</row>
    <row r="906">
      <c r="A906" s="79" t="s">
        <v>10565</v>
      </c>
      <c r="B906" s="45"/>
      <c r="C906" s="79" t="s">
        <v>10566</v>
      </c>
      <c r="D906" s="45"/>
      <c r="E906" s="79" t="s">
        <v>5235</v>
      </c>
      <c r="F906" s="79" t="s">
        <v>9513</v>
      </c>
      <c r="G906" s="80" t="s">
        <v>96</v>
      </c>
      <c r="H906" s="90">
        <v>3.507E-4</v>
      </c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</row>
    <row r="907">
      <c r="A907" s="79" t="s">
        <v>17516</v>
      </c>
      <c r="B907" s="45"/>
      <c r="C907" s="79" t="s">
        <v>17517</v>
      </c>
      <c r="D907" s="45"/>
      <c r="E907" s="79" t="s">
        <v>6012</v>
      </c>
      <c r="F907" s="79" t="s">
        <v>5425</v>
      </c>
      <c r="G907" s="80" t="s">
        <v>96</v>
      </c>
      <c r="H907" s="90">
        <v>3.505E-4</v>
      </c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</row>
    <row r="908">
      <c r="A908" s="79" t="s">
        <v>17518</v>
      </c>
      <c r="B908" s="45"/>
      <c r="C908" s="79" t="s">
        <v>17519</v>
      </c>
      <c r="D908" s="45"/>
      <c r="E908" s="79" t="s">
        <v>5215</v>
      </c>
      <c r="F908" s="79" t="s">
        <v>5300</v>
      </c>
      <c r="G908" s="80" t="s">
        <v>96</v>
      </c>
      <c r="H908" s="90">
        <v>3.503E-4</v>
      </c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</row>
    <row r="909">
      <c r="A909" s="79" t="s">
        <v>17520</v>
      </c>
      <c r="B909" s="45"/>
      <c r="C909" s="79" t="s">
        <v>17521</v>
      </c>
      <c r="D909" s="45"/>
      <c r="E909" s="79" t="s">
        <v>6012</v>
      </c>
      <c r="F909" s="79" t="s">
        <v>8784</v>
      </c>
      <c r="G909" s="80" t="s">
        <v>96</v>
      </c>
      <c r="H909" s="90">
        <v>3.499E-4</v>
      </c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</row>
    <row r="910">
      <c r="A910" s="79" t="s">
        <v>17522</v>
      </c>
      <c r="B910" s="45"/>
      <c r="C910" s="79" t="s">
        <v>17523</v>
      </c>
      <c r="D910" s="45"/>
      <c r="E910" s="79" t="s">
        <v>6472</v>
      </c>
      <c r="F910" s="79" t="s">
        <v>5300</v>
      </c>
      <c r="G910" s="80" t="s">
        <v>96</v>
      </c>
      <c r="H910" s="90">
        <v>3.499E-4</v>
      </c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</row>
    <row r="911">
      <c r="A911" s="79" t="s">
        <v>17524</v>
      </c>
      <c r="B911" s="45"/>
      <c r="C911" s="79" t="s">
        <v>17525</v>
      </c>
      <c r="D911" s="45"/>
      <c r="E911" s="79" t="s">
        <v>5407</v>
      </c>
      <c r="F911" s="79" t="s">
        <v>5747</v>
      </c>
      <c r="G911" s="80" t="s">
        <v>96</v>
      </c>
      <c r="H911" s="90">
        <v>3.498E-4</v>
      </c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</row>
    <row r="912">
      <c r="A912" s="79" t="s">
        <v>17526</v>
      </c>
      <c r="B912" s="45"/>
      <c r="C912" s="79" t="s">
        <v>17527</v>
      </c>
      <c r="D912" s="45"/>
      <c r="E912" s="79" t="s">
        <v>6389</v>
      </c>
      <c r="F912" s="79" t="s">
        <v>5300</v>
      </c>
      <c r="G912" s="80" t="s">
        <v>96</v>
      </c>
      <c r="H912" s="90">
        <v>3.498E-4</v>
      </c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</row>
    <row r="913">
      <c r="A913" s="79" t="s">
        <v>10555</v>
      </c>
      <c r="B913" s="45"/>
      <c r="C913" s="79" t="s">
        <v>10556</v>
      </c>
      <c r="D913" s="45"/>
      <c r="E913" s="79" t="s">
        <v>6389</v>
      </c>
      <c r="F913" s="79" t="s">
        <v>8784</v>
      </c>
      <c r="G913" s="80" t="s">
        <v>96</v>
      </c>
      <c r="H913" s="90">
        <v>3.496E-4</v>
      </c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</row>
    <row r="914">
      <c r="A914" s="79" t="s">
        <v>17528</v>
      </c>
      <c r="B914" s="45"/>
      <c r="C914" s="79" t="s">
        <v>17529</v>
      </c>
      <c r="D914" s="45"/>
      <c r="E914" s="79" t="s">
        <v>5450</v>
      </c>
      <c r="F914" s="79" t="s">
        <v>5300</v>
      </c>
      <c r="G914" s="80" t="s">
        <v>96</v>
      </c>
      <c r="H914" s="90">
        <v>3.496E-4</v>
      </c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</row>
    <row r="915">
      <c r="A915" s="79" t="s">
        <v>17530</v>
      </c>
      <c r="B915" s="45"/>
      <c r="C915" s="79" t="s">
        <v>17531</v>
      </c>
      <c r="D915" s="45"/>
      <c r="E915" s="79" t="s">
        <v>5422</v>
      </c>
      <c r="F915" s="79" t="s">
        <v>5300</v>
      </c>
      <c r="G915" s="80" t="s">
        <v>96</v>
      </c>
      <c r="H915" s="90">
        <v>3.495E-4</v>
      </c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</row>
    <row r="916">
      <c r="A916" s="79" t="s">
        <v>10738</v>
      </c>
      <c r="B916" s="45"/>
      <c r="C916" s="79" t="s">
        <v>10739</v>
      </c>
      <c r="D916" s="45"/>
      <c r="E916" s="79" t="s">
        <v>5501</v>
      </c>
      <c r="F916" s="79" t="s">
        <v>8784</v>
      </c>
      <c r="G916" s="80" t="s">
        <v>96</v>
      </c>
      <c r="H916" s="90">
        <v>3.494E-4</v>
      </c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</row>
    <row r="917">
      <c r="A917" s="79" t="s">
        <v>17532</v>
      </c>
      <c r="B917" s="45"/>
      <c r="C917" s="79" t="s">
        <v>17533</v>
      </c>
      <c r="D917" s="45"/>
      <c r="E917" s="79" t="s">
        <v>5445</v>
      </c>
      <c r="F917" s="79" t="s">
        <v>5425</v>
      </c>
      <c r="G917" s="80" t="s">
        <v>96</v>
      </c>
      <c r="H917" s="90">
        <v>3.493E-4</v>
      </c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</row>
    <row r="918">
      <c r="A918" s="79" t="s">
        <v>10756</v>
      </c>
      <c r="B918" s="45"/>
      <c r="C918" s="79" t="s">
        <v>10757</v>
      </c>
      <c r="D918" s="45"/>
      <c r="E918" s="79" t="s">
        <v>6130</v>
      </c>
      <c r="F918" s="79" t="s">
        <v>8784</v>
      </c>
      <c r="G918" s="80" t="s">
        <v>96</v>
      </c>
      <c r="H918" s="90">
        <v>3.49E-4</v>
      </c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</row>
    <row r="919">
      <c r="A919" s="79" t="s">
        <v>17534</v>
      </c>
      <c r="B919" s="45"/>
      <c r="C919" s="79" t="s">
        <v>17535</v>
      </c>
      <c r="D919" s="45"/>
      <c r="E919" s="79" t="s">
        <v>5395</v>
      </c>
      <c r="F919" s="79" t="s">
        <v>5300</v>
      </c>
      <c r="G919" s="80" t="s">
        <v>96</v>
      </c>
      <c r="H919" s="90">
        <v>3.484E-4</v>
      </c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</row>
    <row r="920">
      <c r="A920" s="79" t="s">
        <v>10659</v>
      </c>
      <c r="B920" s="45"/>
      <c r="C920" s="79" t="s">
        <v>10660</v>
      </c>
      <c r="D920" s="45"/>
      <c r="E920" s="79" t="s">
        <v>5261</v>
      </c>
      <c r="F920" s="79" t="s">
        <v>5425</v>
      </c>
      <c r="G920" s="80" t="s">
        <v>96</v>
      </c>
      <c r="H920" s="90">
        <v>3.482E-4</v>
      </c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</row>
    <row r="921">
      <c r="A921" s="79" t="s">
        <v>10857</v>
      </c>
      <c r="B921" s="45"/>
      <c r="C921" s="79" t="s">
        <v>10858</v>
      </c>
      <c r="D921" s="45"/>
      <c r="E921" s="79" t="s">
        <v>5264</v>
      </c>
      <c r="F921" s="79" t="s">
        <v>8784</v>
      </c>
      <c r="G921" s="80" t="s">
        <v>96</v>
      </c>
      <c r="H921" s="90">
        <v>3.481E-4</v>
      </c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</row>
    <row r="922">
      <c r="A922" s="79" t="s">
        <v>17536</v>
      </c>
      <c r="B922" s="45"/>
      <c r="C922" s="79" t="s">
        <v>17537</v>
      </c>
      <c r="D922" s="45"/>
      <c r="E922" s="79" t="s">
        <v>5501</v>
      </c>
      <c r="F922" s="79" t="s">
        <v>5300</v>
      </c>
      <c r="G922" s="80" t="s">
        <v>96</v>
      </c>
      <c r="H922" s="90">
        <v>3.478E-4</v>
      </c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</row>
    <row r="923">
      <c r="A923" s="79" t="s">
        <v>17538</v>
      </c>
      <c r="B923" s="45"/>
      <c r="C923" s="79" t="s">
        <v>17539</v>
      </c>
      <c r="D923" s="45"/>
      <c r="E923" s="79" t="s">
        <v>5473</v>
      </c>
      <c r="F923" s="79" t="s">
        <v>5425</v>
      </c>
      <c r="G923" s="80" t="s">
        <v>96</v>
      </c>
      <c r="H923" s="90">
        <v>3.47E-4</v>
      </c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</row>
    <row r="924">
      <c r="A924" s="79" t="s">
        <v>17540</v>
      </c>
      <c r="B924" s="45"/>
      <c r="C924" s="79" t="s">
        <v>17541</v>
      </c>
      <c r="D924" s="45"/>
      <c r="E924" s="79" t="s">
        <v>5215</v>
      </c>
      <c r="F924" s="79" t="s">
        <v>5300</v>
      </c>
      <c r="G924" s="80" t="s">
        <v>96</v>
      </c>
      <c r="H924" s="90">
        <v>3.464E-4</v>
      </c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</row>
    <row r="925">
      <c r="A925" s="79" t="s">
        <v>17542</v>
      </c>
      <c r="B925" s="45"/>
      <c r="C925" s="79" t="s">
        <v>17543</v>
      </c>
      <c r="D925" s="45"/>
      <c r="E925" s="79" t="s">
        <v>5715</v>
      </c>
      <c r="F925" s="79" t="s">
        <v>5747</v>
      </c>
      <c r="G925" s="80" t="s">
        <v>96</v>
      </c>
      <c r="H925" s="90">
        <v>3.461E-4</v>
      </c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</row>
    <row r="926">
      <c r="A926" s="79" t="s">
        <v>17544</v>
      </c>
      <c r="B926" s="45"/>
      <c r="C926" s="79" t="s">
        <v>17545</v>
      </c>
      <c r="D926" s="45"/>
      <c r="E926" s="79" t="s">
        <v>5478</v>
      </c>
      <c r="F926" s="79" t="s">
        <v>5268</v>
      </c>
      <c r="G926" s="80" t="s">
        <v>96</v>
      </c>
      <c r="H926" s="90">
        <v>3.461E-4</v>
      </c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</row>
    <row r="927">
      <c r="A927" s="79" t="s">
        <v>17546</v>
      </c>
      <c r="B927" s="45"/>
      <c r="C927" s="79" t="s">
        <v>17547</v>
      </c>
      <c r="D927" s="45"/>
      <c r="E927" s="79" t="s">
        <v>5374</v>
      </c>
      <c r="F927" s="79" t="s">
        <v>8759</v>
      </c>
      <c r="G927" s="80" t="s">
        <v>96</v>
      </c>
      <c r="H927" s="90">
        <v>3.452E-4</v>
      </c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</row>
    <row r="928">
      <c r="A928" s="79" t="s">
        <v>17548</v>
      </c>
      <c r="B928" s="45"/>
      <c r="C928" s="79" t="s">
        <v>17549</v>
      </c>
      <c r="D928" s="45"/>
      <c r="E928" s="79" t="s">
        <v>5215</v>
      </c>
      <c r="F928" s="79" t="s">
        <v>5300</v>
      </c>
      <c r="G928" s="80" t="s">
        <v>96</v>
      </c>
      <c r="H928" s="90">
        <v>3.451E-4</v>
      </c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</row>
    <row r="929">
      <c r="A929" s="79" t="s">
        <v>17550</v>
      </c>
      <c r="B929" s="45"/>
      <c r="C929" s="79" t="s">
        <v>17551</v>
      </c>
      <c r="D929" s="45"/>
      <c r="E929" s="79" t="s">
        <v>9039</v>
      </c>
      <c r="F929" s="79" t="s">
        <v>5300</v>
      </c>
      <c r="G929" s="80" t="s">
        <v>96</v>
      </c>
      <c r="H929" s="90">
        <v>3.451E-4</v>
      </c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</row>
    <row r="930">
      <c r="A930" s="79" t="s">
        <v>17552</v>
      </c>
      <c r="B930" s="45"/>
      <c r="C930" s="79" t="s">
        <v>17553</v>
      </c>
      <c r="D930" s="45"/>
      <c r="E930" s="79" t="s">
        <v>5434</v>
      </c>
      <c r="F930" s="79" t="s">
        <v>5300</v>
      </c>
      <c r="G930" s="80" t="s">
        <v>96</v>
      </c>
      <c r="H930" s="90">
        <v>3.45E-4</v>
      </c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</row>
    <row r="931">
      <c r="A931" s="79" t="s">
        <v>17554</v>
      </c>
      <c r="B931" s="45"/>
      <c r="C931" s="79" t="s">
        <v>17555</v>
      </c>
      <c r="D931" s="45"/>
      <c r="E931" s="79" t="s">
        <v>5264</v>
      </c>
      <c r="F931" s="79" t="s">
        <v>4436</v>
      </c>
      <c r="G931" s="80" t="s">
        <v>96</v>
      </c>
      <c r="H931" s="90">
        <v>3.447E-4</v>
      </c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</row>
    <row r="932">
      <c r="A932" s="79" t="s">
        <v>17556</v>
      </c>
      <c r="B932" s="45"/>
      <c r="C932" s="79" t="s">
        <v>17557</v>
      </c>
      <c r="D932" s="45"/>
      <c r="E932" s="79" t="s">
        <v>5366</v>
      </c>
      <c r="F932" s="79" t="s">
        <v>5300</v>
      </c>
      <c r="G932" s="80" t="s">
        <v>96</v>
      </c>
      <c r="H932" s="90">
        <v>3.446E-4</v>
      </c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</row>
    <row r="933">
      <c r="A933" s="79" t="s">
        <v>17558</v>
      </c>
      <c r="B933" s="45"/>
      <c r="C933" s="79" t="s">
        <v>17559</v>
      </c>
      <c r="D933" s="45"/>
      <c r="E933" s="79" t="s">
        <v>5211</v>
      </c>
      <c r="F933" s="79" t="s">
        <v>5300</v>
      </c>
      <c r="G933" s="80" t="s">
        <v>96</v>
      </c>
      <c r="H933" s="90">
        <v>3.44E-4</v>
      </c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</row>
    <row r="934">
      <c r="A934" s="79" t="s">
        <v>17560</v>
      </c>
      <c r="B934" s="45"/>
      <c r="C934" s="79" t="s">
        <v>17561</v>
      </c>
      <c r="D934" s="45"/>
      <c r="E934" s="79" t="s">
        <v>7248</v>
      </c>
      <c r="F934" s="79" t="s">
        <v>5300</v>
      </c>
      <c r="G934" s="80" t="s">
        <v>96</v>
      </c>
      <c r="H934" s="90">
        <v>3.436E-4</v>
      </c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</row>
    <row r="935">
      <c r="A935" s="79" t="s">
        <v>17562</v>
      </c>
      <c r="B935" s="45"/>
      <c r="C935" s="79" t="s">
        <v>17563</v>
      </c>
      <c r="D935" s="45"/>
      <c r="E935" s="79" t="s">
        <v>6172</v>
      </c>
      <c r="F935" s="79" t="s">
        <v>5425</v>
      </c>
      <c r="G935" s="80" t="s">
        <v>96</v>
      </c>
      <c r="H935" s="90">
        <v>3.432E-4</v>
      </c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</row>
    <row r="936">
      <c r="A936" s="79" t="s">
        <v>17564</v>
      </c>
      <c r="B936" s="45"/>
      <c r="C936" s="79" t="s">
        <v>17565</v>
      </c>
      <c r="D936" s="45"/>
      <c r="E936" s="79" t="s">
        <v>5276</v>
      </c>
      <c r="F936" s="79" t="s">
        <v>5300</v>
      </c>
      <c r="G936" s="80" t="s">
        <v>96</v>
      </c>
      <c r="H936" s="90">
        <v>3.429E-4</v>
      </c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</row>
    <row r="937">
      <c r="A937" s="79" t="s">
        <v>17566</v>
      </c>
      <c r="B937" s="45"/>
      <c r="C937" s="79" t="s">
        <v>17567</v>
      </c>
      <c r="D937" s="45"/>
      <c r="E937" s="79" t="s">
        <v>5215</v>
      </c>
      <c r="F937" s="79" t="s">
        <v>5300</v>
      </c>
      <c r="G937" s="80" t="s">
        <v>96</v>
      </c>
      <c r="H937" s="90">
        <v>3.422E-4</v>
      </c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</row>
    <row r="938">
      <c r="A938" s="79" t="s">
        <v>10546</v>
      </c>
      <c r="B938" s="45"/>
      <c r="C938" s="79" t="s">
        <v>10547</v>
      </c>
      <c r="D938" s="45"/>
      <c r="E938" s="79" t="s">
        <v>6249</v>
      </c>
      <c r="F938" s="79" t="s">
        <v>8784</v>
      </c>
      <c r="G938" s="80" t="s">
        <v>96</v>
      </c>
      <c r="H938" s="90">
        <v>3.417E-4</v>
      </c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</row>
    <row r="939">
      <c r="A939" s="79" t="s">
        <v>17568</v>
      </c>
      <c r="B939" s="45"/>
      <c r="C939" s="79" t="s">
        <v>17569</v>
      </c>
      <c r="D939" s="45"/>
      <c r="E939" s="79" t="s">
        <v>9189</v>
      </c>
      <c r="F939" s="79" t="s">
        <v>5300</v>
      </c>
      <c r="G939" s="80" t="s">
        <v>96</v>
      </c>
      <c r="H939" s="90">
        <v>3.416E-4</v>
      </c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</row>
    <row r="940">
      <c r="A940" s="79" t="s">
        <v>10633</v>
      </c>
      <c r="B940" s="45"/>
      <c r="C940" s="79" t="s">
        <v>10634</v>
      </c>
      <c r="D940" s="45"/>
      <c r="E940" s="79" t="s">
        <v>6427</v>
      </c>
      <c r="F940" s="79" t="s">
        <v>9021</v>
      </c>
      <c r="G940" s="80" t="s">
        <v>96</v>
      </c>
      <c r="H940" s="90">
        <v>3.408E-4</v>
      </c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</row>
    <row r="941">
      <c r="A941" s="79" t="s">
        <v>17570</v>
      </c>
      <c r="B941" s="45"/>
      <c r="C941" s="79" t="s">
        <v>17571</v>
      </c>
      <c r="D941" s="45"/>
      <c r="E941" s="79" t="s">
        <v>5478</v>
      </c>
      <c r="F941" s="79" t="s">
        <v>5300</v>
      </c>
      <c r="G941" s="80" t="s">
        <v>96</v>
      </c>
      <c r="H941" s="90">
        <v>3.406E-4</v>
      </c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</row>
    <row r="942">
      <c r="A942" s="79" t="s">
        <v>10545</v>
      </c>
      <c r="B942" s="45"/>
      <c r="C942" s="79" t="s">
        <v>5433</v>
      </c>
      <c r="D942" s="45"/>
      <c r="E942" s="79" t="s">
        <v>5434</v>
      </c>
      <c r="F942" s="79" t="s">
        <v>5277</v>
      </c>
      <c r="G942" s="80" t="s">
        <v>96</v>
      </c>
      <c r="H942" s="90">
        <v>3.401E-4</v>
      </c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</row>
    <row r="943">
      <c r="A943" s="79" t="s">
        <v>17572</v>
      </c>
      <c r="B943" s="45"/>
      <c r="C943" s="79" t="s">
        <v>17573</v>
      </c>
      <c r="D943" s="45"/>
      <c r="E943" s="79" t="s">
        <v>5390</v>
      </c>
      <c r="F943" s="79" t="s">
        <v>5300</v>
      </c>
      <c r="G943" s="80" t="s">
        <v>96</v>
      </c>
      <c r="H943" s="90">
        <v>3.399E-4</v>
      </c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</row>
    <row r="944">
      <c r="A944" s="79" t="s">
        <v>10729</v>
      </c>
      <c r="B944" s="45"/>
      <c r="C944" s="79" t="s">
        <v>10730</v>
      </c>
      <c r="D944" s="45"/>
      <c r="E944" s="79" t="s">
        <v>5341</v>
      </c>
      <c r="F944" s="79" t="s">
        <v>5941</v>
      </c>
      <c r="G944" s="80" t="s">
        <v>96</v>
      </c>
      <c r="H944" s="90">
        <v>3.399E-4</v>
      </c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</row>
    <row r="945">
      <c r="A945" s="79" t="s">
        <v>10683</v>
      </c>
      <c r="B945" s="45"/>
      <c r="C945" s="79" t="s">
        <v>10684</v>
      </c>
      <c r="D945" s="45"/>
      <c r="E945" s="79" t="s">
        <v>5267</v>
      </c>
      <c r="F945" s="79" t="s">
        <v>8784</v>
      </c>
      <c r="G945" s="80" t="s">
        <v>96</v>
      </c>
      <c r="H945" s="90">
        <v>3.398E-4</v>
      </c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</row>
    <row r="946">
      <c r="A946" s="79" t="s">
        <v>17574</v>
      </c>
      <c r="B946" s="45"/>
      <c r="C946" s="79" t="s">
        <v>17575</v>
      </c>
      <c r="D946" s="45"/>
      <c r="E946" s="79" t="s">
        <v>5283</v>
      </c>
      <c r="F946" s="79" t="s">
        <v>5300</v>
      </c>
      <c r="G946" s="80" t="s">
        <v>96</v>
      </c>
      <c r="H946" s="90">
        <v>3.397E-4</v>
      </c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</row>
    <row r="947">
      <c r="A947" s="79" t="s">
        <v>17576</v>
      </c>
      <c r="B947" s="45"/>
      <c r="C947" s="79" t="s">
        <v>17577</v>
      </c>
      <c r="D947" s="45"/>
      <c r="E947" s="79" t="s">
        <v>5326</v>
      </c>
      <c r="F947" s="79" t="s">
        <v>5300</v>
      </c>
      <c r="G947" s="80" t="s">
        <v>96</v>
      </c>
      <c r="H947" s="90">
        <v>3.395E-4</v>
      </c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</row>
    <row r="948">
      <c r="A948" s="79" t="s">
        <v>17578</v>
      </c>
      <c r="B948" s="45"/>
      <c r="C948" s="79" t="s">
        <v>17579</v>
      </c>
      <c r="D948" s="45"/>
      <c r="E948" s="79" t="s">
        <v>5404</v>
      </c>
      <c r="F948" s="79" t="s">
        <v>5300</v>
      </c>
      <c r="G948" s="80" t="s">
        <v>96</v>
      </c>
      <c r="H948" s="90">
        <v>3.394E-4</v>
      </c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</row>
    <row r="949">
      <c r="A949" s="79" t="s">
        <v>17580</v>
      </c>
      <c r="B949" s="45"/>
      <c r="C949" s="79" t="s">
        <v>17581</v>
      </c>
      <c r="D949" s="45"/>
      <c r="E949" s="79" t="s">
        <v>5650</v>
      </c>
      <c r="F949" s="79" t="s">
        <v>8784</v>
      </c>
      <c r="G949" s="80" t="s">
        <v>96</v>
      </c>
      <c r="H949" s="90">
        <v>3.388E-4</v>
      </c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</row>
    <row r="950">
      <c r="A950" s="79" t="s">
        <v>10575</v>
      </c>
      <c r="B950" s="45"/>
      <c r="C950" s="79" t="s">
        <v>10576</v>
      </c>
      <c r="D950" s="45"/>
      <c r="E950" s="79" t="s">
        <v>6009</v>
      </c>
      <c r="F950" s="79" t="s">
        <v>8784</v>
      </c>
      <c r="G950" s="80" t="s">
        <v>96</v>
      </c>
      <c r="H950" s="90">
        <v>3.386E-4</v>
      </c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</row>
    <row r="951">
      <c r="A951" s="79" t="s">
        <v>17582</v>
      </c>
      <c r="B951" s="45"/>
      <c r="C951" s="79" t="s">
        <v>17583</v>
      </c>
      <c r="D951" s="45"/>
      <c r="E951" s="79" t="s">
        <v>5354</v>
      </c>
      <c r="F951" s="79" t="s">
        <v>5300</v>
      </c>
      <c r="G951" s="80" t="s">
        <v>96</v>
      </c>
      <c r="H951" s="90">
        <v>3.38E-4</v>
      </c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</row>
    <row r="952">
      <c r="A952" s="79" t="s">
        <v>10780</v>
      </c>
      <c r="B952" s="45"/>
      <c r="C952" s="79" t="s">
        <v>10781</v>
      </c>
      <c r="D952" s="45"/>
      <c r="E952" s="79" t="s">
        <v>5369</v>
      </c>
      <c r="F952" s="79" t="s">
        <v>8784</v>
      </c>
      <c r="G952" s="80" t="s">
        <v>96</v>
      </c>
      <c r="H952" s="90">
        <v>3.379E-4</v>
      </c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</row>
    <row r="953">
      <c r="A953" s="79" t="s">
        <v>5327</v>
      </c>
      <c r="B953" s="45"/>
      <c r="C953" s="79" t="s">
        <v>17584</v>
      </c>
      <c r="D953" s="45"/>
      <c r="E953" s="79" t="s">
        <v>5624</v>
      </c>
      <c r="F953" s="79" t="s">
        <v>5300</v>
      </c>
      <c r="G953" s="80" t="s">
        <v>96</v>
      </c>
      <c r="H953" s="90">
        <v>3.378E-4</v>
      </c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</row>
    <row r="954">
      <c r="A954" s="79" t="s">
        <v>17585</v>
      </c>
      <c r="B954" s="45"/>
      <c r="C954" s="79" t="s">
        <v>17586</v>
      </c>
      <c r="D954" s="45"/>
      <c r="E954" s="79" t="s">
        <v>5407</v>
      </c>
      <c r="F954" s="79" t="s">
        <v>5425</v>
      </c>
      <c r="G954" s="80" t="s">
        <v>96</v>
      </c>
      <c r="H954" s="90">
        <v>3.374E-4</v>
      </c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</row>
    <row r="955">
      <c r="A955" s="79" t="s">
        <v>17587</v>
      </c>
      <c r="B955" s="45"/>
      <c r="C955" s="79" t="s">
        <v>17588</v>
      </c>
      <c r="D955" s="45"/>
      <c r="E955" s="79" t="s">
        <v>5377</v>
      </c>
      <c r="F955" s="79" t="s">
        <v>5300</v>
      </c>
      <c r="G955" s="80" t="s">
        <v>96</v>
      </c>
      <c r="H955" s="90">
        <v>3.372E-4</v>
      </c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</row>
    <row r="956">
      <c r="A956" s="79" t="s">
        <v>17589</v>
      </c>
      <c r="B956" s="45"/>
      <c r="C956" s="79" t="s">
        <v>17590</v>
      </c>
      <c r="D956" s="45"/>
      <c r="E956" s="79" t="s">
        <v>5215</v>
      </c>
      <c r="F956" s="79" t="s">
        <v>5300</v>
      </c>
      <c r="G956" s="80" t="s">
        <v>96</v>
      </c>
      <c r="H956" s="90">
        <v>3.371E-4</v>
      </c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</row>
    <row r="957">
      <c r="A957" s="79" t="s">
        <v>17591</v>
      </c>
      <c r="B957" s="45"/>
      <c r="C957" s="79" t="s">
        <v>17592</v>
      </c>
      <c r="D957" s="45"/>
      <c r="E957" s="79" t="s">
        <v>8230</v>
      </c>
      <c r="F957" s="79" t="s">
        <v>5300</v>
      </c>
      <c r="G957" s="80" t="s">
        <v>96</v>
      </c>
      <c r="H957" s="90">
        <v>3.37E-4</v>
      </c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</row>
    <row r="958">
      <c r="A958" s="79" t="s">
        <v>17593</v>
      </c>
      <c r="B958" s="45"/>
      <c r="C958" s="79" t="s">
        <v>17594</v>
      </c>
      <c r="D958" s="45"/>
      <c r="E958" s="79" t="s">
        <v>5456</v>
      </c>
      <c r="F958" s="79" t="s">
        <v>5425</v>
      </c>
      <c r="G958" s="80" t="s">
        <v>96</v>
      </c>
      <c r="H958" s="90">
        <v>3.364E-4</v>
      </c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</row>
    <row r="959">
      <c r="A959" s="79" t="s">
        <v>17595</v>
      </c>
      <c r="B959" s="45"/>
      <c r="C959" s="79" t="s">
        <v>17596</v>
      </c>
      <c r="D959" s="45"/>
      <c r="E959" s="79" t="s">
        <v>9553</v>
      </c>
      <c r="F959" s="79" t="s">
        <v>5300</v>
      </c>
      <c r="G959" s="80" t="s">
        <v>96</v>
      </c>
      <c r="H959" s="90">
        <v>3.361E-4</v>
      </c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</row>
    <row r="960">
      <c r="A960" s="79" t="s">
        <v>17597</v>
      </c>
      <c r="B960" s="45"/>
      <c r="C960" s="79" t="s">
        <v>17598</v>
      </c>
      <c r="D960" s="45"/>
      <c r="E960" s="79" t="s">
        <v>5218</v>
      </c>
      <c r="F960" s="79" t="s">
        <v>5300</v>
      </c>
      <c r="G960" s="80" t="s">
        <v>96</v>
      </c>
      <c r="H960" s="90">
        <v>3.359E-4</v>
      </c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</row>
    <row r="961">
      <c r="A961" s="79" t="s">
        <v>17599</v>
      </c>
      <c r="B961" s="45"/>
      <c r="C961" s="79" t="s">
        <v>17600</v>
      </c>
      <c r="D961" s="45"/>
      <c r="E961" s="79" t="s">
        <v>5808</v>
      </c>
      <c r="F961" s="79" t="s">
        <v>5300</v>
      </c>
      <c r="G961" s="80" t="s">
        <v>96</v>
      </c>
      <c r="H961" s="90">
        <v>3.351E-4</v>
      </c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</row>
    <row r="962">
      <c r="A962" s="79" t="s">
        <v>10847</v>
      </c>
      <c r="B962" s="45"/>
      <c r="C962" s="79" t="s">
        <v>10848</v>
      </c>
      <c r="D962" s="45"/>
      <c r="E962" s="79" t="s">
        <v>5704</v>
      </c>
      <c r="F962" s="79" t="s">
        <v>8784</v>
      </c>
      <c r="G962" s="80" t="s">
        <v>96</v>
      </c>
      <c r="H962" s="90">
        <v>3.349E-4</v>
      </c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</row>
    <row r="963">
      <c r="A963" s="79" t="s">
        <v>10748</v>
      </c>
      <c r="B963" s="45"/>
      <c r="C963" s="79" t="s">
        <v>10749</v>
      </c>
      <c r="D963" s="45"/>
      <c r="E963" s="79" t="s">
        <v>5232</v>
      </c>
      <c r="F963" s="79" t="s">
        <v>8784</v>
      </c>
      <c r="G963" s="80" t="s">
        <v>96</v>
      </c>
      <c r="H963" s="90">
        <v>3.348E-4</v>
      </c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</row>
    <row r="964">
      <c r="A964" s="79" t="s">
        <v>17601</v>
      </c>
      <c r="B964" s="45"/>
      <c r="C964" s="79" t="s">
        <v>17602</v>
      </c>
      <c r="D964" s="45"/>
      <c r="E964" s="79" t="s">
        <v>5276</v>
      </c>
      <c r="F964" s="79" t="s">
        <v>4095</v>
      </c>
      <c r="G964" s="80" t="s">
        <v>96</v>
      </c>
      <c r="H964" s="90">
        <v>3.34E-4</v>
      </c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</row>
    <row r="965">
      <c r="A965" s="79" t="s">
        <v>17603</v>
      </c>
      <c r="B965" s="45"/>
      <c r="C965" s="79" t="s">
        <v>17604</v>
      </c>
      <c r="D965" s="45"/>
      <c r="E965" s="79" t="s">
        <v>5267</v>
      </c>
      <c r="F965" s="79" t="s">
        <v>5836</v>
      </c>
      <c r="G965" s="80" t="s">
        <v>96</v>
      </c>
      <c r="H965" s="90">
        <v>3.34E-4</v>
      </c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</row>
    <row r="966">
      <c r="A966" s="79" t="s">
        <v>17605</v>
      </c>
      <c r="B966" s="45"/>
      <c r="C966" s="79" t="s">
        <v>17606</v>
      </c>
      <c r="D966" s="45"/>
      <c r="E966" s="79" t="s">
        <v>5811</v>
      </c>
      <c r="F966" s="79" t="s">
        <v>5927</v>
      </c>
      <c r="G966" s="80" t="s">
        <v>96</v>
      </c>
      <c r="H966" s="90">
        <v>3.339E-4</v>
      </c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</row>
    <row r="967">
      <c r="A967" s="79" t="s">
        <v>5375</v>
      </c>
      <c r="B967" s="45"/>
      <c r="C967" s="79" t="s">
        <v>17607</v>
      </c>
      <c r="D967" s="45"/>
      <c r="E967" s="79" t="s">
        <v>5246</v>
      </c>
      <c r="F967" s="79" t="s">
        <v>5300</v>
      </c>
      <c r="G967" s="80" t="s">
        <v>96</v>
      </c>
      <c r="H967" s="90">
        <v>3.335E-4</v>
      </c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</row>
    <row r="968">
      <c r="A968" s="79" t="s">
        <v>17608</v>
      </c>
      <c r="B968" s="45"/>
      <c r="C968" s="79" t="s">
        <v>17609</v>
      </c>
      <c r="D968" s="45"/>
      <c r="E968" s="79" t="s">
        <v>5516</v>
      </c>
      <c r="F968" s="79" t="s">
        <v>5300</v>
      </c>
      <c r="G968" s="80" t="s">
        <v>96</v>
      </c>
      <c r="H968" s="90">
        <v>3.334E-4</v>
      </c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</row>
    <row r="969">
      <c r="A969" s="79" t="s">
        <v>17610</v>
      </c>
      <c r="B969" s="45"/>
      <c r="C969" s="79" t="s">
        <v>17611</v>
      </c>
      <c r="D969" s="45"/>
      <c r="E969" s="79" t="s">
        <v>6115</v>
      </c>
      <c r="F969" s="79" t="s">
        <v>5300</v>
      </c>
      <c r="G969" s="80" t="s">
        <v>96</v>
      </c>
      <c r="H969" s="90">
        <v>3.323E-4</v>
      </c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</row>
    <row r="970">
      <c r="A970" s="79" t="s">
        <v>10796</v>
      </c>
      <c r="B970" s="45"/>
      <c r="C970" s="79" t="s">
        <v>10797</v>
      </c>
      <c r="D970" s="45"/>
      <c r="E970" s="79" t="s">
        <v>6130</v>
      </c>
      <c r="F970" s="79" t="s">
        <v>8784</v>
      </c>
      <c r="G970" s="80" t="s">
        <v>96</v>
      </c>
      <c r="H970" s="90">
        <v>3.322E-4</v>
      </c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</row>
    <row r="971">
      <c r="A971" s="79" t="s">
        <v>17612</v>
      </c>
      <c r="B971" s="45"/>
      <c r="C971" s="79" t="s">
        <v>17613</v>
      </c>
      <c r="D971" s="45"/>
      <c r="E971" s="79" t="s">
        <v>5354</v>
      </c>
      <c r="F971" s="79" t="s">
        <v>5300</v>
      </c>
      <c r="G971" s="80" t="s">
        <v>96</v>
      </c>
      <c r="H971" s="90">
        <v>3.32E-4</v>
      </c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</row>
    <row r="972">
      <c r="A972" s="79" t="s">
        <v>17614</v>
      </c>
      <c r="B972" s="45"/>
      <c r="C972" s="79" t="s">
        <v>17615</v>
      </c>
      <c r="D972" s="45"/>
      <c r="E972" s="79" t="s">
        <v>8110</v>
      </c>
      <c r="F972" s="79" t="s">
        <v>5300</v>
      </c>
      <c r="G972" s="80" t="s">
        <v>96</v>
      </c>
      <c r="H972" s="90">
        <v>3.315E-4</v>
      </c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</row>
    <row r="973">
      <c r="A973" s="79" t="s">
        <v>10768</v>
      </c>
      <c r="B973" s="45"/>
      <c r="C973" s="79" t="s">
        <v>10769</v>
      </c>
      <c r="D973" s="45"/>
      <c r="E973" s="79" t="s">
        <v>5215</v>
      </c>
      <c r="F973" s="79" t="s">
        <v>8784</v>
      </c>
      <c r="G973" s="80" t="s">
        <v>96</v>
      </c>
      <c r="H973" s="90">
        <v>3.311E-4</v>
      </c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</row>
    <row r="974">
      <c r="A974" s="79" t="s">
        <v>17616</v>
      </c>
      <c r="B974" s="45"/>
      <c r="C974" s="79" t="s">
        <v>17617</v>
      </c>
      <c r="D974" s="45"/>
      <c r="E974" s="79" t="s">
        <v>5374</v>
      </c>
      <c r="F974" s="79" t="s">
        <v>5425</v>
      </c>
      <c r="G974" s="80" t="s">
        <v>96</v>
      </c>
      <c r="H974" s="90">
        <v>3.308E-4</v>
      </c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</row>
    <row r="975">
      <c r="A975" s="79" t="s">
        <v>10942</v>
      </c>
      <c r="B975" s="45"/>
      <c r="C975" s="79" t="s">
        <v>10943</v>
      </c>
      <c r="D975" s="45"/>
      <c r="E975" s="79" t="s">
        <v>5501</v>
      </c>
      <c r="F975" s="79" t="s">
        <v>8784</v>
      </c>
      <c r="G975" s="80" t="s">
        <v>96</v>
      </c>
      <c r="H975" s="90">
        <v>3.307E-4</v>
      </c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</row>
    <row r="976">
      <c r="A976" s="79" t="s">
        <v>10541</v>
      </c>
      <c r="B976" s="45"/>
      <c r="C976" s="79" t="s">
        <v>10542</v>
      </c>
      <c r="D976" s="45"/>
      <c r="E976" s="79" t="s">
        <v>5434</v>
      </c>
      <c r="F976" s="79" t="s">
        <v>8784</v>
      </c>
      <c r="G976" s="80" t="s">
        <v>96</v>
      </c>
      <c r="H976" s="90">
        <v>3.305E-4</v>
      </c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</row>
    <row r="977">
      <c r="A977" s="79" t="s">
        <v>17618</v>
      </c>
      <c r="B977" s="45"/>
      <c r="C977" s="79" t="s">
        <v>17619</v>
      </c>
      <c r="D977" s="45"/>
      <c r="E977" s="79" t="s">
        <v>5283</v>
      </c>
      <c r="F977" s="79" t="s">
        <v>5300</v>
      </c>
      <c r="G977" s="80" t="s">
        <v>96</v>
      </c>
      <c r="H977" s="90">
        <v>3.304E-4</v>
      </c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</row>
    <row r="978">
      <c r="A978" s="79" t="s">
        <v>17620</v>
      </c>
      <c r="B978" s="45"/>
      <c r="C978" s="79" t="s">
        <v>17621</v>
      </c>
      <c r="D978" s="45"/>
      <c r="E978" s="79" t="s">
        <v>6472</v>
      </c>
      <c r="F978" s="79" t="s">
        <v>5300</v>
      </c>
      <c r="G978" s="80" t="s">
        <v>96</v>
      </c>
      <c r="H978" s="90">
        <v>3.303E-4</v>
      </c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</row>
    <row r="979">
      <c r="A979" s="79" t="s">
        <v>17622</v>
      </c>
      <c r="B979" s="45"/>
      <c r="C979" s="79" t="s">
        <v>17623</v>
      </c>
      <c r="D979" s="45"/>
      <c r="E979" s="79" t="s">
        <v>5366</v>
      </c>
      <c r="F979" s="79" t="s">
        <v>8784</v>
      </c>
      <c r="G979" s="80" t="s">
        <v>96</v>
      </c>
      <c r="H979" s="90">
        <v>3.301E-4</v>
      </c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</row>
    <row r="980">
      <c r="A980" s="79" t="s">
        <v>17624</v>
      </c>
      <c r="B980" s="45"/>
      <c r="C980" s="79" t="s">
        <v>17625</v>
      </c>
      <c r="D980" s="45"/>
      <c r="E980" s="79" t="s">
        <v>5309</v>
      </c>
      <c r="F980" s="79" t="s">
        <v>5425</v>
      </c>
      <c r="G980" s="80" t="s">
        <v>96</v>
      </c>
      <c r="H980" s="90">
        <v>3.301E-4</v>
      </c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</row>
    <row r="981">
      <c r="A981" s="79" t="s">
        <v>17626</v>
      </c>
      <c r="B981" s="45"/>
      <c r="C981" s="79" t="s">
        <v>17627</v>
      </c>
      <c r="D981" s="45"/>
      <c r="E981" s="79" t="s">
        <v>9189</v>
      </c>
      <c r="F981" s="79" t="s">
        <v>5300</v>
      </c>
      <c r="G981" s="80" t="s">
        <v>96</v>
      </c>
      <c r="H981" s="90">
        <v>3.299E-4</v>
      </c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</row>
    <row r="982">
      <c r="A982" s="79" t="s">
        <v>17628</v>
      </c>
      <c r="B982" s="45"/>
      <c r="C982" s="79" t="s">
        <v>17629</v>
      </c>
      <c r="D982" s="45"/>
      <c r="E982" s="79" t="s">
        <v>7248</v>
      </c>
      <c r="F982" s="79" t="s">
        <v>5300</v>
      </c>
      <c r="G982" s="80" t="s">
        <v>96</v>
      </c>
      <c r="H982" s="90">
        <v>3.298E-4</v>
      </c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</row>
    <row r="983">
      <c r="A983" s="79" t="s">
        <v>10806</v>
      </c>
      <c r="B983" s="45"/>
      <c r="C983" s="79" t="s">
        <v>10807</v>
      </c>
      <c r="D983" s="45"/>
      <c r="E983" s="79" t="s">
        <v>5321</v>
      </c>
      <c r="F983" s="79" t="s">
        <v>8784</v>
      </c>
      <c r="G983" s="80" t="s">
        <v>96</v>
      </c>
      <c r="H983" s="90">
        <v>3.298E-4</v>
      </c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</row>
    <row r="984">
      <c r="A984" s="79" t="s">
        <v>17630</v>
      </c>
      <c r="B984" s="45"/>
      <c r="C984" s="79" t="s">
        <v>17631</v>
      </c>
      <c r="D984" s="45"/>
      <c r="E984" s="79" t="s">
        <v>5445</v>
      </c>
      <c r="F984" s="79" t="s">
        <v>5300</v>
      </c>
      <c r="G984" s="80" t="s">
        <v>96</v>
      </c>
      <c r="H984" s="90">
        <v>3.294E-4</v>
      </c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</row>
    <row r="985">
      <c r="A985" s="79" t="s">
        <v>17632</v>
      </c>
      <c r="B985" s="45"/>
      <c r="C985" s="79" t="s">
        <v>17633</v>
      </c>
      <c r="D985" s="45"/>
      <c r="E985" s="79" t="s">
        <v>5283</v>
      </c>
      <c r="F985" s="79" t="s">
        <v>5300</v>
      </c>
      <c r="G985" s="80" t="s">
        <v>96</v>
      </c>
      <c r="H985" s="90">
        <v>3.29E-4</v>
      </c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</row>
    <row r="986">
      <c r="A986" s="79" t="s">
        <v>17634</v>
      </c>
      <c r="B986" s="45"/>
      <c r="C986" s="79" t="s">
        <v>17635</v>
      </c>
      <c r="D986" s="45"/>
      <c r="E986" s="79" t="s">
        <v>6630</v>
      </c>
      <c r="F986" s="79" t="s">
        <v>5425</v>
      </c>
      <c r="G986" s="80" t="s">
        <v>96</v>
      </c>
      <c r="H986" s="90">
        <v>3.289E-4</v>
      </c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</row>
    <row r="987">
      <c r="A987" s="79" t="s">
        <v>17636</v>
      </c>
      <c r="B987" s="45"/>
      <c r="C987" s="79" t="s">
        <v>17637</v>
      </c>
      <c r="D987" s="45"/>
      <c r="E987" s="79" t="s">
        <v>5280</v>
      </c>
      <c r="F987" s="79" t="s">
        <v>5300</v>
      </c>
      <c r="G987" s="80" t="s">
        <v>96</v>
      </c>
      <c r="H987" s="90">
        <v>3.286E-4</v>
      </c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</row>
    <row r="988">
      <c r="A988" s="79" t="s">
        <v>10974</v>
      </c>
      <c r="B988" s="45"/>
      <c r="C988" s="79" t="s">
        <v>10975</v>
      </c>
      <c r="D988" s="45"/>
      <c r="E988" s="79" t="s">
        <v>5390</v>
      </c>
      <c r="F988" s="79" t="s">
        <v>8784</v>
      </c>
      <c r="G988" s="80" t="s">
        <v>96</v>
      </c>
      <c r="H988" s="90">
        <v>3.285E-4</v>
      </c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</row>
    <row r="989">
      <c r="A989" s="79" t="s">
        <v>17638</v>
      </c>
      <c r="B989" s="45"/>
      <c r="C989" s="79" t="s">
        <v>17639</v>
      </c>
      <c r="D989" s="45"/>
      <c r="E989" s="79" t="s">
        <v>5404</v>
      </c>
      <c r="F989" s="79" t="s">
        <v>5425</v>
      </c>
      <c r="G989" s="80" t="s">
        <v>96</v>
      </c>
      <c r="H989" s="90">
        <v>3.285E-4</v>
      </c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</row>
    <row r="990">
      <c r="A990" s="79" t="s">
        <v>17640</v>
      </c>
      <c r="B990" s="45"/>
      <c r="C990" s="79" t="s">
        <v>17641</v>
      </c>
      <c r="D990" s="45"/>
      <c r="E990" s="79" t="s">
        <v>6191</v>
      </c>
      <c r="F990" s="79" t="s">
        <v>5836</v>
      </c>
      <c r="G990" s="80" t="s">
        <v>96</v>
      </c>
      <c r="H990" s="90">
        <v>3.282E-4</v>
      </c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</row>
    <row r="991">
      <c r="A991" s="79" t="s">
        <v>17642</v>
      </c>
      <c r="B991" s="45"/>
      <c r="C991" s="79" t="s">
        <v>17643</v>
      </c>
      <c r="D991" s="45"/>
      <c r="E991" s="79" t="s">
        <v>6157</v>
      </c>
      <c r="F991" s="79" t="s">
        <v>5300</v>
      </c>
      <c r="G991" s="80" t="s">
        <v>96</v>
      </c>
      <c r="H991" s="90">
        <v>3.28E-4</v>
      </c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</row>
    <row r="992">
      <c r="A992" s="79" t="s">
        <v>5687</v>
      </c>
      <c r="B992" s="45"/>
      <c r="C992" s="79" t="s">
        <v>17644</v>
      </c>
      <c r="D992" s="45"/>
      <c r="E992" s="79" t="s">
        <v>5650</v>
      </c>
      <c r="F992" s="79" t="s">
        <v>4095</v>
      </c>
      <c r="G992" s="80" t="s">
        <v>96</v>
      </c>
      <c r="H992" s="90">
        <v>3.279E-4</v>
      </c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</row>
    <row r="993">
      <c r="A993" s="79" t="s">
        <v>17645</v>
      </c>
      <c r="B993" s="45"/>
      <c r="C993" s="79" t="s">
        <v>17646</v>
      </c>
      <c r="D993" s="45"/>
      <c r="E993" s="79" t="s">
        <v>5377</v>
      </c>
      <c r="F993" s="79" t="s">
        <v>9021</v>
      </c>
      <c r="G993" s="80" t="s">
        <v>96</v>
      </c>
      <c r="H993" s="90">
        <v>3.276E-4</v>
      </c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</row>
    <row r="994">
      <c r="A994" s="79" t="s">
        <v>17647</v>
      </c>
      <c r="B994" s="45"/>
      <c r="C994" s="79" t="s">
        <v>17648</v>
      </c>
      <c r="D994" s="45"/>
      <c r="E994" s="79" t="s">
        <v>5215</v>
      </c>
      <c r="F994" s="79" t="s">
        <v>5300</v>
      </c>
      <c r="G994" s="80" t="s">
        <v>96</v>
      </c>
      <c r="H994" s="90">
        <v>3.275E-4</v>
      </c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</row>
    <row r="995">
      <c r="A995" s="79" t="s">
        <v>10328</v>
      </c>
      <c r="B995" s="45"/>
      <c r="C995" s="79" t="s">
        <v>10329</v>
      </c>
      <c r="D995" s="45"/>
      <c r="E995" s="79" t="s">
        <v>5445</v>
      </c>
      <c r="F995" s="79" t="s">
        <v>8784</v>
      </c>
      <c r="G995" s="80" t="s">
        <v>96</v>
      </c>
      <c r="H995" s="90">
        <v>3.272E-4</v>
      </c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</row>
    <row r="996">
      <c r="A996" s="79" t="s">
        <v>17649</v>
      </c>
      <c r="B996" s="45"/>
      <c r="C996" s="79" t="s">
        <v>17650</v>
      </c>
      <c r="D996" s="45"/>
      <c r="E996" s="79" t="s">
        <v>5276</v>
      </c>
      <c r="F996" s="79" t="s">
        <v>5300</v>
      </c>
      <c r="G996" s="80" t="s">
        <v>96</v>
      </c>
      <c r="H996" s="90">
        <v>3.269E-4</v>
      </c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</row>
    <row r="997">
      <c r="A997" s="79" t="s">
        <v>17651</v>
      </c>
      <c r="B997" s="45"/>
      <c r="C997" s="79" t="s">
        <v>17652</v>
      </c>
      <c r="D997" s="45"/>
      <c r="E997" s="79" t="s">
        <v>5456</v>
      </c>
      <c r="F997" s="79" t="s">
        <v>5300</v>
      </c>
      <c r="G997" s="80" t="s">
        <v>96</v>
      </c>
      <c r="H997" s="90">
        <v>3.268E-4</v>
      </c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</row>
    <row r="998">
      <c r="A998" s="79" t="s">
        <v>17653</v>
      </c>
      <c r="B998" s="45"/>
      <c r="C998" s="79" t="s">
        <v>17654</v>
      </c>
      <c r="D998" s="45"/>
      <c r="E998" s="79" t="s">
        <v>5478</v>
      </c>
      <c r="F998" s="79" t="s">
        <v>5300</v>
      </c>
      <c r="G998" s="80" t="s">
        <v>96</v>
      </c>
      <c r="H998" s="90">
        <v>3.266E-4</v>
      </c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</row>
    <row r="999">
      <c r="A999" s="79" t="s">
        <v>17655</v>
      </c>
      <c r="B999" s="45"/>
      <c r="C999" s="79" t="s">
        <v>17656</v>
      </c>
      <c r="D999" s="45"/>
      <c r="E999" s="79" t="s">
        <v>5756</v>
      </c>
      <c r="F999" s="79" t="s">
        <v>17657</v>
      </c>
      <c r="G999" s="80" t="s">
        <v>96</v>
      </c>
      <c r="H999" s="90">
        <v>3.263E-4</v>
      </c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</row>
    <row r="1000">
      <c r="A1000" s="79" t="s">
        <v>17658</v>
      </c>
      <c r="B1000" s="45"/>
      <c r="C1000" s="79" t="s">
        <v>17659</v>
      </c>
      <c r="D1000" s="45"/>
      <c r="E1000" s="79" t="s">
        <v>5357</v>
      </c>
      <c r="F1000" s="79" t="s">
        <v>8784</v>
      </c>
      <c r="G1000" s="80" t="s">
        <v>96</v>
      </c>
      <c r="H1000" s="90">
        <v>3.259E-4</v>
      </c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</row>
    <row r="1001">
      <c r="A1001" s="79" t="s">
        <v>17660</v>
      </c>
      <c r="B1001" s="45"/>
      <c r="C1001" s="79" t="s">
        <v>17661</v>
      </c>
      <c r="D1001" s="45"/>
      <c r="E1001" s="79" t="s">
        <v>5478</v>
      </c>
      <c r="F1001" s="79" t="s">
        <v>9414</v>
      </c>
      <c r="G1001" s="80" t="s">
        <v>96</v>
      </c>
      <c r="H1001" s="90">
        <v>3.255E-4</v>
      </c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</row>
    <row r="1002">
      <c r="A1002" s="79" t="s">
        <v>17662</v>
      </c>
      <c r="B1002" s="45"/>
      <c r="C1002" s="79" t="s">
        <v>17663</v>
      </c>
      <c r="D1002" s="45"/>
      <c r="E1002" s="79" t="s">
        <v>8230</v>
      </c>
      <c r="F1002" s="79" t="s">
        <v>5300</v>
      </c>
      <c r="G1002" s="80" t="s">
        <v>96</v>
      </c>
      <c r="H1002" s="90">
        <v>3.253E-4</v>
      </c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</row>
    <row r="1003">
      <c r="A1003" s="79" t="s">
        <v>17664</v>
      </c>
      <c r="B1003" s="45"/>
      <c r="C1003" s="79" t="s">
        <v>17665</v>
      </c>
      <c r="D1003" s="45"/>
      <c r="E1003" s="79" t="s">
        <v>5478</v>
      </c>
      <c r="F1003" s="79" t="s">
        <v>5300</v>
      </c>
      <c r="G1003" s="80" t="s">
        <v>96</v>
      </c>
      <c r="H1003" s="90">
        <v>3.252E-4</v>
      </c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</row>
    <row r="1004">
      <c r="A1004" s="79" t="s">
        <v>17666</v>
      </c>
      <c r="B1004" s="45"/>
      <c r="C1004" s="79" t="s">
        <v>17667</v>
      </c>
      <c r="D1004" s="45"/>
      <c r="E1004" s="79" t="s">
        <v>6389</v>
      </c>
      <c r="F1004" s="79" t="s">
        <v>8759</v>
      </c>
      <c r="G1004" s="80" t="s">
        <v>96</v>
      </c>
      <c r="H1004" s="90">
        <v>3.25E-4</v>
      </c>
      <c r="I1004" s="45"/>
      <c r="J1004" s="45"/>
      <c r="K1004" s="45"/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</row>
    <row r="1005">
      <c r="A1005" s="79" t="s">
        <v>17668</v>
      </c>
      <c r="B1005" s="45"/>
      <c r="C1005" s="79" t="s">
        <v>17669</v>
      </c>
      <c r="D1005" s="45"/>
      <c r="E1005" s="79" t="s">
        <v>5326</v>
      </c>
      <c r="F1005" s="79" t="s">
        <v>5300</v>
      </c>
      <c r="G1005" s="80" t="s">
        <v>96</v>
      </c>
      <c r="H1005" s="90">
        <v>3.244E-4</v>
      </c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</row>
    <row r="1006">
      <c r="A1006" s="79" t="s">
        <v>17670</v>
      </c>
      <c r="B1006" s="45"/>
      <c r="C1006" s="79" t="s">
        <v>17671</v>
      </c>
      <c r="D1006" s="45"/>
      <c r="E1006" s="79" t="s">
        <v>5478</v>
      </c>
      <c r="F1006" s="79" t="s">
        <v>5300</v>
      </c>
      <c r="G1006" s="80" t="s">
        <v>96</v>
      </c>
      <c r="H1006" s="90">
        <v>3.242E-4</v>
      </c>
      <c r="I1006" s="45"/>
      <c r="J1006" s="45"/>
      <c r="K1006" s="45"/>
      <c r="L1006" s="45"/>
      <c r="M1006" s="45"/>
      <c r="N1006" s="45"/>
      <c r="O1006" s="45"/>
      <c r="P1006" s="45"/>
      <c r="Q1006" s="45"/>
      <c r="R1006" s="45"/>
      <c r="S1006" s="45"/>
      <c r="T1006" s="45"/>
      <c r="U1006" s="45"/>
    </row>
    <row r="1007">
      <c r="A1007" s="79" t="s">
        <v>17672</v>
      </c>
      <c r="B1007" s="45"/>
      <c r="C1007" s="79" t="s">
        <v>17673</v>
      </c>
      <c r="D1007" s="45"/>
      <c r="E1007" s="79" t="s">
        <v>6480</v>
      </c>
      <c r="F1007" s="79" t="s">
        <v>5300</v>
      </c>
      <c r="G1007" s="80" t="s">
        <v>96</v>
      </c>
      <c r="H1007" s="90">
        <v>3.24E-4</v>
      </c>
      <c r="I1007" s="45"/>
      <c r="J1007" s="45"/>
      <c r="K1007" s="45"/>
      <c r="L1007" s="45"/>
      <c r="M1007" s="45"/>
      <c r="N1007" s="45"/>
      <c r="O1007" s="45"/>
      <c r="P1007" s="45"/>
      <c r="Q1007" s="45"/>
      <c r="R1007" s="45"/>
      <c r="S1007" s="45"/>
      <c r="T1007" s="45"/>
      <c r="U1007" s="45"/>
    </row>
    <row r="1008">
      <c r="A1008" s="79" t="s">
        <v>17674</v>
      </c>
      <c r="B1008" s="45"/>
      <c r="C1008" s="79" t="s">
        <v>17675</v>
      </c>
      <c r="D1008" s="45"/>
      <c r="E1008" s="79" t="s">
        <v>5445</v>
      </c>
      <c r="F1008" s="79" t="s">
        <v>5300</v>
      </c>
      <c r="G1008" s="80" t="s">
        <v>96</v>
      </c>
      <c r="H1008" s="90">
        <v>3.238E-4</v>
      </c>
      <c r="I1008" s="45"/>
      <c r="J1008" s="45"/>
      <c r="K1008" s="45"/>
      <c r="L1008" s="45"/>
      <c r="M1008" s="45"/>
      <c r="N1008" s="45"/>
      <c r="O1008" s="45"/>
      <c r="P1008" s="45"/>
      <c r="Q1008" s="45"/>
      <c r="R1008" s="45"/>
      <c r="S1008" s="45"/>
      <c r="T1008" s="45"/>
      <c r="U1008" s="45"/>
    </row>
    <row r="1009">
      <c r="A1009" s="79" t="s">
        <v>17676</v>
      </c>
      <c r="B1009" s="45"/>
      <c r="C1009" s="79" t="s">
        <v>17677</v>
      </c>
      <c r="D1009" s="45"/>
      <c r="E1009" s="79" t="s">
        <v>5226</v>
      </c>
      <c r="F1009" s="79" t="s">
        <v>5836</v>
      </c>
      <c r="G1009" s="80" t="s">
        <v>96</v>
      </c>
      <c r="H1009" s="90">
        <v>3.234E-4</v>
      </c>
      <c r="I1009" s="45"/>
      <c r="J1009" s="45"/>
      <c r="K1009" s="45"/>
      <c r="L1009" s="45"/>
      <c r="M1009" s="45"/>
      <c r="N1009" s="45"/>
      <c r="O1009" s="45"/>
      <c r="P1009" s="45"/>
      <c r="Q1009" s="45"/>
      <c r="R1009" s="45"/>
      <c r="S1009" s="45"/>
      <c r="T1009" s="45"/>
      <c r="U1009" s="45"/>
    </row>
    <row r="1010">
      <c r="A1010" s="79" t="s">
        <v>17678</v>
      </c>
      <c r="B1010" s="45"/>
      <c r="C1010" s="79" t="s">
        <v>17679</v>
      </c>
      <c r="D1010" s="45"/>
      <c r="E1010" s="79" t="s">
        <v>5215</v>
      </c>
      <c r="F1010" s="79" t="s">
        <v>5300</v>
      </c>
      <c r="G1010" s="80" t="s">
        <v>96</v>
      </c>
      <c r="H1010" s="90">
        <v>3.233E-4</v>
      </c>
      <c r="I1010" s="45"/>
      <c r="J1010" s="45"/>
      <c r="K1010" s="45"/>
      <c r="L1010" s="45"/>
      <c r="M1010" s="45"/>
      <c r="N1010" s="45"/>
      <c r="O1010" s="45"/>
      <c r="P1010" s="45"/>
      <c r="Q1010" s="45"/>
      <c r="R1010" s="45"/>
      <c r="S1010" s="45"/>
      <c r="T1010" s="45"/>
      <c r="U1010" s="45"/>
    </row>
    <row r="1011">
      <c r="A1011" s="79" t="s">
        <v>17680</v>
      </c>
      <c r="B1011" s="45"/>
      <c r="C1011" s="79" t="s">
        <v>17681</v>
      </c>
      <c r="D1011" s="45"/>
      <c r="E1011" s="79" t="s">
        <v>6191</v>
      </c>
      <c r="F1011" s="79" t="s">
        <v>8784</v>
      </c>
      <c r="G1011" s="80" t="s">
        <v>96</v>
      </c>
      <c r="H1011" s="90">
        <v>3.232E-4</v>
      </c>
      <c r="I1011" s="45"/>
      <c r="J1011" s="45"/>
      <c r="K1011" s="45"/>
      <c r="L1011" s="45"/>
      <c r="M1011" s="45"/>
      <c r="N1011" s="45"/>
      <c r="O1011" s="45"/>
      <c r="P1011" s="45"/>
      <c r="Q1011" s="45"/>
      <c r="R1011" s="45"/>
      <c r="S1011" s="45"/>
      <c r="T1011" s="45"/>
      <c r="U1011" s="45"/>
    </row>
    <row r="1012">
      <c r="A1012" s="79" t="s">
        <v>17682</v>
      </c>
      <c r="B1012" s="45"/>
      <c r="C1012" s="79" t="s">
        <v>17683</v>
      </c>
      <c r="D1012" s="45"/>
      <c r="E1012" s="79" t="s">
        <v>6238</v>
      </c>
      <c r="F1012" s="79" t="s">
        <v>5836</v>
      </c>
      <c r="G1012" s="80" t="s">
        <v>96</v>
      </c>
      <c r="H1012" s="90">
        <v>3.229E-4</v>
      </c>
      <c r="I1012" s="45"/>
      <c r="J1012" s="45"/>
      <c r="K1012" s="45"/>
      <c r="L1012" s="45"/>
      <c r="M1012" s="45"/>
      <c r="N1012" s="45"/>
      <c r="O1012" s="45"/>
      <c r="P1012" s="45"/>
      <c r="Q1012" s="45"/>
      <c r="R1012" s="45"/>
      <c r="S1012" s="45"/>
      <c r="T1012" s="45"/>
      <c r="U1012" s="45"/>
    </row>
    <row r="1013">
      <c r="A1013" s="79" t="s">
        <v>17684</v>
      </c>
      <c r="B1013" s="45"/>
      <c r="C1013" s="79" t="s">
        <v>17685</v>
      </c>
      <c r="D1013" s="45"/>
      <c r="E1013" s="79" t="s">
        <v>5609</v>
      </c>
      <c r="F1013" s="79" t="s">
        <v>5300</v>
      </c>
      <c r="G1013" s="80" t="s">
        <v>96</v>
      </c>
      <c r="H1013" s="90">
        <v>3.217E-4</v>
      </c>
      <c r="I1013" s="45"/>
      <c r="J1013" s="45"/>
      <c r="K1013" s="45"/>
      <c r="L1013" s="45"/>
      <c r="M1013" s="45"/>
      <c r="N1013" s="45"/>
      <c r="O1013" s="45"/>
      <c r="P1013" s="45"/>
      <c r="Q1013" s="45"/>
      <c r="R1013" s="45"/>
      <c r="S1013" s="45"/>
      <c r="T1013" s="45"/>
      <c r="U1013" s="45"/>
    </row>
    <row r="1014">
      <c r="A1014" s="79" t="s">
        <v>17686</v>
      </c>
      <c r="B1014" s="45"/>
      <c r="C1014" s="79" t="s">
        <v>17687</v>
      </c>
      <c r="D1014" s="45"/>
      <c r="E1014" s="79" t="s">
        <v>5808</v>
      </c>
      <c r="F1014" s="79" t="s">
        <v>5300</v>
      </c>
      <c r="G1014" s="80" t="s">
        <v>96</v>
      </c>
      <c r="H1014" s="90">
        <v>3.216E-4</v>
      </c>
      <c r="I1014" s="45"/>
      <c r="J1014" s="45"/>
      <c r="K1014" s="45"/>
      <c r="L1014" s="45"/>
      <c r="M1014" s="45"/>
      <c r="N1014" s="45"/>
      <c r="O1014" s="45"/>
      <c r="P1014" s="45"/>
      <c r="Q1014" s="45"/>
      <c r="R1014" s="45"/>
      <c r="S1014" s="45"/>
      <c r="T1014" s="45"/>
      <c r="U1014" s="45"/>
    </row>
    <row r="1015">
      <c r="A1015" s="79" t="s">
        <v>17688</v>
      </c>
      <c r="B1015" s="45"/>
      <c r="C1015" s="79" t="s">
        <v>17689</v>
      </c>
      <c r="D1015" s="45"/>
      <c r="E1015" s="79" t="s">
        <v>5291</v>
      </c>
      <c r="F1015" s="79" t="s">
        <v>5300</v>
      </c>
      <c r="G1015" s="80" t="s">
        <v>96</v>
      </c>
      <c r="H1015" s="90">
        <v>3.212E-4</v>
      </c>
      <c r="I1015" s="45"/>
      <c r="J1015" s="45"/>
      <c r="K1015" s="45"/>
      <c r="L1015" s="45"/>
      <c r="M1015" s="45"/>
      <c r="N1015" s="45"/>
      <c r="O1015" s="45"/>
      <c r="P1015" s="45"/>
      <c r="Q1015" s="45"/>
      <c r="R1015" s="45"/>
      <c r="S1015" s="45"/>
      <c r="T1015" s="45"/>
      <c r="U1015" s="45"/>
    </row>
    <row r="1016">
      <c r="A1016" s="79" t="s">
        <v>17690</v>
      </c>
      <c r="B1016" s="45"/>
      <c r="C1016" s="79" t="s">
        <v>17691</v>
      </c>
      <c r="D1016" s="45"/>
      <c r="E1016" s="79" t="s">
        <v>6472</v>
      </c>
      <c r="F1016" s="79" t="s">
        <v>5425</v>
      </c>
      <c r="G1016" s="80" t="s">
        <v>96</v>
      </c>
      <c r="H1016" s="90">
        <v>3.202E-4</v>
      </c>
      <c r="I1016" s="45"/>
      <c r="J1016" s="45"/>
      <c r="K1016" s="45"/>
      <c r="L1016" s="45"/>
      <c r="M1016" s="45"/>
      <c r="N1016" s="45"/>
      <c r="O1016" s="45"/>
      <c r="P1016" s="45"/>
      <c r="Q1016" s="45"/>
      <c r="R1016" s="45"/>
      <c r="S1016" s="45"/>
      <c r="T1016" s="45"/>
      <c r="U1016" s="45"/>
    </row>
    <row r="1017">
      <c r="A1017" s="79" t="s">
        <v>17692</v>
      </c>
      <c r="B1017" s="45"/>
      <c r="C1017" s="79" t="s">
        <v>17693</v>
      </c>
      <c r="D1017" s="45"/>
      <c r="E1017" s="79" t="s">
        <v>9189</v>
      </c>
      <c r="F1017" s="79" t="s">
        <v>5300</v>
      </c>
      <c r="G1017" s="80" t="s">
        <v>96</v>
      </c>
      <c r="H1017" s="90">
        <v>3.2E-4</v>
      </c>
      <c r="I1017" s="45"/>
      <c r="J1017" s="45"/>
      <c r="K1017" s="45"/>
      <c r="L1017" s="45"/>
      <c r="M1017" s="45"/>
      <c r="N1017" s="45"/>
      <c r="O1017" s="45"/>
      <c r="P1017" s="45"/>
      <c r="Q1017" s="45"/>
      <c r="R1017" s="45"/>
      <c r="S1017" s="45"/>
      <c r="T1017" s="45"/>
      <c r="U1017" s="45"/>
    </row>
    <row r="1018">
      <c r="A1018" s="79" t="s">
        <v>17694</v>
      </c>
      <c r="B1018" s="45"/>
      <c r="C1018" s="79" t="s">
        <v>17695</v>
      </c>
      <c r="D1018" s="45"/>
      <c r="E1018" s="79" t="s">
        <v>5675</v>
      </c>
      <c r="F1018" s="79" t="s">
        <v>5300</v>
      </c>
      <c r="G1018" s="80" t="s">
        <v>96</v>
      </c>
      <c r="H1018" s="90">
        <v>3.192E-4</v>
      </c>
      <c r="I1018" s="45"/>
      <c r="J1018" s="45"/>
      <c r="K1018" s="45"/>
      <c r="L1018" s="45"/>
      <c r="M1018" s="45"/>
      <c r="N1018" s="45"/>
      <c r="O1018" s="45"/>
      <c r="P1018" s="45"/>
      <c r="Q1018" s="45"/>
      <c r="R1018" s="45"/>
      <c r="S1018" s="45"/>
      <c r="T1018" s="45"/>
      <c r="U1018" s="45"/>
    </row>
    <row r="1019">
      <c r="A1019" s="79" t="s">
        <v>17696</v>
      </c>
      <c r="B1019" s="45"/>
      <c r="C1019" s="79" t="s">
        <v>17697</v>
      </c>
      <c r="D1019" s="45"/>
      <c r="E1019" s="79" t="s">
        <v>5742</v>
      </c>
      <c r="F1019" s="79" t="s">
        <v>5300</v>
      </c>
      <c r="G1019" s="80" t="s">
        <v>96</v>
      </c>
      <c r="H1019" s="90">
        <v>3.19E-4</v>
      </c>
      <c r="I1019" s="45"/>
      <c r="J1019" s="45"/>
      <c r="K1019" s="45"/>
      <c r="L1019" s="45"/>
      <c r="M1019" s="45"/>
      <c r="N1019" s="45"/>
      <c r="O1019" s="45"/>
      <c r="P1019" s="45"/>
      <c r="Q1019" s="45"/>
      <c r="R1019" s="45"/>
      <c r="S1019" s="45"/>
      <c r="T1019" s="45"/>
      <c r="U1019" s="45"/>
    </row>
    <row r="1020">
      <c r="A1020" s="79" t="s">
        <v>17698</v>
      </c>
      <c r="B1020" s="45"/>
      <c r="C1020" s="79" t="s">
        <v>17699</v>
      </c>
      <c r="D1020" s="45"/>
      <c r="E1020" s="79" t="s">
        <v>8851</v>
      </c>
      <c r="F1020" s="79" t="s">
        <v>5300</v>
      </c>
      <c r="G1020" s="80" t="s">
        <v>96</v>
      </c>
      <c r="H1020" s="90">
        <v>3.188E-4</v>
      </c>
      <c r="I1020" s="45"/>
      <c r="J1020" s="45"/>
      <c r="K1020" s="45"/>
      <c r="L1020" s="45"/>
      <c r="M1020" s="45"/>
      <c r="N1020" s="45"/>
      <c r="O1020" s="45"/>
      <c r="P1020" s="45"/>
      <c r="Q1020" s="45"/>
      <c r="R1020" s="45"/>
      <c r="S1020" s="45"/>
      <c r="T1020" s="45"/>
      <c r="U1020" s="45"/>
    </row>
    <row r="1021">
      <c r="A1021" s="79" t="s">
        <v>17700</v>
      </c>
      <c r="B1021" s="45"/>
      <c r="C1021" s="79" t="s">
        <v>17701</v>
      </c>
      <c r="D1021" s="45"/>
      <c r="E1021" s="79" t="s">
        <v>5267</v>
      </c>
      <c r="F1021" s="79" t="s">
        <v>5300</v>
      </c>
      <c r="G1021" s="80" t="s">
        <v>96</v>
      </c>
      <c r="H1021" s="90">
        <v>3.186E-4</v>
      </c>
      <c r="I1021" s="45"/>
      <c r="J1021" s="45"/>
      <c r="K1021" s="45"/>
      <c r="L1021" s="45"/>
      <c r="M1021" s="45"/>
      <c r="N1021" s="45"/>
      <c r="O1021" s="45"/>
      <c r="P1021" s="45"/>
      <c r="Q1021" s="45"/>
      <c r="R1021" s="45"/>
      <c r="S1021" s="45"/>
      <c r="T1021" s="45"/>
      <c r="U1021" s="45"/>
    </row>
    <row r="1022">
      <c r="A1022" s="79" t="s">
        <v>17702</v>
      </c>
      <c r="B1022" s="45"/>
      <c r="C1022" s="79" t="s">
        <v>17703</v>
      </c>
      <c r="D1022" s="45"/>
      <c r="E1022" s="79" t="s">
        <v>5288</v>
      </c>
      <c r="F1022" s="79" t="s">
        <v>5836</v>
      </c>
      <c r="G1022" s="80" t="s">
        <v>96</v>
      </c>
      <c r="H1022" s="90">
        <v>3.182E-4</v>
      </c>
      <c r="I1022" s="45"/>
      <c r="J1022" s="45"/>
      <c r="K1022" s="45"/>
      <c r="L1022" s="45"/>
      <c r="M1022" s="45"/>
      <c r="N1022" s="45"/>
      <c r="O1022" s="45"/>
      <c r="P1022" s="45"/>
      <c r="Q1022" s="45"/>
      <c r="R1022" s="45"/>
      <c r="S1022" s="45"/>
      <c r="T1022" s="45"/>
      <c r="U1022" s="45"/>
    </row>
    <row r="1023">
      <c r="A1023" s="79" t="s">
        <v>17704</v>
      </c>
      <c r="B1023" s="45"/>
      <c r="C1023" s="79" t="s">
        <v>17705</v>
      </c>
      <c r="D1023" s="45"/>
      <c r="E1023" s="79" t="s">
        <v>5473</v>
      </c>
      <c r="F1023" s="79" t="s">
        <v>5425</v>
      </c>
      <c r="G1023" s="80" t="s">
        <v>96</v>
      </c>
      <c r="H1023" s="90">
        <v>3.181E-4</v>
      </c>
      <c r="I1023" s="45"/>
      <c r="J1023" s="45"/>
      <c r="K1023" s="45"/>
      <c r="L1023" s="45"/>
      <c r="M1023" s="45"/>
      <c r="N1023" s="45"/>
      <c r="O1023" s="45"/>
      <c r="P1023" s="45"/>
      <c r="Q1023" s="45"/>
      <c r="R1023" s="45"/>
      <c r="S1023" s="45"/>
      <c r="T1023" s="45"/>
      <c r="U1023" s="45"/>
    </row>
    <row r="1024">
      <c r="A1024" s="79" t="s">
        <v>4539</v>
      </c>
      <c r="B1024" s="45"/>
      <c r="C1024" s="79" t="s">
        <v>17706</v>
      </c>
      <c r="D1024" s="45"/>
      <c r="E1024" s="79" t="s">
        <v>5431</v>
      </c>
      <c r="F1024" s="79" t="s">
        <v>5425</v>
      </c>
      <c r="G1024" s="80" t="s">
        <v>96</v>
      </c>
      <c r="H1024" s="90">
        <v>3.177E-4</v>
      </c>
      <c r="I1024" s="45"/>
      <c r="J1024" s="45"/>
      <c r="K1024" s="45"/>
      <c r="L1024" s="45"/>
      <c r="M1024" s="45"/>
      <c r="N1024" s="45"/>
      <c r="O1024" s="45"/>
      <c r="P1024" s="45"/>
      <c r="Q1024" s="45"/>
      <c r="R1024" s="45"/>
      <c r="S1024" s="45"/>
      <c r="T1024" s="45"/>
      <c r="U1024" s="45"/>
    </row>
    <row r="1025">
      <c r="A1025" s="79" t="s">
        <v>17707</v>
      </c>
      <c r="B1025" s="45"/>
      <c r="C1025" s="79" t="s">
        <v>17708</v>
      </c>
      <c r="D1025" s="45"/>
      <c r="E1025" s="79" t="s">
        <v>5354</v>
      </c>
      <c r="F1025" s="79" t="s">
        <v>5300</v>
      </c>
      <c r="G1025" s="80" t="s">
        <v>96</v>
      </c>
      <c r="H1025" s="90">
        <v>3.168E-4</v>
      </c>
      <c r="I1025" s="45"/>
      <c r="J1025" s="45"/>
      <c r="K1025" s="45"/>
      <c r="L1025" s="45"/>
      <c r="M1025" s="45"/>
      <c r="N1025" s="45"/>
      <c r="O1025" s="45"/>
      <c r="P1025" s="45"/>
      <c r="Q1025" s="45"/>
      <c r="R1025" s="45"/>
      <c r="S1025" s="45"/>
      <c r="T1025" s="45"/>
      <c r="U1025" s="45"/>
    </row>
    <row r="1026">
      <c r="A1026" s="79" t="s">
        <v>17709</v>
      </c>
      <c r="B1026" s="45"/>
      <c r="C1026" s="79" t="s">
        <v>17710</v>
      </c>
      <c r="D1026" s="45"/>
      <c r="E1026" s="79" t="s">
        <v>5407</v>
      </c>
      <c r="F1026" s="79" t="s">
        <v>5300</v>
      </c>
      <c r="G1026" s="80" t="s">
        <v>96</v>
      </c>
      <c r="H1026" s="90">
        <v>3.167E-4</v>
      </c>
      <c r="I1026" s="45"/>
      <c r="J1026" s="45"/>
      <c r="K1026" s="45"/>
      <c r="L1026" s="45"/>
      <c r="M1026" s="45"/>
      <c r="N1026" s="45"/>
      <c r="O1026" s="45"/>
      <c r="P1026" s="45"/>
      <c r="Q1026" s="45"/>
      <c r="R1026" s="45"/>
      <c r="S1026" s="45"/>
      <c r="T1026" s="45"/>
      <c r="U1026" s="45"/>
    </row>
    <row r="1027">
      <c r="A1027" s="79" t="s">
        <v>17711</v>
      </c>
      <c r="B1027" s="45"/>
      <c r="C1027" s="79" t="s">
        <v>17712</v>
      </c>
      <c r="D1027" s="45"/>
      <c r="E1027" s="79" t="s">
        <v>5395</v>
      </c>
      <c r="F1027" s="79" t="s">
        <v>5425</v>
      </c>
      <c r="G1027" s="80" t="s">
        <v>96</v>
      </c>
      <c r="H1027" s="90">
        <v>3.166E-4</v>
      </c>
      <c r="I1027" s="45"/>
      <c r="J1027" s="45"/>
      <c r="K1027" s="45"/>
      <c r="L1027" s="45"/>
      <c r="M1027" s="45"/>
      <c r="N1027" s="45"/>
      <c r="O1027" s="45"/>
      <c r="P1027" s="45"/>
      <c r="Q1027" s="45"/>
      <c r="R1027" s="45"/>
      <c r="S1027" s="45"/>
      <c r="T1027" s="45"/>
      <c r="U1027" s="45"/>
    </row>
    <row r="1028">
      <c r="A1028" s="79" t="s">
        <v>17713</v>
      </c>
      <c r="B1028" s="45"/>
      <c r="C1028" s="79" t="s">
        <v>17714</v>
      </c>
      <c r="D1028" s="45"/>
      <c r="E1028" s="79" t="s">
        <v>6040</v>
      </c>
      <c r="F1028" s="79" t="s">
        <v>5836</v>
      </c>
      <c r="G1028" s="80" t="s">
        <v>96</v>
      </c>
      <c r="H1028" s="90">
        <v>3.163E-4</v>
      </c>
      <c r="I1028" s="45"/>
      <c r="J1028" s="45"/>
      <c r="K1028" s="45"/>
      <c r="L1028" s="45"/>
      <c r="M1028" s="45"/>
      <c r="N1028" s="45"/>
      <c r="O1028" s="45"/>
      <c r="P1028" s="45"/>
      <c r="Q1028" s="45"/>
      <c r="R1028" s="45"/>
      <c r="S1028" s="45"/>
      <c r="T1028" s="45"/>
      <c r="U1028" s="45"/>
    </row>
    <row r="1029">
      <c r="A1029" s="79" t="s">
        <v>17715</v>
      </c>
      <c r="B1029" s="45"/>
      <c r="C1029" s="79" t="s">
        <v>17716</v>
      </c>
      <c r="D1029" s="45"/>
      <c r="E1029" s="79" t="s">
        <v>6338</v>
      </c>
      <c r="F1029" s="79" t="s">
        <v>5300</v>
      </c>
      <c r="G1029" s="80" t="s">
        <v>96</v>
      </c>
      <c r="H1029" s="90">
        <v>3.16E-4</v>
      </c>
      <c r="I1029" s="45"/>
      <c r="J1029" s="45"/>
      <c r="K1029" s="45"/>
      <c r="L1029" s="45"/>
      <c r="M1029" s="45"/>
      <c r="N1029" s="45"/>
      <c r="O1029" s="45"/>
      <c r="P1029" s="45"/>
      <c r="Q1029" s="45"/>
      <c r="R1029" s="45"/>
      <c r="S1029" s="45"/>
      <c r="T1029" s="45"/>
      <c r="U1029" s="45"/>
    </row>
    <row r="1030">
      <c r="A1030" s="79" t="s">
        <v>10691</v>
      </c>
      <c r="B1030" s="45"/>
      <c r="C1030" s="79" t="s">
        <v>10692</v>
      </c>
      <c r="D1030" s="45"/>
      <c r="E1030" s="79" t="s">
        <v>6130</v>
      </c>
      <c r="F1030" s="79" t="s">
        <v>8784</v>
      </c>
      <c r="G1030" s="80" t="s">
        <v>96</v>
      </c>
      <c r="H1030" s="90">
        <v>3.154E-4</v>
      </c>
      <c r="I1030" s="45"/>
      <c r="J1030" s="45"/>
      <c r="K1030" s="45"/>
      <c r="L1030" s="45"/>
      <c r="M1030" s="45"/>
      <c r="N1030" s="45"/>
      <c r="O1030" s="45"/>
      <c r="P1030" s="45"/>
      <c r="Q1030" s="45"/>
      <c r="R1030" s="45"/>
      <c r="S1030" s="45"/>
      <c r="T1030" s="45"/>
      <c r="U1030" s="45"/>
    </row>
    <row r="1031">
      <c r="A1031" s="79" t="s">
        <v>17717</v>
      </c>
      <c r="B1031" s="45"/>
      <c r="C1031" s="79" t="s">
        <v>17718</v>
      </c>
      <c r="D1031" s="45"/>
      <c r="E1031" s="79" t="s">
        <v>5395</v>
      </c>
      <c r="F1031" s="79" t="s">
        <v>5300</v>
      </c>
      <c r="G1031" s="80" t="s">
        <v>96</v>
      </c>
      <c r="H1031" s="90">
        <v>3.151E-4</v>
      </c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45"/>
      <c r="T1031" s="45"/>
      <c r="U1031" s="45"/>
    </row>
    <row r="1032">
      <c r="A1032" s="79" t="s">
        <v>17719</v>
      </c>
      <c r="B1032" s="45"/>
      <c r="C1032" s="79" t="s">
        <v>17720</v>
      </c>
      <c r="D1032" s="45"/>
      <c r="E1032" s="79" t="s">
        <v>9189</v>
      </c>
      <c r="F1032" s="79" t="s">
        <v>5300</v>
      </c>
      <c r="G1032" s="80" t="s">
        <v>96</v>
      </c>
      <c r="H1032" s="90">
        <v>3.146E-4</v>
      </c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45"/>
      <c r="T1032" s="45"/>
      <c r="U1032" s="45"/>
    </row>
    <row r="1033">
      <c r="A1033" s="79" t="s">
        <v>5489</v>
      </c>
      <c r="B1033" s="45"/>
      <c r="C1033" s="79" t="s">
        <v>17721</v>
      </c>
      <c r="D1033" s="45"/>
      <c r="E1033" s="79" t="s">
        <v>5215</v>
      </c>
      <c r="F1033" s="79" t="s">
        <v>5300</v>
      </c>
      <c r="G1033" s="80" t="s">
        <v>96</v>
      </c>
      <c r="H1033" s="90">
        <v>3.146E-4</v>
      </c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45"/>
      <c r="T1033" s="45"/>
      <c r="U1033" s="45"/>
    </row>
    <row r="1034">
      <c r="A1034" s="79" t="s">
        <v>17722</v>
      </c>
      <c r="B1034" s="45"/>
      <c r="C1034" s="79" t="s">
        <v>17723</v>
      </c>
      <c r="D1034" s="45"/>
      <c r="E1034" s="79" t="s">
        <v>5431</v>
      </c>
      <c r="F1034" s="79" t="s">
        <v>8784</v>
      </c>
      <c r="G1034" s="80" t="s">
        <v>96</v>
      </c>
      <c r="H1034" s="90">
        <v>3.144E-4</v>
      </c>
      <c r="I1034" s="45"/>
      <c r="J1034" s="45"/>
      <c r="K1034" s="45"/>
      <c r="L1034" s="45"/>
      <c r="M1034" s="45"/>
      <c r="N1034" s="45"/>
      <c r="O1034" s="45"/>
      <c r="P1034" s="45"/>
      <c r="Q1034" s="45"/>
      <c r="R1034" s="45"/>
      <c r="S1034" s="45"/>
      <c r="T1034" s="45"/>
      <c r="U1034" s="45"/>
    </row>
    <row r="1035">
      <c r="A1035" s="79" t="s">
        <v>10627</v>
      </c>
      <c r="B1035" s="45"/>
      <c r="C1035" s="79" t="s">
        <v>10628</v>
      </c>
      <c r="D1035" s="45"/>
      <c r="E1035" s="79" t="s">
        <v>5682</v>
      </c>
      <c r="F1035" s="79" t="s">
        <v>8784</v>
      </c>
      <c r="G1035" s="80" t="s">
        <v>96</v>
      </c>
      <c r="H1035" s="90">
        <v>3.141E-4</v>
      </c>
      <c r="I1035" s="45"/>
      <c r="J1035" s="45"/>
      <c r="K1035" s="45"/>
      <c r="L1035" s="45"/>
      <c r="M1035" s="45"/>
      <c r="N1035" s="45"/>
      <c r="O1035" s="45"/>
      <c r="P1035" s="45"/>
      <c r="Q1035" s="45"/>
      <c r="R1035" s="45"/>
      <c r="S1035" s="45"/>
      <c r="T1035" s="45"/>
      <c r="U1035" s="45"/>
    </row>
    <row r="1036">
      <c r="A1036" s="79" t="s">
        <v>7579</v>
      </c>
      <c r="B1036" s="45"/>
      <c r="C1036" s="79" t="s">
        <v>17724</v>
      </c>
      <c r="D1036" s="45"/>
      <c r="E1036" s="79" t="s">
        <v>5675</v>
      </c>
      <c r="F1036" s="79" t="s">
        <v>5300</v>
      </c>
      <c r="G1036" s="80" t="s">
        <v>96</v>
      </c>
      <c r="H1036" s="90">
        <v>3.139E-4</v>
      </c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45"/>
      <c r="T1036" s="45"/>
      <c r="U1036" s="45"/>
    </row>
    <row r="1037">
      <c r="A1037" s="79" t="s">
        <v>8944</v>
      </c>
      <c r="B1037" s="45"/>
      <c r="C1037" s="79" t="s">
        <v>17725</v>
      </c>
      <c r="D1037" s="45"/>
      <c r="E1037" s="79" t="s">
        <v>5462</v>
      </c>
      <c r="F1037" s="79" t="s">
        <v>5836</v>
      </c>
      <c r="G1037" s="80" t="s">
        <v>96</v>
      </c>
      <c r="H1037" s="90">
        <v>3.137E-4</v>
      </c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45"/>
      <c r="T1037" s="45"/>
      <c r="U1037" s="45"/>
    </row>
    <row r="1038">
      <c r="A1038" s="79" t="s">
        <v>17726</v>
      </c>
      <c r="B1038" s="45"/>
      <c r="C1038" s="79" t="s">
        <v>17727</v>
      </c>
      <c r="D1038" s="45"/>
      <c r="E1038" s="79" t="s">
        <v>5422</v>
      </c>
      <c r="F1038" s="79" t="s">
        <v>8759</v>
      </c>
      <c r="G1038" s="80" t="s">
        <v>96</v>
      </c>
      <c r="H1038" s="90">
        <v>3.137E-4</v>
      </c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45"/>
      <c r="T1038" s="45"/>
      <c r="U1038" s="45"/>
    </row>
    <row r="1039">
      <c r="A1039" s="79" t="s">
        <v>17728</v>
      </c>
      <c r="B1039" s="45"/>
      <c r="C1039" s="79" t="s">
        <v>17729</v>
      </c>
      <c r="D1039" s="45"/>
      <c r="E1039" s="79" t="s">
        <v>5374</v>
      </c>
      <c r="F1039" s="79" t="s">
        <v>4153</v>
      </c>
      <c r="G1039" s="80" t="s">
        <v>96</v>
      </c>
      <c r="H1039" s="90">
        <v>3.136E-4</v>
      </c>
      <c r="I1039" s="45"/>
      <c r="J1039" s="45"/>
      <c r="K1039" s="45"/>
      <c r="L1039" s="45"/>
      <c r="M1039" s="45"/>
      <c r="N1039" s="45"/>
      <c r="O1039" s="45"/>
      <c r="P1039" s="45"/>
      <c r="Q1039" s="45"/>
      <c r="R1039" s="45"/>
      <c r="S1039" s="45"/>
      <c r="T1039" s="45"/>
      <c r="U1039" s="45"/>
    </row>
    <row r="1040">
      <c r="A1040" s="79" t="s">
        <v>17730</v>
      </c>
      <c r="B1040" s="45"/>
      <c r="C1040" s="79" t="s">
        <v>17731</v>
      </c>
      <c r="D1040" s="45"/>
      <c r="E1040" s="79" t="s">
        <v>5215</v>
      </c>
      <c r="F1040" s="79" t="s">
        <v>5300</v>
      </c>
      <c r="G1040" s="80" t="s">
        <v>96</v>
      </c>
      <c r="H1040" s="90">
        <v>3.136E-4</v>
      </c>
      <c r="I1040" s="45"/>
      <c r="J1040" s="45"/>
      <c r="K1040" s="45"/>
      <c r="L1040" s="45"/>
      <c r="M1040" s="45"/>
      <c r="N1040" s="45"/>
      <c r="O1040" s="45"/>
      <c r="P1040" s="45"/>
      <c r="Q1040" s="45"/>
      <c r="R1040" s="45"/>
      <c r="S1040" s="45"/>
      <c r="T1040" s="45"/>
      <c r="U1040" s="45"/>
    </row>
    <row r="1041">
      <c r="A1041" s="79" t="s">
        <v>17732</v>
      </c>
      <c r="B1041" s="45"/>
      <c r="C1041" s="79" t="s">
        <v>17733</v>
      </c>
      <c r="D1041" s="45"/>
      <c r="E1041" s="79" t="s">
        <v>5280</v>
      </c>
      <c r="F1041" s="79" t="s">
        <v>5300</v>
      </c>
      <c r="G1041" s="80" t="s">
        <v>96</v>
      </c>
      <c r="H1041" s="90">
        <v>3.133E-4</v>
      </c>
      <c r="I1041" s="45"/>
      <c r="J1041" s="45"/>
      <c r="K1041" s="45"/>
      <c r="L1041" s="45"/>
      <c r="M1041" s="45"/>
      <c r="N1041" s="45"/>
      <c r="O1041" s="45"/>
      <c r="P1041" s="45"/>
      <c r="Q1041" s="45"/>
      <c r="R1041" s="45"/>
      <c r="S1041" s="45"/>
      <c r="T1041" s="45"/>
      <c r="U1041" s="45"/>
    </row>
    <row r="1042">
      <c r="A1042" s="79" t="s">
        <v>4651</v>
      </c>
      <c r="B1042" s="45"/>
      <c r="C1042" s="79" t="s">
        <v>17734</v>
      </c>
      <c r="D1042" s="45"/>
      <c r="E1042" s="79" t="s">
        <v>5335</v>
      </c>
      <c r="F1042" s="79" t="s">
        <v>5425</v>
      </c>
      <c r="G1042" s="80" t="s">
        <v>96</v>
      </c>
      <c r="H1042" s="90">
        <v>3.131E-4</v>
      </c>
      <c r="I1042" s="45"/>
      <c r="J1042" s="45"/>
      <c r="K1042" s="45"/>
      <c r="L1042" s="45"/>
      <c r="M1042" s="45"/>
      <c r="N1042" s="45"/>
      <c r="O1042" s="45"/>
      <c r="P1042" s="45"/>
      <c r="Q1042" s="45"/>
      <c r="R1042" s="45"/>
      <c r="S1042" s="45"/>
      <c r="T1042" s="45"/>
      <c r="U1042" s="45"/>
    </row>
    <row r="1043">
      <c r="A1043" s="79" t="s">
        <v>10788</v>
      </c>
      <c r="B1043" s="45"/>
      <c r="C1043" s="79" t="s">
        <v>10789</v>
      </c>
      <c r="D1043" s="45"/>
      <c r="E1043" s="79" t="s">
        <v>5374</v>
      </c>
      <c r="F1043" s="79" t="s">
        <v>8784</v>
      </c>
      <c r="G1043" s="80" t="s">
        <v>96</v>
      </c>
      <c r="H1043" s="90">
        <v>3.131E-4</v>
      </c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45"/>
      <c r="T1043" s="45"/>
      <c r="U1043" s="45"/>
    </row>
    <row r="1044">
      <c r="A1044" s="79" t="s">
        <v>17735</v>
      </c>
      <c r="B1044" s="45"/>
      <c r="C1044" s="79" t="s">
        <v>17736</v>
      </c>
      <c r="D1044" s="45"/>
      <c r="E1044" s="79" t="s">
        <v>5742</v>
      </c>
      <c r="F1044" s="79" t="s">
        <v>8784</v>
      </c>
      <c r="G1044" s="80" t="s">
        <v>96</v>
      </c>
      <c r="H1044" s="90">
        <v>3.13E-4</v>
      </c>
      <c r="I1044" s="45"/>
      <c r="J1044" s="45"/>
      <c r="K1044" s="45"/>
      <c r="L1044" s="45"/>
      <c r="M1044" s="45"/>
      <c r="N1044" s="45"/>
      <c r="O1044" s="45"/>
      <c r="P1044" s="45"/>
      <c r="Q1044" s="45"/>
      <c r="R1044" s="45"/>
      <c r="S1044" s="45"/>
      <c r="T1044" s="45"/>
      <c r="U1044" s="45"/>
    </row>
    <row r="1045">
      <c r="A1045" s="79" t="s">
        <v>17737</v>
      </c>
      <c r="B1045" s="45"/>
      <c r="C1045" s="79" t="s">
        <v>17738</v>
      </c>
      <c r="D1045" s="45"/>
      <c r="E1045" s="79" t="s">
        <v>5267</v>
      </c>
      <c r="F1045" s="79" t="s">
        <v>5300</v>
      </c>
      <c r="G1045" s="80" t="s">
        <v>96</v>
      </c>
      <c r="H1045" s="90">
        <v>3.126E-4</v>
      </c>
      <c r="I1045" s="45"/>
      <c r="J1045" s="45"/>
      <c r="K1045" s="45"/>
      <c r="L1045" s="45"/>
      <c r="M1045" s="45"/>
      <c r="N1045" s="45"/>
      <c r="O1045" s="45"/>
      <c r="P1045" s="45"/>
      <c r="Q1045" s="45"/>
      <c r="R1045" s="45"/>
      <c r="S1045" s="45"/>
      <c r="T1045" s="45"/>
      <c r="U1045" s="45"/>
    </row>
    <row r="1046">
      <c r="A1046" s="79" t="s">
        <v>17739</v>
      </c>
      <c r="B1046" s="45"/>
      <c r="C1046" s="79" t="s">
        <v>17740</v>
      </c>
      <c r="D1046" s="45"/>
      <c r="E1046" s="79" t="s">
        <v>5456</v>
      </c>
      <c r="F1046" s="79" t="s">
        <v>5300</v>
      </c>
      <c r="G1046" s="80" t="s">
        <v>96</v>
      </c>
      <c r="H1046" s="90">
        <v>3.113E-4</v>
      </c>
      <c r="I1046" s="45"/>
      <c r="J1046" s="45"/>
      <c r="K1046" s="45"/>
      <c r="L1046" s="45"/>
      <c r="M1046" s="45"/>
      <c r="N1046" s="45"/>
      <c r="O1046" s="45"/>
      <c r="P1046" s="45"/>
      <c r="Q1046" s="45"/>
      <c r="R1046" s="45"/>
      <c r="S1046" s="45"/>
      <c r="T1046" s="45"/>
      <c r="U1046" s="45"/>
    </row>
    <row r="1047">
      <c r="A1047" s="79" t="s">
        <v>17741</v>
      </c>
      <c r="B1047" s="45"/>
      <c r="C1047" s="79" t="s">
        <v>17742</v>
      </c>
      <c r="D1047" s="45"/>
      <c r="E1047" s="79" t="s">
        <v>5561</v>
      </c>
      <c r="F1047" s="79" t="s">
        <v>5836</v>
      </c>
      <c r="G1047" s="80" t="s">
        <v>96</v>
      </c>
      <c r="H1047" s="90">
        <v>3.11E-4</v>
      </c>
      <c r="I1047" s="45"/>
      <c r="J1047" s="45"/>
      <c r="K1047" s="45"/>
      <c r="L1047" s="45"/>
      <c r="M1047" s="45"/>
      <c r="N1047" s="45"/>
      <c r="O1047" s="45"/>
      <c r="P1047" s="45"/>
      <c r="Q1047" s="45"/>
      <c r="R1047" s="45"/>
      <c r="S1047" s="45"/>
      <c r="T1047" s="45"/>
      <c r="U1047" s="45"/>
    </row>
    <row r="1048">
      <c r="A1048" s="79" t="s">
        <v>17743</v>
      </c>
      <c r="B1048" s="45"/>
      <c r="C1048" s="79" t="s">
        <v>17744</v>
      </c>
      <c r="D1048" s="45"/>
      <c r="E1048" s="79" t="s">
        <v>5650</v>
      </c>
      <c r="F1048" s="79" t="s">
        <v>8784</v>
      </c>
      <c r="G1048" s="80" t="s">
        <v>96</v>
      </c>
      <c r="H1048" s="90">
        <v>3.101E-4</v>
      </c>
      <c r="I1048" s="45"/>
      <c r="J1048" s="45"/>
      <c r="K1048" s="45"/>
      <c r="L1048" s="45"/>
      <c r="M1048" s="45"/>
      <c r="N1048" s="45"/>
      <c r="O1048" s="45"/>
      <c r="P1048" s="45"/>
      <c r="Q1048" s="45"/>
      <c r="R1048" s="45"/>
      <c r="S1048" s="45"/>
      <c r="T1048" s="45"/>
      <c r="U1048" s="45"/>
    </row>
    <row r="1049">
      <c r="A1049" s="79" t="s">
        <v>10839</v>
      </c>
      <c r="B1049" s="45"/>
      <c r="C1049" s="79" t="s">
        <v>10840</v>
      </c>
      <c r="D1049" s="45"/>
      <c r="E1049" s="79" t="s">
        <v>5501</v>
      </c>
      <c r="F1049" s="79" t="s">
        <v>8784</v>
      </c>
      <c r="G1049" s="80" t="s">
        <v>96</v>
      </c>
      <c r="H1049" s="90">
        <v>3.097E-4</v>
      </c>
      <c r="I1049" s="45"/>
      <c r="J1049" s="45"/>
      <c r="K1049" s="45"/>
      <c r="L1049" s="45"/>
      <c r="M1049" s="45"/>
      <c r="N1049" s="45"/>
      <c r="O1049" s="45"/>
      <c r="P1049" s="45"/>
      <c r="Q1049" s="45"/>
      <c r="R1049" s="45"/>
      <c r="S1049" s="45"/>
      <c r="T1049" s="45"/>
      <c r="U1049" s="45"/>
    </row>
    <row r="1050">
      <c r="A1050" s="79" t="s">
        <v>17745</v>
      </c>
      <c r="B1050" s="45"/>
      <c r="C1050" s="79" t="s">
        <v>17746</v>
      </c>
      <c r="D1050" s="45"/>
      <c r="E1050" s="79" t="s">
        <v>5341</v>
      </c>
      <c r="F1050" s="79" t="s">
        <v>5300</v>
      </c>
      <c r="G1050" s="80" t="s">
        <v>96</v>
      </c>
      <c r="H1050" s="90">
        <v>3.094E-4</v>
      </c>
      <c r="I1050" s="45"/>
      <c r="J1050" s="45"/>
      <c r="K1050" s="45"/>
      <c r="L1050" s="45"/>
      <c r="M1050" s="45"/>
      <c r="N1050" s="45"/>
      <c r="O1050" s="45"/>
      <c r="P1050" s="45"/>
      <c r="Q1050" s="45"/>
      <c r="R1050" s="45"/>
      <c r="S1050" s="45"/>
      <c r="T1050" s="45"/>
      <c r="U1050" s="45"/>
    </row>
    <row r="1051">
      <c r="A1051" s="79" t="s">
        <v>17747</v>
      </c>
      <c r="B1051" s="45"/>
      <c r="C1051" s="79" t="s">
        <v>17748</v>
      </c>
      <c r="D1051" s="45"/>
      <c r="E1051" s="79" t="s">
        <v>5501</v>
      </c>
      <c r="F1051" s="79" t="s">
        <v>4357</v>
      </c>
      <c r="G1051" s="80" t="s">
        <v>96</v>
      </c>
      <c r="H1051" s="90">
        <v>3.093E-4</v>
      </c>
      <c r="I1051" s="45"/>
      <c r="J1051" s="45"/>
      <c r="K1051" s="45"/>
      <c r="L1051" s="45"/>
      <c r="M1051" s="45"/>
      <c r="N1051" s="45"/>
      <c r="O1051" s="45"/>
      <c r="P1051" s="45"/>
      <c r="Q1051" s="45"/>
      <c r="R1051" s="45"/>
      <c r="S1051" s="45"/>
      <c r="T1051" s="45"/>
      <c r="U1051" s="45"/>
    </row>
    <row r="1052">
      <c r="A1052" s="79" t="s">
        <v>10948</v>
      </c>
      <c r="B1052" s="45"/>
      <c r="C1052" s="79" t="s">
        <v>10949</v>
      </c>
      <c r="D1052" s="45"/>
      <c r="E1052" s="79" t="s">
        <v>5283</v>
      </c>
      <c r="F1052" s="79" t="s">
        <v>8784</v>
      </c>
      <c r="G1052" s="80" t="s">
        <v>96</v>
      </c>
      <c r="H1052" s="90">
        <v>3.09E-4</v>
      </c>
      <c r="I1052" s="45"/>
      <c r="J1052" s="45"/>
      <c r="K1052" s="45"/>
      <c r="L1052" s="45"/>
      <c r="M1052" s="45"/>
      <c r="N1052" s="45"/>
      <c r="O1052" s="45"/>
      <c r="P1052" s="45"/>
      <c r="Q1052" s="45"/>
      <c r="R1052" s="45"/>
      <c r="S1052" s="45"/>
      <c r="T1052" s="45"/>
      <c r="U1052" s="45"/>
    </row>
    <row r="1053">
      <c r="A1053" s="79" t="s">
        <v>17749</v>
      </c>
      <c r="B1053" s="45"/>
      <c r="C1053" s="79" t="s">
        <v>17750</v>
      </c>
      <c r="D1053" s="45"/>
      <c r="E1053" s="79" t="s">
        <v>5978</v>
      </c>
      <c r="F1053" s="79" t="s">
        <v>5425</v>
      </c>
      <c r="G1053" s="80" t="s">
        <v>96</v>
      </c>
      <c r="H1053" s="90">
        <v>3.089E-4</v>
      </c>
      <c r="I1053" s="45"/>
      <c r="J1053" s="45"/>
      <c r="K1053" s="45"/>
      <c r="L1053" s="45"/>
      <c r="M1053" s="45"/>
      <c r="N1053" s="45"/>
      <c r="O1053" s="45"/>
      <c r="P1053" s="45"/>
      <c r="Q1053" s="45"/>
      <c r="R1053" s="45"/>
      <c r="S1053" s="45"/>
      <c r="T1053" s="45"/>
      <c r="U1053" s="45"/>
    </row>
    <row r="1054">
      <c r="A1054" s="79" t="s">
        <v>17751</v>
      </c>
      <c r="B1054" s="45"/>
      <c r="C1054" s="79" t="s">
        <v>17752</v>
      </c>
      <c r="D1054" s="45"/>
      <c r="E1054" s="79" t="s">
        <v>6514</v>
      </c>
      <c r="F1054" s="79" t="s">
        <v>9299</v>
      </c>
      <c r="G1054" s="80" t="s">
        <v>96</v>
      </c>
      <c r="H1054" s="90">
        <v>3.088E-4</v>
      </c>
      <c r="I1054" s="45"/>
      <c r="J1054" s="45"/>
      <c r="K1054" s="45"/>
      <c r="L1054" s="45"/>
      <c r="M1054" s="45"/>
      <c r="N1054" s="45"/>
      <c r="O1054" s="45"/>
      <c r="P1054" s="45"/>
      <c r="Q1054" s="45"/>
      <c r="R1054" s="45"/>
      <c r="S1054" s="45"/>
      <c r="T1054" s="45"/>
      <c r="U1054" s="45"/>
    </row>
    <row r="1055">
      <c r="A1055" s="79" t="s">
        <v>17753</v>
      </c>
      <c r="B1055" s="45"/>
      <c r="C1055" s="79" t="s">
        <v>17754</v>
      </c>
      <c r="D1055" s="45"/>
      <c r="E1055" s="79" t="s">
        <v>5215</v>
      </c>
      <c r="F1055" s="79" t="s">
        <v>8759</v>
      </c>
      <c r="G1055" s="80" t="s">
        <v>96</v>
      </c>
      <c r="H1055" s="90">
        <v>3.084E-4</v>
      </c>
      <c r="I1055" s="45"/>
      <c r="J1055" s="45"/>
      <c r="K1055" s="45"/>
      <c r="L1055" s="45"/>
      <c r="M1055" s="45"/>
      <c r="N1055" s="45"/>
      <c r="O1055" s="45"/>
      <c r="P1055" s="45"/>
      <c r="Q1055" s="45"/>
      <c r="R1055" s="45"/>
      <c r="S1055" s="45"/>
      <c r="T1055" s="45"/>
      <c r="U1055" s="45"/>
    </row>
    <row r="1056">
      <c r="A1056" s="79" t="s">
        <v>17755</v>
      </c>
      <c r="B1056" s="45"/>
      <c r="C1056" s="79" t="s">
        <v>17756</v>
      </c>
      <c r="D1056" s="45"/>
      <c r="E1056" s="79" t="s">
        <v>5309</v>
      </c>
      <c r="F1056" s="79" t="s">
        <v>5747</v>
      </c>
      <c r="G1056" s="80" t="s">
        <v>96</v>
      </c>
      <c r="H1056" s="90">
        <v>3.082E-4</v>
      </c>
      <c r="I1056" s="45"/>
      <c r="J1056" s="45"/>
      <c r="K1056" s="45"/>
      <c r="L1056" s="45"/>
      <c r="M1056" s="45"/>
      <c r="N1056" s="45"/>
      <c r="O1056" s="45"/>
      <c r="P1056" s="45"/>
      <c r="Q1056" s="45"/>
      <c r="R1056" s="45"/>
      <c r="S1056" s="45"/>
      <c r="T1056" s="45"/>
      <c r="U1056" s="45"/>
    </row>
    <row r="1057">
      <c r="A1057" s="79" t="s">
        <v>17757</v>
      </c>
      <c r="B1057" s="45"/>
      <c r="C1057" s="79" t="s">
        <v>17758</v>
      </c>
      <c r="D1057" s="45"/>
      <c r="E1057" s="79" t="s">
        <v>5675</v>
      </c>
      <c r="F1057" s="79" t="s">
        <v>5300</v>
      </c>
      <c r="G1057" s="80" t="s">
        <v>96</v>
      </c>
      <c r="H1057" s="90">
        <v>3.082E-4</v>
      </c>
      <c r="I1057" s="45"/>
      <c r="J1057" s="45"/>
      <c r="K1057" s="45"/>
      <c r="L1057" s="45"/>
      <c r="M1057" s="45"/>
      <c r="N1057" s="45"/>
      <c r="O1057" s="45"/>
      <c r="P1057" s="45"/>
      <c r="Q1057" s="45"/>
      <c r="R1057" s="45"/>
      <c r="S1057" s="45"/>
      <c r="T1057" s="45"/>
      <c r="U1057" s="45"/>
    </row>
    <row r="1058">
      <c r="A1058" s="79" t="s">
        <v>10915</v>
      </c>
      <c r="B1058" s="45"/>
      <c r="C1058" s="79" t="s">
        <v>10916</v>
      </c>
      <c r="D1058" s="45"/>
      <c r="E1058" s="79" t="s">
        <v>5516</v>
      </c>
      <c r="F1058" s="79" t="s">
        <v>8784</v>
      </c>
      <c r="G1058" s="80" t="s">
        <v>96</v>
      </c>
      <c r="H1058" s="90">
        <v>3.081E-4</v>
      </c>
      <c r="I1058" s="45"/>
      <c r="J1058" s="45"/>
      <c r="K1058" s="45"/>
      <c r="L1058" s="45"/>
      <c r="M1058" s="45"/>
      <c r="N1058" s="45"/>
      <c r="O1058" s="45"/>
      <c r="P1058" s="45"/>
      <c r="Q1058" s="45"/>
      <c r="R1058" s="45"/>
      <c r="S1058" s="45"/>
      <c r="T1058" s="45"/>
      <c r="U1058" s="45"/>
    </row>
    <row r="1059">
      <c r="A1059" s="79" t="s">
        <v>10870</v>
      </c>
      <c r="B1059" s="45"/>
      <c r="C1059" s="79" t="s">
        <v>10871</v>
      </c>
      <c r="D1059" s="45"/>
      <c r="E1059" s="79" t="s">
        <v>5341</v>
      </c>
      <c r="F1059" s="79" t="s">
        <v>8784</v>
      </c>
      <c r="G1059" s="80" t="s">
        <v>96</v>
      </c>
      <c r="H1059" s="90">
        <v>3.079E-4</v>
      </c>
      <c r="I1059" s="45"/>
      <c r="J1059" s="45"/>
      <c r="K1059" s="45"/>
      <c r="L1059" s="45"/>
      <c r="M1059" s="45"/>
      <c r="N1059" s="45"/>
      <c r="O1059" s="45"/>
      <c r="P1059" s="45"/>
      <c r="Q1059" s="45"/>
      <c r="R1059" s="45"/>
      <c r="S1059" s="45"/>
      <c r="T1059" s="45"/>
      <c r="U1059" s="45"/>
    </row>
    <row r="1060">
      <c r="A1060" s="79" t="s">
        <v>17759</v>
      </c>
      <c r="B1060" s="45"/>
      <c r="C1060" s="79" t="s">
        <v>17760</v>
      </c>
      <c r="D1060" s="45"/>
      <c r="E1060" s="79" t="s">
        <v>6130</v>
      </c>
      <c r="F1060" s="79" t="s">
        <v>4095</v>
      </c>
      <c r="G1060" s="80" t="s">
        <v>96</v>
      </c>
      <c r="H1060" s="90">
        <v>3.079E-4</v>
      </c>
      <c r="I1060" s="45"/>
      <c r="J1060" s="45"/>
      <c r="K1060" s="45"/>
      <c r="L1060" s="45"/>
      <c r="M1060" s="45"/>
      <c r="N1060" s="45"/>
      <c r="O1060" s="45"/>
      <c r="P1060" s="45"/>
      <c r="Q1060" s="45"/>
      <c r="R1060" s="45"/>
      <c r="S1060" s="45"/>
      <c r="T1060" s="45"/>
      <c r="U1060" s="45"/>
    </row>
    <row r="1061">
      <c r="A1061" s="79" t="s">
        <v>17761</v>
      </c>
      <c r="B1061" s="45"/>
      <c r="C1061" s="79" t="s">
        <v>17762</v>
      </c>
      <c r="D1061" s="45"/>
      <c r="E1061" s="79" t="s">
        <v>5561</v>
      </c>
      <c r="F1061" s="79" t="s">
        <v>5425</v>
      </c>
      <c r="G1061" s="80" t="s">
        <v>96</v>
      </c>
      <c r="H1061" s="90">
        <v>3.079E-4</v>
      </c>
      <c r="I1061" s="45"/>
      <c r="J1061" s="45"/>
      <c r="K1061" s="45"/>
      <c r="L1061" s="45"/>
      <c r="M1061" s="45"/>
      <c r="N1061" s="45"/>
      <c r="O1061" s="45"/>
      <c r="P1061" s="45"/>
      <c r="Q1061" s="45"/>
      <c r="R1061" s="45"/>
      <c r="S1061" s="45"/>
      <c r="T1061" s="45"/>
      <c r="U1061" s="45"/>
    </row>
    <row r="1062">
      <c r="A1062" s="79" t="s">
        <v>10614</v>
      </c>
      <c r="B1062" s="45"/>
      <c r="C1062" s="79" t="s">
        <v>10615</v>
      </c>
      <c r="D1062" s="45"/>
      <c r="E1062" s="79" t="s">
        <v>5366</v>
      </c>
      <c r="F1062" s="79" t="s">
        <v>8784</v>
      </c>
      <c r="G1062" s="80" t="s">
        <v>96</v>
      </c>
      <c r="H1062" s="90">
        <v>3.075E-4</v>
      </c>
      <c r="I1062" s="45"/>
      <c r="J1062" s="45"/>
      <c r="K1062" s="45"/>
      <c r="L1062" s="45"/>
      <c r="M1062" s="45"/>
      <c r="N1062" s="45"/>
      <c r="O1062" s="45"/>
      <c r="P1062" s="45"/>
      <c r="Q1062" s="45"/>
      <c r="R1062" s="45"/>
      <c r="S1062" s="45"/>
      <c r="T1062" s="45"/>
      <c r="U1062" s="45"/>
    </row>
    <row r="1063">
      <c r="A1063" s="79" t="s">
        <v>10647</v>
      </c>
      <c r="B1063" s="45"/>
      <c r="C1063" s="79" t="s">
        <v>10648</v>
      </c>
      <c r="D1063" s="45"/>
      <c r="E1063" s="79" t="s">
        <v>5704</v>
      </c>
      <c r="F1063" s="79" t="s">
        <v>8784</v>
      </c>
      <c r="G1063" s="80" t="s">
        <v>96</v>
      </c>
      <c r="H1063" s="90">
        <v>3.073E-4</v>
      </c>
      <c r="I1063" s="45"/>
      <c r="J1063" s="45"/>
      <c r="K1063" s="45"/>
      <c r="L1063" s="45"/>
      <c r="M1063" s="45"/>
      <c r="N1063" s="45"/>
      <c r="O1063" s="45"/>
      <c r="P1063" s="45"/>
      <c r="Q1063" s="45"/>
      <c r="R1063" s="45"/>
      <c r="S1063" s="45"/>
      <c r="T1063" s="45"/>
      <c r="U1063" s="45"/>
    </row>
    <row r="1064">
      <c r="A1064" s="79" t="s">
        <v>17763</v>
      </c>
      <c r="B1064" s="45"/>
      <c r="C1064" s="79" t="s">
        <v>17764</v>
      </c>
      <c r="D1064" s="45"/>
      <c r="E1064" s="79" t="s">
        <v>5459</v>
      </c>
      <c r="F1064" s="79" t="s">
        <v>4095</v>
      </c>
      <c r="G1064" s="80" t="s">
        <v>96</v>
      </c>
      <c r="H1064" s="90">
        <v>3.069E-4</v>
      </c>
      <c r="I1064" s="45"/>
      <c r="J1064" s="45"/>
      <c r="K1064" s="45"/>
      <c r="L1064" s="45"/>
      <c r="M1064" s="45"/>
      <c r="N1064" s="45"/>
      <c r="O1064" s="45"/>
      <c r="P1064" s="45"/>
      <c r="Q1064" s="45"/>
      <c r="R1064" s="45"/>
      <c r="S1064" s="45"/>
      <c r="T1064" s="45"/>
      <c r="U1064" s="45"/>
    </row>
    <row r="1065">
      <c r="A1065" s="79" t="s">
        <v>17765</v>
      </c>
      <c r="B1065" s="45"/>
      <c r="C1065" s="79" t="s">
        <v>17766</v>
      </c>
      <c r="D1065" s="45"/>
      <c r="E1065" s="79" t="s">
        <v>6249</v>
      </c>
      <c r="F1065" s="79" t="s">
        <v>5300</v>
      </c>
      <c r="G1065" s="80" t="s">
        <v>96</v>
      </c>
      <c r="H1065" s="90">
        <v>3.067E-4</v>
      </c>
      <c r="I1065" s="45"/>
      <c r="J1065" s="45"/>
      <c r="K1065" s="45"/>
      <c r="L1065" s="45"/>
      <c r="M1065" s="45"/>
      <c r="N1065" s="45"/>
      <c r="O1065" s="45"/>
      <c r="P1065" s="45"/>
      <c r="Q1065" s="45"/>
      <c r="R1065" s="45"/>
      <c r="S1065" s="45"/>
      <c r="T1065" s="45"/>
      <c r="U1065" s="45"/>
    </row>
    <row r="1066">
      <c r="A1066" s="79" t="s">
        <v>17767</v>
      </c>
      <c r="B1066" s="45"/>
      <c r="C1066" s="79" t="s">
        <v>17768</v>
      </c>
      <c r="D1066" s="45"/>
      <c r="E1066" s="79" t="s">
        <v>5759</v>
      </c>
      <c r="F1066" s="79" t="s">
        <v>5300</v>
      </c>
      <c r="G1066" s="80" t="s">
        <v>96</v>
      </c>
      <c r="H1066" s="90">
        <v>3.065E-4</v>
      </c>
      <c r="I1066" s="45"/>
      <c r="J1066" s="45"/>
      <c r="K1066" s="45"/>
      <c r="L1066" s="45"/>
      <c r="M1066" s="45"/>
      <c r="N1066" s="45"/>
      <c r="O1066" s="45"/>
      <c r="P1066" s="45"/>
      <c r="Q1066" s="45"/>
      <c r="R1066" s="45"/>
      <c r="S1066" s="45"/>
      <c r="T1066" s="45"/>
      <c r="U1066" s="45"/>
    </row>
    <row r="1067">
      <c r="A1067" s="79" t="s">
        <v>17769</v>
      </c>
      <c r="B1067" s="45"/>
      <c r="C1067" s="79" t="s">
        <v>17770</v>
      </c>
      <c r="D1067" s="45"/>
      <c r="E1067" s="79" t="s">
        <v>5377</v>
      </c>
      <c r="F1067" s="79" t="s">
        <v>9021</v>
      </c>
      <c r="G1067" s="80" t="s">
        <v>96</v>
      </c>
      <c r="H1067" s="90">
        <v>3.065E-4</v>
      </c>
      <c r="I1067" s="45"/>
      <c r="J1067" s="45"/>
      <c r="K1067" s="45"/>
      <c r="L1067" s="45"/>
      <c r="M1067" s="45"/>
      <c r="N1067" s="45"/>
      <c r="O1067" s="45"/>
      <c r="P1067" s="45"/>
      <c r="Q1067" s="45"/>
      <c r="R1067" s="45"/>
      <c r="S1067" s="45"/>
      <c r="T1067" s="45"/>
      <c r="U1067" s="45"/>
    </row>
    <row r="1068">
      <c r="A1068" s="79" t="s">
        <v>17771</v>
      </c>
      <c r="B1068" s="45"/>
      <c r="C1068" s="79" t="s">
        <v>17772</v>
      </c>
      <c r="D1068" s="45"/>
      <c r="E1068" s="79" t="s">
        <v>5501</v>
      </c>
      <c r="F1068" s="79" t="s">
        <v>5425</v>
      </c>
      <c r="G1068" s="80" t="s">
        <v>96</v>
      </c>
      <c r="H1068" s="90">
        <v>3.059E-4</v>
      </c>
      <c r="I1068" s="45"/>
      <c r="J1068" s="45"/>
      <c r="K1068" s="45"/>
      <c r="L1068" s="45"/>
      <c r="M1068" s="45"/>
      <c r="N1068" s="45"/>
      <c r="O1068" s="45"/>
      <c r="P1068" s="45"/>
      <c r="Q1068" s="45"/>
      <c r="R1068" s="45"/>
      <c r="S1068" s="45"/>
      <c r="T1068" s="45"/>
      <c r="U1068" s="45"/>
    </row>
    <row r="1069">
      <c r="A1069" s="79" t="s">
        <v>17773</v>
      </c>
      <c r="B1069" s="45"/>
      <c r="C1069" s="79" t="s">
        <v>17774</v>
      </c>
      <c r="D1069" s="45"/>
      <c r="E1069" s="79" t="s">
        <v>5401</v>
      </c>
      <c r="F1069" s="79" t="s">
        <v>5300</v>
      </c>
      <c r="G1069" s="80" t="s">
        <v>96</v>
      </c>
      <c r="H1069" s="90">
        <v>3.059E-4</v>
      </c>
      <c r="I1069" s="45"/>
      <c r="J1069" s="45"/>
      <c r="K1069" s="45"/>
      <c r="L1069" s="45"/>
      <c r="M1069" s="45"/>
      <c r="N1069" s="45"/>
      <c r="O1069" s="45"/>
      <c r="P1069" s="45"/>
      <c r="Q1069" s="45"/>
      <c r="R1069" s="45"/>
      <c r="S1069" s="45"/>
      <c r="T1069" s="45"/>
      <c r="U1069" s="45"/>
    </row>
    <row r="1070">
      <c r="A1070" s="79" t="s">
        <v>17775</v>
      </c>
      <c r="B1070" s="45"/>
      <c r="C1070" s="79" t="s">
        <v>17776</v>
      </c>
      <c r="D1070" s="45"/>
      <c r="E1070" s="79" t="s">
        <v>5501</v>
      </c>
      <c r="F1070" s="79" t="s">
        <v>5300</v>
      </c>
      <c r="G1070" s="80" t="s">
        <v>96</v>
      </c>
      <c r="H1070" s="90">
        <v>3.058E-4</v>
      </c>
      <c r="I1070" s="45"/>
      <c r="J1070" s="45"/>
      <c r="K1070" s="45"/>
      <c r="L1070" s="45"/>
      <c r="M1070" s="45"/>
      <c r="N1070" s="45"/>
      <c r="O1070" s="45"/>
      <c r="P1070" s="45"/>
      <c r="Q1070" s="45"/>
      <c r="R1070" s="45"/>
      <c r="S1070" s="45"/>
      <c r="T1070" s="45"/>
      <c r="U1070" s="45"/>
    </row>
    <row r="1071">
      <c r="A1071" s="79" t="s">
        <v>17777</v>
      </c>
      <c r="B1071" s="45"/>
      <c r="C1071" s="79" t="s">
        <v>17778</v>
      </c>
      <c r="D1071" s="45"/>
      <c r="E1071" s="79" t="s">
        <v>5561</v>
      </c>
      <c r="F1071" s="79" t="s">
        <v>9021</v>
      </c>
      <c r="G1071" s="80" t="s">
        <v>96</v>
      </c>
      <c r="H1071" s="90">
        <v>3.057E-4</v>
      </c>
      <c r="I1071" s="45"/>
      <c r="J1071" s="45"/>
      <c r="K1071" s="45"/>
      <c r="L1071" s="45"/>
      <c r="M1071" s="45"/>
      <c r="N1071" s="45"/>
      <c r="O1071" s="45"/>
      <c r="P1071" s="45"/>
      <c r="Q1071" s="45"/>
      <c r="R1071" s="45"/>
      <c r="S1071" s="45"/>
      <c r="T1071" s="45"/>
      <c r="U1071" s="45"/>
    </row>
    <row r="1072">
      <c r="A1072" s="79" t="s">
        <v>10697</v>
      </c>
      <c r="B1072" s="45"/>
      <c r="C1072" s="79" t="s">
        <v>10698</v>
      </c>
      <c r="D1072" s="45"/>
      <c r="E1072" s="79" t="s">
        <v>5366</v>
      </c>
      <c r="F1072" s="79" t="s">
        <v>8784</v>
      </c>
      <c r="G1072" s="80" t="s">
        <v>96</v>
      </c>
      <c r="H1072" s="90">
        <v>3.056E-4</v>
      </c>
      <c r="I1072" s="45"/>
      <c r="J1072" s="45"/>
      <c r="K1072" s="45"/>
      <c r="L1072" s="45"/>
      <c r="M1072" s="45"/>
      <c r="N1072" s="45"/>
      <c r="O1072" s="45"/>
      <c r="P1072" s="45"/>
      <c r="Q1072" s="45"/>
      <c r="R1072" s="45"/>
      <c r="S1072" s="45"/>
      <c r="T1072" s="45"/>
      <c r="U1072" s="45"/>
    </row>
    <row r="1073">
      <c r="A1073" s="79" t="s">
        <v>17779</v>
      </c>
      <c r="B1073" s="45"/>
      <c r="C1073" s="79" t="s">
        <v>17780</v>
      </c>
      <c r="D1073" s="45"/>
      <c r="E1073" s="79" t="s">
        <v>5650</v>
      </c>
      <c r="F1073" s="79" t="s">
        <v>9414</v>
      </c>
      <c r="G1073" s="80" t="s">
        <v>96</v>
      </c>
      <c r="H1073" s="90">
        <v>3.049E-4</v>
      </c>
      <c r="I1073" s="45"/>
      <c r="J1073" s="45"/>
      <c r="K1073" s="45"/>
      <c r="L1073" s="45"/>
      <c r="M1073" s="45"/>
      <c r="N1073" s="45"/>
      <c r="O1073" s="45"/>
      <c r="P1073" s="45"/>
      <c r="Q1073" s="45"/>
      <c r="R1073" s="45"/>
      <c r="S1073" s="45"/>
      <c r="T1073" s="45"/>
      <c r="U1073" s="45"/>
    </row>
    <row r="1074">
      <c r="A1074" s="79" t="s">
        <v>10851</v>
      </c>
      <c r="B1074" s="45"/>
      <c r="C1074" s="79" t="s">
        <v>10852</v>
      </c>
      <c r="D1074" s="45"/>
      <c r="E1074" s="79" t="s">
        <v>5377</v>
      </c>
      <c r="F1074" s="79" t="s">
        <v>8784</v>
      </c>
      <c r="G1074" s="80" t="s">
        <v>96</v>
      </c>
      <c r="H1074" s="90">
        <v>3.047E-4</v>
      </c>
      <c r="I1074" s="45"/>
      <c r="J1074" s="45"/>
      <c r="K1074" s="45"/>
      <c r="L1074" s="45"/>
      <c r="M1074" s="45"/>
      <c r="N1074" s="45"/>
      <c r="O1074" s="45"/>
      <c r="P1074" s="45"/>
      <c r="Q1074" s="45"/>
      <c r="R1074" s="45"/>
      <c r="S1074" s="45"/>
      <c r="T1074" s="45"/>
      <c r="U1074" s="45"/>
    </row>
    <row r="1075">
      <c r="A1075" s="79" t="s">
        <v>6118</v>
      </c>
      <c r="B1075" s="45"/>
      <c r="C1075" s="79" t="s">
        <v>10784</v>
      </c>
      <c r="D1075" s="45"/>
      <c r="E1075" s="79" t="s">
        <v>8648</v>
      </c>
      <c r="F1075" s="79" t="s">
        <v>8784</v>
      </c>
      <c r="G1075" s="80" t="s">
        <v>96</v>
      </c>
      <c r="H1075" s="90">
        <v>3.044E-4</v>
      </c>
      <c r="I1075" s="45"/>
      <c r="J1075" s="45"/>
      <c r="K1075" s="45"/>
      <c r="L1075" s="45"/>
      <c r="M1075" s="45"/>
      <c r="N1075" s="45"/>
      <c r="O1075" s="45"/>
      <c r="P1075" s="45"/>
      <c r="Q1075" s="45"/>
      <c r="R1075" s="45"/>
      <c r="S1075" s="45"/>
      <c r="T1075" s="45"/>
      <c r="U1075" s="45"/>
    </row>
    <row r="1076">
      <c r="A1076" s="79" t="s">
        <v>17781</v>
      </c>
      <c r="B1076" s="45"/>
      <c r="C1076" s="79" t="s">
        <v>17782</v>
      </c>
      <c r="D1076" s="45"/>
      <c r="E1076" s="79" t="s">
        <v>5374</v>
      </c>
      <c r="F1076" s="79" t="s">
        <v>5300</v>
      </c>
      <c r="G1076" s="80" t="s">
        <v>96</v>
      </c>
      <c r="H1076" s="90">
        <v>3.042E-4</v>
      </c>
      <c r="I1076" s="45"/>
      <c r="J1076" s="45"/>
      <c r="K1076" s="45"/>
      <c r="L1076" s="45"/>
      <c r="M1076" s="45"/>
      <c r="N1076" s="45"/>
      <c r="O1076" s="45"/>
      <c r="P1076" s="45"/>
      <c r="Q1076" s="45"/>
      <c r="R1076" s="45"/>
      <c r="S1076" s="45"/>
      <c r="T1076" s="45"/>
      <c r="U1076" s="45"/>
    </row>
    <row r="1077">
      <c r="A1077" s="79" t="s">
        <v>17783</v>
      </c>
      <c r="B1077" s="45"/>
      <c r="C1077" s="79" t="s">
        <v>17784</v>
      </c>
      <c r="D1077" s="45"/>
      <c r="E1077" s="79" t="s">
        <v>5215</v>
      </c>
      <c r="F1077" s="79" t="s">
        <v>4357</v>
      </c>
      <c r="G1077" s="80" t="s">
        <v>96</v>
      </c>
      <c r="H1077" s="90">
        <v>3.04E-4</v>
      </c>
      <c r="I1077" s="45"/>
      <c r="J1077" s="45"/>
      <c r="K1077" s="45"/>
      <c r="L1077" s="45"/>
      <c r="M1077" s="45"/>
      <c r="N1077" s="45"/>
      <c r="O1077" s="45"/>
      <c r="P1077" s="45"/>
      <c r="Q1077" s="45"/>
      <c r="R1077" s="45"/>
      <c r="S1077" s="45"/>
      <c r="T1077" s="45"/>
      <c r="U1077" s="45"/>
    </row>
    <row r="1078">
      <c r="A1078" s="79" t="s">
        <v>17785</v>
      </c>
      <c r="B1078" s="45"/>
      <c r="C1078" s="79" t="s">
        <v>17786</v>
      </c>
      <c r="D1078" s="45"/>
      <c r="E1078" s="79" t="s">
        <v>5283</v>
      </c>
      <c r="F1078" s="79" t="s">
        <v>5300</v>
      </c>
      <c r="G1078" s="80" t="s">
        <v>96</v>
      </c>
      <c r="H1078" s="90">
        <v>3.038E-4</v>
      </c>
      <c r="I1078" s="45"/>
      <c r="J1078" s="45"/>
      <c r="K1078" s="45"/>
      <c r="L1078" s="45"/>
      <c r="M1078" s="45"/>
      <c r="N1078" s="45"/>
      <c r="O1078" s="45"/>
      <c r="P1078" s="45"/>
      <c r="Q1078" s="45"/>
      <c r="R1078" s="45"/>
      <c r="S1078" s="45"/>
      <c r="T1078" s="45"/>
      <c r="U1078" s="45"/>
    </row>
    <row r="1079">
      <c r="A1079" s="79" t="s">
        <v>17787</v>
      </c>
      <c r="B1079" s="45"/>
      <c r="C1079" s="79" t="s">
        <v>17788</v>
      </c>
      <c r="D1079" s="45"/>
      <c r="E1079" s="79" t="s">
        <v>6275</v>
      </c>
      <c r="F1079" s="79" t="s">
        <v>5300</v>
      </c>
      <c r="G1079" s="80" t="s">
        <v>96</v>
      </c>
      <c r="H1079" s="90">
        <v>3.038E-4</v>
      </c>
      <c r="I1079" s="45"/>
      <c r="J1079" s="45"/>
      <c r="K1079" s="45"/>
      <c r="L1079" s="45"/>
      <c r="M1079" s="45"/>
      <c r="N1079" s="45"/>
      <c r="O1079" s="45"/>
      <c r="P1079" s="45"/>
      <c r="Q1079" s="45"/>
      <c r="R1079" s="45"/>
      <c r="S1079" s="45"/>
      <c r="T1079" s="45"/>
      <c r="U1079" s="45"/>
    </row>
    <row r="1080">
      <c r="A1080" s="79" t="s">
        <v>17789</v>
      </c>
      <c r="B1080" s="45"/>
      <c r="C1080" s="79" t="s">
        <v>17790</v>
      </c>
      <c r="D1080" s="45"/>
      <c r="E1080" s="79" t="s">
        <v>6868</v>
      </c>
      <c r="F1080" s="79" t="s">
        <v>8759</v>
      </c>
      <c r="G1080" s="80" t="s">
        <v>96</v>
      </c>
      <c r="H1080" s="90">
        <v>3.038E-4</v>
      </c>
      <c r="I1080" s="45"/>
      <c r="J1080" s="45"/>
      <c r="K1080" s="45"/>
      <c r="L1080" s="45"/>
      <c r="M1080" s="45"/>
      <c r="N1080" s="45"/>
      <c r="O1080" s="45"/>
      <c r="P1080" s="45"/>
      <c r="Q1080" s="45"/>
      <c r="R1080" s="45"/>
      <c r="S1080" s="45"/>
      <c r="T1080" s="45"/>
      <c r="U1080" s="45"/>
    </row>
    <row r="1081">
      <c r="A1081" s="79" t="s">
        <v>17791</v>
      </c>
      <c r="B1081" s="45"/>
      <c r="C1081" s="79" t="s">
        <v>17792</v>
      </c>
      <c r="D1081" s="45"/>
      <c r="E1081" s="79" t="s">
        <v>6472</v>
      </c>
      <c r="F1081" s="79" t="s">
        <v>5300</v>
      </c>
      <c r="G1081" s="80" t="s">
        <v>96</v>
      </c>
      <c r="H1081" s="90">
        <v>3.037E-4</v>
      </c>
      <c r="I1081" s="45"/>
      <c r="J1081" s="45"/>
      <c r="K1081" s="45"/>
      <c r="L1081" s="45"/>
      <c r="M1081" s="45"/>
      <c r="N1081" s="45"/>
      <c r="O1081" s="45"/>
      <c r="P1081" s="45"/>
      <c r="Q1081" s="45"/>
      <c r="R1081" s="45"/>
      <c r="S1081" s="45"/>
      <c r="T1081" s="45"/>
      <c r="U1081" s="45"/>
    </row>
    <row r="1082">
      <c r="A1082" s="79" t="s">
        <v>17793</v>
      </c>
      <c r="B1082" s="45"/>
      <c r="C1082" s="79" t="s">
        <v>17794</v>
      </c>
      <c r="D1082" s="45"/>
      <c r="E1082" s="79" t="s">
        <v>5742</v>
      </c>
      <c r="F1082" s="79" t="s">
        <v>5300</v>
      </c>
      <c r="G1082" s="80" t="s">
        <v>96</v>
      </c>
      <c r="H1082" s="90">
        <v>3.035E-4</v>
      </c>
      <c r="I1082" s="45"/>
      <c r="J1082" s="45"/>
      <c r="K1082" s="45"/>
      <c r="L1082" s="45"/>
      <c r="M1082" s="45"/>
      <c r="N1082" s="45"/>
      <c r="O1082" s="45"/>
      <c r="P1082" s="45"/>
      <c r="Q1082" s="45"/>
      <c r="R1082" s="45"/>
      <c r="S1082" s="45"/>
      <c r="T1082" s="45"/>
      <c r="U1082" s="45"/>
    </row>
    <row r="1083">
      <c r="A1083" s="79" t="s">
        <v>11010</v>
      </c>
      <c r="B1083" s="45"/>
      <c r="C1083" s="79" t="s">
        <v>11011</v>
      </c>
      <c r="D1083" s="45"/>
      <c r="E1083" s="79" t="s">
        <v>5338</v>
      </c>
      <c r="F1083" s="79" t="s">
        <v>8784</v>
      </c>
      <c r="G1083" s="80" t="s">
        <v>96</v>
      </c>
      <c r="H1083" s="90">
        <v>3.033E-4</v>
      </c>
      <c r="I1083" s="45"/>
      <c r="J1083" s="45"/>
      <c r="K1083" s="45"/>
      <c r="L1083" s="45"/>
      <c r="M1083" s="45"/>
      <c r="N1083" s="45"/>
      <c r="O1083" s="45"/>
      <c r="P1083" s="45"/>
      <c r="Q1083" s="45"/>
      <c r="R1083" s="45"/>
      <c r="S1083" s="45"/>
      <c r="T1083" s="45"/>
      <c r="U1083" s="45"/>
    </row>
    <row r="1084">
      <c r="A1084" s="79" t="s">
        <v>10785</v>
      </c>
      <c r="B1084" s="45"/>
      <c r="C1084" s="79" t="s">
        <v>10786</v>
      </c>
      <c r="D1084" s="45"/>
      <c r="E1084" s="79" t="s">
        <v>5276</v>
      </c>
      <c r="F1084" s="79" t="s">
        <v>8784</v>
      </c>
      <c r="G1084" s="80" t="s">
        <v>96</v>
      </c>
      <c r="H1084" s="90">
        <v>3.03E-4</v>
      </c>
      <c r="I1084" s="45"/>
      <c r="J1084" s="45"/>
      <c r="K1084" s="45"/>
      <c r="L1084" s="45"/>
      <c r="M1084" s="45"/>
      <c r="N1084" s="45"/>
      <c r="O1084" s="45"/>
      <c r="P1084" s="45"/>
      <c r="Q1084" s="45"/>
      <c r="R1084" s="45"/>
      <c r="S1084" s="45"/>
      <c r="T1084" s="45"/>
      <c r="U1084" s="45"/>
    </row>
    <row r="1085">
      <c r="A1085" s="79" t="s">
        <v>17795</v>
      </c>
      <c r="B1085" s="45"/>
      <c r="C1085" s="79" t="s">
        <v>17796</v>
      </c>
      <c r="D1085" s="45"/>
      <c r="E1085" s="79" t="s">
        <v>5404</v>
      </c>
      <c r="F1085" s="79" t="s">
        <v>5425</v>
      </c>
      <c r="G1085" s="80" t="s">
        <v>96</v>
      </c>
      <c r="H1085" s="90">
        <v>3.03E-4</v>
      </c>
      <c r="I1085" s="45"/>
      <c r="J1085" s="45"/>
      <c r="K1085" s="45"/>
      <c r="L1085" s="45"/>
      <c r="M1085" s="45"/>
      <c r="N1085" s="45"/>
      <c r="O1085" s="45"/>
      <c r="P1085" s="45"/>
      <c r="Q1085" s="45"/>
      <c r="R1085" s="45"/>
      <c r="S1085" s="45"/>
      <c r="T1085" s="45"/>
      <c r="U1085" s="45"/>
    </row>
    <row r="1086">
      <c r="A1086" s="79" t="s">
        <v>10709</v>
      </c>
      <c r="B1086" s="45"/>
      <c r="C1086" s="79" t="s">
        <v>10710</v>
      </c>
      <c r="D1086" s="45"/>
      <c r="E1086" s="79" t="s">
        <v>5407</v>
      </c>
      <c r="F1086" s="79" t="s">
        <v>8784</v>
      </c>
      <c r="G1086" s="80" t="s">
        <v>96</v>
      </c>
      <c r="H1086" s="90">
        <v>3.024E-4</v>
      </c>
      <c r="I1086" s="45"/>
      <c r="J1086" s="45"/>
      <c r="K1086" s="45"/>
      <c r="L1086" s="45"/>
      <c r="M1086" s="45"/>
      <c r="N1086" s="45"/>
      <c r="O1086" s="45"/>
      <c r="P1086" s="45"/>
      <c r="Q1086" s="45"/>
      <c r="R1086" s="45"/>
      <c r="S1086" s="45"/>
      <c r="T1086" s="45"/>
      <c r="U1086" s="45"/>
    </row>
    <row r="1087">
      <c r="A1087" s="79" t="s">
        <v>10679</v>
      </c>
      <c r="B1087" s="45"/>
      <c r="C1087" s="79" t="s">
        <v>10680</v>
      </c>
      <c r="D1087" s="45"/>
      <c r="E1087" s="79" t="s">
        <v>7260</v>
      </c>
      <c r="F1087" s="79" t="s">
        <v>5425</v>
      </c>
      <c r="G1087" s="80" t="s">
        <v>96</v>
      </c>
      <c r="H1087" s="90">
        <v>3.018E-4</v>
      </c>
      <c r="I1087" s="45"/>
      <c r="J1087" s="45"/>
      <c r="K1087" s="45"/>
      <c r="L1087" s="45"/>
      <c r="M1087" s="45"/>
      <c r="N1087" s="45"/>
      <c r="O1087" s="45"/>
      <c r="P1087" s="45"/>
      <c r="Q1087" s="45"/>
      <c r="R1087" s="45"/>
      <c r="S1087" s="45"/>
      <c r="T1087" s="45"/>
      <c r="U1087" s="45"/>
    </row>
    <row r="1088">
      <c r="A1088" s="79" t="s">
        <v>17797</v>
      </c>
      <c r="B1088" s="45"/>
      <c r="C1088" s="79" t="s">
        <v>17798</v>
      </c>
      <c r="D1088" s="45"/>
      <c r="E1088" s="79" t="s">
        <v>9553</v>
      </c>
      <c r="F1088" s="79" t="s">
        <v>5300</v>
      </c>
      <c r="G1088" s="80" t="s">
        <v>96</v>
      </c>
      <c r="H1088" s="90">
        <v>3.017E-4</v>
      </c>
      <c r="I1088" s="45"/>
      <c r="J1088" s="45"/>
      <c r="K1088" s="45"/>
      <c r="L1088" s="45"/>
      <c r="M1088" s="45"/>
      <c r="N1088" s="45"/>
      <c r="O1088" s="45"/>
      <c r="P1088" s="45"/>
      <c r="Q1088" s="45"/>
      <c r="R1088" s="45"/>
      <c r="S1088" s="45"/>
      <c r="T1088" s="45"/>
      <c r="U1088" s="45"/>
    </row>
    <row r="1089">
      <c r="A1089" s="79" t="s">
        <v>17799</v>
      </c>
      <c r="B1089" s="45"/>
      <c r="C1089" s="79" t="s">
        <v>17800</v>
      </c>
      <c r="D1089" s="45"/>
      <c r="E1089" s="79" t="s">
        <v>5215</v>
      </c>
      <c r="F1089" s="79" t="s">
        <v>5300</v>
      </c>
      <c r="G1089" s="80" t="s">
        <v>96</v>
      </c>
      <c r="H1089" s="90">
        <v>3.017E-4</v>
      </c>
      <c r="I1089" s="45"/>
      <c r="J1089" s="45"/>
      <c r="K1089" s="45"/>
      <c r="L1089" s="45"/>
      <c r="M1089" s="45"/>
      <c r="N1089" s="45"/>
      <c r="O1089" s="45"/>
      <c r="P1089" s="45"/>
      <c r="Q1089" s="45"/>
      <c r="R1089" s="45"/>
      <c r="S1089" s="45"/>
      <c r="T1089" s="45"/>
      <c r="U1089" s="45"/>
    </row>
    <row r="1090">
      <c r="A1090" s="79" t="s">
        <v>17801</v>
      </c>
      <c r="B1090" s="45"/>
      <c r="C1090" s="79" t="s">
        <v>17802</v>
      </c>
      <c r="D1090" s="45"/>
      <c r="E1090" s="79" t="s">
        <v>6514</v>
      </c>
      <c r="F1090" s="79" t="s">
        <v>4095</v>
      </c>
      <c r="G1090" s="80" t="s">
        <v>96</v>
      </c>
      <c r="H1090" s="90">
        <v>3.016E-4</v>
      </c>
      <c r="I1090" s="45"/>
      <c r="J1090" s="45"/>
      <c r="K1090" s="45"/>
      <c r="L1090" s="45"/>
      <c r="M1090" s="45"/>
      <c r="N1090" s="45"/>
      <c r="O1090" s="45"/>
      <c r="P1090" s="45"/>
      <c r="Q1090" s="45"/>
      <c r="R1090" s="45"/>
      <c r="S1090" s="45"/>
      <c r="T1090" s="45"/>
      <c r="U1090" s="45"/>
    </row>
    <row r="1091">
      <c r="A1091" s="79" t="s">
        <v>17803</v>
      </c>
      <c r="B1091" s="45"/>
      <c r="C1091" s="79" t="s">
        <v>17804</v>
      </c>
      <c r="D1091" s="45"/>
      <c r="E1091" s="79" t="s">
        <v>5238</v>
      </c>
      <c r="F1091" s="79" t="s">
        <v>8784</v>
      </c>
      <c r="G1091" s="80" t="s">
        <v>96</v>
      </c>
      <c r="H1091" s="90">
        <v>3.014E-4</v>
      </c>
      <c r="I1091" s="45"/>
      <c r="J1091" s="45"/>
      <c r="K1091" s="45"/>
      <c r="L1091" s="45"/>
      <c r="M1091" s="45"/>
      <c r="N1091" s="45"/>
      <c r="O1091" s="45"/>
      <c r="P1091" s="45"/>
      <c r="Q1091" s="45"/>
      <c r="R1091" s="45"/>
      <c r="S1091" s="45"/>
      <c r="T1091" s="45"/>
      <c r="U1091" s="45"/>
    </row>
    <row r="1092">
      <c r="A1092" s="79" t="s">
        <v>17805</v>
      </c>
      <c r="B1092" s="45"/>
      <c r="C1092" s="79" t="s">
        <v>17806</v>
      </c>
      <c r="D1092" s="45"/>
      <c r="E1092" s="79" t="s">
        <v>5501</v>
      </c>
      <c r="F1092" s="79" t="s">
        <v>5300</v>
      </c>
      <c r="G1092" s="80" t="s">
        <v>96</v>
      </c>
      <c r="H1092" s="90">
        <v>3.012E-4</v>
      </c>
      <c r="I1092" s="45"/>
      <c r="J1092" s="45"/>
      <c r="K1092" s="45"/>
      <c r="L1092" s="45"/>
      <c r="M1092" s="45"/>
      <c r="N1092" s="45"/>
      <c r="O1092" s="45"/>
      <c r="P1092" s="45"/>
      <c r="Q1092" s="45"/>
      <c r="R1092" s="45"/>
      <c r="S1092" s="45"/>
      <c r="T1092" s="45"/>
      <c r="U1092" s="45"/>
    </row>
    <row r="1093">
      <c r="A1093" s="79" t="s">
        <v>17807</v>
      </c>
      <c r="B1093" s="45"/>
      <c r="C1093" s="79" t="s">
        <v>17808</v>
      </c>
      <c r="D1093" s="45"/>
      <c r="E1093" s="79" t="s">
        <v>6130</v>
      </c>
      <c r="F1093" s="79" t="s">
        <v>8784</v>
      </c>
      <c r="G1093" s="80" t="s">
        <v>96</v>
      </c>
      <c r="H1093" s="90">
        <v>3.011E-4</v>
      </c>
      <c r="I1093" s="45"/>
      <c r="J1093" s="45"/>
      <c r="K1093" s="45"/>
      <c r="L1093" s="45"/>
      <c r="M1093" s="45"/>
      <c r="N1093" s="45"/>
      <c r="O1093" s="45"/>
      <c r="P1093" s="45"/>
      <c r="Q1093" s="45"/>
      <c r="R1093" s="45"/>
      <c r="S1093" s="45"/>
      <c r="T1093" s="45"/>
      <c r="U1093" s="45"/>
    </row>
    <row r="1094">
      <c r="A1094" s="79" t="s">
        <v>17809</v>
      </c>
      <c r="B1094" s="45"/>
      <c r="C1094" s="79" t="s">
        <v>17810</v>
      </c>
      <c r="D1094" s="45"/>
      <c r="E1094" s="79" t="s">
        <v>6012</v>
      </c>
      <c r="F1094" s="79" t="s">
        <v>5300</v>
      </c>
      <c r="G1094" s="80" t="s">
        <v>96</v>
      </c>
      <c r="H1094" s="90">
        <v>3.01E-4</v>
      </c>
      <c r="I1094" s="45"/>
      <c r="J1094" s="45"/>
      <c r="K1094" s="45"/>
      <c r="L1094" s="45"/>
      <c r="M1094" s="45"/>
      <c r="N1094" s="45"/>
      <c r="O1094" s="45"/>
      <c r="P1094" s="45"/>
      <c r="Q1094" s="45"/>
      <c r="R1094" s="45"/>
      <c r="S1094" s="45"/>
      <c r="T1094" s="45"/>
      <c r="U1094" s="45"/>
    </row>
    <row r="1095">
      <c r="A1095" s="79" t="s">
        <v>17811</v>
      </c>
      <c r="B1095" s="45"/>
      <c r="C1095" s="79" t="s">
        <v>17812</v>
      </c>
      <c r="D1095" s="45"/>
      <c r="E1095" s="79" t="s">
        <v>5561</v>
      </c>
      <c r="F1095" s="79" t="s">
        <v>5300</v>
      </c>
      <c r="G1095" s="80" t="s">
        <v>96</v>
      </c>
      <c r="H1095" s="90">
        <v>3.007E-4</v>
      </c>
      <c r="I1095" s="45"/>
      <c r="J1095" s="45"/>
      <c r="K1095" s="45"/>
      <c r="L1095" s="45"/>
      <c r="M1095" s="45"/>
      <c r="N1095" s="45"/>
      <c r="O1095" s="45"/>
      <c r="P1095" s="45"/>
      <c r="Q1095" s="45"/>
      <c r="R1095" s="45"/>
      <c r="S1095" s="45"/>
      <c r="T1095" s="45"/>
      <c r="U1095" s="45"/>
    </row>
    <row r="1096">
      <c r="A1096" s="79" t="s">
        <v>11021</v>
      </c>
      <c r="B1096" s="45"/>
      <c r="C1096" s="79" t="s">
        <v>11022</v>
      </c>
      <c r="D1096" s="45"/>
      <c r="E1096" s="79" t="s">
        <v>7611</v>
      </c>
      <c r="F1096" s="79" t="s">
        <v>8784</v>
      </c>
      <c r="G1096" s="80" t="s">
        <v>96</v>
      </c>
      <c r="H1096" s="90">
        <v>3.001E-4</v>
      </c>
      <c r="I1096" s="45"/>
      <c r="J1096" s="45"/>
      <c r="K1096" s="45"/>
      <c r="L1096" s="45"/>
      <c r="M1096" s="45"/>
      <c r="N1096" s="45"/>
      <c r="O1096" s="45"/>
      <c r="P1096" s="45"/>
      <c r="Q1096" s="45"/>
      <c r="R1096" s="45"/>
      <c r="S1096" s="45"/>
      <c r="T1096" s="45"/>
      <c r="U1096" s="45"/>
    </row>
    <row r="1097">
      <c r="A1097" s="79" t="s">
        <v>17813</v>
      </c>
      <c r="B1097" s="45"/>
      <c r="C1097" s="79" t="s">
        <v>17814</v>
      </c>
      <c r="D1097" s="45"/>
      <c r="E1097" s="79" t="s">
        <v>7611</v>
      </c>
      <c r="F1097" s="79" t="s">
        <v>8784</v>
      </c>
      <c r="G1097" s="80" t="s">
        <v>96</v>
      </c>
      <c r="H1097" s="90">
        <v>3.0E-4</v>
      </c>
      <c r="I1097" s="45"/>
      <c r="J1097" s="45"/>
      <c r="K1097" s="45"/>
      <c r="L1097" s="45"/>
      <c r="M1097" s="45"/>
      <c r="N1097" s="45"/>
      <c r="O1097" s="45"/>
      <c r="P1097" s="45"/>
      <c r="Q1097" s="45"/>
      <c r="R1097" s="45"/>
      <c r="S1097" s="45"/>
      <c r="T1097" s="45"/>
      <c r="U1097" s="45"/>
    </row>
    <row r="1098">
      <c r="A1098" s="79" t="s">
        <v>17815</v>
      </c>
      <c r="B1098" s="45"/>
      <c r="C1098" s="79" t="s">
        <v>17816</v>
      </c>
      <c r="D1098" s="45"/>
      <c r="E1098" s="79" t="s">
        <v>5516</v>
      </c>
      <c r="F1098" s="79" t="s">
        <v>5300</v>
      </c>
      <c r="G1098" s="80" t="s">
        <v>96</v>
      </c>
      <c r="H1098" s="90">
        <v>2.991E-4</v>
      </c>
      <c r="I1098" s="45"/>
      <c r="J1098" s="45"/>
      <c r="K1098" s="45"/>
      <c r="L1098" s="45"/>
      <c r="M1098" s="45"/>
      <c r="N1098" s="45"/>
      <c r="O1098" s="45"/>
      <c r="P1098" s="45"/>
      <c r="Q1098" s="45"/>
      <c r="R1098" s="45"/>
      <c r="S1098" s="45"/>
      <c r="T1098" s="45"/>
      <c r="U1098" s="45"/>
    </row>
    <row r="1099">
      <c r="A1099" s="79" t="s">
        <v>17817</v>
      </c>
      <c r="B1099" s="45"/>
      <c r="C1099" s="79" t="s">
        <v>17818</v>
      </c>
      <c r="D1099" s="45"/>
      <c r="E1099" s="79" t="s">
        <v>5249</v>
      </c>
      <c r="F1099" s="79" t="s">
        <v>5425</v>
      </c>
      <c r="G1099" s="80" t="s">
        <v>96</v>
      </c>
      <c r="H1099" s="90">
        <v>2.988E-4</v>
      </c>
      <c r="I1099" s="45"/>
      <c r="J1099" s="45"/>
      <c r="K1099" s="45"/>
      <c r="L1099" s="45"/>
      <c r="M1099" s="45"/>
      <c r="N1099" s="45"/>
      <c r="O1099" s="45"/>
      <c r="P1099" s="45"/>
      <c r="Q1099" s="45"/>
      <c r="R1099" s="45"/>
      <c r="S1099" s="45"/>
      <c r="T1099" s="45"/>
      <c r="U1099" s="45"/>
    </row>
    <row r="1100">
      <c r="A1100" s="79" t="s">
        <v>10227</v>
      </c>
      <c r="B1100" s="45"/>
      <c r="C1100" s="79" t="s">
        <v>10228</v>
      </c>
      <c r="D1100" s="45"/>
      <c r="E1100" s="79" t="s">
        <v>5377</v>
      </c>
      <c r="F1100" s="79" t="s">
        <v>8784</v>
      </c>
      <c r="G1100" s="80" t="s">
        <v>96</v>
      </c>
      <c r="H1100" s="90">
        <v>2.984E-4</v>
      </c>
      <c r="I1100" s="45"/>
      <c r="J1100" s="45"/>
      <c r="K1100" s="45"/>
      <c r="L1100" s="45"/>
      <c r="M1100" s="45"/>
      <c r="N1100" s="45"/>
      <c r="O1100" s="45"/>
      <c r="P1100" s="45"/>
      <c r="Q1100" s="45"/>
      <c r="R1100" s="45"/>
      <c r="S1100" s="45"/>
      <c r="T1100" s="45"/>
      <c r="U1100" s="45"/>
    </row>
    <row r="1101">
      <c r="A1101" s="79" t="s">
        <v>17819</v>
      </c>
      <c r="B1101" s="45"/>
      <c r="C1101" s="79" t="s">
        <v>17820</v>
      </c>
      <c r="D1101" s="45"/>
      <c r="E1101" s="79" t="s">
        <v>6475</v>
      </c>
      <c r="F1101" s="79" t="s">
        <v>5300</v>
      </c>
      <c r="G1101" s="80" t="s">
        <v>96</v>
      </c>
      <c r="H1101" s="90">
        <v>2.983E-4</v>
      </c>
      <c r="I1101" s="45"/>
      <c r="J1101" s="45"/>
      <c r="K1101" s="45"/>
      <c r="L1101" s="45"/>
      <c r="M1101" s="45"/>
      <c r="N1101" s="45"/>
      <c r="O1101" s="45"/>
      <c r="P1101" s="45"/>
      <c r="Q1101" s="45"/>
      <c r="R1101" s="45"/>
      <c r="S1101" s="45"/>
      <c r="T1101" s="45"/>
      <c r="U1101" s="45"/>
    </row>
    <row r="1102">
      <c r="A1102" s="79" t="s">
        <v>17821</v>
      </c>
      <c r="B1102" s="45"/>
      <c r="C1102" s="79" t="s">
        <v>17822</v>
      </c>
      <c r="D1102" s="45"/>
      <c r="E1102" s="79" t="s">
        <v>5341</v>
      </c>
      <c r="F1102" s="79" t="s">
        <v>5300</v>
      </c>
      <c r="G1102" s="80" t="s">
        <v>96</v>
      </c>
      <c r="H1102" s="90">
        <v>2.979E-4</v>
      </c>
      <c r="I1102" s="45"/>
      <c r="J1102" s="45"/>
      <c r="K1102" s="45"/>
      <c r="L1102" s="45"/>
      <c r="M1102" s="45"/>
      <c r="N1102" s="45"/>
      <c r="O1102" s="45"/>
      <c r="P1102" s="45"/>
      <c r="Q1102" s="45"/>
      <c r="R1102" s="45"/>
      <c r="S1102" s="45"/>
      <c r="T1102" s="45"/>
      <c r="U1102" s="45"/>
    </row>
    <row r="1103">
      <c r="A1103" s="79" t="s">
        <v>17823</v>
      </c>
      <c r="B1103" s="45"/>
      <c r="C1103" s="79" t="s">
        <v>17824</v>
      </c>
      <c r="D1103" s="45"/>
      <c r="E1103" s="79" t="s">
        <v>5374</v>
      </c>
      <c r="F1103" s="79" t="s">
        <v>5300</v>
      </c>
      <c r="G1103" s="80" t="s">
        <v>96</v>
      </c>
      <c r="H1103" s="90">
        <v>2.978E-4</v>
      </c>
      <c r="I1103" s="45"/>
      <c r="J1103" s="45"/>
      <c r="K1103" s="45"/>
      <c r="L1103" s="45"/>
      <c r="M1103" s="45"/>
      <c r="N1103" s="45"/>
      <c r="O1103" s="45"/>
      <c r="P1103" s="45"/>
      <c r="Q1103" s="45"/>
      <c r="R1103" s="45"/>
      <c r="S1103" s="45"/>
      <c r="T1103" s="45"/>
      <c r="U1103" s="45"/>
    </row>
    <row r="1104">
      <c r="A1104" s="79" t="s">
        <v>17825</v>
      </c>
      <c r="B1104" s="45"/>
      <c r="C1104" s="79" t="s">
        <v>17826</v>
      </c>
      <c r="D1104" s="45"/>
      <c r="E1104" s="79" t="s">
        <v>5401</v>
      </c>
      <c r="F1104" s="79" t="s">
        <v>5300</v>
      </c>
      <c r="G1104" s="80" t="s">
        <v>96</v>
      </c>
      <c r="H1104" s="90">
        <v>2.975E-4</v>
      </c>
      <c r="I1104" s="45"/>
      <c r="J1104" s="45"/>
      <c r="K1104" s="45"/>
      <c r="L1104" s="45"/>
      <c r="M1104" s="45"/>
      <c r="N1104" s="45"/>
      <c r="O1104" s="45"/>
      <c r="P1104" s="45"/>
      <c r="Q1104" s="45"/>
      <c r="R1104" s="45"/>
      <c r="S1104" s="45"/>
      <c r="T1104" s="45"/>
      <c r="U1104" s="45"/>
    </row>
    <row r="1105">
      <c r="A1105" s="79" t="s">
        <v>17827</v>
      </c>
      <c r="B1105" s="45"/>
      <c r="C1105" s="79" t="s">
        <v>17828</v>
      </c>
      <c r="D1105" s="45"/>
      <c r="E1105" s="79" t="s">
        <v>5267</v>
      </c>
      <c r="F1105" s="79" t="s">
        <v>5300</v>
      </c>
      <c r="G1105" s="80" t="s">
        <v>96</v>
      </c>
      <c r="H1105" s="90">
        <v>2.975E-4</v>
      </c>
      <c r="I1105" s="45"/>
      <c r="J1105" s="45"/>
      <c r="K1105" s="45"/>
      <c r="L1105" s="45"/>
      <c r="M1105" s="45"/>
      <c r="N1105" s="45"/>
      <c r="O1105" s="45"/>
      <c r="P1105" s="45"/>
      <c r="Q1105" s="45"/>
      <c r="R1105" s="45"/>
      <c r="S1105" s="45"/>
      <c r="T1105" s="45"/>
      <c r="U1105" s="45"/>
    </row>
    <row r="1106">
      <c r="A1106" s="79" t="s">
        <v>17829</v>
      </c>
      <c r="B1106" s="45"/>
      <c r="C1106" s="79" t="s">
        <v>17830</v>
      </c>
      <c r="D1106" s="45"/>
      <c r="E1106" s="79" t="s">
        <v>5267</v>
      </c>
      <c r="F1106" s="79" t="s">
        <v>4153</v>
      </c>
      <c r="G1106" s="80" t="s">
        <v>96</v>
      </c>
      <c r="H1106" s="90">
        <v>2.975E-4</v>
      </c>
      <c r="I1106" s="45"/>
      <c r="J1106" s="45"/>
      <c r="K1106" s="45"/>
      <c r="L1106" s="45"/>
      <c r="M1106" s="45"/>
      <c r="N1106" s="45"/>
      <c r="O1106" s="45"/>
      <c r="P1106" s="45"/>
      <c r="Q1106" s="45"/>
      <c r="R1106" s="45"/>
      <c r="S1106" s="45"/>
      <c r="T1106" s="45"/>
      <c r="U1106" s="45"/>
    </row>
    <row r="1107">
      <c r="A1107" s="79" t="s">
        <v>10754</v>
      </c>
      <c r="B1107" s="45"/>
      <c r="C1107" s="79" t="s">
        <v>10755</v>
      </c>
      <c r="D1107" s="45"/>
      <c r="E1107" s="79" t="s">
        <v>9553</v>
      </c>
      <c r="F1107" s="79" t="s">
        <v>8784</v>
      </c>
      <c r="G1107" s="80" t="s">
        <v>96</v>
      </c>
      <c r="H1107" s="90">
        <v>2.972E-4</v>
      </c>
      <c r="I1107" s="45"/>
      <c r="J1107" s="45"/>
      <c r="K1107" s="45"/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</row>
    <row r="1108">
      <c r="A1108" s="79" t="s">
        <v>17831</v>
      </c>
      <c r="B1108" s="45"/>
      <c r="C1108" s="79" t="s">
        <v>17832</v>
      </c>
      <c r="D1108" s="45"/>
      <c r="E1108" s="79" t="s">
        <v>6157</v>
      </c>
      <c r="F1108" s="79" t="s">
        <v>5300</v>
      </c>
      <c r="G1108" s="80" t="s">
        <v>96</v>
      </c>
      <c r="H1108" s="90">
        <v>2.969E-4</v>
      </c>
      <c r="I1108" s="45"/>
      <c r="J1108" s="45"/>
      <c r="K1108" s="45"/>
      <c r="L1108" s="45"/>
      <c r="M1108" s="45"/>
      <c r="N1108" s="45"/>
      <c r="O1108" s="45"/>
      <c r="P1108" s="45"/>
      <c r="Q1108" s="45"/>
      <c r="R1108" s="45"/>
      <c r="S1108" s="45"/>
      <c r="T1108" s="45"/>
      <c r="U1108" s="45"/>
    </row>
    <row r="1109">
      <c r="A1109" s="79" t="s">
        <v>17833</v>
      </c>
      <c r="B1109" s="45"/>
      <c r="C1109" s="79" t="s">
        <v>17834</v>
      </c>
      <c r="D1109" s="45"/>
      <c r="E1109" s="79" t="s">
        <v>5561</v>
      </c>
      <c r="F1109" s="79" t="s">
        <v>9021</v>
      </c>
      <c r="G1109" s="80" t="s">
        <v>96</v>
      </c>
      <c r="H1109" s="90">
        <v>2.967E-4</v>
      </c>
      <c r="I1109" s="45"/>
      <c r="J1109" s="45"/>
      <c r="K1109" s="45"/>
      <c r="L1109" s="45"/>
      <c r="M1109" s="45"/>
      <c r="N1109" s="45"/>
      <c r="O1109" s="45"/>
      <c r="P1109" s="45"/>
      <c r="Q1109" s="45"/>
      <c r="R1109" s="45"/>
      <c r="S1109" s="45"/>
      <c r="T1109" s="45"/>
      <c r="U1109" s="45"/>
    </row>
    <row r="1110">
      <c r="A1110" s="79" t="s">
        <v>17835</v>
      </c>
      <c r="B1110" s="45"/>
      <c r="C1110" s="79" t="s">
        <v>17836</v>
      </c>
      <c r="D1110" s="45"/>
      <c r="E1110" s="79" t="s">
        <v>5478</v>
      </c>
      <c r="F1110" s="79" t="s">
        <v>5425</v>
      </c>
      <c r="G1110" s="80" t="s">
        <v>96</v>
      </c>
      <c r="H1110" s="90">
        <v>2.965E-4</v>
      </c>
      <c r="I1110" s="45"/>
      <c r="J1110" s="45"/>
      <c r="K1110" s="45"/>
      <c r="L1110" s="45"/>
      <c r="M1110" s="45"/>
      <c r="N1110" s="45"/>
      <c r="O1110" s="45"/>
      <c r="P1110" s="45"/>
      <c r="Q1110" s="45"/>
      <c r="R1110" s="45"/>
      <c r="S1110" s="45"/>
      <c r="T1110" s="45"/>
      <c r="U1110" s="45"/>
    </row>
    <row r="1111">
      <c r="A1111" s="79" t="s">
        <v>11248</v>
      </c>
      <c r="B1111" s="45"/>
      <c r="C1111" s="79" t="s">
        <v>17837</v>
      </c>
      <c r="D1111" s="45"/>
      <c r="E1111" s="79" t="s">
        <v>6759</v>
      </c>
      <c r="F1111" s="79" t="s">
        <v>5300</v>
      </c>
      <c r="G1111" s="80" t="s">
        <v>96</v>
      </c>
      <c r="H1111" s="90">
        <v>2.963E-4</v>
      </c>
      <c r="I1111" s="45"/>
      <c r="J1111" s="45"/>
      <c r="K1111" s="45"/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</row>
    <row r="1112">
      <c r="A1112" s="79" t="s">
        <v>17838</v>
      </c>
      <c r="B1112" s="45"/>
      <c r="C1112" s="79" t="s">
        <v>17839</v>
      </c>
      <c r="D1112" s="45"/>
      <c r="E1112" s="79" t="s">
        <v>8230</v>
      </c>
      <c r="F1112" s="79" t="s">
        <v>5300</v>
      </c>
      <c r="G1112" s="80" t="s">
        <v>96</v>
      </c>
      <c r="H1112" s="90">
        <v>2.96E-4</v>
      </c>
      <c r="I1112" s="45"/>
      <c r="J1112" s="45"/>
      <c r="K1112" s="45"/>
      <c r="L1112" s="45"/>
      <c r="M1112" s="45"/>
      <c r="N1112" s="45"/>
      <c r="O1112" s="45"/>
      <c r="P1112" s="45"/>
      <c r="Q1112" s="45"/>
      <c r="R1112" s="45"/>
      <c r="S1112" s="45"/>
      <c r="T1112" s="45"/>
      <c r="U1112" s="45"/>
    </row>
    <row r="1113">
      <c r="A1113" s="79" t="s">
        <v>17840</v>
      </c>
      <c r="B1113" s="45"/>
      <c r="C1113" s="79" t="s">
        <v>17841</v>
      </c>
      <c r="D1113" s="45"/>
      <c r="E1113" s="79" t="s">
        <v>5456</v>
      </c>
      <c r="F1113" s="79" t="s">
        <v>8784</v>
      </c>
      <c r="G1113" s="80" t="s">
        <v>96</v>
      </c>
      <c r="H1113" s="90">
        <v>2.959E-4</v>
      </c>
      <c r="I1113" s="45"/>
      <c r="J1113" s="45"/>
      <c r="K1113" s="45"/>
      <c r="L1113" s="45"/>
      <c r="M1113" s="45"/>
      <c r="N1113" s="45"/>
      <c r="O1113" s="45"/>
      <c r="P1113" s="45"/>
      <c r="Q1113" s="45"/>
      <c r="R1113" s="45"/>
      <c r="S1113" s="45"/>
      <c r="T1113" s="45"/>
      <c r="U1113" s="45"/>
    </row>
    <row r="1114">
      <c r="A1114" s="79" t="s">
        <v>10884</v>
      </c>
      <c r="B1114" s="45"/>
      <c r="C1114" s="79" t="s">
        <v>10885</v>
      </c>
      <c r="D1114" s="45"/>
      <c r="E1114" s="79" t="s">
        <v>7222</v>
      </c>
      <c r="F1114" s="79" t="s">
        <v>5941</v>
      </c>
      <c r="G1114" s="80" t="s">
        <v>96</v>
      </c>
      <c r="H1114" s="90">
        <v>2.959E-4</v>
      </c>
      <c r="I1114" s="45"/>
      <c r="J1114" s="45"/>
      <c r="K1114" s="45"/>
      <c r="L1114" s="45"/>
      <c r="M1114" s="45"/>
      <c r="N1114" s="45"/>
      <c r="O1114" s="45"/>
      <c r="P1114" s="45"/>
      <c r="Q1114" s="45"/>
      <c r="R1114" s="45"/>
      <c r="S1114" s="45"/>
      <c r="T1114" s="45"/>
      <c r="U1114" s="45"/>
    </row>
    <row r="1115">
      <c r="A1115" s="79" t="s">
        <v>17842</v>
      </c>
      <c r="B1115" s="45"/>
      <c r="C1115" s="79" t="s">
        <v>17843</v>
      </c>
      <c r="D1115" s="45"/>
      <c r="E1115" s="79" t="s">
        <v>9189</v>
      </c>
      <c r="F1115" s="79" t="s">
        <v>5425</v>
      </c>
      <c r="G1115" s="80" t="s">
        <v>96</v>
      </c>
      <c r="H1115" s="90">
        <v>2.958E-4</v>
      </c>
      <c r="I1115" s="45"/>
      <c r="J1115" s="45"/>
      <c r="K1115" s="45"/>
      <c r="L1115" s="45"/>
      <c r="M1115" s="45"/>
      <c r="N1115" s="45"/>
      <c r="O1115" s="45"/>
      <c r="P1115" s="45"/>
      <c r="Q1115" s="45"/>
      <c r="R1115" s="45"/>
      <c r="S1115" s="45"/>
      <c r="T1115" s="45"/>
      <c r="U1115" s="45"/>
    </row>
    <row r="1116">
      <c r="A1116" s="79" t="s">
        <v>17844</v>
      </c>
      <c r="B1116" s="45"/>
      <c r="C1116" s="79" t="s">
        <v>17845</v>
      </c>
      <c r="D1116" s="45"/>
      <c r="E1116" s="79" t="s">
        <v>5271</v>
      </c>
      <c r="F1116" s="79" t="s">
        <v>5300</v>
      </c>
      <c r="G1116" s="80" t="s">
        <v>96</v>
      </c>
      <c r="H1116" s="90">
        <v>2.951E-4</v>
      </c>
      <c r="I1116" s="45"/>
      <c r="J1116" s="45"/>
      <c r="K1116" s="45"/>
      <c r="L1116" s="45"/>
      <c r="M1116" s="45"/>
      <c r="N1116" s="45"/>
      <c r="O1116" s="45"/>
      <c r="P1116" s="45"/>
      <c r="Q1116" s="45"/>
      <c r="R1116" s="45"/>
      <c r="S1116" s="45"/>
      <c r="T1116" s="45"/>
      <c r="U1116" s="45"/>
    </row>
    <row r="1117">
      <c r="A1117" s="79" t="s">
        <v>17846</v>
      </c>
      <c r="B1117" s="45"/>
      <c r="C1117" s="79" t="s">
        <v>17847</v>
      </c>
      <c r="D1117" s="45"/>
      <c r="E1117" s="79" t="s">
        <v>5226</v>
      </c>
      <c r="F1117" s="79" t="s">
        <v>5836</v>
      </c>
      <c r="G1117" s="80" t="s">
        <v>96</v>
      </c>
      <c r="H1117" s="90">
        <v>2.945E-4</v>
      </c>
      <c r="I1117" s="45"/>
      <c r="J1117" s="45"/>
      <c r="K1117" s="45"/>
      <c r="L1117" s="45"/>
      <c r="M1117" s="45"/>
      <c r="N1117" s="45"/>
      <c r="O1117" s="45"/>
      <c r="P1117" s="45"/>
      <c r="Q1117" s="45"/>
      <c r="R1117" s="45"/>
      <c r="S1117" s="45"/>
      <c r="T1117" s="45"/>
      <c r="U1117" s="45"/>
    </row>
    <row r="1118">
      <c r="A1118" s="79" t="s">
        <v>10880</v>
      </c>
      <c r="B1118" s="45"/>
      <c r="C1118" s="79" t="s">
        <v>10881</v>
      </c>
      <c r="D1118" s="45"/>
      <c r="E1118" s="79" t="s">
        <v>5564</v>
      </c>
      <c r="F1118" s="79" t="s">
        <v>8784</v>
      </c>
      <c r="G1118" s="80" t="s">
        <v>96</v>
      </c>
      <c r="H1118" s="90">
        <v>2.944E-4</v>
      </c>
      <c r="I1118" s="45"/>
      <c r="J1118" s="45"/>
      <c r="K1118" s="45"/>
      <c r="L1118" s="45"/>
      <c r="M1118" s="45"/>
      <c r="N1118" s="45"/>
      <c r="O1118" s="45"/>
      <c r="P1118" s="45"/>
      <c r="Q1118" s="45"/>
      <c r="R1118" s="45"/>
      <c r="S1118" s="45"/>
      <c r="T1118" s="45"/>
      <c r="U1118" s="45"/>
    </row>
    <row r="1119">
      <c r="A1119" s="79" t="s">
        <v>10782</v>
      </c>
      <c r="B1119" s="45"/>
      <c r="C1119" s="79" t="s">
        <v>10783</v>
      </c>
      <c r="D1119" s="45"/>
      <c r="E1119" s="79" t="s">
        <v>5434</v>
      </c>
      <c r="F1119" s="79" t="s">
        <v>8759</v>
      </c>
      <c r="G1119" s="80" t="s">
        <v>96</v>
      </c>
      <c r="H1119" s="90">
        <v>2.943E-4</v>
      </c>
      <c r="I1119" s="45"/>
      <c r="J1119" s="45"/>
      <c r="K1119" s="45"/>
      <c r="L1119" s="45"/>
      <c r="M1119" s="45"/>
      <c r="N1119" s="45"/>
      <c r="O1119" s="45"/>
      <c r="P1119" s="45"/>
      <c r="Q1119" s="45"/>
      <c r="R1119" s="45"/>
      <c r="S1119" s="45"/>
      <c r="T1119" s="45"/>
      <c r="U1119" s="45"/>
    </row>
    <row r="1120">
      <c r="A1120" s="79" t="s">
        <v>10506</v>
      </c>
      <c r="B1120" s="45"/>
      <c r="C1120" s="79" t="s">
        <v>10507</v>
      </c>
      <c r="D1120" s="45"/>
      <c r="E1120" s="79" t="s">
        <v>9553</v>
      </c>
      <c r="F1120" s="79" t="s">
        <v>5941</v>
      </c>
      <c r="G1120" s="80" t="s">
        <v>96</v>
      </c>
      <c r="H1120" s="90">
        <v>2.943E-4</v>
      </c>
      <c r="I1120" s="45"/>
      <c r="J1120" s="45"/>
      <c r="K1120" s="45"/>
      <c r="L1120" s="45"/>
      <c r="M1120" s="45"/>
      <c r="N1120" s="45"/>
      <c r="O1120" s="45"/>
      <c r="P1120" s="45"/>
      <c r="Q1120" s="45"/>
      <c r="R1120" s="45"/>
      <c r="S1120" s="45"/>
      <c r="T1120" s="45"/>
      <c r="U1120" s="45"/>
    </row>
    <row r="1121">
      <c r="A1121" s="79" t="s">
        <v>5372</v>
      </c>
      <c r="B1121" s="45"/>
      <c r="C1121" s="79" t="s">
        <v>17848</v>
      </c>
      <c r="D1121" s="45"/>
      <c r="E1121" s="79" t="s">
        <v>6514</v>
      </c>
      <c r="F1121" s="79" t="s">
        <v>5300</v>
      </c>
      <c r="G1121" s="80" t="s">
        <v>96</v>
      </c>
      <c r="H1121" s="90">
        <v>2.928E-4</v>
      </c>
      <c r="I1121" s="45"/>
      <c r="J1121" s="45"/>
      <c r="K1121" s="45"/>
      <c r="L1121" s="45"/>
      <c r="M1121" s="45"/>
      <c r="N1121" s="45"/>
      <c r="O1121" s="45"/>
      <c r="P1121" s="45"/>
      <c r="Q1121" s="45"/>
      <c r="R1121" s="45"/>
      <c r="S1121" s="45"/>
      <c r="T1121" s="45"/>
      <c r="U1121" s="45"/>
    </row>
    <row r="1122">
      <c r="A1122" s="79" t="s">
        <v>17849</v>
      </c>
      <c r="B1122" s="45"/>
      <c r="C1122" s="79" t="s">
        <v>17850</v>
      </c>
      <c r="D1122" s="45"/>
      <c r="E1122" s="79" t="s">
        <v>5404</v>
      </c>
      <c r="F1122" s="79" t="s">
        <v>5836</v>
      </c>
      <c r="G1122" s="80" t="s">
        <v>96</v>
      </c>
      <c r="H1122" s="90">
        <v>2.922E-4</v>
      </c>
      <c r="I1122" s="45"/>
      <c r="J1122" s="45"/>
      <c r="K1122" s="45"/>
      <c r="L1122" s="45"/>
      <c r="M1122" s="45"/>
      <c r="N1122" s="45"/>
      <c r="O1122" s="45"/>
      <c r="P1122" s="45"/>
      <c r="Q1122" s="45"/>
      <c r="R1122" s="45"/>
      <c r="S1122" s="45"/>
      <c r="T1122" s="45"/>
      <c r="U1122" s="45"/>
    </row>
    <row r="1123">
      <c r="A1123" s="79" t="s">
        <v>10500</v>
      </c>
      <c r="B1123" s="45"/>
      <c r="C1123" s="79" t="s">
        <v>10501</v>
      </c>
      <c r="D1123" s="45"/>
      <c r="E1123" s="79" t="s">
        <v>5704</v>
      </c>
      <c r="F1123" s="79" t="s">
        <v>8784</v>
      </c>
      <c r="G1123" s="80" t="s">
        <v>96</v>
      </c>
      <c r="H1123" s="90">
        <v>2.92E-4</v>
      </c>
      <c r="I1123" s="45"/>
      <c r="J1123" s="45"/>
      <c r="K1123" s="45"/>
      <c r="L1123" s="45"/>
      <c r="M1123" s="45"/>
      <c r="N1123" s="45"/>
      <c r="O1123" s="45"/>
      <c r="P1123" s="45"/>
      <c r="Q1123" s="45"/>
      <c r="R1123" s="45"/>
      <c r="S1123" s="45"/>
      <c r="T1123" s="45"/>
      <c r="U1123" s="45"/>
    </row>
    <row r="1124">
      <c r="A1124" s="79" t="s">
        <v>17851</v>
      </c>
      <c r="B1124" s="45"/>
      <c r="C1124" s="79" t="s">
        <v>17852</v>
      </c>
      <c r="D1124" s="45"/>
      <c r="E1124" s="79" t="s">
        <v>5478</v>
      </c>
      <c r="F1124" s="79" t="s">
        <v>5300</v>
      </c>
      <c r="G1124" s="80" t="s">
        <v>96</v>
      </c>
      <c r="H1124" s="90">
        <v>2.914E-4</v>
      </c>
      <c r="I1124" s="45"/>
      <c r="J1124" s="45"/>
      <c r="K1124" s="45"/>
      <c r="L1124" s="45"/>
      <c r="M1124" s="45"/>
      <c r="N1124" s="45"/>
      <c r="O1124" s="45"/>
      <c r="P1124" s="45"/>
      <c r="Q1124" s="45"/>
      <c r="R1124" s="45"/>
      <c r="S1124" s="45"/>
      <c r="T1124" s="45"/>
      <c r="U1124" s="45"/>
    </row>
    <row r="1125">
      <c r="A1125" s="79" t="s">
        <v>17853</v>
      </c>
      <c r="B1125" s="45"/>
      <c r="C1125" s="79" t="s">
        <v>17854</v>
      </c>
      <c r="D1125" s="45"/>
      <c r="E1125" s="79" t="s">
        <v>6115</v>
      </c>
      <c r="F1125" s="79" t="s">
        <v>5300</v>
      </c>
      <c r="G1125" s="80" t="s">
        <v>96</v>
      </c>
      <c r="H1125" s="90">
        <v>2.913E-4</v>
      </c>
      <c r="I1125" s="45"/>
      <c r="J1125" s="45"/>
      <c r="K1125" s="45"/>
      <c r="L1125" s="45"/>
      <c r="M1125" s="45"/>
      <c r="N1125" s="45"/>
      <c r="O1125" s="45"/>
      <c r="P1125" s="45"/>
      <c r="Q1125" s="45"/>
      <c r="R1125" s="45"/>
      <c r="S1125" s="45"/>
      <c r="T1125" s="45"/>
      <c r="U1125" s="45"/>
    </row>
    <row r="1126">
      <c r="A1126" s="79" t="s">
        <v>17855</v>
      </c>
      <c r="B1126" s="45"/>
      <c r="C1126" s="79" t="s">
        <v>17856</v>
      </c>
      <c r="D1126" s="45"/>
      <c r="E1126" s="79" t="s">
        <v>5377</v>
      </c>
      <c r="F1126" s="79" t="s">
        <v>6988</v>
      </c>
      <c r="G1126" s="80" t="s">
        <v>96</v>
      </c>
      <c r="H1126" s="90">
        <v>2.911E-4</v>
      </c>
      <c r="I1126" s="45"/>
      <c r="J1126" s="45"/>
      <c r="K1126" s="45"/>
      <c r="L1126" s="45"/>
      <c r="M1126" s="45"/>
      <c r="N1126" s="45"/>
      <c r="O1126" s="45"/>
      <c r="P1126" s="45"/>
      <c r="Q1126" s="45"/>
      <c r="R1126" s="45"/>
      <c r="S1126" s="45"/>
      <c r="T1126" s="45"/>
      <c r="U1126" s="45"/>
    </row>
    <row r="1127">
      <c r="A1127" s="79" t="s">
        <v>17560</v>
      </c>
      <c r="B1127" s="45"/>
      <c r="C1127" s="79" t="s">
        <v>17857</v>
      </c>
      <c r="D1127" s="45"/>
      <c r="E1127" s="79" t="s">
        <v>5855</v>
      </c>
      <c r="F1127" s="79" t="s">
        <v>5747</v>
      </c>
      <c r="G1127" s="80" t="s">
        <v>96</v>
      </c>
      <c r="H1127" s="90">
        <v>2.909E-4</v>
      </c>
      <c r="I1127" s="45"/>
      <c r="J1127" s="45"/>
      <c r="K1127" s="45"/>
      <c r="L1127" s="45"/>
      <c r="M1127" s="45"/>
      <c r="N1127" s="45"/>
      <c r="O1127" s="45"/>
      <c r="P1127" s="45"/>
      <c r="Q1127" s="45"/>
      <c r="R1127" s="45"/>
      <c r="S1127" s="45"/>
      <c r="T1127" s="45"/>
      <c r="U1127" s="45"/>
    </row>
    <row r="1128">
      <c r="A1128" s="79" t="s">
        <v>10731</v>
      </c>
      <c r="B1128" s="45"/>
      <c r="C1128" s="79" t="s">
        <v>10732</v>
      </c>
      <c r="D1128" s="45"/>
      <c r="E1128" s="79" t="s">
        <v>5232</v>
      </c>
      <c r="F1128" s="79" t="s">
        <v>8784</v>
      </c>
      <c r="G1128" s="80" t="s">
        <v>96</v>
      </c>
      <c r="H1128" s="90">
        <v>2.906E-4</v>
      </c>
      <c r="I1128" s="45"/>
      <c r="J1128" s="45"/>
      <c r="K1128" s="45"/>
      <c r="L1128" s="45"/>
      <c r="M1128" s="45"/>
      <c r="N1128" s="45"/>
      <c r="O1128" s="45"/>
      <c r="P1128" s="45"/>
      <c r="Q1128" s="45"/>
      <c r="R1128" s="45"/>
      <c r="S1128" s="45"/>
      <c r="T1128" s="45"/>
      <c r="U1128" s="45"/>
    </row>
    <row r="1129">
      <c r="A1129" s="79" t="s">
        <v>17858</v>
      </c>
      <c r="B1129" s="45"/>
      <c r="C1129" s="79" t="s">
        <v>17859</v>
      </c>
      <c r="D1129" s="45"/>
      <c r="E1129" s="79" t="s">
        <v>5215</v>
      </c>
      <c r="F1129" s="79" t="s">
        <v>5300</v>
      </c>
      <c r="G1129" s="80" t="s">
        <v>96</v>
      </c>
      <c r="H1129" s="90">
        <v>2.906E-4</v>
      </c>
      <c r="I1129" s="45"/>
      <c r="J1129" s="45"/>
      <c r="K1129" s="45"/>
      <c r="L1129" s="45"/>
      <c r="M1129" s="45"/>
      <c r="N1129" s="45"/>
      <c r="O1129" s="45"/>
      <c r="P1129" s="45"/>
      <c r="Q1129" s="45"/>
      <c r="R1129" s="45"/>
      <c r="S1129" s="45"/>
      <c r="T1129" s="45"/>
      <c r="U1129" s="45"/>
    </row>
    <row r="1130">
      <c r="A1130" s="79" t="s">
        <v>11008</v>
      </c>
      <c r="B1130" s="45"/>
      <c r="C1130" s="79" t="s">
        <v>11009</v>
      </c>
      <c r="D1130" s="45"/>
      <c r="E1130" s="79" t="s">
        <v>5296</v>
      </c>
      <c r="F1130" s="79" t="s">
        <v>4357</v>
      </c>
      <c r="G1130" s="80" t="s">
        <v>96</v>
      </c>
      <c r="H1130" s="90">
        <v>2.903E-4</v>
      </c>
      <c r="I1130" s="45"/>
      <c r="J1130" s="45"/>
      <c r="K1130" s="45"/>
      <c r="L1130" s="45"/>
      <c r="M1130" s="45"/>
      <c r="N1130" s="45"/>
      <c r="O1130" s="45"/>
      <c r="P1130" s="45"/>
      <c r="Q1130" s="45"/>
      <c r="R1130" s="45"/>
      <c r="S1130" s="45"/>
      <c r="T1130" s="45"/>
      <c r="U1130" s="45"/>
    </row>
    <row r="1131">
      <c r="A1131" s="79" t="s">
        <v>9685</v>
      </c>
      <c r="B1131" s="45"/>
      <c r="C1131" s="79" t="s">
        <v>17860</v>
      </c>
      <c r="D1131" s="45"/>
      <c r="E1131" s="79" t="s">
        <v>6868</v>
      </c>
      <c r="F1131" s="79" t="s">
        <v>5300</v>
      </c>
      <c r="G1131" s="80" t="s">
        <v>96</v>
      </c>
      <c r="H1131" s="90">
        <v>2.902E-4</v>
      </c>
      <c r="I1131" s="45"/>
      <c r="J1131" s="45"/>
      <c r="K1131" s="45"/>
      <c r="L1131" s="45"/>
      <c r="M1131" s="45"/>
      <c r="N1131" s="45"/>
      <c r="O1131" s="45"/>
      <c r="P1131" s="45"/>
      <c r="Q1131" s="45"/>
      <c r="R1131" s="45"/>
      <c r="S1131" s="45"/>
      <c r="T1131" s="45"/>
      <c r="U1131" s="45"/>
    </row>
    <row r="1132">
      <c r="A1132" s="79" t="s">
        <v>10421</v>
      </c>
      <c r="B1132" s="45"/>
      <c r="C1132" s="79" t="s">
        <v>10422</v>
      </c>
      <c r="D1132" s="45"/>
      <c r="E1132" s="79" t="s">
        <v>5241</v>
      </c>
      <c r="F1132" s="79" t="s">
        <v>8784</v>
      </c>
      <c r="G1132" s="80" t="s">
        <v>96</v>
      </c>
      <c r="H1132" s="90">
        <v>2.902E-4</v>
      </c>
      <c r="I1132" s="45"/>
      <c r="J1132" s="45"/>
      <c r="K1132" s="45"/>
      <c r="L1132" s="45"/>
      <c r="M1132" s="45"/>
      <c r="N1132" s="45"/>
      <c r="O1132" s="45"/>
      <c r="P1132" s="45"/>
      <c r="Q1132" s="45"/>
      <c r="R1132" s="45"/>
      <c r="S1132" s="45"/>
      <c r="T1132" s="45"/>
      <c r="U1132" s="45"/>
    </row>
    <row r="1133">
      <c r="A1133" s="79" t="s">
        <v>17861</v>
      </c>
      <c r="B1133" s="45"/>
      <c r="C1133" s="79" t="s">
        <v>17862</v>
      </c>
      <c r="D1133" s="45"/>
      <c r="E1133" s="79" t="s">
        <v>7611</v>
      </c>
      <c r="F1133" s="79" t="s">
        <v>8759</v>
      </c>
      <c r="G1133" s="80" t="s">
        <v>96</v>
      </c>
      <c r="H1133" s="90">
        <v>2.901E-4</v>
      </c>
      <c r="I1133" s="45"/>
      <c r="J1133" s="45"/>
      <c r="K1133" s="45"/>
      <c r="L1133" s="45"/>
      <c r="M1133" s="45"/>
      <c r="N1133" s="45"/>
      <c r="O1133" s="45"/>
      <c r="P1133" s="45"/>
      <c r="Q1133" s="45"/>
      <c r="R1133" s="45"/>
      <c r="S1133" s="45"/>
      <c r="T1133" s="45"/>
      <c r="U1133" s="45"/>
    </row>
    <row r="1134">
      <c r="A1134" s="79" t="s">
        <v>17863</v>
      </c>
      <c r="B1134" s="45"/>
      <c r="C1134" s="79" t="s">
        <v>17864</v>
      </c>
      <c r="D1134" s="45"/>
      <c r="E1134" s="79" t="s">
        <v>5516</v>
      </c>
      <c r="F1134" s="79" t="s">
        <v>5300</v>
      </c>
      <c r="G1134" s="80" t="s">
        <v>96</v>
      </c>
      <c r="H1134" s="90">
        <v>2.9E-4</v>
      </c>
      <c r="I1134" s="45"/>
      <c r="J1134" s="45"/>
      <c r="K1134" s="45"/>
      <c r="L1134" s="45"/>
      <c r="M1134" s="45"/>
      <c r="N1134" s="45"/>
      <c r="O1134" s="45"/>
      <c r="P1134" s="45"/>
      <c r="Q1134" s="45"/>
      <c r="R1134" s="45"/>
      <c r="S1134" s="45"/>
      <c r="T1134" s="45"/>
      <c r="U1134" s="45"/>
    </row>
    <row r="1135">
      <c r="A1135" s="79" t="s">
        <v>17865</v>
      </c>
      <c r="B1135" s="45"/>
      <c r="C1135" s="79" t="s">
        <v>17866</v>
      </c>
      <c r="D1135" s="45"/>
      <c r="E1135" s="79" t="s">
        <v>5445</v>
      </c>
      <c r="F1135" s="79" t="s">
        <v>5300</v>
      </c>
      <c r="G1135" s="80" t="s">
        <v>96</v>
      </c>
      <c r="H1135" s="90">
        <v>2.899E-4</v>
      </c>
      <c r="I1135" s="45"/>
      <c r="J1135" s="45"/>
      <c r="K1135" s="45"/>
      <c r="L1135" s="45"/>
      <c r="M1135" s="45"/>
      <c r="N1135" s="45"/>
      <c r="O1135" s="45"/>
      <c r="P1135" s="45"/>
      <c r="Q1135" s="45"/>
      <c r="R1135" s="45"/>
      <c r="S1135" s="45"/>
      <c r="T1135" s="45"/>
      <c r="U1135" s="45"/>
    </row>
    <row r="1136">
      <c r="A1136" s="79" t="s">
        <v>10213</v>
      </c>
      <c r="B1136" s="45"/>
      <c r="C1136" s="79" t="s">
        <v>17867</v>
      </c>
      <c r="D1136" s="45"/>
      <c r="E1136" s="79" t="s">
        <v>5374</v>
      </c>
      <c r="F1136" s="79" t="s">
        <v>5300</v>
      </c>
      <c r="G1136" s="80" t="s">
        <v>96</v>
      </c>
      <c r="H1136" s="90">
        <v>2.893E-4</v>
      </c>
      <c r="I1136" s="45"/>
      <c r="J1136" s="45"/>
      <c r="K1136" s="45"/>
      <c r="L1136" s="45"/>
      <c r="M1136" s="45"/>
      <c r="N1136" s="45"/>
      <c r="O1136" s="45"/>
      <c r="P1136" s="45"/>
      <c r="Q1136" s="45"/>
      <c r="R1136" s="45"/>
      <c r="S1136" s="45"/>
      <c r="T1136" s="45"/>
      <c r="U1136" s="45"/>
    </row>
    <row r="1137">
      <c r="A1137" s="79" t="s">
        <v>17868</v>
      </c>
      <c r="B1137" s="45"/>
      <c r="C1137" s="79" t="s">
        <v>17869</v>
      </c>
      <c r="D1137" s="45"/>
      <c r="E1137" s="79" t="s">
        <v>5445</v>
      </c>
      <c r="F1137" s="79" t="s">
        <v>5300</v>
      </c>
      <c r="G1137" s="80" t="s">
        <v>96</v>
      </c>
      <c r="H1137" s="90">
        <v>2.891E-4</v>
      </c>
      <c r="I1137" s="45"/>
      <c r="J1137" s="45"/>
      <c r="K1137" s="45"/>
      <c r="L1137" s="45"/>
      <c r="M1137" s="45"/>
      <c r="N1137" s="45"/>
      <c r="O1137" s="45"/>
      <c r="P1137" s="45"/>
      <c r="Q1137" s="45"/>
      <c r="R1137" s="45"/>
      <c r="S1137" s="45"/>
      <c r="T1137" s="45"/>
      <c r="U1137" s="45"/>
    </row>
    <row r="1138">
      <c r="A1138" s="79" t="s">
        <v>17870</v>
      </c>
      <c r="B1138" s="45"/>
      <c r="C1138" s="79" t="s">
        <v>17871</v>
      </c>
      <c r="D1138" s="45"/>
      <c r="E1138" s="79" t="s">
        <v>5326</v>
      </c>
      <c r="F1138" s="79" t="s">
        <v>5300</v>
      </c>
      <c r="G1138" s="80" t="s">
        <v>96</v>
      </c>
      <c r="H1138" s="90">
        <v>2.885E-4</v>
      </c>
      <c r="I1138" s="45"/>
      <c r="J1138" s="45"/>
      <c r="K1138" s="45"/>
      <c r="L1138" s="45"/>
      <c r="M1138" s="45"/>
      <c r="N1138" s="45"/>
      <c r="O1138" s="45"/>
      <c r="P1138" s="45"/>
      <c r="Q1138" s="45"/>
      <c r="R1138" s="45"/>
      <c r="S1138" s="45"/>
      <c r="T1138" s="45"/>
      <c r="U1138" s="45"/>
    </row>
    <row r="1139">
      <c r="A1139" s="79" t="s">
        <v>10494</v>
      </c>
      <c r="B1139" s="45"/>
      <c r="C1139" s="79" t="s">
        <v>10495</v>
      </c>
      <c r="D1139" s="45"/>
      <c r="E1139" s="79" t="s">
        <v>5369</v>
      </c>
      <c r="F1139" s="79" t="s">
        <v>8784</v>
      </c>
      <c r="G1139" s="80" t="s">
        <v>96</v>
      </c>
      <c r="H1139" s="90">
        <v>2.877E-4</v>
      </c>
      <c r="I1139" s="45"/>
      <c r="J1139" s="45"/>
      <c r="K1139" s="45"/>
      <c r="L1139" s="45"/>
      <c r="M1139" s="45"/>
      <c r="N1139" s="45"/>
      <c r="O1139" s="45"/>
      <c r="P1139" s="45"/>
      <c r="Q1139" s="45"/>
      <c r="R1139" s="45"/>
      <c r="S1139" s="45"/>
      <c r="T1139" s="45"/>
      <c r="U1139" s="45"/>
    </row>
    <row r="1140">
      <c r="A1140" s="79" t="s">
        <v>17872</v>
      </c>
      <c r="B1140" s="45"/>
      <c r="C1140" s="79" t="s">
        <v>17873</v>
      </c>
      <c r="D1140" s="45"/>
      <c r="E1140" s="79" t="s">
        <v>7251</v>
      </c>
      <c r="F1140" s="79" t="s">
        <v>5300</v>
      </c>
      <c r="G1140" s="80" t="s">
        <v>96</v>
      </c>
      <c r="H1140" s="90">
        <v>2.875E-4</v>
      </c>
      <c r="I1140" s="45"/>
      <c r="J1140" s="45"/>
      <c r="K1140" s="45"/>
      <c r="L1140" s="45"/>
      <c r="M1140" s="45"/>
      <c r="N1140" s="45"/>
      <c r="O1140" s="45"/>
      <c r="P1140" s="45"/>
      <c r="Q1140" s="45"/>
      <c r="R1140" s="45"/>
      <c r="S1140" s="45"/>
      <c r="T1140" s="45"/>
      <c r="U1140" s="45"/>
    </row>
    <row r="1141">
      <c r="A1141" s="79" t="s">
        <v>17874</v>
      </c>
      <c r="B1141" s="45"/>
      <c r="C1141" s="79" t="s">
        <v>17875</v>
      </c>
      <c r="D1141" s="45"/>
      <c r="E1141" s="79" t="s">
        <v>6009</v>
      </c>
      <c r="F1141" s="79" t="s">
        <v>5300</v>
      </c>
      <c r="G1141" s="80" t="s">
        <v>96</v>
      </c>
      <c r="H1141" s="90">
        <v>2.874E-4</v>
      </c>
      <c r="I1141" s="45"/>
      <c r="J1141" s="45"/>
      <c r="K1141" s="45"/>
      <c r="L1141" s="45"/>
      <c r="M1141" s="45"/>
      <c r="N1141" s="45"/>
      <c r="O1141" s="45"/>
      <c r="P1141" s="45"/>
      <c r="Q1141" s="45"/>
      <c r="R1141" s="45"/>
      <c r="S1141" s="45"/>
      <c r="T1141" s="45"/>
      <c r="U1141" s="45"/>
    </row>
    <row r="1142">
      <c r="A1142" s="79" t="s">
        <v>17876</v>
      </c>
      <c r="B1142" s="45"/>
      <c r="C1142" s="79" t="s">
        <v>3763</v>
      </c>
      <c r="D1142" s="45"/>
      <c r="E1142" s="79" t="s">
        <v>5246</v>
      </c>
      <c r="F1142" s="79" t="s">
        <v>9021</v>
      </c>
      <c r="G1142" s="80" t="s">
        <v>96</v>
      </c>
      <c r="H1142" s="90">
        <v>2.874E-4</v>
      </c>
      <c r="I1142" s="45"/>
      <c r="J1142" s="45"/>
      <c r="K1142" s="45"/>
      <c r="L1142" s="45"/>
      <c r="M1142" s="45"/>
      <c r="N1142" s="45"/>
      <c r="O1142" s="45"/>
      <c r="P1142" s="45"/>
      <c r="Q1142" s="45"/>
      <c r="R1142" s="45"/>
      <c r="S1142" s="45"/>
      <c r="T1142" s="45"/>
      <c r="U1142" s="45"/>
    </row>
    <row r="1143">
      <c r="A1143" s="79" t="s">
        <v>10956</v>
      </c>
      <c r="B1143" s="45"/>
      <c r="C1143" s="79" t="s">
        <v>10957</v>
      </c>
      <c r="D1143" s="45"/>
      <c r="E1143" s="79" t="s">
        <v>5564</v>
      </c>
      <c r="F1143" s="79" t="s">
        <v>8784</v>
      </c>
      <c r="G1143" s="80" t="s">
        <v>96</v>
      </c>
      <c r="H1143" s="90">
        <v>2.873E-4</v>
      </c>
      <c r="I1143" s="45"/>
      <c r="J1143" s="45"/>
      <c r="K1143" s="45"/>
      <c r="L1143" s="45"/>
      <c r="M1143" s="45"/>
      <c r="N1143" s="45"/>
      <c r="O1143" s="45"/>
      <c r="P1143" s="45"/>
      <c r="Q1143" s="45"/>
      <c r="R1143" s="45"/>
      <c r="S1143" s="45"/>
      <c r="T1143" s="45"/>
      <c r="U1143" s="45"/>
    </row>
    <row r="1144">
      <c r="A1144" s="79" t="s">
        <v>11056</v>
      </c>
      <c r="B1144" s="45"/>
      <c r="C1144" s="79" t="s">
        <v>11057</v>
      </c>
      <c r="D1144" s="45"/>
      <c r="E1144" s="79" t="s">
        <v>5675</v>
      </c>
      <c r="F1144" s="79" t="s">
        <v>5941</v>
      </c>
      <c r="G1144" s="80" t="s">
        <v>96</v>
      </c>
      <c r="H1144" s="90">
        <v>2.873E-4</v>
      </c>
      <c r="I1144" s="45"/>
      <c r="J1144" s="45"/>
      <c r="K1144" s="45"/>
      <c r="L1144" s="45"/>
      <c r="M1144" s="45"/>
      <c r="N1144" s="45"/>
      <c r="O1144" s="45"/>
      <c r="P1144" s="45"/>
      <c r="Q1144" s="45"/>
      <c r="R1144" s="45"/>
      <c r="S1144" s="45"/>
      <c r="T1144" s="45"/>
      <c r="U1144" s="45"/>
    </row>
    <row r="1145">
      <c r="A1145" s="79" t="s">
        <v>17877</v>
      </c>
      <c r="B1145" s="45"/>
      <c r="C1145" s="79" t="s">
        <v>17878</v>
      </c>
      <c r="D1145" s="45"/>
      <c r="E1145" s="79" t="s">
        <v>5348</v>
      </c>
      <c r="F1145" s="79" t="s">
        <v>5425</v>
      </c>
      <c r="G1145" s="80" t="s">
        <v>96</v>
      </c>
      <c r="H1145" s="90">
        <v>2.871E-4</v>
      </c>
      <c r="I1145" s="45"/>
      <c r="J1145" s="45"/>
      <c r="K1145" s="45"/>
      <c r="L1145" s="45"/>
      <c r="M1145" s="45"/>
      <c r="N1145" s="45"/>
      <c r="O1145" s="45"/>
      <c r="P1145" s="45"/>
      <c r="Q1145" s="45"/>
      <c r="R1145" s="45"/>
      <c r="S1145" s="45"/>
      <c r="T1145" s="45"/>
      <c r="U1145" s="45"/>
    </row>
    <row r="1146">
      <c r="A1146" s="79" t="s">
        <v>10693</v>
      </c>
      <c r="B1146" s="45"/>
      <c r="C1146" s="79" t="s">
        <v>10694</v>
      </c>
      <c r="D1146" s="45"/>
      <c r="E1146" s="79" t="s">
        <v>7236</v>
      </c>
      <c r="F1146" s="79" t="s">
        <v>8784</v>
      </c>
      <c r="G1146" s="80" t="s">
        <v>96</v>
      </c>
      <c r="H1146" s="90">
        <v>2.869E-4</v>
      </c>
      <c r="I1146" s="45"/>
      <c r="J1146" s="45"/>
      <c r="K1146" s="45"/>
      <c r="L1146" s="45"/>
      <c r="M1146" s="45"/>
      <c r="N1146" s="45"/>
      <c r="O1146" s="45"/>
      <c r="P1146" s="45"/>
      <c r="Q1146" s="45"/>
      <c r="R1146" s="45"/>
      <c r="S1146" s="45"/>
      <c r="T1146" s="45"/>
      <c r="U1146" s="45"/>
    </row>
    <row r="1147">
      <c r="A1147" s="79" t="s">
        <v>10563</v>
      </c>
      <c r="B1147" s="45"/>
      <c r="C1147" s="79" t="s">
        <v>10564</v>
      </c>
      <c r="D1147" s="45"/>
      <c r="E1147" s="79" t="s">
        <v>5326</v>
      </c>
      <c r="F1147" s="79" t="s">
        <v>9299</v>
      </c>
      <c r="G1147" s="80" t="s">
        <v>96</v>
      </c>
      <c r="H1147" s="90">
        <v>2.868E-4</v>
      </c>
      <c r="I1147" s="45"/>
      <c r="J1147" s="45"/>
      <c r="K1147" s="45"/>
      <c r="L1147" s="45"/>
      <c r="M1147" s="45"/>
      <c r="N1147" s="45"/>
      <c r="O1147" s="45"/>
      <c r="P1147" s="45"/>
      <c r="Q1147" s="45"/>
      <c r="R1147" s="45"/>
      <c r="S1147" s="45"/>
      <c r="T1147" s="45"/>
      <c r="U1147" s="45"/>
    </row>
    <row r="1148">
      <c r="A1148" s="79" t="s">
        <v>10890</v>
      </c>
      <c r="B1148" s="45"/>
      <c r="C1148" s="79" t="s">
        <v>10891</v>
      </c>
      <c r="D1148" s="45"/>
      <c r="E1148" s="79" t="s">
        <v>6172</v>
      </c>
      <c r="F1148" s="79" t="s">
        <v>8784</v>
      </c>
      <c r="G1148" s="80" t="s">
        <v>96</v>
      </c>
      <c r="H1148" s="90">
        <v>2.867E-4</v>
      </c>
      <c r="I1148" s="45"/>
      <c r="J1148" s="45"/>
      <c r="K1148" s="45"/>
      <c r="L1148" s="45"/>
      <c r="M1148" s="45"/>
      <c r="N1148" s="45"/>
      <c r="O1148" s="45"/>
      <c r="P1148" s="45"/>
      <c r="Q1148" s="45"/>
      <c r="R1148" s="45"/>
      <c r="S1148" s="45"/>
      <c r="T1148" s="45"/>
      <c r="U1148" s="45"/>
    </row>
    <row r="1149">
      <c r="A1149" s="79" t="s">
        <v>17879</v>
      </c>
      <c r="B1149" s="45"/>
      <c r="C1149" s="79" t="s">
        <v>17880</v>
      </c>
      <c r="D1149" s="45"/>
      <c r="E1149" s="79" t="s">
        <v>5434</v>
      </c>
      <c r="F1149" s="79" t="s">
        <v>5425</v>
      </c>
      <c r="G1149" s="80" t="s">
        <v>96</v>
      </c>
      <c r="H1149" s="90">
        <v>2.865E-4</v>
      </c>
      <c r="I1149" s="45"/>
      <c r="J1149" s="45"/>
      <c r="K1149" s="45"/>
      <c r="L1149" s="45"/>
      <c r="M1149" s="45"/>
      <c r="N1149" s="45"/>
      <c r="O1149" s="45"/>
      <c r="P1149" s="45"/>
      <c r="Q1149" s="45"/>
      <c r="R1149" s="45"/>
      <c r="S1149" s="45"/>
      <c r="T1149" s="45"/>
      <c r="U1149" s="45"/>
    </row>
    <row r="1150">
      <c r="A1150" s="79" t="s">
        <v>17881</v>
      </c>
      <c r="B1150" s="45"/>
      <c r="C1150" s="79" t="s">
        <v>17882</v>
      </c>
      <c r="D1150" s="45"/>
      <c r="E1150" s="79" t="s">
        <v>8154</v>
      </c>
      <c r="F1150" s="79" t="s">
        <v>4095</v>
      </c>
      <c r="G1150" s="80" t="s">
        <v>96</v>
      </c>
      <c r="H1150" s="90">
        <v>2.864E-4</v>
      </c>
      <c r="I1150" s="45"/>
      <c r="J1150" s="45"/>
      <c r="K1150" s="45"/>
      <c r="L1150" s="45"/>
      <c r="M1150" s="45"/>
      <c r="N1150" s="45"/>
      <c r="O1150" s="45"/>
      <c r="P1150" s="45"/>
      <c r="Q1150" s="45"/>
      <c r="R1150" s="45"/>
      <c r="S1150" s="45"/>
      <c r="T1150" s="45"/>
      <c r="U1150" s="45"/>
    </row>
    <row r="1151">
      <c r="A1151" s="79" t="s">
        <v>10812</v>
      </c>
      <c r="B1151" s="45"/>
      <c r="C1151" s="79" t="s">
        <v>10813</v>
      </c>
      <c r="D1151" s="45"/>
      <c r="E1151" s="79" t="s">
        <v>5215</v>
      </c>
      <c r="F1151" s="79" t="s">
        <v>9513</v>
      </c>
      <c r="G1151" s="80" t="s">
        <v>96</v>
      </c>
      <c r="H1151" s="90">
        <v>2.859E-4</v>
      </c>
      <c r="I1151" s="45"/>
      <c r="J1151" s="45"/>
      <c r="K1151" s="45"/>
      <c r="L1151" s="45"/>
      <c r="M1151" s="45"/>
      <c r="N1151" s="45"/>
      <c r="O1151" s="45"/>
      <c r="P1151" s="45"/>
      <c r="Q1151" s="45"/>
      <c r="R1151" s="45"/>
      <c r="S1151" s="45"/>
      <c r="T1151" s="45"/>
      <c r="U1151" s="45"/>
    </row>
    <row r="1152">
      <c r="A1152" s="79" t="s">
        <v>10913</v>
      </c>
      <c r="B1152" s="45"/>
      <c r="C1152" s="79" t="s">
        <v>10914</v>
      </c>
      <c r="D1152" s="45"/>
      <c r="E1152" s="79" t="s">
        <v>5235</v>
      </c>
      <c r="F1152" s="79" t="s">
        <v>6220</v>
      </c>
      <c r="G1152" s="80" t="s">
        <v>96</v>
      </c>
      <c r="H1152" s="90">
        <v>2.858E-4</v>
      </c>
      <c r="I1152" s="45"/>
      <c r="J1152" s="45"/>
      <c r="K1152" s="45"/>
      <c r="L1152" s="45"/>
      <c r="M1152" s="45"/>
      <c r="N1152" s="45"/>
      <c r="O1152" s="45"/>
      <c r="P1152" s="45"/>
      <c r="Q1152" s="45"/>
      <c r="R1152" s="45"/>
      <c r="S1152" s="45"/>
      <c r="T1152" s="45"/>
      <c r="U1152" s="45"/>
    </row>
    <row r="1153">
      <c r="A1153" s="79" t="s">
        <v>17883</v>
      </c>
      <c r="B1153" s="45"/>
      <c r="C1153" s="79" t="s">
        <v>17884</v>
      </c>
      <c r="D1153" s="45"/>
      <c r="E1153" s="79" t="s">
        <v>6238</v>
      </c>
      <c r="F1153" s="79" t="s">
        <v>4357</v>
      </c>
      <c r="G1153" s="80" t="s">
        <v>96</v>
      </c>
      <c r="H1153" s="90">
        <v>2.857E-4</v>
      </c>
      <c r="I1153" s="45"/>
      <c r="J1153" s="45"/>
      <c r="K1153" s="45"/>
      <c r="L1153" s="45"/>
      <c r="M1153" s="45"/>
      <c r="N1153" s="45"/>
      <c r="O1153" s="45"/>
      <c r="P1153" s="45"/>
      <c r="Q1153" s="45"/>
      <c r="R1153" s="45"/>
      <c r="S1153" s="45"/>
      <c r="T1153" s="45"/>
      <c r="U1153" s="45"/>
    </row>
    <row r="1154">
      <c r="A1154" s="79" t="s">
        <v>10911</v>
      </c>
      <c r="B1154" s="45"/>
      <c r="C1154" s="79" t="s">
        <v>10912</v>
      </c>
      <c r="D1154" s="45"/>
      <c r="E1154" s="79" t="s">
        <v>5341</v>
      </c>
      <c r="F1154" s="79" t="s">
        <v>8784</v>
      </c>
      <c r="G1154" s="80" t="s">
        <v>96</v>
      </c>
      <c r="H1154" s="90">
        <v>2.856E-4</v>
      </c>
      <c r="I1154" s="45"/>
      <c r="J1154" s="45"/>
      <c r="K1154" s="45"/>
      <c r="L1154" s="45"/>
      <c r="M1154" s="45"/>
      <c r="N1154" s="45"/>
      <c r="O1154" s="45"/>
      <c r="P1154" s="45"/>
      <c r="Q1154" s="45"/>
      <c r="R1154" s="45"/>
      <c r="S1154" s="45"/>
      <c r="T1154" s="45"/>
      <c r="U1154" s="45"/>
    </row>
    <row r="1155">
      <c r="A1155" s="79" t="s">
        <v>17885</v>
      </c>
      <c r="B1155" s="45"/>
      <c r="C1155" s="79" t="s">
        <v>17886</v>
      </c>
      <c r="D1155" s="45"/>
      <c r="E1155" s="79" t="s">
        <v>6487</v>
      </c>
      <c r="F1155" s="79" t="s">
        <v>5300</v>
      </c>
      <c r="G1155" s="80" t="s">
        <v>96</v>
      </c>
      <c r="H1155" s="90">
        <v>2.853E-4</v>
      </c>
      <c r="I1155" s="45"/>
      <c r="J1155" s="45"/>
      <c r="K1155" s="45"/>
      <c r="L1155" s="45"/>
      <c r="M1155" s="45"/>
      <c r="N1155" s="45"/>
      <c r="O1155" s="45"/>
      <c r="P1155" s="45"/>
      <c r="Q1155" s="45"/>
      <c r="R1155" s="45"/>
      <c r="S1155" s="45"/>
      <c r="T1155" s="45"/>
      <c r="U1155" s="45"/>
    </row>
    <row r="1156">
      <c r="A1156" s="79" t="s">
        <v>17887</v>
      </c>
      <c r="B1156" s="45"/>
      <c r="C1156" s="79" t="s">
        <v>17888</v>
      </c>
      <c r="D1156" s="45"/>
      <c r="E1156" s="79" t="s">
        <v>5246</v>
      </c>
      <c r="F1156" s="79" t="s">
        <v>5747</v>
      </c>
      <c r="G1156" s="80" t="s">
        <v>96</v>
      </c>
      <c r="H1156" s="90">
        <v>2.849E-4</v>
      </c>
      <c r="I1156" s="45"/>
      <c r="J1156" s="45"/>
      <c r="K1156" s="45"/>
      <c r="L1156" s="45"/>
      <c r="M1156" s="45"/>
      <c r="N1156" s="45"/>
      <c r="O1156" s="45"/>
      <c r="P1156" s="45"/>
      <c r="Q1156" s="45"/>
      <c r="R1156" s="45"/>
      <c r="S1156" s="45"/>
      <c r="T1156" s="45"/>
      <c r="U1156" s="45"/>
    </row>
    <row r="1157">
      <c r="A1157" s="79" t="s">
        <v>17889</v>
      </c>
      <c r="B1157" s="45"/>
      <c r="C1157" s="79" t="s">
        <v>17890</v>
      </c>
      <c r="D1157" s="45"/>
      <c r="E1157" s="79" t="s">
        <v>5561</v>
      </c>
      <c r="F1157" s="79" t="s">
        <v>8759</v>
      </c>
      <c r="G1157" s="80" t="s">
        <v>96</v>
      </c>
      <c r="H1157" s="90">
        <v>2.849E-4</v>
      </c>
      <c r="I1157" s="45"/>
      <c r="J1157" s="45"/>
      <c r="K1157" s="45"/>
      <c r="L1157" s="45"/>
      <c r="M1157" s="45"/>
      <c r="N1157" s="45"/>
      <c r="O1157" s="45"/>
      <c r="P1157" s="45"/>
      <c r="Q1157" s="45"/>
      <c r="R1157" s="45"/>
      <c r="S1157" s="45"/>
      <c r="T1157" s="45"/>
      <c r="U1157" s="45"/>
    </row>
    <row r="1158">
      <c r="A1158" s="79" t="s">
        <v>17891</v>
      </c>
      <c r="B1158" s="45"/>
      <c r="C1158" s="79" t="s">
        <v>17892</v>
      </c>
      <c r="D1158" s="45"/>
      <c r="E1158" s="79" t="s">
        <v>5609</v>
      </c>
      <c r="F1158" s="79" t="s">
        <v>5300</v>
      </c>
      <c r="G1158" s="80" t="s">
        <v>96</v>
      </c>
      <c r="H1158" s="90">
        <v>2.846E-4</v>
      </c>
      <c r="I1158" s="45"/>
      <c r="J1158" s="45"/>
      <c r="K1158" s="45"/>
      <c r="L1158" s="45"/>
      <c r="M1158" s="45"/>
      <c r="N1158" s="45"/>
      <c r="O1158" s="45"/>
      <c r="P1158" s="45"/>
      <c r="Q1158" s="45"/>
      <c r="R1158" s="45"/>
      <c r="S1158" s="45"/>
      <c r="T1158" s="45"/>
      <c r="U1158" s="45"/>
    </row>
    <row r="1159">
      <c r="A1159" s="79" t="s">
        <v>6756</v>
      </c>
      <c r="B1159" s="45"/>
      <c r="C1159" s="79" t="s">
        <v>17893</v>
      </c>
      <c r="D1159" s="45"/>
      <c r="E1159" s="79" t="s">
        <v>5961</v>
      </c>
      <c r="F1159" s="79" t="s">
        <v>5836</v>
      </c>
      <c r="G1159" s="80" t="s">
        <v>96</v>
      </c>
      <c r="H1159" s="90">
        <v>2.844E-4</v>
      </c>
      <c r="I1159" s="45"/>
      <c r="J1159" s="45"/>
      <c r="K1159" s="45"/>
      <c r="L1159" s="45"/>
      <c r="M1159" s="45"/>
      <c r="N1159" s="45"/>
      <c r="O1159" s="45"/>
      <c r="P1159" s="45"/>
      <c r="Q1159" s="45"/>
      <c r="R1159" s="45"/>
      <c r="S1159" s="45"/>
      <c r="T1159" s="45"/>
      <c r="U1159" s="45"/>
    </row>
    <row r="1160">
      <c r="A1160" s="79" t="s">
        <v>5653</v>
      </c>
      <c r="B1160" s="45"/>
      <c r="C1160" s="79" t="s">
        <v>17894</v>
      </c>
      <c r="D1160" s="45"/>
      <c r="E1160" s="79" t="s">
        <v>5258</v>
      </c>
      <c r="F1160" s="79" t="s">
        <v>5836</v>
      </c>
      <c r="G1160" s="80" t="s">
        <v>96</v>
      </c>
      <c r="H1160" s="90">
        <v>2.841E-4</v>
      </c>
      <c r="I1160" s="45"/>
      <c r="J1160" s="45"/>
      <c r="K1160" s="45"/>
      <c r="L1160" s="45"/>
      <c r="M1160" s="45"/>
      <c r="N1160" s="45"/>
      <c r="O1160" s="45"/>
      <c r="P1160" s="45"/>
      <c r="Q1160" s="45"/>
      <c r="R1160" s="45"/>
      <c r="S1160" s="45"/>
      <c r="T1160" s="45"/>
      <c r="U1160" s="45"/>
    </row>
    <row r="1161">
      <c r="A1161" s="79" t="s">
        <v>17895</v>
      </c>
      <c r="B1161" s="45"/>
      <c r="C1161" s="79" t="s">
        <v>17896</v>
      </c>
      <c r="D1161" s="45"/>
      <c r="E1161" s="79" t="s">
        <v>5261</v>
      </c>
      <c r="F1161" s="79" t="s">
        <v>6210</v>
      </c>
      <c r="G1161" s="80" t="s">
        <v>96</v>
      </c>
      <c r="H1161" s="90">
        <v>2.841E-4</v>
      </c>
      <c r="I1161" s="45"/>
      <c r="J1161" s="45"/>
      <c r="K1161" s="45"/>
      <c r="L1161" s="45"/>
      <c r="M1161" s="45"/>
      <c r="N1161" s="45"/>
      <c r="O1161" s="45"/>
      <c r="P1161" s="45"/>
      <c r="Q1161" s="45"/>
      <c r="R1161" s="45"/>
      <c r="S1161" s="45"/>
      <c r="T1161" s="45"/>
      <c r="U1161" s="45"/>
    </row>
    <row r="1162">
      <c r="A1162" s="79" t="s">
        <v>17897</v>
      </c>
      <c r="B1162" s="45"/>
      <c r="C1162" s="79" t="s">
        <v>17898</v>
      </c>
      <c r="D1162" s="45"/>
      <c r="E1162" s="79" t="s">
        <v>5246</v>
      </c>
      <c r="F1162" s="79" t="s">
        <v>5836</v>
      </c>
      <c r="G1162" s="80" t="s">
        <v>96</v>
      </c>
      <c r="H1162" s="90">
        <v>2.84E-4</v>
      </c>
      <c r="I1162" s="45"/>
      <c r="J1162" s="45"/>
      <c r="K1162" s="45"/>
      <c r="L1162" s="45"/>
      <c r="M1162" s="45"/>
      <c r="N1162" s="45"/>
      <c r="O1162" s="45"/>
      <c r="P1162" s="45"/>
      <c r="Q1162" s="45"/>
      <c r="R1162" s="45"/>
      <c r="S1162" s="45"/>
      <c r="T1162" s="45"/>
      <c r="U1162" s="45"/>
    </row>
    <row r="1163">
      <c r="A1163" s="79" t="s">
        <v>17899</v>
      </c>
      <c r="B1163" s="45"/>
      <c r="C1163" s="79" t="s">
        <v>17900</v>
      </c>
      <c r="D1163" s="45"/>
      <c r="E1163" s="79" t="s">
        <v>7248</v>
      </c>
      <c r="F1163" s="79" t="s">
        <v>6988</v>
      </c>
      <c r="G1163" s="80" t="s">
        <v>96</v>
      </c>
      <c r="H1163" s="90">
        <v>2.837E-4</v>
      </c>
      <c r="I1163" s="45"/>
      <c r="J1163" s="45"/>
      <c r="K1163" s="45"/>
      <c r="L1163" s="45"/>
      <c r="M1163" s="45"/>
      <c r="N1163" s="45"/>
      <c r="O1163" s="45"/>
      <c r="P1163" s="45"/>
      <c r="Q1163" s="45"/>
      <c r="R1163" s="45"/>
      <c r="S1163" s="45"/>
      <c r="T1163" s="45"/>
      <c r="U1163" s="45"/>
    </row>
    <row r="1164">
      <c r="A1164" s="79" t="s">
        <v>17901</v>
      </c>
      <c r="B1164" s="45"/>
      <c r="C1164" s="79" t="s">
        <v>17902</v>
      </c>
      <c r="D1164" s="45"/>
      <c r="E1164" s="79" t="s">
        <v>7181</v>
      </c>
      <c r="F1164" s="79" t="s">
        <v>8759</v>
      </c>
      <c r="G1164" s="80" t="s">
        <v>96</v>
      </c>
      <c r="H1164" s="90">
        <v>2.836E-4</v>
      </c>
      <c r="I1164" s="45"/>
      <c r="J1164" s="45"/>
      <c r="K1164" s="45"/>
      <c r="L1164" s="45"/>
      <c r="M1164" s="45"/>
      <c r="N1164" s="45"/>
      <c r="O1164" s="45"/>
      <c r="P1164" s="45"/>
      <c r="Q1164" s="45"/>
      <c r="R1164" s="45"/>
      <c r="S1164" s="45"/>
      <c r="T1164" s="45"/>
      <c r="U1164" s="45"/>
    </row>
    <row r="1165">
      <c r="A1165" s="79" t="s">
        <v>17903</v>
      </c>
      <c r="B1165" s="45"/>
      <c r="C1165" s="79" t="s">
        <v>17904</v>
      </c>
      <c r="D1165" s="45"/>
      <c r="E1165" s="79" t="s">
        <v>5456</v>
      </c>
      <c r="F1165" s="79" t="s">
        <v>5300</v>
      </c>
      <c r="G1165" s="80" t="s">
        <v>96</v>
      </c>
      <c r="H1165" s="90">
        <v>2.836E-4</v>
      </c>
      <c r="I1165" s="45"/>
      <c r="J1165" s="45"/>
      <c r="K1165" s="45"/>
      <c r="L1165" s="45"/>
      <c r="M1165" s="45"/>
      <c r="N1165" s="45"/>
      <c r="O1165" s="45"/>
      <c r="P1165" s="45"/>
      <c r="Q1165" s="45"/>
      <c r="R1165" s="45"/>
      <c r="S1165" s="45"/>
      <c r="T1165" s="45"/>
      <c r="U1165" s="45"/>
    </row>
    <row r="1166">
      <c r="A1166" s="79" t="s">
        <v>17905</v>
      </c>
      <c r="B1166" s="45"/>
      <c r="C1166" s="79" t="s">
        <v>17906</v>
      </c>
      <c r="D1166" s="45"/>
      <c r="E1166" s="79" t="s">
        <v>5335</v>
      </c>
      <c r="F1166" s="79" t="s">
        <v>5425</v>
      </c>
      <c r="G1166" s="80" t="s">
        <v>96</v>
      </c>
      <c r="H1166" s="90">
        <v>2.835E-4</v>
      </c>
      <c r="I1166" s="45"/>
      <c r="J1166" s="45"/>
      <c r="K1166" s="45"/>
      <c r="L1166" s="45"/>
      <c r="M1166" s="45"/>
      <c r="N1166" s="45"/>
      <c r="O1166" s="45"/>
      <c r="P1166" s="45"/>
      <c r="Q1166" s="45"/>
      <c r="R1166" s="45"/>
      <c r="S1166" s="45"/>
      <c r="T1166" s="45"/>
      <c r="U1166" s="45"/>
    </row>
    <row r="1167">
      <c r="A1167" s="79" t="s">
        <v>17817</v>
      </c>
      <c r="B1167" s="45"/>
      <c r="C1167" s="79" t="s">
        <v>17907</v>
      </c>
      <c r="D1167" s="45"/>
      <c r="E1167" s="79" t="s">
        <v>5467</v>
      </c>
      <c r="F1167" s="79" t="s">
        <v>5300</v>
      </c>
      <c r="G1167" s="80" t="s">
        <v>96</v>
      </c>
      <c r="H1167" s="90">
        <v>2.834E-4</v>
      </c>
      <c r="I1167" s="45"/>
      <c r="J1167" s="45"/>
      <c r="K1167" s="45"/>
      <c r="L1167" s="45"/>
      <c r="M1167" s="45"/>
      <c r="N1167" s="45"/>
      <c r="O1167" s="45"/>
      <c r="P1167" s="45"/>
      <c r="Q1167" s="45"/>
      <c r="R1167" s="45"/>
      <c r="S1167" s="45"/>
      <c r="T1167" s="45"/>
      <c r="U1167" s="45"/>
    </row>
    <row r="1168">
      <c r="A1168" s="79" t="s">
        <v>10970</v>
      </c>
      <c r="B1168" s="45"/>
      <c r="C1168" s="79" t="s">
        <v>10971</v>
      </c>
      <c r="D1168" s="45"/>
      <c r="E1168" s="79" t="s">
        <v>5241</v>
      </c>
      <c r="F1168" s="79" t="s">
        <v>8784</v>
      </c>
      <c r="G1168" s="80" t="s">
        <v>96</v>
      </c>
      <c r="H1168" s="90">
        <v>2.831E-4</v>
      </c>
      <c r="I1168" s="45"/>
      <c r="J1168" s="45"/>
      <c r="K1168" s="45"/>
      <c r="L1168" s="45"/>
      <c r="M1168" s="45"/>
      <c r="N1168" s="45"/>
      <c r="O1168" s="45"/>
      <c r="P1168" s="45"/>
      <c r="Q1168" s="45"/>
      <c r="R1168" s="45"/>
      <c r="S1168" s="45"/>
      <c r="T1168" s="45"/>
      <c r="U1168" s="45"/>
    </row>
    <row r="1169">
      <c r="A1169" s="79" t="s">
        <v>10598</v>
      </c>
      <c r="B1169" s="45"/>
      <c r="C1169" s="79" t="s">
        <v>10599</v>
      </c>
      <c r="D1169" s="45"/>
      <c r="E1169" s="79" t="s">
        <v>7098</v>
      </c>
      <c r="F1169" s="79" t="s">
        <v>4357</v>
      </c>
      <c r="G1169" s="80" t="s">
        <v>96</v>
      </c>
      <c r="H1169" s="90">
        <v>2.827E-4</v>
      </c>
      <c r="I1169" s="45"/>
      <c r="J1169" s="45"/>
      <c r="K1169" s="45"/>
      <c r="L1169" s="45"/>
      <c r="M1169" s="45"/>
      <c r="N1169" s="45"/>
      <c r="O1169" s="45"/>
      <c r="P1169" s="45"/>
      <c r="Q1169" s="45"/>
      <c r="R1169" s="45"/>
      <c r="S1169" s="45"/>
      <c r="T1169" s="45"/>
      <c r="U1169" s="45"/>
    </row>
    <row r="1170">
      <c r="A1170" s="79" t="s">
        <v>17908</v>
      </c>
      <c r="B1170" s="45"/>
      <c r="C1170" s="79" t="s">
        <v>17909</v>
      </c>
      <c r="D1170" s="45"/>
      <c r="E1170" s="79" t="s">
        <v>5338</v>
      </c>
      <c r="F1170" s="79" t="s">
        <v>5836</v>
      </c>
      <c r="G1170" s="80" t="s">
        <v>96</v>
      </c>
      <c r="H1170" s="90">
        <v>2.823E-4</v>
      </c>
      <c r="I1170" s="45"/>
      <c r="J1170" s="45"/>
      <c r="K1170" s="45"/>
      <c r="L1170" s="45"/>
      <c r="M1170" s="45"/>
      <c r="N1170" s="45"/>
      <c r="O1170" s="45"/>
      <c r="P1170" s="45"/>
      <c r="Q1170" s="45"/>
      <c r="R1170" s="45"/>
      <c r="S1170" s="45"/>
      <c r="T1170" s="45"/>
      <c r="U1170" s="45"/>
    </row>
    <row r="1171">
      <c r="A1171" s="79" t="s">
        <v>10866</v>
      </c>
      <c r="B1171" s="45"/>
      <c r="C1171" s="79" t="s">
        <v>10867</v>
      </c>
      <c r="D1171" s="45"/>
      <c r="E1171" s="79" t="s">
        <v>9039</v>
      </c>
      <c r="F1171" s="79" t="s">
        <v>8784</v>
      </c>
      <c r="G1171" s="80" t="s">
        <v>96</v>
      </c>
      <c r="H1171" s="90">
        <v>2.82E-4</v>
      </c>
      <c r="I1171" s="45"/>
      <c r="J1171" s="45"/>
      <c r="K1171" s="45"/>
      <c r="L1171" s="45"/>
      <c r="M1171" s="45"/>
      <c r="N1171" s="45"/>
      <c r="O1171" s="45"/>
      <c r="P1171" s="45"/>
      <c r="Q1171" s="45"/>
      <c r="R1171" s="45"/>
      <c r="S1171" s="45"/>
      <c r="T1171" s="45"/>
      <c r="U1171" s="45"/>
    </row>
    <row r="1172">
      <c r="A1172" s="79" t="s">
        <v>17910</v>
      </c>
      <c r="B1172" s="45"/>
      <c r="C1172" s="79" t="s">
        <v>17911</v>
      </c>
      <c r="D1172" s="45"/>
      <c r="E1172" s="79" t="s">
        <v>5516</v>
      </c>
      <c r="F1172" s="79" t="s">
        <v>5300</v>
      </c>
      <c r="G1172" s="80" t="s">
        <v>96</v>
      </c>
      <c r="H1172" s="90">
        <v>2.819E-4</v>
      </c>
      <c r="I1172" s="45"/>
      <c r="J1172" s="45"/>
      <c r="K1172" s="45"/>
      <c r="L1172" s="45"/>
      <c r="M1172" s="45"/>
      <c r="N1172" s="45"/>
      <c r="O1172" s="45"/>
      <c r="P1172" s="45"/>
      <c r="Q1172" s="45"/>
      <c r="R1172" s="45"/>
      <c r="S1172" s="45"/>
      <c r="T1172" s="45"/>
      <c r="U1172" s="45"/>
    </row>
    <row r="1173">
      <c r="A1173" s="79" t="s">
        <v>17912</v>
      </c>
      <c r="B1173" s="45"/>
      <c r="C1173" s="79" t="s">
        <v>17913</v>
      </c>
      <c r="D1173" s="45"/>
      <c r="E1173" s="79" t="s">
        <v>5261</v>
      </c>
      <c r="F1173" s="79" t="s">
        <v>8767</v>
      </c>
      <c r="G1173" s="80" t="s">
        <v>96</v>
      </c>
      <c r="H1173" s="90">
        <v>2.817E-4</v>
      </c>
      <c r="I1173" s="45"/>
      <c r="J1173" s="45"/>
      <c r="K1173" s="45"/>
      <c r="L1173" s="45"/>
      <c r="M1173" s="45"/>
      <c r="N1173" s="45"/>
      <c r="O1173" s="45"/>
      <c r="P1173" s="45"/>
      <c r="Q1173" s="45"/>
      <c r="R1173" s="45"/>
      <c r="S1173" s="45"/>
      <c r="T1173" s="45"/>
      <c r="U1173" s="45"/>
    </row>
    <row r="1174">
      <c r="A1174" s="79" t="s">
        <v>17914</v>
      </c>
      <c r="B1174" s="45"/>
      <c r="C1174" s="79" t="s">
        <v>17915</v>
      </c>
      <c r="D1174" s="45"/>
      <c r="E1174" s="79" t="s">
        <v>5226</v>
      </c>
      <c r="F1174" s="79" t="s">
        <v>5836</v>
      </c>
      <c r="G1174" s="80" t="s">
        <v>96</v>
      </c>
      <c r="H1174" s="90">
        <v>2.816E-4</v>
      </c>
      <c r="I1174" s="45"/>
      <c r="J1174" s="45"/>
      <c r="K1174" s="45"/>
      <c r="L1174" s="45"/>
      <c r="M1174" s="45"/>
      <c r="N1174" s="45"/>
      <c r="O1174" s="45"/>
      <c r="P1174" s="45"/>
      <c r="Q1174" s="45"/>
      <c r="R1174" s="45"/>
      <c r="S1174" s="45"/>
      <c r="T1174" s="45"/>
      <c r="U1174" s="45"/>
    </row>
    <row r="1175">
      <c r="A1175" s="79" t="s">
        <v>17916</v>
      </c>
      <c r="B1175" s="45"/>
      <c r="C1175" s="79" t="s">
        <v>17917</v>
      </c>
      <c r="D1175" s="45"/>
      <c r="E1175" s="79" t="s">
        <v>9553</v>
      </c>
      <c r="F1175" s="79" t="s">
        <v>5300</v>
      </c>
      <c r="G1175" s="80" t="s">
        <v>96</v>
      </c>
      <c r="H1175" s="90">
        <v>2.814E-4</v>
      </c>
      <c r="I1175" s="45"/>
      <c r="J1175" s="45"/>
      <c r="K1175" s="45"/>
      <c r="L1175" s="45"/>
      <c r="M1175" s="45"/>
      <c r="N1175" s="45"/>
      <c r="O1175" s="45"/>
      <c r="P1175" s="45"/>
      <c r="Q1175" s="45"/>
      <c r="R1175" s="45"/>
      <c r="S1175" s="45"/>
      <c r="T1175" s="45"/>
      <c r="U1175" s="45"/>
    </row>
    <row r="1176">
      <c r="A1176" s="79" t="s">
        <v>17918</v>
      </c>
      <c r="B1176" s="45"/>
      <c r="C1176" s="79" t="s">
        <v>17919</v>
      </c>
      <c r="D1176" s="45"/>
      <c r="E1176" s="79" t="s">
        <v>5267</v>
      </c>
      <c r="F1176" s="79" t="s">
        <v>4436</v>
      </c>
      <c r="G1176" s="80" t="s">
        <v>96</v>
      </c>
      <c r="H1176" s="90">
        <v>2.812E-4</v>
      </c>
      <c r="I1176" s="45"/>
      <c r="J1176" s="45"/>
      <c r="K1176" s="45"/>
      <c r="L1176" s="45"/>
      <c r="M1176" s="45"/>
      <c r="N1176" s="45"/>
      <c r="O1176" s="45"/>
      <c r="P1176" s="45"/>
      <c r="Q1176" s="45"/>
      <c r="R1176" s="45"/>
      <c r="S1176" s="45"/>
      <c r="T1176" s="45"/>
      <c r="U1176" s="45"/>
    </row>
    <row r="1177">
      <c r="A1177" s="79" t="s">
        <v>17920</v>
      </c>
      <c r="B1177" s="45"/>
      <c r="C1177" s="79" t="s">
        <v>17921</v>
      </c>
      <c r="D1177" s="45"/>
      <c r="E1177" s="79" t="s">
        <v>5215</v>
      </c>
      <c r="F1177" s="79" t="s">
        <v>5300</v>
      </c>
      <c r="G1177" s="80" t="s">
        <v>96</v>
      </c>
      <c r="H1177" s="90">
        <v>2.812E-4</v>
      </c>
      <c r="I1177" s="45"/>
      <c r="J1177" s="45"/>
      <c r="K1177" s="45"/>
      <c r="L1177" s="45"/>
      <c r="M1177" s="45"/>
      <c r="N1177" s="45"/>
      <c r="O1177" s="45"/>
      <c r="P1177" s="45"/>
      <c r="Q1177" s="45"/>
      <c r="R1177" s="45"/>
      <c r="S1177" s="45"/>
      <c r="T1177" s="45"/>
      <c r="U1177" s="45"/>
    </row>
    <row r="1178">
      <c r="A1178" s="79" t="s">
        <v>10651</v>
      </c>
      <c r="B1178" s="45"/>
      <c r="C1178" s="79" t="s">
        <v>10652</v>
      </c>
      <c r="D1178" s="45"/>
      <c r="E1178" s="79" t="s">
        <v>6338</v>
      </c>
      <c r="F1178" s="79" t="s">
        <v>4436</v>
      </c>
      <c r="G1178" s="80" t="s">
        <v>96</v>
      </c>
      <c r="H1178" s="90">
        <v>2.81E-4</v>
      </c>
      <c r="I1178" s="45"/>
      <c r="J1178" s="45"/>
      <c r="K1178" s="45"/>
      <c r="L1178" s="45"/>
      <c r="M1178" s="45"/>
      <c r="N1178" s="45"/>
      <c r="O1178" s="45"/>
      <c r="P1178" s="45"/>
      <c r="Q1178" s="45"/>
      <c r="R1178" s="45"/>
      <c r="S1178" s="45"/>
      <c r="T1178" s="45"/>
      <c r="U1178" s="45"/>
    </row>
    <row r="1179">
      <c r="A1179" s="79" t="s">
        <v>17922</v>
      </c>
      <c r="B1179" s="45"/>
      <c r="C1179" s="79" t="s">
        <v>17923</v>
      </c>
      <c r="D1179" s="45"/>
      <c r="E1179" s="79" t="s">
        <v>8110</v>
      </c>
      <c r="F1179" s="79" t="s">
        <v>5300</v>
      </c>
      <c r="G1179" s="80" t="s">
        <v>96</v>
      </c>
      <c r="H1179" s="90">
        <v>2.809E-4</v>
      </c>
      <c r="I1179" s="45"/>
      <c r="J1179" s="45"/>
      <c r="K1179" s="45"/>
      <c r="L1179" s="45"/>
      <c r="M1179" s="45"/>
      <c r="N1179" s="45"/>
      <c r="O1179" s="45"/>
      <c r="P1179" s="45"/>
      <c r="Q1179" s="45"/>
      <c r="R1179" s="45"/>
      <c r="S1179" s="45"/>
      <c r="T1179" s="45"/>
      <c r="U1179" s="45"/>
    </row>
    <row r="1180">
      <c r="A1180" s="79" t="s">
        <v>17924</v>
      </c>
      <c r="B1180" s="45"/>
      <c r="C1180" s="79" t="s">
        <v>17925</v>
      </c>
      <c r="D1180" s="45"/>
      <c r="E1180" s="79" t="s">
        <v>5561</v>
      </c>
      <c r="F1180" s="79" t="s">
        <v>9513</v>
      </c>
      <c r="G1180" s="80" t="s">
        <v>96</v>
      </c>
      <c r="H1180" s="90">
        <v>2.809E-4</v>
      </c>
      <c r="I1180" s="45"/>
      <c r="J1180" s="45"/>
      <c r="K1180" s="45"/>
      <c r="L1180" s="45"/>
      <c r="M1180" s="45"/>
      <c r="N1180" s="45"/>
      <c r="O1180" s="45"/>
      <c r="P1180" s="45"/>
      <c r="Q1180" s="45"/>
      <c r="R1180" s="45"/>
      <c r="S1180" s="45"/>
      <c r="T1180" s="45"/>
      <c r="U1180" s="45"/>
    </row>
    <row r="1181">
      <c r="A1181" s="79" t="s">
        <v>17926</v>
      </c>
      <c r="B1181" s="45"/>
      <c r="C1181" s="79" t="s">
        <v>17927</v>
      </c>
      <c r="D1181" s="45"/>
      <c r="E1181" s="79" t="s">
        <v>5276</v>
      </c>
      <c r="F1181" s="79" t="s">
        <v>9513</v>
      </c>
      <c r="G1181" s="80" t="s">
        <v>96</v>
      </c>
      <c r="H1181" s="90">
        <v>2.808E-4</v>
      </c>
      <c r="I1181" s="45"/>
      <c r="J1181" s="45"/>
      <c r="K1181" s="45"/>
      <c r="L1181" s="45"/>
      <c r="M1181" s="45"/>
      <c r="N1181" s="45"/>
      <c r="O1181" s="45"/>
      <c r="P1181" s="45"/>
      <c r="Q1181" s="45"/>
      <c r="R1181" s="45"/>
      <c r="S1181" s="45"/>
      <c r="T1181" s="45"/>
      <c r="U1181" s="45"/>
    </row>
    <row r="1182">
      <c r="A1182" s="79" t="s">
        <v>17928</v>
      </c>
      <c r="B1182" s="45"/>
      <c r="C1182" s="79" t="s">
        <v>17929</v>
      </c>
      <c r="D1182" s="45"/>
      <c r="E1182" s="79" t="s">
        <v>5276</v>
      </c>
      <c r="F1182" s="79" t="s">
        <v>9021</v>
      </c>
      <c r="G1182" s="80" t="s">
        <v>96</v>
      </c>
      <c r="H1182" s="90">
        <v>2.806E-4</v>
      </c>
      <c r="I1182" s="45"/>
      <c r="J1182" s="45"/>
      <c r="K1182" s="45"/>
      <c r="L1182" s="45"/>
      <c r="M1182" s="45"/>
      <c r="N1182" s="45"/>
      <c r="O1182" s="45"/>
      <c r="P1182" s="45"/>
      <c r="Q1182" s="45"/>
      <c r="R1182" s="45"/>
      <c r="S1182" s="45"/>
      <c r="T1182" s="45"/>
      <c r="U1182" s="45"/>
    </row>
    <row r="1183">
      <c r="A1183" s="79" t="s">
        <v>11068</v>
      </c>
      <c r="B1183" s="45"/>
      <c r="C1183" s="79" t="s">
        <v>11069</v>
      </c>
      <c r="D1183" s="45"/>
      <c r="E1183" s="79" t="s">
        <v>5550</v>
      </c>
      <c r="F1183" s="79" t="s">
        <v>8784</v>
      </c>
      <c r="G1183" s="80" t="s">
        <v>96</v>
      </c>
      <c r="H1183" s="90">
        <v>2.8E-4</v>
      </c>
      <c r="I1183" s="45"/>
      <c r="J1183" s="45"/>
      <c r="K1183" s="45"/>
      <c r="L1183" s="45"/>
      <c r="M1183" s="45"/>
      <c r="N1183" s="45"/>
      <c r="O1183" s="45"/>
      <c r="P1183" s="45"/>
      <c r="Q1183" s="45"/>
      <c r="R1183" s="45"/>
      <c r="S1183" s="45"/>
      <c r="T1183" s="45"/>
      <c r="U1183" s="45"/>
    </row>
    <row r="1184">
      <c r="A1184" s="79" t="s">
        <v>17930</v>
      </c>
      <c r="B1184" s="45"/>
      <c r="C1184" s="79" t="s">
        <v>17931</v>
      </c>
      <c r="D1184" s="45"/>
      <c r="E1184" s="79" t="s">
        <v>9478</v>
      </c>
      <c r="F1184" s="79" t="s">
        <v>8759</v>
      </c>
      <c r="G1184" s="80" t="s">
        <v>96</v>
      </c>
      <c r="H1184" s="90">
        <v>2.799E-4</v>
      </c>
      <c r="I1184" s="45"/>
      <c r="J1184" s="45"/>
      <c r="K1184" s="45"/>
      <c r="L1184" s="45"/>
      <c r="M1184" s="45"/>
      <c r="N1184" s="45"/>
      <c r="O1184" s="45"/>
      <c r="P1184" s="45"/>
      <c r="Q1184" s="45"/>
      <c r="R1184" s="45"/>
      <c r="S1184" s="45"/>
      <c r="T1184" s="45"/>
      <c r="U1184" s="45"/>
    </row>
    <row r="1185">
      <c r="A1185" s="79" t="s">
        <v>17932</v>
      </c>
      <c r="B1185" s="45"/>
      <c r="C1185" s="79" t="s">
        <v>17933</v>
      </c>
      <c r="D1185" s="45"/>
      <c r="E1185" s="79" t="s">
        <v>5422</v>
      </c>
      <c r="F1185" s="79" t="s">
        <v>8759</v>
      </c>
      <c r="G1185" s="80" t="s">
        <v>96</v>
      </c>
      <c r="H1185" s="90">
        <v>2.793E-4</v>
      </c>
      <c r="I1185" s="45"/>
      <c r="J1185" s="45"/>
      <c r="K1185" s="45"/>
      <c r="L1185" s="45"/>
      <c r="M1185" s="45"/>
      <c r="N1185" s="45"/>
      <c r="O1185" s="45"/>
      <c r="P1185" s="45"/>
      <c r="Q1185" s="45"/>
      <c r="R1185" s="45"/>
      <c r="S1185" s="45"/>
      <c r="T1185" s="45"/>
      <c r="U1185" s="45"/>
    </row>
    <row r="1186">
      <c r="A1186" s="79" t="s">
        <v>10705</v>
      </c>
      <c r="B1186" s="45"/>
      <c r="C1186" s="79" t="s">
        <v>10706</v>
      </c>
      <c r="D1186" s="45"/>
      <c r="E1186" s="79" t="s">
        <v>5215</v>
      </c>
      <c r="F1186" s="79" t="s">
        <v>6220</v>
      </c>
      <c r="G1186" s="80" t="s">
        <v>96</v>
      </c>
      <c r="H1186" s="90">
        <v>2.792E-4</v>
      </c>
      <c r="I1186" s="45"/>
      <c r="J1186" s="45"/>
      <c r="K1186" s="45"/>
      <c r="L1186" s="45"/>
      <c r="M1186" s="45"/>
      <c r="N1186" s="45"/>
      <c r="O1186" s="45"/>
      <c r="P1186" s="45"/>
      <c r="Q1186" s="45"/>
      <c r="R1186" s="45"/>
      <c r="S1186" s="45"/>
      <c r="T1186" s="45"/>
      <c r="U1186" s="45"/>
    </row>
    <row r="1187">
      <c r="A1187" s="79" t="s">
        <v>10859</v>
      </c>
      <c r="B1187" s="45"/>
      <c r="C1187" s="79" t="s">
        <v>10700</v>
      </c>
      <c r="D1187" s="45"/>
      <c r="E1187" s="79" t="s">
        <v>6157</v>
      </c>
      <c r="F1187" s="79" t="s">
        <v>4095</v>
      </c>
      <c r="G1187" s="80" t="s">
        <v>96</v>
      </c>
      <c r="H1187" s="90">
        <v>2.792E-4</v>
      </c>
      <c r="I1187" s="45"/>
      <c r="J1187" s="45"/>
      <c r="K1187" s="45"/>
      <c r="L1187" s="45"/>
      <c r="M1187" s="45"/>
      <c r="N1187" s="45"/>
      <c r="O1187" s="45"/>
      <c r="P1187" s="45"/>
      <c r="Q1187" s="45"/>
      <c r="R1187" s="45"/>
      <c r="S1187" s="45"/>
      <c r="T1187" s="45"/>
      <c r="U1187" s="45"/>
    </row>
    <row r="1188">
      <c r="A1188" s="79" t="s">
        <v>17934</v>
      </c>
      <c r="B1188" s="45"/>
      <c r="C1188" s="79" t="s">
        <v>17935</v>
      </c>
      <c r="D1188" s="45"/>
      <c r="E1188" s="79" t="s">
        <v>5478</v>
      </c>
      <c r="F1188" s="79" t="s">
        <v>5300</v>
      </c>
      <c r="G1188" s="80" t="s">
        <v>96</v>
      </c>
      <c r="H1188" s="90">
        <v>2.791E-4</v>
      </c>
      <c r="I1188" s="45"/>
      <c r="J1188" s="45"/>
      <c r="K1188" s="45"/>
      <c r="L1188" s="45"/>
      <c r="M1188" s="45"/>
      <c r="N1188" s="45"/>
      <c r="O1188" s="45"/>
      <c r="P1188" s="45"/>
      <c r="Q1188" s="45"/>
      <c r="R1188" s="45"/>
      <c r="S1188" s="45"/>
      <c r="T1188" s="45"/>
      <c r="U1188" s="45"/>
    </row>
    <row r="1189">
      <c r="A1189" s="79" t="s">
        <v>17936</v>
      </c>
      <c r="B1189" s="45"/>
      <c r="C1189" s="79" t="s">
        <v>17937</v>
      </c>
      <c r="D1189" s="45"/>
      <c r="E1189" s="79" t="s">
        <v>5641</v>
      </c>
      <c r="F1189" s="79" t="s">
        <v>5425</v>
      </c>
      <c r="G1189" s="80" t="s">
        <v>96</v>
      </c>
      <c r="H1189" s="90">
        <v>2.79E-4</v>
      </c>
      <c r="I1189" s="45"/>
      <c r="J1189" s="45"/>
      <c r="K1189" s="45"/>
      <c r="L1189" s="45"/>
      <c r="M1189" s="45"/>
      <c r="N1189" s="45"/>
      <c r="O1189" s="45"/>
      <c r="P1189" s="45"/>
      <c r="Q1189" s="45"/>
      <c r="R1189" s="45"/>
      <c r="S1189" s="45"/>
      <c r="T1189" s="45"/>
      <c r="U1189" s="45"/>
    </row>
    <row r="1190">
      <c r="A1190" s="79" t="s">
        <v>17938</v>
      </c>
      <c r="B1190" s="45"/>
      <c r="C1190" s="79" t="s">
        <v>17939</v>
      </c>
      <c r="D1190" s="45"/>
      <c r="E1190" s="79" t="s">
        <v>5691</v>
      </c>
      <c r="F1190" s="79" t="s">
        <v>8759</v>
      </c>
      <c r="G1190" s="80" t="s">
        <v>96</v>
      </c>
      <c r="H1190" s="90">
        <v>2.79E-4</v>
      </c>
      <c r="I1190" s="45"/>
      <c r="J1190" s="45"/>
      <c r="K1190" s="45"/>
      <c r="L1190" s="45"/>
      <c r="M1190" s="45"/>
      <c r="N1190" s="45"/>
      <c r="O1190" s="45"/>
      <c r="P1190" s="45"/>
      <c r="Q1190" s="45"/>
      <c r="R1190" s="45"/>
      <c r="S1190" s="45"/>
      <c r="T1190" s="45"/>
      <c r="U1190" s="45"/>
    </row>
    <row r="1191">
      <c r="A1191" s="79" t="s">
        <v>17940</v>
      </c>
      <c r="B1191" s="45"/>
      <c r="C1191" s="79" t="s">
        <v>17941</v>
      </c>
      <c r="D1191" s="45"/>
      <c r="E1191" s="79" t="s">
        <v>5215</v>
      </c>
      <c r="F1191" s="79" t="s">
        <v>5300</v>
      </c>
      <c r="G1191" s="80" t="s">
        <v>96</v>
      </c>
      <c r="H1191" s="90">
        <v>2.784E-4</v>
      </c>
      <c r="I1191" s="45"/>
      <c r="J1191" s="45"/>
      <c r="K1191" s="45"/>
      <c r="L1191" s="45"/>
      <c r="M1191" s="45"/>
      <c r="N1191" s="45"/>
      <c r="O1191" s="45"/>
      <c r="P1191" s="45"/>
      <c r="Q1191" s="45"/>
      <c r="R1191" s="45"/>
      <c r="S1191" s="45"/>
      <c r="T1191" s="45"/>
      <c r="U1191" s="45"/>
    </row>
    <row r="1192">
      <c r="A1192" s="79" t="s">
        <v>17942</v>
      </c>
      <c r="B1192" s="45"/>
      <c r="C1192" s="79" t="s">
        <v>17943</v>
      </c>
      <c r="D1192" s="45"/>
      <c r="E1192" s="79" t="s">
        <v>7248</v>
      </c>
      <c r="F1192" s="79" t="s">
        <v>6988</v>
      </c>
      <c r="G1192" s="80" t="s">
        <v>96</v>
      </c>
      <c r="H1192" s="90">
        <v>2.781E-4</v>
      </c>
      <c r="I1192" s="45"/>
      <c r="J1192" s="45"/>
      <c r="K1192" s="45"/>
      <c r="L1192" s="45"/>
      <c r="M1192" s="45"/>
      <c r="N1192" s="45"/>
      <c r="O1192" s="45"/>
      <c r="P1192" s="45"/>
      <c r="Q1192" s="45"/>
      <c r="R1192" s="45"/>
      <c r="S1192" s="45"/>
      <c r="T1192" s="45"/>
      <c r="U1192" s="45"/>
    </row>
    <row r="1193">
      <c r="A1193" s="79" t="s">
        <v>17944</v>
      </c>
      <c r="B1193" s="45"/>
      <c r="C1193" s="79" t="s">
        <v>17945</v>
      </c>
      <c r="D1193" s="45"/>
      <c r="E1193" s="79" t="s">
        <v>5226</v>
      </c>
      <c r="F1193" s="79" t="s">
        <v>5300</v>
      </c>
      <c r="G1193" s="80" t="s">
        <v>96</v>
      </c>
      <c r="H1193" s="90">
        <v>2.781E-4</v>
      </c>
      <c r="I1193" s="45"/>
      <c r="J1193" s="45"/>
      <c r="K1193" s="45"/>
      <c r="L1193" s="45"/>
      <c r="M1193" s="45"/>
      <c r="N1193" s="45"/>
      <c r="O1193" s="45"/>
      <c r="P1193" s="45"/>
      <c r="Q1193" s="45"/>
      <c r="R1193" s="45"/>
      <c r="S1193" s="45"/>
      <c r="T1193" s="45"/>
      <c r="U1193" s="45"/>
    </row>
    <row r="1194">
      <c r="A1194" s="79" t="s">
        <v>17946</v>
      </c>
      <c r="B1194" s="45"/>
      <c r="C1194" s="79" t="s">
        <v>17947</v>
      </c>
      <c r="D1194" s="45"/>
      <c r="E1194" s="79" t="s">
        <v>7169</v>
      </c>
      <c r="F1194" s="79" t="s">
        <v>6988</v>
      </c>
      <c r="G1194" s="80" t="s">
        <v>96</v>
      </c>
      <c r="H1194" s="90">
        <v>2.78E-4</v>
      </c>
      <c r="I1194" s="45"/>
      <c r="J1194" s="45"/>
      <c r="K1194" s="45"/>
      <c r="L1194" s="45"/>
      <c r="M1194" s="45"/>
      <c r="N1194" s="45"/>
      <c r="O1194" s="45"/>
      <c r="P1194" s="45"/>
      <c r="Q1194" s="45"/>
      <c r="R1194" s="45"/>
      <c r="S1194" s="45"/>
      <c r="T1194" s="45"/>
      <c r="U1194" s="45"/>
    </row>
    <row r="1195">
      <c r="A1195" s="79" t="s">
        <v>17948</v>
      </c>
      <c r="B1195" s="45"/>
      <c r="C1195" s="79" t="s">
        <v>17949</v>
      </c>
      <c r="D1195" s="45"/>
      <c r="E1195" s="79" t="s">
        <v>5261</v>
      </c>
      <c r="F1195" s="79" t="s">
        <v>5300</v>
      </c>
      <c r="G1195" s="80" t="s">
        <v>96</v>
      </c>
      <c r="H1195" s="90">
        <v>2.779E-4</v>
      </c>
      <c r="I1195" s="45"/>
      <c r="J1195" s="45"/>
      <c r="K1195" s="45"/>
      <c r="L1195" s="45"/>
      <c r="M1195" s="45"/>
      <c r="N1195" s="45"/>
      <c r="O1195" s="45"/>
      <c r="P1195" s="45"/>
      <c r="Q1195" s="45"/>
      <c r="R1195" s="45"/>
      <c r="S1195" s="45"/>
      <c r="T1195" s="45"/>
      <c r="U1195" s="45"/>
    </row>
    <row r="1196">
      <c r="A1196" s="79" t="s">
        <v>17950</v>
      </c>
      <c r="B1196" s="45"/>
      <c r="C1196" s="79" t="s">
        <v>17951</v>
      </c>
      <c r="D1196" s="45"/>
      <c r="E1196" s="79" t="s">
        <v>5276</v>
      </c>
      <c r="F1196" s="79" t="s">
        <v>5300</v>
      </c>
      <c r="G1196" s="80" t="s">
        <v>96</v>
      </c>
      <c r="H1196" s="90">
        <v>2.778E-4</v>
      </c>
      <c r="I1196" s="45"/>
      <c r="J1196" s="45"/>
      <c r="K1196" s="45"/>
      <c r="L1196" s="45"/>
      <c r="M1196" s="45"/>
      <c r="N1196" s="45"/>
      <c r="O1196" s="45"/>
      <c r="P1196" s="45"/>
      <c r="Q1196" s="45"/>
      <c r="R1196" s="45"/>
      <c r="S1196" s="45"/>
      <c r="T1196" s="45"/>
      <c r="U1196" s="45"/>
    </row>
    <row r="1197">
      <c r="A1197" s="79" t="s">
        <v>17952</v>
      </c>
      <c r="B1197" s="45"/>
      <c r="C1197" s="79" t="s">
        <v>17953</v>
      </c>
      <c r="D1197" s="45"/>
      <c r="E1197" s="79" t="s">
        <v>6630</v>
      </c>
      <c r="F1197" s="79" t="s">
        <v>5300</v>
      </c>
      <c r="G1197" s="80" t="s">
        <v>96</v>
      </c>
      <c r="H1197" s="90">
        <v>2.778E-4</v>
      </c>
      <c r="I1197" s="45"/>
      <c r="J1197" s="45"/>
      <c r="K1197" s="45"/>
      <c r="L1197" s="45"/>
      <c r="M1197" s="45"/>
      <c r="N1197" s="45"/>
      <c r="O1197" s="45"/>
      <c r="P1197" s="45"/>
      <c r="Q1197" s="45"/>
      <c r="R1197" s="45"/>
      <c r="S1197" s="45"/>
      <c r="T1197" s="45"/>
      <c r="U1197" s="45"/>
    </row>
    <row r="1198">
      <c r="A1198" s="79" t="s">
        <v>17954</v>
      </c>
      <c r="B1198" s="45"/>
      <c r="C1198" s="79" t="s">
        <v>17955</v>
      </c>
      <c r="D1198" s="45"/>
      <c r="E1198" s="79" t="s">
        <v>6338</v>
      </c>
      <c r="F1198" s="79" t="s">
        <v>4357</v>
      </c>
      <c r="G1198" s="80" t="s">
        <v>96</v>
      </c>
      <c r="H1198" s="90">
        <v>2.775E-4</v>
      </c>
      <c r="I1198" s="45"/>
      <c r="J1198" s="45"/>
      <c r="K1198" s="45"/>
      <c r="L1198" s="45"/>
      <c r="M1198" s="45"/>
      <c r="N1198" s="45"/>
      <c r="O1198" s="45"/>
      <c r="P1198" s="45"/>
      <c r="Q1198" s="45"/>
      <c r="R1198" s="45"/>
      <c r="S1198" s="45"/>
      <c r="T1198" s="45"/>
      <c r="U1198" s="45"/>
    </row>
    <row r="1199">
      <c r="A1199" s="79" t="s">
        <v>17956</v>
      </c>
      <c r="B1199" s="45"/>
      <c r="C1199" s="79" t="s">
        <v>17957</v>
      </c>
      <c r="D1199" s="45"/>
      <c r="E1199" s="79" t="s">
        <v>5395</v>
      </c>
      <c r="F1199" s="79" t="s">
        <v>5300</v>
      </c>
      <c r="G1199" s="80" t="s">
        <v>96</v>
      </c>
      <c r="H1199" s="90">
        <v>2.771E-4</v>
      </c>
      <c r="I1199" s="45"/>
      <c r="J1199" s="45"/>
      <c r="K1199" s="45"/>
      <c r="L1199" s="45"/>
      <c r="M1199" s="45"/>
      <c r="N1199" s="45"/>
      <c r="O1199" s="45"/>
      <c r="P1199" s="45"/>
      <c r="Q1199" s="45"/>
      <c r="R1199" s="45"/>
      <c r="S1199" s="45"/>
      <c r="T1199" s="45"/>
      <c r="U1199" s="45"/>
    </row>
    <row r="1200">
      <c r="A1200" s="79" t="s">
        <v>17958</v>
      </c>
      <c r="B1200" s="45"/>
      <c r="C1200" s="79" t="s">
        <v>17959</v>
      </c>
      <c r="D1200" s="45"/>
      <c r="E1200" s="79" t="s">
        <v>6012</v>
      </c>
      <c r="F1200" s="79" t="s">
        <v>8784</v>
      </c>
      <c r="G1200" s="80" t="s">
        <v>96</v>
      </c>
      <c r="H1200" s="90">
        <v>2.769E-4</v>
      </c>
      <c r="I1200" s="45"/>
      <c r="J1200" s="45"/>
      <c r="K1200" s="45"/>
      <c r="L1200" s="45"/>
      <c r="M1200" s="45"/>
      <c r="N1200" s="45"/>
      <c r="O1200" s="45"/>
      <c r="P1200" s="45"/>
      <c r="Q1200" s="45"/>
      <c r="R1200" s="45"/>
      <c r="S1200" s="45"/>
      <c r="T1200" s="45"/>
      <c r="U1200" s="45"/>
    </row>
    <row r="1201">
      <c r="A1201" s="79" t="s">
        <v>17960</v>
      </c>
      <c r="B1201" s="45"/>
      <c r="C1201" s="79" t="s">
        <v>17961</v>
      </c>
      <c r="D1201" s="45"/>
      <c r="E1201" s="79" t="s">
        <v>5422</v>
      </c>
      <c r="F1201" s="79" t="s">
        <v>4095</v>
      </c>
      <c r="G1201" s="80" t="s">
        <v>96</v>
      </c>
      <c r="H1201" s="90">
        <v>2.766E-4</v>
      </c>
      <c r="I1201" s="45"/>
      <c r="J1201" s="45"/>
      <c r="K1201" s="45"/>
      <c r="L1201" s="45"/>
      <c r="M1201" s="45"/>
      <c r="N1201" s="45"/>
      <c r="O1201" s="45"/>
      <c r="P1201" s="45"/>
      <c r="Q1201" s="45"/>
      <c r="R1201" s="45"/>
      <c r="S1201" s="45"/>
      <c r="T1201" s="45"/>
      <c r="U1201" s="45"/>
    </row>
    <row r="1202">
      <c r="A1202" s="79" t="s">
        <v>17962</v>
      </c>
      <c r="B1202" s="45"/>
      <c r="C1202" s="79" t="s">
        <v>17963</v>
      </c>
      <c r="D1202" s="45"/>
      <c r="E1202" s="79" t="s">
        <v>5351</v>
      </c>
      <c r="F1202" s="79" t="s">
        <v>5300</v>
      </c>
      <c r="G1202" s="80" t="s">
        <v>96</v>
      </c>
      <c r="H1202" s="90">
        <v>2.765E-4</v>
      </c>
      <c r="I1202" s="45"/>
      <c r="J1202" s="45"/>
      <c r="K1202" s="45"/>
      <c r="L1202" s="45"/>
      <c r="M1202" s="45"/>
      <c r="N1202" s="45"/>
      <c r="O1202" s="45"/>
      <c r="P1202" s="45"/>
      <c r="Q1202" s="45"/>
      <c r="R1202" s="45"/>
      <c r="S1202" s="45"/>
      <c r="T1202" s="45"/>
      <c r="U1202" s="45"/>
    </row>
    <row r="1203">
      <c r="A1203" s="79" t="s">
        <v>17964</v>
      </c>
      <c r="B1203" s="45"/>
      <c r="C1203" s="79" t="s">
        <v>17965</v>
      </c>
      <c r="D1203" s="45"/>
      <c r="E1203" s="79" t="s">
        <v>5309</v>
      </c>
      <c r="F1203" s="79" t="s">
        <v>5425</v>
      </c>
      <c r="G1203" s="80" t="s">
        <v>96</v>
      </c>
      <c r="H1203" s="90">
        <v>2.761E-4</v>
      </c>
      <c r="I1203" s="45"/>
      <c r="J1203" s="45"/>
      <c r="K1203" s="45"/>
      <c r="L1203" s="45"/>
      <c r="M1203" s="45"/>
      <c r="N1203" s="45"/>
      <c r="O1203" s="45"/>
      <c r="P1203" s="45"/>
      <c r="Q1203" s="45"/>
      <c r="R1203" s="45"/>
      <c r="S1203" s="45"/>
      <c r="T1203" s="45"/>
      <c r="U1203" s="45"/>
    </row>
    <row r="1204">
      <c r="A1204" s="79" t="s">
        <v>17966</v>
      </c>
      <c r="B1204" s="45"/>
      <c r="C1204" s="79" t="s">
        <v>17967</v>
      </c>
      <c r="D1204" s="45"/>
      <c r="E1204" s="79" t="s">
        <v>5374</v>
      </c>
      <c r="F1204" s="79" t="s">
        <v>5300</v>
      </c>
      <c r="G1204" s="80" t="s">
        <v>96</v>
      </c>
      <c r="H1204" s="90">
        <v>2.759E-4</v>
      </c>
      <c r="I1204" s="45"/>
      <c r="J1204" s="45"/>
      <c r="K1204" s="45"/>
      <c r="L1204" s="45"/>
      <c r="M1204" s="45"/>
      <c r="N1204" s="45"/>
      <c r="O1204" s="45"/>
      <c r="P1204" s="45"/>
      <c r="Q1204" s="45"/>
      <c r="R1204" s="45"/>
      <c r="S1204" s="45"/>
      <c r="T1204" s="45"/>
      <c r="U1204" s="45"/>
    </row>
    <row r="1205">
      <c r="A1205" s="79" t="s">
        <v>17968</v>
      </c>
      <c r="B1205" s="45"/>
      <c r="C1205" s="79" t="s">
        <v>17969</v>
      </c>
      <c r="D1205" s="45"/>
      <c r="E1205" s="79" t="s">
        <v>6238</v>
      </c>
      <c r="F1205" s="79" t="s">
        <v>4095</v>
      </c>
      <c r="G1205" s="80" t="s">
        <v>96</v>
      </c>
      <c r="H1205" s="90">
        <v>2.757E-4</v>
      </c>
      <c r="I1205" s="45"/>
      <c r="J1205" s="45"/>
      <c r="K1205" s="45"/>
      <c r="L1205" s="45"/>
      <c r="M1205" s="45"/>
      <c r="N1205" s="45"/>
      <c r="O1205" s="45"/>
      <c r="P1205" s="45"/>
      <c r="Q1205" s="45"/>
      <c r="R1205" s="45"/>
      <c r="S1205" s="45"/>
      <c r="T1205" s="45"/>
      <c r="U1205" s="45"/>
    </row>
    <row r="1206">
      <c r="A1206" s="79" t="s">
        <v>6515</v>
      </c>
      <c r="B1206" s="45"/>
      <c r="C1206" s="79" t="s">
        <v>11031</v>
      </c>
      <c r="D1206" s="45"/>
      <c r="E1206" s="79" t="s">
        <v>7098</v>
      </c>
      <c r="F1206" s="79" t="s">
        <v>8784</v>
      </c>
      <c r="G1206" s="80" t="s">
        <v>96</v>
      </c>
      <c r="H1206" s="90">
        <v>2.756E-4</v>
      </c>
      <c r="I1206" s="45"/>
      <c r="J1206" s="45"/>
      <c r="K1206" s="45"/>
      <c r="L1206" s="45"/>
      <c r="M1206" s="45"/>
      <c r="N1206" s="45"/>
      <c r="O1206" s="45"/>
      <c r="P1206" s="45"/>
      <c r="Q1206" s="45"/>
      <c r="R1206" s="45"/>
      <c r="S1206" s="45"/>
      <c r="T1206" s="45"/>
      <c r="U1206" s="45"/>
    </row>
    <row r="1207">
      <c r="A1207" s="79" t="s">
        <v>17970</v>
      </c>
      <c r="B1207" s="45"/>
      <c r="C1207" s="79" t="s">
        <v>17971</v>
      </c>
      <c r="D1207" s="45"/>
      <c r="E1207" s="79" t="s">
        <v>5215</v>
      </c>
      <c r="F1207" s="79" t="s">
        <v>5300</v>
      </c>
      <c r="G1207" s="80" t="s">
        <v>96</v>
      </c>
      <c r="H1207" s="90">
        <v>2.754E-4</v>
      </c>
      <c r="I1207" s="45"/>
      <c r="J1207" s="45"/>
      <c r="K1207" s="45"/>
      <c r="L1207" s="45"/>
      <c r="M1207" s="45"/>
      <c r="N1207" s="45"/>
      <c r="O1207" s="45"/>
      <c r="P1207" s="45"/>
      <c r="Q1207" s="45"/>
      <c r="R1207" s="45"/>
      <c r="S1207" s="45"/>
      <c r="T1207" s="45"/>
      <c r="U1207" s="45"/>
    </row>
    <row r="1208">
      <c r="A1208" s="79" t="s">
        <v>17972</v>
      </c>
      <c r="B1208" s="45"/>
      <c r="C1208" s="79" t="s">
        <v>17973</v>
      </c>
      <c r="D1208" s="45"/>
      <c r="E1208" s="79" t="s">
        <v>6389</v>
      </c>
      <c r="F1208" s="79" t="s">
        <v>8784</v>
      </c>
      <c r="G1208" s="80" t="s">
        <v>96</v>
      </c>
      <c r="H1208" s="90">
        <v>2.754E-4</v>
      </c>
      <c r="I1208" s="45"/>
      <c r="J1208" s="45"/>
      <c r="K1208" s="45"/>
      <c r="L1208" s="45"/>
      <c r="M1208" s="45"/>
      <c r="N1208" s="45"/>
      <c r="O1208" s="45"/>
      <c r="P1208" s="45"/>
      <c r="Q1208" s="45"/>
      <c r="R1208" s="45"/>
      <c r="S1208" s="45"/>
      <c r="T1208" s="45"/>
      <c r="U1208" s="45"/>
    </row>
    <row r="1209">
      <c r="A1209" s="79" t="s">
        <v>17974</v>
      </c>
      <c r="B1209" s="45"/>
      <c r="C1209" s="79" t="s">
        <v>17975</v>
      </c>
      <c r="D1209" s="45"/>
      <c r="E1209" s="79" t="s">
        <v>5246</v>
      </c>
      <c r="F1209" s="79" t="s">
        <v>4436</v>
      </c>
      <c r="G1209" s="80" t="s">
        <v>96</v>
      </c>
      <c r="H1209" s="90">
        <v>2.749E-4</v>
      </c>
      <c r="I1209" s="45"/>
      <c r="J1209" s="45"/>
      <c r="K1209" s="45"/>
      <c r="L1209" s="45"/>
      <c r="M1209" s="45"/>
      <c r="N1209" s="45"/>
      <c r="O1209" s="45"/>
      <c r="P1209" s="45"/>
      <c r="Q1209" s="45"/>
      <c r="R1209" s="45"/>
      <c r="S1209" s="45"/>
      <c r="T1209" s="45"/>
      <c r="U1209" s="45"/>
    </row>
    <row r="1210">
      <c r="A1210" s="79" t="s">
        <v>17976</v>
      </c>
      <c r="B1210" s="45"/>
      <c r="C1210" s="79" t="s">
        <v>17977</v>
      </c>
      <c r="D1210" s="45"/>
      <c r="E1210" s="79" t="s">
        <v>5226</v>
      </c>
      <c r="F1210" s="79" t="s">
        <v>5300</v>
      </c>
      <c r="G1210" s="80" t="s">
        <v>96</v>
      </c>
      <c r="H1210" s="90">
        <v>2.747E-4</v>
      </c>
      <c r="I1210" s="45"/>
      <c r="J1210" s="45"/>
      <c r="K1210" s="45"/>
      <c r="L1210" s="45"/>
      <c r="M1210" s="45"/>
      <c r="N1210" s="45"/>
      <c r="O1210" s="45"/>
      <c r="P1210" s="45"/>
      <c r="Q1210" s="45"/>
      <c r="R1210" s="45"/>
      <c r="S1210" s="45"/>
      <c r="T1210" s="45"/>
      <c r="U1210" s="45"/>
    </row>
    <row r="1211">
      <c r="A1211" s="79" t="s">
        <v>17978</v>
      </c>
      <c r="B1211" s="45"/>
      <c r="C1211" s="79" t="s">
        <v>17979</v>
      </c>
      <c r="D1211" s="45"/>
      <c r="E1211" s="79" t="s">
        <v>5478</v>
      </c>
      <c r="F1211" s="79" t="s">
        <v>5300</v>
      </c>
      <c r="G1211" s="80" t="s">
        <v>96</v>
      </c>
      <c r="H1211" s="90">
        <v>2.744E-4</v>
      </c>
      <c r="I1211" s="45"/>
      <c r="J1211" s="45"/>
      <c r="K1211" s="45"/>
      <c r="L1211" s="45"/>
      <c r="M1211" s="45"/>
      <c r="N1211" s="45"/>
      <c r="O1211" s="45"/>
      <c r="P1211" s="45"/>
      <c r="Q1211" s="45"/>
      <c r="R1211" s="45"/>
      <c r="S1211" s="45"/>
      <c r="T1211" s="45"/>
      <c r="U1211" s="45"/>
    </row>
    <row r="1212">
      <c r="A1212" s="79" t="s">
        <v>17980</v>
      </c>
      <c r="B1212" s="45"/>
      <c r="C1212" s="79" t="s">
        <v>17981</v>
      </c>
      <c r="D1212" s="45"/>
      <c r="E1212" s="79" t="s">
        <v>5374</v>
      </c>
      <c r="F1212" s="79" t="s">
        <v>8767</v>
      </c>
      <c r="G1212" s="80" t="s">
        <v>96</v>
      </c>
      <c r="H1212" s="90">
        <v>2.744E-4</v>
      </c>
      <c r="I1212" s="45"/>
      <c r="J1212" s="45"/>
      <c r="K1212" s="45"/>
      <c r="L1212" s="45"/>
      <c r="M1212" s="45"/>
      <c r="N1212" s="45"/>
      <c r="O1212" s="45"/>
      <c r="P1212" s="45"/>
      <c r="Q1212" s="45"/>
      <c r="R1212" s="45"/>
      <c r="S1212" s="45"/>
      <c r="T1212" s="45"/>
      <c r="U1212" s="45"/>
    </row>
    <row r="1213">
      <c r="A1213" s="79" t="s">
        <v>17982</v>
      </c>
      <c r="B1213" s="45"/>
      <c r="C1213" s="79" t="s">
        <v>17983</v>
      </c>
      <c r="D1213" s="45"/>
      <c r="E1213" s="79" t="s">
        <v>5478</v>
      </c>
      <c r="F1213" s="79" t="s">
        <v>5300</v>
      </c>
      <c r="G1213" s="80" t="s">
        <v>96</v>
      </c>
      <c r="H1213" s="90">
        <v>2.741E-4</v>
      </c>
      <c r="I1213" s="45"/>
      <c r="J1213" s="45"/>
      <c r="K1213" s="45"/>
      <c r="L1213" s="45"/>
      <c r="M1213" s="45"/>
      <c r="N1213" s="45"/>
      <c r="O1213" s="45"/>
      <c r="P1213" s="45"/>
      <c r="Q1213" s="45"/>
      <c r="R1213" s="45"/>
      <c r="S1213" s="45"/>
      <c r="T1213" s="45"/>
      <c r="U1213" s="45"/>
    </row>
    <row r="1214">
      <c r="A1214" s="79" t="s">
        <v>17984</v>
      </c>
      <c r="B1214" s="45"/>
      <c r="C1214" s="79" t="s">
        <v>17985</v>
      </c>
      <c r="D1214" s="45"/>
      <c r="E1214" s="79" t="s">
        <v>6389</v>
      </c>
      <c r="F1214" s="79" t="s">
        <v>5300</v>
      </c>
      <c r="G1214" s="80" t="s">
        <v>96</v>
      </c>
      <c r="H1214" s="90">
        <v>2.736E-4</v>
      </c>
      <c r="I1214" s="45"/>
      <c r="J1214" s="45"/>
      <c r="K1214" s="45"/>
      <c r="L1214" s="45"/>
      <c r="M1214" s="45"/>
      <c r="N1214" s="45"/>
      <c r="O1214" s="45"/>
      <c r="P1214" s="45"/>
      <c r="Q1214" s="45"/>
      <c r="R1214" s="45"/>
      <c r="S1214" s="45"/>
      <c r="T1214" s="45"/>
      <c r="U1214" s="45"/>
    </row>
    <row r="1215">
      <c r="A1215" s="79" t="s">
        <v>17986</v>
      </c>
      <c r="B1215" s="45"/>
      <c r="C1215" s="79" t="s">
        <v>17987</v>
      </c>
      <c r="D1215" s="45"/>
      <c r="E1215" s="79" t="s">
        <v>6759</v>
      </c>
      <c r="F1215" s="79" t="s">
        <v>5300</v>
      </c>
      <c r="G1215" s="80" t="s">
        <v>96</v>
      </c>
      <c r="H1215" s="90">
        <v>2.732E-4</v>
      </c>
      <c r="I1215" s="45"/>
      <c r="J1215" s="45"/>
      <c r="K1215" s="45"/>
      <c r="L1215" s="45"/>
      <c r="M1215" s="45"/>
      <c r="N1215" s="45"/>
      <c r="O1215" s="45"/>
      <c r="P1215" s="45"/>
      <c r="Q1215" s="45"/>
      <c r="R1215" s="45"/>
      <c r="S1215" s="45"/>
      <c r="T1215" s="45"/>
      <c r="U1215" s="45"/>
    </row>
    <row r="1216">
      <c r="A1216" s="79" t="s">
        <v>17988</v>
      </c>
      <c r="B1216" s="45"/>
      <c r="C1216" s="79" t="s">
        <v>17989</v>
      </c>
      <c r="D1216" s="45"/>
      <c r="E1216" s="79" t="s">
        <v>5374</v>
      </c>
      <c r="F1216" s="79" t="s">
        <v>8784</v>
      </c>
      <c r="G1216" s="80" t="s">
        <v>96</v>
      </c>
      <c r="H1216" s="90">
        <v>2.731E-4</v>
      </c>
      <c r="I1216" s="45"/>
      <c r="J1216" s="45"/>
      <c r="K1216" s="45"/>
      <c r="L1216" s="45"/>
      <c r="M1216" s="45"/>
      <c r="N1216" s="45"/>
      <c r="O1216" s="45"/>
      <c r="P1216" s="45"/>
      <c r="Q1216" s="45"/>
      <c r="R1216" s="45"/>
      <c r="S1216" s="45"/>
      <c r="T1216" s="45"/>
      <c r="U1216" s="45"/>
    </row>
    <row r="1217">
      <c r="A1217" s="79" t="s">
        <v>11051</v>
      </c>
      <c r="B1217" s="45"/>
      <c r="C1217" s="79" t="s">
        <v>11052</v>
      </c>
      <c r="D1217" s="45"/>
      <c r="E1217" s="79" t="s">
        <v>6009</v>
      </c>
      <c r="F1217" s="79" t="s">
        <v>8784</v>
      </c>
      <c r="G1217" s="80" t="s">
        <v>96</v>
      </c>
      <c r="H1217" s="90">
        <v>2.73E-4</v>
      </c>
      <c r="I1217" s="45"/>
      <c r="J1217" s="45"/>
      <c r="K1217" s="45"/>
      <c r="L1217" s="45"/>
      <c r="M1217" s="45"/>
      <c r="N1217" s="45"/>
      <c r="O1217" s="45"/>
      <c r="P1217" s="45"/>
      <c r="Q1217" s="45"/>
      <c r="R1217" s="45"/>
      <c r="S1217" s="45"/>
      <c r="T1217" s="45"/>
      <c r="U1217" s="45"/>
    </row>
    <row r="1218">
      <c r="A1218" s="79" t="s">
        <v>17990</v>
      </c>
      <c r="B1218" s="45"/>
      <c r="C1218" s="79" t="s">
        <v>17991</v>
      </c>
      <c r="D1218" s="45"/>
      <c r="E1218" s="79" t="s">
        <v>5215</v>
      </c>
      <c r="F1218" s="79" t="s">
        <v>5300</v>
      </c>
      <c r="G1218" s="80" t="s">
        <v>96</v>
      </c>
      <c r="H1218" s="90">
        <v>2.726E-4</v>
      </c>
      <c r="I1218" s="45"/>
      <c r="J1218" s="45"/>
      <c r="K1218" s="45"/>
      <c r="L1218" s="45"/>
      <c r="M1218" s="45"/>
      <c r="N1218" s="45"/>
      <c r="O1218" s="45"/>
      <c r="P1218" s="45"/>
      <c r="Q1218" s="45"/>
      <c r="R1218" s="45"/>
      <c r="S1218" s="45"/>
      <c r="T1218" s="45"/>
      <c r="U1218" s="45"/>
    </row>
    <row r="1219">
      <c r="A1219" s="79" t="s">
        <v>17992</v>
      </c>
      <c r="B1219" s="45"/>
      <c r="C1219" s="79" t="s">
        <v>17993</v>
      </c>
      <c r="D1219" s="45"/>
      <c r="E1219" s="79" t="s">
        <v>5246</v>
      </c>
      <c r="F1219" s="79" t="s">
        <v>4153</v>
      </c>
      <c r="G1219" s="80" t="s">
        <v>96</v>
      </c>
      <c r="H1219" s="90">
        <v>2.724E-4</v>
      </c>
      <c r="I1219" s="45"/>
      <c r="J1219" s="45"/>
      <c r="K1219" s="45"/>
      <c r="L1219" s="45"/>
      <c r="M1219" s="45"/>
      <c r="N1219" s="45"/>
      <c r="O1219" s="45"/>
      <c r="P1219" s="45"/>
      <c r="Q1219" s="45"/>
      <c r="R1219" s="45"/>
      <c r="S1219" s="45"/>
      <c r="T1219" s="45"/>
      <c r="U1219" s="45"/>
    </row>
    <row r="1220">
      <c r="A1220" s="79" t="s">
        <v>17994</v>
      </c>
      <c r="B1220" s="45"/>
      <c r="C1220" s="79" t="s">
        <v>17995</v>
      </c>
      <c r="D1220" s="45"/>
      <c r="E1220" s="79" t="s">
        <v>5715</v>
      </c>
      <c r="F1220" s="79" t="s">
        <v>4095</v>
      </c>
      <c r="G1220" s="80" t="s">
        <v>96</v>
      </c>
      <c r="H1220" s="90">
        <v>2.72E-4</v>
      </c>
      <c r="I1220" s="45"/>
      <c r="J1220" s="45"/>
      <c r="K1220" s="45"/>
      <c r="L1220" s="45"/>
      <c r="M1220" s="45"/>
      <c r="N1220" s="45"/>
      <c r="O1220" s="45"/>
      <c r="P1220" s="45"/>
      <c r="Q1220" s="45"/>
      <c r="R1220" s="45"/>
      <c r="S1220" s="45"/>
      <c r="T1220" s="45"/>
      <c r="U1220" s="45"/>
    </row>
    <row r="1221">
      <c r="A1221" s="79" t="s">
        <v>9637</v>
      </c>
      <c r="B1221" s="45"/>
      <c r="C1221" s="79" t="s">
        <v>17996</v>
      </c>
      <c r="D1221" s="45"/>
      <c r="E1221" s="79" t="s">
        <v>6327</v>
      </c>
      <c r="F1221" s="79" t="s">
        <v>9021</v>
      </c>
      <c r="G1221" s="80" t="s">
        <v>96</v>
      </c>
      <c r="H1221" s="90">
        <v>2.72E-4</v>
      </c>
      <c r="I1221" s="45"/>
      <c r="J1221" s="45"/>
      <c r="K1221" s="45"/>
      <c r="L1221" s="45"/>
      <c r="M1221" s="45"/>
      <c r="N1221" s="45"/>
      <c r="O1221" s="45"/>
      <c r="P1221" s="45"/>
      <c r="Q1221" s="45"/>
      <c r="R1221" s="45"/>
      <c r="S1221" s="45"/>
      <c r="T1221" s="45"/>
      <c r="U1221" s="45"/>
    </row>
    <row r="1222">
      <c r="A1222" s="79" t="s">
        <v>17997</v>
      </c>
      <c r="B1222" s="45"/>
      <c r="C1222" s="79" t="s">
        <v>17998</v>
      </c>
      <c r="D1222" s="45"/>
      <c r="E1222" s="79" t="s">
        <v>5374</v>
      </c>
      <c r="F1222" s="79" t="s">
        <v>4436</v>
      </c>
      <c r="G1222" s="80" t="s">
        <v>96</v>
      </c>
      <c r="H1222" s="90">
        <v>2.719E-4</v>
      </c>
      <c r="I1222" s="45"/>
      <c r="J1222" s="45"/>
      <c r="K1222" s="45"/>
      <c r="L1222" s="45"/>
      <c r="M1222" s="45"/>
      <c r="N1222" s="45"/>
      <c r="O1222" s="45"/>
      <c r="P1222" s="45"/>
      <c r="Q1222" s="45"/>
      <c r="R1222" s="45"/>
      <c r="S1222" s="45"/>
      <c r="T1222" s="45"/>
      <c r="U1222" s="45"/>
    </row>
    <row r="1223">
      <c r="A1223" s="79" t="s">
        <v>10733</v>
      </c>
      <c r="B1223" s="45"/>
      <c r="C1223" s="79" t="s">
        <v>10734</v>
      </c>
      <c r="D1223" s="45"/>
      <c r="E1223" s="79" t="s">
        <v>5235</v>
      </c>
      <c r="F1223" s="79" t="s">
        <v>5941</v>
      </c>
      <c r="G1223" s="80" t="s">
        <v>96</v>
      </c>
      <c r="H1223" s="90">
        <v>2.713E-4</v>
      </c>
      <c r="I1223" s="45"/>
      <c r="J1223" s="45"/>
      <c r="K1223" s="45"/>
      <c r="L1223" s="45"/>
      <c r="M1223" s="45"/>
      <c r="N1223" s="45"/>
      <c r="O1223" s="45"/>
      <c r="P1223" s="45"/>
      <c r="Q1223" s="45"/>
      <c r="R1223" s="45"/>
      <c r="S1223" s="45"/>
      <c r="T1223" s="45"/>
      <c r="U1223" s="45"/>
    </row>
    <row r="1224">
      <c r="A1224" s="79" t="s">
        <v>17999</v>
      </c>
      <c r="B1224" s="45"/>
      <c r="C1224" s="79" t="s">
        <v>18000</v>
      </c>
      <c r="D1224" s="45"/>
      <c r="E1224" s="79" t="s">
        <v>9221</v>
      </c>
      <c r="F1224" s="79" t="s">
        <v>5300</v>
      </c>
      <c r="G1224" s="80" t="s">
        <v>96</v>
      </c>
      <c r="H1224" s="90">
        <v>2.713E-4</v>
      </c>
      <c r="I1224" s="45"/>
      <c r="J1224" s="45"/>
      <c r="K1224" s="45"/>
      <c r="L1224" s="45"/>
      <c r="M1224" s="45"/>
      <c r="N1224" s="45"/>
      <c r="O1224" s="45"/>
      <c r="P1224" s="45"/>
      <c r="Q1224" s="45"/>
      <c r="R1224" s="45"/>
      <c r="S1224" s="45"/>
      <c r="T1224" s="45"/>
      <c r="U1224" s="45"/>
    </row>
    <row r="1225">
      <c r="A1225" s="79" t="s">
        <v>18001</v>
      </c>
      <c r="B1225" s="45"/>
      <c r="C1225" s="79" t="s">
        <v>18002</v>
      </c>
      <c r="D1225" s="45"/>
      <c r="E1225" s="79" t="s">
        <v>5326</v>
      </c>
      <c r="F1225" s="79" t="s">
        <v>5300</v>
      </c>
      <c r="G1225" s="80" t="s">
        <v>96</v>
      </c>
      <c r="H1225" s="90">
        <v>2.709E-4</v>
      </c>
      <c r="I1225" s="45"/>
      <c r="J1225" s="45"/>
      <c r="K1225" s="45"/>
      <c r="L1225" s="45"/>
      <c r="M1225" s="45"/>
      <c r="N1225" s="45"/>
      <c r="O1225" s="45"/>
      <c r="P1225" s="45"/>
      <c r="Q1225" s="45"/>
      <c r="R1225" s="45"/>
      <c r="S1225" s="45"/>
      <c r="T1225" s="45"/>
      <c r="U1225" s="45"/>
    </row>
    <row r="1226">
      <c r="A1226" s="79" t="s">
        <v>6027</v>
      </c>
      <c r="B1226" s="45"/>
      <c r="C1226" s="79" t="s">
        <v>18003</v>
      </c>
      <c r="D1226" s="45"/>
      <c r="E1226" s="79" t="s">
        <v>5561</v>
      </c>
      <c r="F1226" s="79" t="s">
        <v>5300</v>
      </c>
      <c r="G1226" s="80" t="s">
        <v>96</v>
      </c>
      <c r="H1226" s="90">
        <v>2.708E-4</v>
      </c>
      <c r="I1226" s="45"/>
      <c r="J1226" s="45"/>
      <c r="K1226" s="45"/>
      <c r="L1226" s="45"/>
      <c r="M1226" s="45"/>
      <c r="N1226" s="45"/>
      <c r="O1226" s="45"/>
      <c r="P1226" s="45"/>
      <c r="Q1226" s="45"/>
      <c r="R1226" s="45"/>
      <c r="S1226" s="45"/>
      <c r="T1226" s="45"/>
      <c r="U1226" s="45"/>
    </row>
    <row r="1227">
      <c r="A1227" s="79" t="s">
        <v>10471</v>
      </c>
      <c r="B1227" s="45"/>
      <c r="C1227" s="79" t="s">
        <v>10472</v>
      </c>
      <c r="D1227" s="45"/>
      <c r="E1227" s="79" t="s">
        <v>5215</v>
      </c>
      <c r="F1227" s="79" t="s">
        <v>8784</v>
      </c>
      <c r="G1227" s="80" t="s">
        <v>96</v>
      </c>
      <c r="H1227" s="90">
        <v>2.704E-4</v>
      </c>
      <c r="I1227" s="45"/>
      <c r="J1227" s="45"/>
      <c r="K1227" s="45"/>
      <c r="L1227" s="45"/>
      <c r="M1227" s="45"/>
      <c r="N1227" s="45"/>
      <c r="O1227" s="45"/>
      <c r="P1227" s="45"/>
      <c r="Q1227" s="45"/>
      <c r="R1227" s="45"/>
      <c r="S1227" s="45"/>
      <c r="T1227" s="45"/>
      <c r="U1227" s="45"/>
    </row>
    <row r="1228">
      <c r="A1228" s="79" t="s">
        <v>18004</v>
      </c>
      <c r="B1228" s="45"/>
      <c r="C1228" s="79" t="s">
        <v>18005</v>
      </c>
      <c r="D1228" s="45"/>
      <c r="E1228" s="79" t="s">
        <v>5561</v>
      </c>
      <c r="F1228" s="79" t="s">
        <v>5836</v>
      </c>
      <c r="G1228" s="80" t="s">
        <v>96</v>
      </c>
      <c r="H1228" s="90">
        <v>2.697E-4</v>
      </c>
      <c r="I1228" s="45"/>
      <c r="J1228" s="45"/>
      <c r="K1228" s="45"/>
      <c r="L1228" s="45"/>
      <c r="M1228" s="45"/>
      <c r="N1228" s="45"/>
      <c r="O1228" s="45"/>
      <c r="P1228" s="45"/>
      <c r="Q1228" s="45"/>
      <c r="R1228" s="45"/>
      <c r="S1228" s="45"/>
      <c r="T1228" s="45"/>
      <c r="U1228" s="45"/>
    </row>
    <row r="1229">
      <c r="A1229" s="79" t="s">
        <v>18006</v>
      </c>
      <c r="B1229" s="45"/>
      <c r="C1229" s="79" t="s">
        <v>18007</v>
      </c>
      <c r="D1229" s="45"/>
      <c r="E1229" s="79" t="s">
        <v>5264</v>
      </c>
      <c r="F1229" s="79" t="s">
        <v>5300</v>
      </c>
      <c r="G1229" s="80" t="s">
        <v>96</v>
      </c>
      <c r="H1229" s="90">
        <v>2.693E-4</v>
      </c>
      <c r="I1229" s="45"/>
      <c r="J1229" s="45"/>
      <c r="K1229" s="45"/>
      <c r="L1229" s="45"/>
      <c r="M1229" s="45"/>
      <c r="N1229" s="45"/>
      <c r="O1229" s="45"/>
      <c r="P1229" s="45"/>
      <c r="Q1229" s="45"/>
      <c r="R1229" s="45"/>
      <c r="S1229" s="45"/>
      <c r="T1229" s="45"/>
      <c r="U1229" s="45"/>
    </row>
    <row r="1230">
      <c r="A1230" s="79" t="s">
        <v>18008</v>
      </c>
      <c r="B1230" s="45"/>
      <c r="C1230" s="79" t="s">
        <v>18009</v>
      </c>
      <c r="D1230" s="45"/>
      <c r="E1230" s="79" t="s">
        <v>5261</v>
      </c>
      <c r="F1230" s="79" t="s">
        <v>5836</v>
      </c>
      <c r="G1230" s="80" t="s">
        <v>96</v>
      </c>
      <c r="H1230" s="90">
        <v>2.689E-4</v>
      </c>
      <c r="I1230" s="45"/>
      <c r="J1230" s="45"/>
      <c r="K1230" s="45"/>
      <c r="L1230" s="45"/>
      <c r="M1230" s="45"/>
      <c r="N1230" s="45"/>
      <c r="O1230" s="45"/>
      <c r="P1230" s="45"/>
      <c r="Q1230" s="45"/>
      <c r="R1230" s="45"/>
      <c r="S1230" s="45"/>
      <c r="T1230" s="45"/>
      <c r="U1230" s="45"/>
    </row>
    <row r="1231">
      <c r="A1231" s="79" t="s">
        <v>18010</v>
      </c>
      <c r="B1231" s="45"/>
      <c r="C1231" s="79" t="s">
        <v>18011</v>
      </c>
      <c r="D1231" s="45"/>
      <c r="E1231" s="79" t="s">
        <v>5348</v>
      </c>
      <c r="F1231" s="79" t="s">
        <v>5300</v>
      </c>
      <c r="G1231" s="80" t="s">
        <v>96</v>
      </c>
      <c r="H1231" s="90">
        <v>2.685E-4</v>
      </c>
      <c r="I1231" s="45"/>
      <c r="J1231" s="45"/>
      <c r="K1231" s="45"/>
      <c r="L1231" s="45"/>
      <c r="M1231" s="45"/>
      <c r="N1231" s="45"/>
      <c r="O1231" s="45"/>
      <c r="P1231" s="45"/>
      <c r="Q1231" s="45"/>
      <c r="R1231" s="45"/>
      <c r="S1231" s="45"/>
      <c r="T1231" s="45"/>
      <c r="U1231" s="45"/>
    </row>
    <row r="1232">
      <c r="A1232" s="79" t="s">
        <v>10882</v>
      </c>
      <c r="B1232" s="45"/>
      <c r="C1232" s="79" t="s">
        <v>10883</v>
      </c>
      <c r="D1232" s="45"/>
      <c r="E1232" s="79" t="s">
        <v>5215</v>
      </c>
      <c r="F1232" s="79" t="s">
        <v>8784</v>
      </c>
      <c r="G1232" s="80" t="s">
        <v>96</v>
      </c>
      <c r="H1232" s="90">
        <v>2.685E-4</v>
      </c>
      <c r="I1232" s="45"/>
      <c r="J1232" s="45"/>
      <c r="K1232" s="45"/>
      <c r="L1232" s="45"/>
      <c r="M1232" s="45"/>
      <c r="N1232" s="45"/>
      <c r="O1232" s="45"/>
      <c r="P1232" s="45"/>
      <c r="Q1232" s="45"/>
      <c r="R1232" s="45"/>
      <c r="S1232" s="45"/>
      <c r="T1232" s="45"/>
      <c r="U1232" s="45"/>
    </row>
    <row r="1233">
      <c r="A1233" s="79" t="s">
        <v>18012</v>
      </c>
      <c r="B1233" s="45"/>
      <c r="C1233" s="79" t="s">
        <v>18013</v>
      </c>
      <c r="D1233" s="45"/>
      <c r="E1233" s="79" t="s">
        <v>5238</v>
      </c>
      <c r="F1233" s="79" t="s">
        <v>9414</v>
      </c>
      <c r="G1233" s="80" t="s">
        <v>96</v>
      </c>
      <c r="H1233" s="90">
        <v>2.685E-4</v>
      </c>
      <c r="I1233" s="45"/>
      <c r="J1233" s="45"/>
      <c r="K1233" s="45"/>
      <c r="L1233" s="45"/>
      <c r="M1233" s="45"/>
      <c r="N1233" s="45"/>
      <c r="O1233" s="45"/>
      <c r="P1233" s="45"/>
      <c r="Q1233" s="45"/>
      <c r="R1233" s="45"/>
      <c r="S1233" s="45"/>
      <c r="T1233" s="45"/>
      <c r="U1233" s="45"/>
    </row>
    <row r="1234">
      <c r="A1234" s="79" t="s">
        <v>18014</v>
      </c>
      <c r="B1234" s="45"/>
      <c r="C1234" s="79" t="s">
        <v>18015</v>
      </c>
      <c r="D1234" s="45"/>
      <c r="E1234" s="79" t="s">
        <v>5650</v>
      </c>
      <c r="F1234" s="79" t="s">
        <v>5300</v>
      </c>
      <c r="G1234" s="80" t="s">
        <v>96</v>
      </c>
      <c r="H1234" s="90">
        <v>2.684E-4</v>
      </c>
      <c r="I1234" s="45"/>
      <c r="J1234" s="45"/>
      <c r="K1234" s="45"/>
      <c r="L1234" s="45"/>
      <c r="M1234" s="45"/>
      <c r="N1234" s="45"/>
      <c r="O1234" s="45"/>
      <c r="P1234" s="45"/>
      <c r="Q1234" s="45"/>
      <c r="R1234" s="45"/>
      <c r="S1234" s="45"/>
      <c r="T1234" s="45"/>
      <c r="U1234" s="45"/>
    </row>
    <row r="1235">
      <c r="A1235" s="79" t="s">
        <v>18016</v>
      </c>
      <c r="B1235" s="45"/>
      <c r="C1235" s="79" t="s">
        <v>18017</v>
      </c>
      <c r="D1235" s="45"/>
      <c r="E1235" s="79" t="s">
        <v>5624</v>
      </c>
      <c r="F1235" s="79" t="s">
        <v>5300</v>
      </c>
      <c r="G1235" s="80" t="s">
        <v>96</v>
      </c>
      <c r="H1235" s="90">
        <v>2.68E-4</v>
      </c>
      <c r="I1235" s="45"/>
      <c r="J1235" s="45"/>
      <c r="K1235" s="45"/>
      <c r="L1235" s="45"/>
      <c r="M1235" s="45"/>
      <c r="N1235" s="45"/>
      <c r="O1235" s="45"/>
      <c r="P1235" s="45"/>
      <c r="Q1235" s="45"/>
      <c r="R1235" s="45"/>
      <c r="S1235" s="45"/>
      <c r="T1235" s="45"/>
      <c r="U1235" s="45"/>
    </row>
    <row r="1236">
      <c r="A1236" s="79" t="s">
        <v>10802</v>
      </c>
      <c r="B1236" s="45"/>
      <c r="C1236" s="79" t="s">
        <v>10803</v>
      </c>
      <c r="D1236" s="45"/>
      <c r="E1236" s="79" t="s">
        <v>5249</v>
      </c>
      <c r="F1236" s="79" t="s">
        <v>8784</v>
      </c>
      <c r="G1236" s="80" t="s">
        <v>96</v>
      </c>
      <c r="H1236" s="90">
        <v>2.675E-4</v>
      </c>
      <c r="I1236" s="45"/>
      <c r="J1236" s="45"/>
      <c r="K1236" s="45"/>
      <c r="L1236" s="45"/>
      <c r="M1236" s="45"/>
      <c r="N1236" s="45"/>
      <c r="O1236" s="45"/>
      <c r="P1236" s="45"/>
      <c r="Q1236" s="45"/>
      <c r="R1236" s="45"/>
      <c r="S1236" s="45"/>
      <c r="T1236" s="45"/>
      <c r="U1236" s="45"/>
    </row>
    <row r="1237">
      <c r="A1237" s="79" t="s">
        <v>10940</v>
      </c>
      <c r="B1237" s="45"/>
      <c r="C1237" s="79" t="s">
        <v>10941</v>
      </c>
      <c r="D1237" s="45"/>
      <c r="E1237" s="79" t="s">
        <v>6012</v>
      </c>
      <c r="F1237" s="79" t="s">
        <v>8784</v>
      </c>
      <c r="G1237" s="80" t="s">
        <v>96</v>
      </c>
      <c r="H1237" s="90">
        <v>2.674E-4</v>
      </c>
      <c r="I1237" s="45"/>
      <c r="J1237" s="45"/>
      <c r="K1237" s="45"/>
      <c r="L1237" s="45"/>
      <c r="M1237" s="45"/>
      <c r="N1237" s="45"/>
      <c r="O1237" s="45"/>
      <c r="P1237" s="45"/>
      <c r="Q1237" s="45"/>
      <c r="R1237" s="45"/>
      <c r="S1237" s="45"/>
      <c r="T1237" s="45"/>
      <c r="U1237" s="45"/>
    </row>
    <row r="1238">
      <c r="A1238" s="79" t="s">
        <v>18018</v>
      </c>
      <c r="B1238" s="45"/>
      <c r="C1238" s="79" t="s">
        <v>18019</v>
      </c>
      <c r="D1238" s="45"/>
      <c r="E1238" s="79" t="s">
        <v>6110</v>
      </c>
      <c r="F1238" s="79" t="s">
        <v>8784</v>
      </c>
      <c r="G1238" s="80" t="s">
        <v>96</v>
      </c>
      <c r="H1238" s="90">
        <v>2.673E-4</v>
      </c>
      <c r="I1238" s="45"/>
      <c r="J1238" s="45"/>
      <c r="K1238" s="45"/>
      <c r="L1238" s="45"/>
      <c r="M1238" s="45"/>
      <c r="N1238" s="45"/>
      <c r="O1238" s="45"/>
      <c r="P1238" s="45"/>
      <c r="Q1238" s="45"/>
      <c r="R1238" s="45"/>
      <c r="S1238" s="45"/>
      <c r="T1238" s="45"/>
      <c r="U1238" s="45"/>
    </row>
    <row r="1239">
      <c r="A1239" s="79" t="s">
        <v>18020</v>
      </c>
      <c r="B1239" s="45"/>
      <c r="C1239" s="79" t="s">
        <v>18021</v>
      </c>
      <c r="D1239" s="45"/>
      <c r="E1239" s="79" t="s">
        <v>6729</v>
      </c>
      <c r="F1239" s="79" t="s">
        <v>5836</v>
      </c>
      <c r="G1239" s="80" t="s">
        <v>96</v>
      </c>
      <c r="H1239" s="90">
        <v>2.671E-4</v>
      </c>
      <c r="I1239" s="45"/>
      <c r="J1239" s="45"/>
      <c r="K1239" s="45"/>
      <c r="L1239" s="45"/>
      <c r="M1239" s="45"/>
      <c r="N1239" s="45"/>
      <c r="O1239" s="45"/>
      <c r="P1239" s="45"/>
      <c r="Q1239" s="45"/>
      <c r="R1239" s="45"/>
      <c r="S1239" s="45"/>
      <c r="T1239" s="45"/>
      <c r="U1239" s="45"/>
    </row>
    <row r="1240">
      <c r="A1240" s="79" t="s">
        <v>18022</v>
      </c>
      <c r="B1240" s="45"/>
      <c r="C1240" s="79" t="s">
        <v>18023</v>
      </c>
      <c r="D1240" s="45"/>
      <c r="E1240" s="79" t="s">
        <v>5589</v>
      </c>
      <c r="F1240" s="79" t="s">
        <v>5300</v>
      </c>
      <c r="G1240" s="80" t="s">
        <v>96</v>
      </c>
      <c r="H1240" s="90">
        <v>2.671E-4</v>
      </c>
      <c r="I1240" s="45"/>
      <c r="J1240" s="45"/>
      <c r="K1240" s="45"/>
      <c r="L1240" s="45"/>
      <c r="M1240" s="45"/>
      <c r="N1240" s="45"/>
      <c r="O1240" s="45"/>
      <c r="P1240" s="45"/>
      <c r="Q1240" s="45"/>
      <c r="R1240" s="45"/>
      <c r="S1240" s="45"/>
      <c r="T1240" s="45"/>
      <c r="U1240" s="45"/>
    </row>
    <row r="1241">
      <c r="A1241" s="79" t="s">
        <v>16422</v>
      </c>
      <c r="B1241" s="45"/>
      <c r="C1241" s="79" t="s">
        <v>18024</v>
      </c>
      <c r="D1241" s="45"/>
      <c r="E1241" s="79" t="s">
        <v>5811</v>
      </c>
      <c r="F1241" s="79" t="s">
        <v>8759</v>
      </c>
      <c r="G1241" s="80" t="s">
        <v>96</v>
      </c>
      <c r="H1241" s="90">
        <v>2.668E-4</v>
      </c>
      <c r="I1241" s="45"/>
      <c r="J1241" s="45"/>
      <c r="K1241" s="45"/>
      <c r="L1241" s="45"/>
      <c r="M1241" s="45"/>
      <c r="N1241" s="45"/>
      <c r="O1241" s="45"/>
      <c r="P1241" s="45"/>
      <c r="Q1241" s="45"/>
      <c r="R1241" s="45"/>
      <c r="S1241" s="45"/>
      <c r="T1241" s="45"/>
      <c r="U1241" s="45"/>
    </row>
    <row r="1242">
      <c r="A1242" s="79" t="s">
        <v>10663</v>
      </c>
      <c r="B1242" s="45"/>
      <c r="C1242" s="79" t="s">
        <v>10664</v>
      </c>
      <c r="D1242" s="45"/>
      <c r="E1242" s="79" t="s">
        <v>6130</v>
      </c>
      <c r="F1242" s="79" t="s">
        <v>8784</v>
      </c>
      <c r="G1242" s="80" t="s">
        <v>96</v>
      </c>
      <c r="H1242" s="90">
        <v>2.666E-4</v>
      </c>
      <c r="I1242" s="45"/>
      <c r="J1242" s="45"/>
      <c r="K1242" s="45"/>
      <c r="L1242" s="45"/>
      <c r="M1242" s="45"/>
      <c r="N1242" s="45"/>
      <c r="O1242" s="45"/>
      <c r="P1242" s="45"/>
      <c r="Q1242" s="45"/>
      <c r="R1242" s="45"/>
      <c r="S1242" s="45"/>
      <c r="T1242" s="45"/>
      <c r="U1242" s="45"/>
    </row>
    <row r="1243">
      <c r="A1243" s="79" t="s">
        <v>18025</v>
      </c>
      <c r="B1243" s="45"/>
      <c r="C1243" s="79" t="s">
        <v>18026</v>
      </c>
      <c r="D1243" s="45"/>
      <c r="E1243" s="79" t="s">
        <v>5226</v>
      </c>
      <c r="F1243" s="79" t="s">
        <v>5836</v>
      </c>
      <c r="G1243" s="80" t="s">
        <v>96</v>
      </c>
      <c r="H1243" s="90">
        <v>2.662E-4</v>
      </c>
      <c r="I1243" s="45"/>
      <c r="J1243" s="45"/>
      <c r="K1243" s="45"/>
      <c r="L1243" s="45"/>
      <c r="M1243" s="45"/>
      <c r="N1243" s="45"/>
      <c r="O1243" s="45"/>
      <c r="P1243" s="45"/>
      <c r="Q1243" s="45"/>
      <c r="R1243" s="45"/>
      <c r="S1243" s="45"/>
      <c r="T1243" s="45"/>
      <c r="U1243" s="45"/>
    </row>
    <row r="1244">
      <c r="A1244" s="79" t="s">
        <v>18027</v>
      </c>
      <c r="B1244" s="45"/>
      <c r="C1244" s="79" t="s">
        <v>18028</v>
      </c>
      <c r="D1244" s="45"/>
      <c r="E1244" s="79" t="s">
        <v>5291</v>
      </c>
      <c r="F1244" s="79" t="s">
        <v>5941</v>
      </c>
      <c r="G1244" s="80" t="s">
        <v>96</v>
      </c>
      <c r="H1244" s="90">
        <v>2.659E-4</v>
      </c>
      <c r="I1244" s="45"/>
      <c r="J1244" s="45"/>
      <c r="K1244" s="45"/>
      <c r="L1244" s="45"/>
      <c r="M1244" s="45"/>
      <c r="N1244" s="45"/>
      <c r="O1244" s="45"/>
      <c r="P1244" s="45"/>
      <c r="Q1244" s="45"/>
      <c r="R1244" s="45"/>
      <c r="S1244" s="45"/>
      <c r="T1244" s="45"/>
      <c r="U1244" s="45"/>
    </row>
    <row r="1245">
      <c r="A1245" s="79" t="s">
        <v>18029</v>
      </c>
      <c r="B1245" s="45"/>
      <c r="C1245" s="79" t="s">
        <v>18030</v>
      </c>
      <c r="D1245" s="45"/>
      <c r="E1245" s="79" t="s">
        <v>5407</v>
      </c>
      <c r="F1245" s="79" t="s">
        <v>5300</v>
      </c>
      <c r="G1245" s="80" t="s">
        <v>96</v>
      </c>
      <c r="H1245" s="90">
        <v>2.657E-4</v>
      </c>
      <c r="I1245" s="45"/>
      <c r="J1245" s="45"/>
      <c r="K1245" s="45"/>
      <c r="L1245" s="45"/>
      <c r="M1245" s="45"/>
      <c r="N1245" s="45"/>
      <c r="O1245" s="45"/>
      <c r="P1245" s="45"/>
      <c r="Q1245" s="45"/>
      <c r="R1245" s="45"/>
      <c r="S1245" s="45"/>
      <c r="T1245" s="45"/>
      <c r="U1245" s="45"/>
    </row>
    <row r="1246">
      <c r="A1246" s="79" t="s">
        <v>18031</v>
      </c>
      <c r="B1246" s="45"/>
      <c r="C1246" s="79" t="s">
        <v>18032</v>
      </c>
      <c r="D1246" s="45"/>
      <c r="E1246" s="79" t="s">
        <v>5456</v>
      </c>
      <c r="F1246" s="79" t="s">
        <v>5300</v>
      </c>
      <c r="G1246" s="80" t="s">
        <v>96</v>
      </c>
      <c r="H1246" s="90">
        <v>2.656E-4</v>
      </c>
      <c r="I1246" s="45"/>
      <c r="J1246" s="45"/>
      <c r="K1246" s="45"/>
      <c r="L1246" s="45"/>
      <c r="M1246" s="45"/>
      <c r="N1246" s="45"/>
      <c r="O1246" s="45"/>
      <c r="P1246" s="45"/>
      <c r="Q1246" s="45"/>
      <c r="R1246" s="45"/>
      <c r="S1246" s="45"/>
      <c r="T1246" s="45"/>
      <c r="U1246" s="45"/>
    </row>
    <row r="1247">
      <c r="A1247" s="79" t="s">
        <v>18033</v>
      </c>
      <c r="B1247" s="45"/>
      <c r="C1247" s="79" t="s">
        <v>18034</v>
      </c>
      <c r="D1247" s="45"/>
      <c r="E1247" s="79" t="s">
        <v>5215</v>
      </c>
      <c r="F1247" s="79" t="s">
        <v>5836</v>
      </c>
      <c r="G1247" s="80" t="s">
        <v>96</v>
      </c>
      <c r="H1247" s="90">
        <v>2.655E-4</v>
      </c>
      <c r="I1247" s="45"/>
      <c r="J1247" s="45"/>
      <c r="K1247" s="45"/>
      <c r="L1247" s="45"/>
      <c r="M1247" s="45"/>
      <c r="N1247" s="45"/>
      <c r="O1247" s="45"/>
      <c r="P1247" s="45"/>
      <c r="Q1247" s="45"/>
      <c r="R1247" s="45"/>
      <c r="S1247" s="45"/>
      <c r="T1247" s="45"/>
      <c r="U1247" s="45"/>
    </row>
    <row r="1248">
      <c r="A1248" s="79" t="s">
        <v>10820</v>
      </c>
      <c r="B1248" s="45"/>
      <c r="C1248" s="79" t="s">
        <v>10821</v>
      </c>
      <c r="D1248" s="45"/>
      <c r="E1248" s="79" t="s">
        <v>5235</v>
      </c>
      <c r="F1248" s="79" t="s">
        <v>8784</v>
      </c>
      <c r="G1248" s="80" t="s">
        <v>96</v>
      </c>
      <c r="H1248" s="90">
        <v>2.655E-4</v>
      </c>
      <c r="I1248" s="45"/>
      <c r="J1248" s="45"/>
      <c r="K1248" s="45"/>
      <c r="L1248" s="45"/>
      <c r="M1248" s="45"/>
      <c r="N1248" s="45"/>
      <c r="O1248" s="45"/>
      <c r="P1248" s="45"/>
      <c r="Q1248" s="45"/>
      <c r="R1248" s="45"/>
      <c r="S1248" s="45"/>
      <c r="T1248" s="45"/>
      <c r="U1248" s="45"/>
    </row>
    <row r="1249">
      <c r="A1249" s="79" t="s">
        <v>18035</v>
      </c>
      <c r="B1249" s="45"/>
      <c r="C1249" s="79" t="s">
        <v>18036</v>
      </c>
      <c r="D1249" s="45"/>
      <c r="E1249" s="79" t="s">
        <v>5561</v>
      </c>
      <c r="F1249" s="79" t="s">
        <v>4095</v>
      </c>
      <c r="G1249" s="80" t="s">
        <v>96</v>
      </c>
      <c r="H1249" s="90">
        <v>2.654E-4</v>
      </c>
      <c r="I1249" s="45"/>
      <c r="J1249" s="45"/>
      <c r="K1249" s="45"/>
      <c r="L1249" s="45"/>
      <c r="M1249" s="45"/>
      <c r="N1249" s="45"/>
      <c r="O1249" s="45"/>
      <c r="P1249" s="45"/>
      <c r="Q1249" s="45"/>
      <c r="R1249" s="45"/>
      <c r="S1249" s="45"/>
      <c r="T1249" s="45"/>
      <c r="U1249" s="45"/>
    </row>
    <row r="1250">
      <c r="A1250" s="79" t="s">
        <v>18037</v>
      </c>
      <c r="B1250" s="45"/>
      <c r="C1250" s="79" t="s">
        <v>18038</v>
      </c>
      <c r="D1250" s="45"/>
      <c r="E1250" s="79" t="s">
        <v>5232</v>
      </c>
      <c r="F1250" s="79" t="s">
        <v>5300</v>
      </c>
      <c r="G1250" s="80" t="s">
        <v>96</v>
      </c>
      <c r="H1250" s="90">
        <v>2.653E-4</v>
      </c>
      <c r="I1250" s="45"/>
      <c r="J1250" s="45"/>
      <c r="K1250" s="45"/>
      <c r="L1250" s="45"/>
      <c r="M1250" s="45"/>
      <c r="N1250" s="45"/>
      <c r="O1250" s="45"/>
      <c r="P1250" s="45"/>
      <c r="Q1250" s="45"/>
      <c r="R1250" s="45"/>
      <c r="S1250" s="45"/>
      <c r="T1250" s="45"/>
      <c r="U1250" s="45"/>
    </row>
    <row r="1251">
      <c r="A1251" s="79" t="s">
        <v>18039</v>
      </c>
      <c r="B1251" s="45"/>
      <c r="C1251" s="79" t="s">
        <v>18040</v>
      </c>
      <c r="D1251" s="45"/>
      <c r="E1251" s="79" t="s">
        <v>5775</v>
      </c>
      <c r="F1251" s="79" t="s">
        <v>5300</v>
      </c>
      <c r="G1251" s="80" t="s">
        <v>96</v>
      </c>
      <c r="H1251" s="90">
        <v>2.651E-4</v>
      </c>
      <c r="I1251" s="45"/>
      <c r="J1251" s="45"/>
      <c r="K1251" s="45"/>
      <c r="L1251" s="45"/>
      <c r="M1251" s="45"/>
      <c r="N1251" s="45"/>
      <c r="O1251" s="45"/>
      <c r="P1251" s="45"/>
      <c r="Q1251" s="45"/>
      <c r="R1251" s="45"/>
      <c r="S1251" s="45"/>
      <c r="T1251" s="45"/>
      <c r="U1251" s="45"/>
    </row>
    <row r="1252">
      <c r="A1252" s="79" t="s">
        <v>18041</v>
      </c>
      <c r="B1252" s="45"/>
      <c r="C1252" s="79" t="s">
        <v>18042</v>
      </c>
      <c r="D1252" s="45"/>
      <c r="E1252" s="79" t="s">
        <v>5855</v>
      </c>
      <c r="F1252" s="79" t="s">
        <v>5300</v>
      </c>
      <c r="G1252" s="80" t="s">
        <v>96</v>
      </c>
      <c r="H1252" s="90">
        <v>2.65E-4</v>
      </c>
      <c r="I1252" s="45"/>
      <c r="J1252" s="45"/>
      <c r="K1252" s="45"/>
      <c r="L1252" s="45"/>
      <c r="M1252" s="45"/>
      <c r="N1252" s="45"/>
      <c r="O1252" s="45"/>
      <c r="P1252" s="45"/>
      <c r="Q1252" s="45"/>
      <c r="R1252" s="45"/>
      <c r="S1252" s="45"/>
      <c r="T1252" s="45"/>
      <c r="U1252" s="45"/>
    </row>
    <row r="1253">
      <c r="A1253" s="79" t="s">
        <v>10946</v>
      </c>
      <c r="B1253" s="45"/>
      <c r="C1253" s="79" t="s">
        <v>10947</v>
      </c>
      <c r="D1253" s="45"/>
      <c r="E1253" s="79" t="s">
        <v>6040</v>
      </c>
      <c r="F1253" s="79" t="s">
        <v>8784</v>
      </c>
      <c r="G1253" s="80" t="s">
        <v>96</v>
      </c>
      <c r="H1253" s="90">
        <v>2.647E-4</v>
      </c>
      <c r="I1253" s="45"/>
      <c r="J1253" s="45"/>
      <c r="K1253" s="45"/>
      <c r="L1253" s="45"/>
      <c r="M1253" s="45"/>
      <c r="N1253" s="45"/>
      <c r="O1253" s="45"/>
      <c r="P1253" s="45"/>
      <c r="Q1253" s="45"/>
      <c r="R1253" s="45"/>
      <c r="S1253" s="45"/>
      <c r="T1253" s="45"/>
      <c r="U1253" s="45"/>
    </row>
    <row r="1254">
      <c r="A1254" s="79" t="s">
        <v>18043</v>
      </c>
      <c r="B1254" s="45"/>
      <c r="C1254" s="79" t="s">
        <v>18044</v>
      </c>
      <c r="D1254" s="45"/>
      <c r="E1254" s="79" t="s">
        <v>6327</v>
      </c>
      <c r="F1254" s="79" t="s">
        <v>5300</v>
      </c>
      <c r="G1254" s="80" t="s">
        <v>96</v>
      </c>
      <c r="H1254" s="90">
        <v>2.641E-4</v>
      </c>
      <c r="I1254" s="45"/>
      <c r="J1254" s="45"/>
      <c r="K1254" s="45"/>
      <c r="L1254" s="45"/>
      <c r="M1254" s="45"/>
      <c r="N1254" s="45"/>
      <c r="O1254" s="45"/>
      <c r="P1254" s="45"/>
      <c r="Q1254" s="45"/>
      <c r="R1254" s="45"/>
      <c r="S1254" s="45"/>
      <c r="T1254" s="45"/>
      <c r="U1254" s="45"/>
    </row>
    <row r="1255">
      <c r="A1255" s="79" t="s">
        <v>18045</v>
      </c>
      <c r="B1255" s="45"/>
      <c r="C1255" s="79" t="s">
        <v>18046</v>
      </c>
      <c r="D1255" s="45"/>
      <c r="E1255" s="79" t="s">
        <v>5431</v>
      </c>
      <c r="F1255" s="79" t="s">
        <v>5941</v>
      </c>
      <c r="G1255" s="80" t="s">
        <v>96</v>
      </c>
      <c r="H1255" s="90">
        <v>2.633E-4</v>
      </c>
      <c r="I1255" s="45"/>
      <c r="J1255" s="45"/>
      <c r="K1255" s="45"/>
      <c r="L1255" s="45"/>
      <c r="M1255" s="45"/>
      <c r="N1255" s="45"/>
      <c r="O1255" s="45"/>
      <c r="P1255" s="45"/>
      <c r="Q1255" s="45"/>
      <c r="R1255" s="45"/>
      <c r="S1255" s="45"/>
      <c r="T1255" s="45"/>
      <c r="U1255" s="45"/>
    </row>
    <row r="1256">
      <c r="A1256" s="79" t="s">
        <v>18047</v>
      </c>
      <c r="B1256" s="45"/>
      <c r="C1256" s="79" t="s">
        <v>18048</v>
      </c>
      <c r="D1256" s="45"/>
      <c r="E1256" s="79" t="s">
        <v>6931</v>
      </c>
      <c r="F1256" s="79" t="s">
        <v>5300</v>
      </c>
      <c r="G1256" s="80" t="s">
        <v>96</v>
      </c>
      <c r="H1256" s="90">
        <v>2.631E-4</v>
      </c>
      <c r="I1256" s="45"/>
      <c r="J1256" s="45"/>
      <c r="K1256" s="45"/>
      <c r="L1256" s="45"/>
      <c r="M1256" s="45"/>
      <c r="N1256" s="45"/>
      <c r="O1256" s="45"/>
      <c r="P1256" s="45"/>
      <c r="Q1256" s="45"/>
      <c r="R1256" s="45"/>
      <c r="S1256" s="45"/>
      <c r="T1256" s="45"/>
      <c r="U1256" s="45"/>
    </row>
    <row r="1257">
      <c r="A1257" s="79" t="s">
        <v>18049</v>
      </c>
      <c r="B1257" s="45"/>
      <c r="C1257" s="79" t="s">
        <v>18050</v>
      </c>
      <c r="D1257" s="45"/>
      <c r="E1257" s="79" t="s">
        <v>5382</v>
      </c>
      <c r="F1257" s="79" t="s">
        <v>8784</v>
      </c>
      <c r="G1257" s="80" t="s">
        <v>96</v>
      </c>
      <c r="H1257" s="90">
        <v>2.631E-4</v>
      </c>
      <c r="I1257" s="45"/>
      <c r="J1257" s="45"/>
      <c r="K1257" s="45"/>
      <c r="L1257" s="45"/>
      <c r="M1257" s="45"/>
      <c r="N1257" s="45"/>
      <c r="O1257" s="45"/>
      <c r="P1257" s="45"/>
      <c r="Q1257" s="45"/>
      <c r="R1257" s="45"/>
      <c r="S1257" s="45"/>
      <c r="T1257" s="45"/>
      <c r="U1257" s="45"/>
    </row>
    <row r="1258">
      <c r="A1258" s="79" t="s">
        <v>18051</v>
      </c>
      <c r="B1258" s="45"/>
      <c r="C1258" s="79" t="s">
        <v>18052</v>
      </c>
      <c r="D1258" s="45"/>
      <c r="E1258" s="79" t="s">
        <v>6238</v>
      </c>
      <c r="F1258" s="79" t="s">
        <v>5300</v>
      </c>
      <c r="G1258" s="80" t="s">
        <v>96</v>
      </c>
      <c r="H1258" s="90">
        <v>2.628E-4</v>
      </c>
      <c r="I1258" s="45"/>
      <c r="J1258" s="45"/>
      <c r="K1258" s="45"/>
      <c r="L1258" s="45"/>
      <c r="M1258" s="45"/>
      <c r="N1258" s="45"/>
      <c r="O1258" s="45"/>
      <c r="P1258" s="45"/>
      <c r="Q1258" s="45"/>
      <c r="R1258" s="45"/>
      <c r="S1258" s="45"/>
      <c r="T1258" s="45"/>
      <c r="U1258" s="45"/>
    </row>
    <row r="1259">
      <c r="A1259" s="79" t="s">
        <v>18053</v>
      </c>
      <c r="B1259" s="45"/>
      <c r="C1259" s="79" t="s">
        <v>18054</v>
      </c>
      <c r="D1259" s="45"/>
      <c r="E1259" s="79" t="s">
        <v>9810</v>
      </c>
      <c r="F1259" s="79" t="s">
        <v>5300</v>
      </c>
      <c r="G1259" s="80" t="s">
        <v>96</v>
      </c>
      <c r="H1259" s="90">
        <v>2.624E-4</v>
      </c>
      <c r="I1259" s="45"/>
      <c r="J1259" s="45"/>
      <c r="K1259" s="45"/>
      <c r="L1259" s="45"/>
      <c r="M1259" s="45"/>
      <c r="N1259" s="45"/>
      <c r="O1259" s="45"/>
      <c r="P1259" s="45"/>
      <c r="Q1259" s="45"/>
      <c r="R1259" s="45"/>
      <c r="S1259" s="45"/>
      <c r="T1259" s="45"/>
      <c r="U1259" s="45"/>
    </row>
    <row r="1260">
      <c r="A1260" s="79" t="s">
        <v>17034</v>
      </c>
      <c r="B1260" s="45"/>
      <c r="C1260" s="79" t="s">
        <v>18055</v>
      </c>
      <c r="D1260" s="45"/>
      <c r="E1260" s="79" t="s">
        <v>7846</v>
      </c>
      <c r="F1260" s="79" t="s">
        <v>5747</v>
      </c>
      <c r="G1260" s="80" t="s">
        <v>96</v>
      </c>
      <c r="H1260" s="90">
        <v>2.623E-4</v>
      </c>
      <c r="I1260" s="45"/>
      <c r="J1260" s="45"/>
      <c r="K1260" s="45"/>
      <c r="L1260" s="45"/>
      <c r="M1260" s="45"/>
      <c r="N1260" s="45"/>
      <c r="O1260" s="45"/>
      <c r="P1260" s="45"/>
      <c r="Q1260" s="45"/>
      <c r="R1260" s="45"/>
      <c r="S1260" s="45"/>
      <c r="T1260" s="45"/>
      <c r="U1260" s="45"/>
    </row>
    <row r="1261">
      <c r="A1261" s="79" t="s">
        <v>18056</v>
      </c>
      <c r="B1261" s="45"/>
      <c r="C1261" s="79" t="s">
        <v>18057</v>
      </c>
      <c r="D1261" s="45"/>
      <c r="E1261" s="79" t="s">
        <v>7169</v>
      </c>
      <c r="F1261" s="79" t="s">
        <v>4153</v>
      </c>
      <c r="G1261" s="80" t="s">
        <v>96</v>
      </c>
      <c r="H1261" s="90">
        <v>2.62E-4</v>
      </c>
      <c r="I1261" s="45"/>
      <c r="J1261" s="45"/>
      <c r="K1261" s="45"/>
      <c r="L1261" s="45"/>
      <c r="M1261" s="45"/>
      <c r="N1261" s="45"/>
      <c r="O1261" s="45"/>
      <c r="P1261" s="45"/>
      <c r="Q1261" s="45"/>
      <c r="R1261" s="45"/>
      <c r="S1261" s="45"/>
      <c r="T1261" s="45"/>
      <c r="U1261" s="45"/>
    </row>
    <row r="1262">
      <c r="A1262" s="79" t="s">
        <v>5493</v>
      </c>
      <c r="B1262" s="45"/>
      <c r="C1262" s="79" t="s">
        <v>17584</v>
      </c>
      <c r="D1262" s="45"/>
      <c r="E1262" s="79" t="s">
        <v>5624</v>
      </c>
      <c r="F1262" s="79" t="s">
        <v>5300</v>
      </c>
      <c r="G1262" s="80" t="s">
        <v>96</v>
      </c>
      <c r="H1262" s="90">
        <v>2.619E-4</v>
      </c>
      <c r="I1262" s="45"/>
      <c r="J1262" s="45"/>
      <c r="K1262" s="45"/>
      <c r="L1262" s="45"/>
      <c r="M1262" s="45"/>
      <c r="N1262" s="45"/>
      <c r="O1262" s="45"/>
      <c r="P1262" s="45"/>
      <c r="Q1262" s="45"/>
      <c r="R1262" s="45"/>
      <c r="S1262" s="45"/>
      <c r="T1262" s="45"/>
      <c r="U1262" s="45"/>
    </row>
    <row r="1263">
      <c r="A1263" s="79" t="s">
        <v>18058</v>
      </c>
      <c r="B1263" s="45"/>
      <c r="C1263" s="79" t="s">
        <v>18059</v>
      </c>
      <c r="D1263" s="45"/>
      <c r="E1263" s="79" t="s">
        <v>5742</v>
      </c>
      <c r="F1263" s="79" t="s">
        <v>5300</v>
      </c>
      <c r="G1263" s="80" t="s">
        <v>96</v>
      </c>
      <c r="H1263" s="90">
        <v>2.615E-4</v>
      </c>
      <c r="I1263" s="45"/>
      <c r="J1263" s="45"/>
      <c r="K1263" s="45"/>
      <c r="L1263" s="45"/>
      <c r="M1263" s="45"/>
      <c r="N1263" s="45"/>
      <c r="O1263" s="45"/>
      <c r="P1263" s="45"/>
      <c r="Q1263" s="45"/>
      <c r="R1263" s="45"/>
      <c r="S1263" s="45"/>
      <c r="T1263" s="45"/>
      <c r="U1263" s="45"/>
    </row>
    <row r="1264">
      <c r="A1264" s="79" t="s">
        <v>18060</v>
      </c>
      <c r="B1264" s="45"/>
      <c r="C1264" s="79" t="s">
        <v>18061</v>
      </c>
      <c r="D1264" s="45"/>
      <c r="E1264" s="79" t="s">
        <v>6191</v>
      </c>
      <c r="F1264" s="79" t="s">
        <v>8784</v>
      </c>
      <c r="G1264" s="80" t="s">
        <v>96</v>
      </c>
      <c r="H1264" s="90">
        <v>2.614E-4</v>
      </c>
      <c r="I1264" s="45"/>
      <c r="J1264" s="45"/>
      <c r="K1264" s="45"/>
      <c r="L1264" s="45"/>
      <c r="M1264" s="45"/>
      <c r="N1264" s="45"/>
      <c r="O1264" s="45"/>
      <c r="P1264" s="45"/>
      <c r="Q1264" s="45"/>
      <c r="R1264" s="45"/>
      <c r="S1264" s="45"/>
      <c r="T1264" s="45"/>
      <c r="U1264" s="45"/>
    </row>
    <row r="1265">
      <c r="A1265" s="79" t="s">
        <v>18062</v>
      </c>
      <c r="B1265" s="45"/>
      <c r="C1265" s="79" t="s">
        <v>18063</v>
      </c>
      <c r="D1265" s="45"/>
      <c r="E1265" s="79" t="s">
        <v>5401</v>
      </c>
      <c r="F1265" s="79" t="s">
        <v>5300</v>
      </c>
      <c r="G1265" s="80" t="s">
        <v>96</v>
      </c>
      <c r="H1265" s="90">
        <v>2.614E-4</v>
      </c>
      <c r="I1265" s="45"/>
      <c r="J1265" s="45"/>
      <c r="K1265" s="45"/>
      <c r="L1265" s="45"/>
      <c r="M1265" s="45"/>
      <c r="N1265" s="45"/>
      <c r="O1265" s="45"/>
      <c r="P1265" s="45"/>
      <c r="Q1265" s="45"/>
      <c r="R1265" s="45"/>
      <c r="S1265" s="45"/>
      <c r="T1265" s="45"/>
      <c r="U1265" s="45"/>
    </row>
    <row r="1266">
      <c r="A1266" s="79" t="s">
        <v>18064</v>
      </c>
      <c r="B1266" s="45"/>
      <c r="C1266" s="79" t="s">
        <v>18065</v>
      </c>
      <c r="D1266" s="45"/>
      <c r="E1266" s="79" t="s">
        <v>5478</v>
      </c>
      <c r="F1266" s="79" t="s">
        <v>5300</v>
      </c>
      <c r="G1266" s="80" t="s">
        <v>96</v>
      </c>
      <c r="H1266" s="90">
        <v>2.613E-4</v>
      </c>
      <c r="I1266" s="45"/>
      <c r="J1266" s="45"/>
      <c r="K1266" s="45"/>
      <c r="L1266" s="45"/>
      <c r="M1266" s="45"/>
      <c r="N1266" s="45"/>
      <c r="O1266" s="45"/>
      <c r="P1266" s="45"/>
      <c r="Q1266" s="45"/>
      <c r="R1266" s="45"/>
      <c r="S1266" s="45"/>
      <c r="T1266" s="45"/>
      <c r="U1266" s="45"/>
    </row>
    <row r="1267">
      <c r="A1267" s="79" t="s">
        <v>10824</v>
      </c>
      <c r="B1267" s="45"/>
      <c r="C1267" s="79" t="s">
        <v>10825</v>
      </c>
      <c r="D1267" s="45"/>
      <c r="E1267" s="79" t="s">
        <v>5434</v>
      </c>
      <c r="F1267" s="79" t="s">
        <v>8784</v>
      </c>
      <c r="G1267" s="80" t="s">
        <v>96</v>
      </c>
      <c r="H1267" s="90">
        <v>2.611E-4</v>
      </c>
      <c r="I1267" s="45"/>
      <c r="J1267" s="45"/>
      <c r="K1267" s="45"/>
      <c r="L1267" s="45"/>
      <c r="M1267" s="45"/>
      <c r="N1267" s="45"/>
      <c r="O1267" s="45"/>
      <c r="P1267" s="45"/>
      <c r="Q1267" s="45"/>
      <c r="R1267" s="45"/>
      <c r="S1267" s="45"/>
      <c r="T1267" s="45"/>
      <c r="U1267" s="45"/>
    </row>
    <row r="1268">
      <c r="A1268" s="79" t="s">
        <v>18066</v>
      </c>
      <c r="B1268" s="45"/>
      <c r="C1268" s="79" t="s">
        <v>18067</v>
      </c>
      <c r="D1268" s="45"/>
      <c r="E1268" s="79" t="s">
        <v>7611</v>
      </c>
      <c r="F1268" s="79" t="s">
        <v>5425</v>
      </c>
      <c r="G1268" s="80" t="s">
        <v>96</v>
      </c>
      <c r="H1268" s="90">
        <v>2.611E-4</v>
      </c>
      <c r="I1268" s="45"/>
      <c r="J1268" s="45"/>
      <c r="K1268" s="45"/>
      <c r="L1268" s="45"/>
      <c r="M1268" s="45"/>
      <c r="N1268" s="45"/>
      <c r="O1268" s="45"/>
      <c r="P1268" s="45"/>
      <c r="Q1268" s="45"/>
      <c r="R1268" s="45"/>
      <c r="S1268" s="45"/>
      <c r="T1268" s="45"/>
      <c r="U1268" s="45"/>
    </row>
    <row r="1269">
      <c r="A1269" s="79" t="s">
        <v>18068</v>
      </c>
      <c r="B1269" s="45"/>
      <c r="C1269" s="79" t="s">
        <v>18069</v>
      </c>
      <c r="D1269" s="45"/>
      <c r="E1269" s="79" t="s">
        <v>5478</v>
      </c>
      <c r="F1269" s="79" t="s">
        <v>5300</v>
      </c>
      <c r="G1269" s="80" t="s">
        <v>96</v>
      </c>
      <c r="H1269" s="90">
        <v>2.609E-4</v>
      </c>
      <c r="I1269" s="45"/>
      <c r="J1269" s="45"/>
      <c r="K1269" s="45"/>
      <c r="L1269" s="45"/>
      <c r="M1269" s="45"/>
      <c r="N1269" s="45"/>
      <c r="O1269" s="45"/>
      <c r="P1269" s="45"/>
      <c r="Q1269" s="45"/>
      <c r="R1269" s="45"/>
      <c r="S1269" s="45"/>
      <c r="T1269" s="45"/>
      <c r="U1269" s="45"/>
    </row>
    <row r="1270">
      <c r="A1270" s="79" t="s">
        <v>18070</v>
      </c>
      <c r="B1270" s="45"/>
      <c r="C1270" s="79" t="s">
        <v>18071</v>
      </c>
      <c r="D1270" s="45"/>
      <c r="E1270" s="79" t="s">
        <v>5215</v>
      </c>
      <c r="F1270" s="79" t="s">
        <v>5836</v>
      </c>
      <c r="G1270" s="80" t="s">
        <v>96</v>
      </c>
      <c r="H1270" s="90">
        <v>2.605E-4</v>
      </c>
      <c r="I1270" s="45"/>
      <c r="J1270" s="45"/>
      <c r="K1270" s="45"/>
      <c r="L1270" s="45"/>
      <c r="M1270" s="45"/>
      <c r="N1270" s="45"/>
      <c r="O1270" s="45"/>
      <c r="P1270" s="45"/>
      <c r="Q1270" s="45"/>
      <c r="R1270" s="45"/>
      <c r="S1270" s="45"/>
      <c r="T1270" s="45"/>
      <c r="U1270" s="45"/>
    </row>
    <row r="1271">
      <c r="A1271" s="79" t="s">
        <v>18072</v>
      </c>
      <c r="B1271" s="45"/>
      <c r="C1271" s="79" t="s">
        <v>18073</v>
      </c>
      <c r="D1271" s="45"/>
      <c r="E1271" s="79" t="s">
        <v>5229</v>
      </c>
      <c r="F1271" s="79" t="s">
        <v>9021</v>
      </c>
      <c r="G1271" s="80" t="s">
        <v>96</v>
      </c>
      <c r="H1271" s="90">
        <v>2.605E-4</v>
      </c>
      <c r="I1271" s="45"/>
      <c r="J1271" s="45"/>
      <c r="K1271" s="45"/>
      <c r="L1271" s="45"/>
      <c r="M1271" s="45"/>
      <c r="N1271" s="45"/>
      <c r="O1271" s="45"/>
      <c r="P1271" s="45"/>
      <c r="Q1271" s="45"/>
      <c r="R1271" s="45"/>
      <c r="S1271" s="45"/>
      <c r="T1271" s="45"/>
      <c r="U1271" s="45"/>
    </row>
    <row r="1272">
      <c r="A1272" s="79" t="s">
        <v>18074</v>
      </c>
      <c r="B1272" s="45"/>
      <c r="C1272" s="79" t="s">
        <v>18075</v>
      </c>
      <c r="D1272" s="45"/>
      <c r="E1272" s="79" t="s">
        <v>5450</v>
      </c>
      <c r="F1272" s="79" t="s">
        <v>5300</v>
      </c>
      <c r="G1272" s="80" t="s">
        <v>96</v>
      </c>
      <c r="H1272" s="90">
        <v>2.603E-4</v>
      </c>
      <c r="I1272" s="45"/>
      <c r="J1272" s="45"/>
      <c r="K1272" s="45"/>
      <c r="L1272" s="45"/>
      <c r="M1272" s="45"/>
      <c r="N1272" s="45"/>
      <c r="O1272" s="45"/>
      <c r="P1272" s="45"/>
      <c r="Q1272" s="45"/>
      <c r="R1272" s="45"/>
      <c r="S1272" s="45"/>
      <c r="T1272" s="45"/>
      <c r="U1272" s="45"/>
    </row>
    <row r="1273">
      <c r="A1273" s="79" t="s">
        <v>10740</v>
      </c>
      <c r="B1273" s="45"/>
      <c r="C1273" s="79" t="s">
        <v>10741</v>
      </c>
      <c r="D1273" s="45"/>
      <c r="E1273" s="79" t="s">
        <v>5218</v>
      </c>
      <c r="F1273" s="79" t="s">
        <v>8784</v>
      </c>
      <c r="G1273" s="80" t="s">
        <v>96</v>
      </c>
      <c r="H1273" s="90">
        <v>2.596E-4</v>
      </c>
      <c r="I1273" s="45"/>
      <c r="J1273" s="45"/>
      <c r="K1273" s="45"/>
      <c r="L1273" s="45"/>
      <c r="M1273" s="45"/>
      <c r="N1273" s="45"/>
      <c r="O1273" s="45"/>
      <c r="P1273" s="45"/>
      <c r="Q1273" s="45"/>
      <c r="R1273" s="45"/>
      <c r="S1273" s="45"/>
      <c r="T1273" s="45"/>
      <c r="U1273" s="45"/>
    </row>
    <row r="1274">
      <c r="A1274" s="79" t="s">
        <v>18076</v>
      </c>
      <c r="B1274" s="45"/>
      <c r="C1274" s="79" t="s">
        <v>18077</v>
      </c>
      <c r="D1274" s="45"/>
      <c r="E1274" s="79" t="s">
        <v>5341</v>
      </c>
      <c r="F1274" s="79" t="s">
        <v>5300</v>
      </c>
      <c r="G1274" s="80" t="s">
        <v>96</v>
      </c>
      <c r="H1274" s="90">
        <v>2.593E-4</v>
      </c>
      <c r="I1274" s="45"/>
      <c r="J1274" s="45"/>
      <c r="K1274" s="45"/>
      <c r="L1274" s="45"/>
      <c r="M1274" s="45"/>
      <c r="N1274" s="45"/>
      <c r="O1274" s="45"/>
      <c r="P1274" s="45"/>
      <c r="Q1274" s="45"/>
      <c r="R1274" s="45"/>
      <c r="S1274" s="45"/>
      <c r="T1274" s="45"/>
      <c r="U1274" s="45"/>
    </row>
    <row r="1275">
      <c r="A1275" s="79" t="s">
        <v>8767</v>
      </c>
      <c r="B1275" s="45"/>
      <c r="C1275" s="79" t="s">
        <v>18078</v>
      </c>
      <c r="D1275" s="45"/>
      <c r="E1275" s="79" t="s">
        <v>5357</v>
      </c>
      <c r="F1275" s="79" t="s">
        <v>5300</v>
      </c>
      <c r="G1275" s="80" t="s">
        <v>96</v>
      </c>
      <c r="H1275" s="90">
        <v>2.593E-4</v>
      </c>
      <c r="I1275" s="45"/>
      <c r="J1275" s="45"/>
      <c r="K1275" s="45"/>
      <c r="L1275" s="45"/>
      <c r="M1275" s="45"/>
      <c r="N1275" s="45"/>
      <c r="O1275" s="45"/>
      <c r="P1275" s="45"/>
      <c r="Q1275" s="45"/>
      <c r="R1275" s="45"/>
      <c r="S1275" s="45"/>
      <c r="T1275" s="45"/>
      <c r="U1275" s="45"/>
    </row>
    <row r="1276">
      <c r="A1276" s="79" t="s">
        <v>18079</v>
      </c>
      <c r="B1276" s="45"/>
      <c r="C1276" s="79" t="s">
        <v>18080</v>
      </c>
      <c r="D1276" s="45"/>
      <c r="E1276" s="79" t="s">
        <v>5478</v>
      </c>
      <c r="F1276" s="79" t="s">
        <v>8767</v>
      </c>
      <c r="G1276" s="80" t="s">
        <v>96</v>
      </c>
      <c r="H1276" s="90">
        <v>2.592E-4</v>
      </c>
      <c r="I1276" s="45"/>
      <c r="J1276" s="45"/>
      <c r="K1276" s="45"/>
      <c r="L1276" s="45"/>
      <c r="M1276" s="45"/>
      <c r="N1276" s="45"/>
      <c r="O1276" s="45"/>
      <c r="P1276" s="45"/>
      <c r="Q1276" s="45"/>
      <c r="R1276" s="45"/>
      <c r="S1276" s="45"/>
      <c r="T1276" s="45"/>
      <c r="U1276" s="45"/>
    </row>
    <row r="1277">
      <c r="A1277" s="79" t="s">
        <v>18081</v>
      </c>
      <c r="B1277" s="45"/>
      <c r="C1277" s="79" t="s">
        <v>10564</v>
      </c>
      <c r="D1277" s="45"/>
      <c r="E1277" s="79" t="s">
        <v>5326</v>
      </c>
      <c r="F1277" s="79" t="s">
        <v>9299</v>
      </c>
      <c r="G1277" s="80" t="s">
        <v>96</v>
      </c>
      <c r="H1277" s="90">
        <v>2.589E-4</v>
      </c>
      <c r="I1277" s="45"/>
      <c r="J1277" s="45"/>
      <c r="K1277" s="45"/>
      <c r="L1277" s="45"/>
      <c r="M1277" s="45"/>
      <c r="N1277" s="45"/>
      <c r="O1277" s="45"/>
      <c r="P1277" s="45"/>
      <c r="Q1277" s="45"/>
      <c r="R1277" s="45"/>
      <c r="S1277" s="45"/>
      <c r="T1277" s="45"/>
      <c r="U1277" s="45"/>
    </row>
    <row r="1278">
      <c r="A1278" s="79" t="s">
        <v>18082</v>
      </c>
      <c r="B1278" s="45"/>
      <c r="C1278" s="79" t="s">
        <v>18083</v>
      </c>
      <c r="D1278" s="45"/>
      <c r="E1278" s="79" t="s">
        <v>5756</v>
      </c>
      <c r="F1278" s="79" t="s">
        <v>18084</v>
      </c>
      <c r="G1278" s="80" t="s">
        <v>96</v>
      </c>
      <c r="H1278" s="90">
        <v>2.587E-4</v>
      </c>
      <c r="I1278" s="45"/>
      <c r="J1278" s="45"/>
      <c r="K1278" s="45"/>
      <c r="L1278" s="45"/>
      <c r="M1278" s="45"/>
      <c r="N1278" s="45"/>
      <c r="O1278" s="45"/>
      <c r="P1278" s="45"/>
      <c r="Q1278" s="45"/>
      <c r="R1278" s="45"/>
      <c r="S1278" s="45"/>
      <c r="T1278" s="45"/>
      <c r="U1278" s="45"/>
    </row>
    <row r="1279">
      <c r="A1279" s="79" t="s">
        <v>5254</v>
      </c>
      <c r="B1279" s="45"/>
      <c r="C1279" s="79" t="s">
        <v>10572</v>
      </c>
      <c r="D1279" s="45"/>
      <c r="E1279" s="79" t="s">
        <v>5341</v>
      </c>
      <c r="F1279" s="79" t="s">
        <v>4436</v>
      </c>
      <c r="G1279" s="80" t="s">
        <v>96</v>
      </c>
      <c r="H1279" s="90">
        <v>2.586E-4</v>
      </c>
      <c r="I1279" s="45"/>
      <c r="J1279" s="45"/>
      <c r="K1279" s="45"/>
      <c r="L1279" s="45"/>
      <c r="M1279" s="45"/>
      <c r="N1279" s="45"/>
      <c r="O1279" s="45"/>
      <c r="P1279" s="45"/>
      <c r="Q1279" s="45"/>
      <c r="R1279" s="45"/>
      <c r="S1279" s="45"/>
      <c r="T1279" s="45"/>
      <c r="U1279" s="45"/>
    </row>
    <row r="1280">
      <c r="A1280" s="79" t="s">
        <v>18085</v>
      </c>
      <c r="B1280" s="45"/>
      <c r="C1280" s="79" t="s">
        <v>18086</v>
      </c>
      <c r="D1280" s="45"/>
      <c r="E1280" s="79" t="s">
        <v>5276</v>
      </c>
      <c r="F1280" s="79" t="s">
        <v>5425</v>
      </c>
      <c r="G1280" s="80" t="s">
        <v>96</v>
      </c>
      <c r="H1280" s="90">
        <v>2.583E-4</v>
      </c>
      <c r="I1280" s="45"/>
      <c r="J1280" s="45"/>
      <c r="K1280" s="45"/>
      <c r="L1280" s="45"/>
      <c r="M1280" s="45"/>
      <c r="N1280" s="45"/>
      <c r="O1280" s="45"/>
      <c r="P1280" s="45"/>
      <c r="Q1280" s="45"/>
      <c r="R1280" s="45"/>
      <c r="S1280" s="45"/>
      <c r="T1280" s="45"/>
      <c r="U1280" s="45"/>
    </row>
    <row r="1281">
      <c r="A1281" s="79" t="s">
        <v>10896</v>
      </c>
      <c r="B1281" s="45"/>
      <c r="C1281" s="79" t="s">
        <v>10897</v>
      </c>
      <c r="D1281" s="45"/>
      <c r="E1281" s="79" t="s">
        <v>5291</v>
      </c>
      <c r="F1281" s="79" t="s">
        <v>8784</v>
      </c>
      <c r="G1281" s="80" t="s">
        <v>96</v>
      </c>
      <c r="H1281" s="90">
        <v>2.582E-4</v>
      </c>
      <c r="I1281" s="45"/>
      <c r="J1281" s="45"/>
      <c r="K1281" s="45"/>
      <c r="L1281" s="45"/>
      <c r="M1281" s="45"/>
      <c r="N1281" s="45"/>
      <c r="O1281" s="45"/>
      <c r="P1281" s="45"/>
      <c r="Q1281" s="45"/>
      <c r="R1281" s="45"/>
      <c r="S1281" s="45"/>
      <c r="T1281" s="45"/>
      <c r="U1281" s="45"/>
    </row>
    <row r="1282">
      <c r="A1282" s="79" t="s">
        <v>18087</v>
      </c>
      <c r="B1282" s="45"/>
      <c r="C1282" s="79" t="s">
        <v>18088</v>
      </c>
      <c r="D1282" s="45"/>
      <c r="E1282" s="79" t="s">
        <v>5226</v>
      </c>
      <c r="F1282" s="79" t="s">
        <v>5300</v>
      </c>
      <c r="G1282" s="80" t="s">
        <v>96</v>
      </c>
      <c r="H1282" s="90">
        <v>2.582E-4</v>
      </c>
      <c r="I1282" s="45"/>
      <c r="J1282" s="45"/>
      <c r="K1282" s="45"/>
      <c r="L1282" s="45"/>
      <c r="M1282" s="45"/>
      <c r="N1282" s="45"/>
      <c r="O1282" s="45"/>
      <c r="P1282" s="45"/>
      <c r="Q1282" s="45"/>
      <c r="R1282" s="45"/>
      <c r="S1282" s="45"/>
      <c r="T1282" s="45"/>
      <c r="U1282" s="45"/>
    </row>
    <row r="1283">
      <c r="A1283" s="79" t="s">
        <v>18089</v>
      </c>
      <c r="B1283" s="45"/>
      <c r="C1283" s="79" t="s">
        <v>18090</v>
      </c>
      <c r="D1283" s="45"/>
      <c r="E1283" s="79" t="s">
        <v>5215</v>
      </c>
      <c r="F1283" s="79" t="s">
        <v>5300</v>
      </c>
      <c r="G1283" s="80" t="s">
        <v>96</v>
      </c>
      <c r="H1283" s="90">
        <v>2.579E-4</v>
      </c>
      <c r="I1283" s="45"/>
      <c r="J1283" s="45"/>
      <c r="K1283" s="45"/>
      <c r="L1283" s="45"/>
      <c r="M1283" s="45"/>
      <c r="N1283" s="45"/>
      <c r="O1283" s="45"/>
      <c r="P1283" s="45"/>
      <c r="Q1283" s="45"/>
      <c r="R1283" s="45"/>
      <c r="S1283" s="45"/>
      <c r="T1283" s="45"/>
      <c r="U1283" s="45"/>
    </row>
    <row r="1284">
      <c r="A1284" s="79" t="s">
        <v>18091</v>
      </c>
      <c r="B1284" s="45"/>
      <c r="C1284" s="79" t="s">
        <v>18092</v>
      </c>
      <c r="D1284" s="45"/>
      <c r="E1284" s="79" t="s">
        <v>5326</v>
      </c>
      <c r="F1284" s="79" t="s">
        <v>5300</v>
      </c>
      <c r="G1284" s="80" t="s">
        <v>96</v>
      </c>
      <c r="H1284" s="90">
        <v>2.577E-4</v>
      </c>
      <c r="I1284" s="45"/>
      <c r="J1284" s="45"/>
      <c r="K1284" s="45"/>
      <c r="L1284" s="45"/>
      <c r="M1284" s="45"/>
      <c r="N1284" s="45"/>
      <c r="O1284" s="45"/>
      <c r="P1284" s="45"/>
      <c r="Q1284" s="45"/>
      <c r="R1284" s="45"/>
      <c r="S1284" s="45"/>
      <c r="T1284" s="45"/>
      <c r="U1284" s="45"/>
    </row>
    <row r="1285">
      <c r="A1285" s="79" t="s">
        <v>10933</v>
      </c>
      <c r="B1285" s="45"/>
      <c r="C1285" s="79" t="s">
        <v>10934</v>
      </c>
      <c r="D1285" s="45"/>
      <c r="E1285" s="79" t="s">
        <v>5241</v>
      </c>
      <c r="F1285" s="79" t="s">
        <v>4095</v>
      </c>
      <c r="G1285" s="80" t="s">
        <v>96</v>
      </c>
      <c r="H1285" s="90">
        <v>2.575E-4</v>
      </c>
      <c r="I1285" s="45"/>
      <c r="J1285" s="45"/>
      <c r="K1285" s="45"/>
      <c r="L1285" s="45"/>
      <c r="M1285" s="45"/>
      <c r="N1285" s="45"/>
      <c r="O1285" s="45"/>
      <c r="P1285" s="45"/>
      <c r="Q1285" s="45"/>
      <c r="R1285" s="45"/>
      <c r="S1285" s="45"/>
      <c r="T1285" s="45"/>
      <c r="U1285" s="45"/>
    </row>
    <row r="1286">
      <c r="A1286" s="79" t="s">
        <v>18093</v>
      </c>
      <c r="B1286" s="45"/>
      <c r="C1286" s="79" t="s">
        <v>18094</v>
      </c>
      <c r="D1286" s="45"/>
      <c r="E1286" s="79" t="s">
        <v>5291</v>
      </c>
      <c r="F1286" s="79" t="s">
        <v>5300</v>
      </c>
      <c r="G1286" s="80" t="s">
        <v>96</v>
      </c>
      <c r="H1286" s="90">
        <v>2.574E-4</v>
      </c>
      <c r="I1286" s="45"/>
      <c r="J1286" s="45"/>
      <c r="K1286" s="45"/>
      <c r="L1286" s="45"/>
      <c r="M1286" s="45"/>
      <c r="N1286" s="45"/>
      <c r="O1286" s="45"/>
      <c r="P1286" s="45"/>
      <c r="Q1286" s="45"/>
      <c r="R1286" s="45"/>
      <c r="S1286" s="45"/>
      <c r="T1286" s="45"/>
      <c r="U1286" s="45"/>
    </row>
    <row r="1287">
      <c r="A1287" s="79" t="s">
        <v>18095</v>
      </c>
      <c r="B1287" s="45"/>
      <c r="C1287" s="79" t="s">
        <v>18096</v>
      </c>
      <c r="D1287" s="45"/>
      <c r="E1287" s="79" t="s">
        <v>5478</v>
      </c>
      <c r="F1287" s="79" t="s">
        <v>5300</v>
      </c>
      <c r="G1287" s="80" t="s">
        <v>96</v>
      </c>
      <c r="H1287" s="90">
        <v>2.57E-4</v>
      </c>
      <c r="I1287" s="45"/>
      <c r="J1287" s="45"/>
      <c r="K1287" s="45"/>
      <c r="L1287" s="45"/>
      <c r="M1287" s="45"/>
      <c r="N1287" s="45"/>
      <c r="O1287" s="45"/>
      <c r="P1287" s="45"/>
      <c r="Q1287" s="45"/>
      <c r="R1287" s="45"/>
      <c r="S1287" s="45"/>
      <c r="T1287" s="45"/>
      <c r="U1287" s="45"/>
    </row>
    <row r="1288">
      <c r="A1288" s="79" t="s">
        <v>10467</v>
      </c>
      <c r="B1288" s="45"/>
      <c r="C1288" s="79" t="s">
        <v>10468</v>
      </c>
      <c r="D1288" s="45"/>
      <c r="E1288" s="79" t="s">
        <v>5434</v>
      </c>
      <c r="F1288" s="79" t="s">
        <v>8784</v>
      </c>
      <c r="G1288" s="80" t="s">
        <v>96</v>
      </c>
      <c r="H1288" s="90">
        <v>2.568E-4</v>
      </c>
      <c r="I1288" s="45"/>
      <c r="J1288" s="45"/>
      <c r="K1288" s="45"/>
      <c r="L1288" s="45"/>
      <c r="M1288" s="45"/>
      <c r="N1288" s="45"/>
      <c r="O1288" s="45"/>
      <c r="P1288" s="45"/>
      <c r="Q1288" s="45"/>
      <c r="R1288" s="45"/>
      <c r="S1288" s="45"/>
      <c r="T1288" s="45"/>
      <c r="U1288" s="45"/>
    </row>
    <row r="1289">
      <c r="A1289" s="79" t="s">
        <v>10537</v>
      </c>
      <c r="B1289" s="45"/>
      <c r="C1289" s="79" t="s">
        <v>10538</v>
      </c>
      <c r="D1289" s="45"/>
      <c r="E1289" s="79" t="s">
        <v>5564</v>
      </c>
      <c r="F1289" s="79" t="s">
        <v>8784</v>
      </c>
      <c r="G1289" s="80" t="s">
        <v>96</v>
      </c>
      <c r="H1289" s="90">
        <v>2.566E-4</v>
      </c>
      <c r="I1289" s="45"/>
      <c r="J1289" s="45"/>
      <c r="K1289" s="45"/>
      <c r="L1289" s="45"/>
      <c r="M1289" s="45"/>
      <c r="N1289" s="45"/>
      <c r="O1289" s="45"/>
      <c r="P1289" s="45"/>
      <c r="Q1289" s="45"/>
      <c r="R1289" s="45"/>
      <c r="S1289" s="45"/>
      <c r="T1289" s="45"/>
      <c r="U1289" s="45"/>
    </row>
    <row r="1290">
      <c r="A1290" s="79" t="s">
        <v>18097</v>
      </c>
      <c r="B1290" s="45"/>
      <c r="C1290" s="79" t="s">
        <v>18098</v>
      </c>
      <c r="D1290" s="45"/>
      <c r="E1290" s="79" t="s">
        <v>5387</v>
      </c>
      <c r="F1290" s="79" t="s">
        <v>5300</v>
      </c>
      <c r="G1290" s="80" t="s">
        <v>96</v>
      </c>
      <c r="H1290" s="90">
        <v>2.561E-4</v>
      </c>
      <c r="I1290" s="45"/>
      <c r="J1290" s="45"/>
      <c r="K1290" s="45"/>
      <c r="L1290" s="45"/>
      <c r="M1290" s="45"/>
      <c r="N1290" s="45"/>
      <c r="O1290" s="45"/>
      <c r="P1290" s="45"/>
      <c r="Q1290" s="45"/>
      <c r="R1290" s="45"/>
      <c r="S1290" s="45"/>
      <c r="T1290" s="45"/>
      <c r="U1290" s="45"/>
    </row>
    <row r="1291">
      <c r="A1291" s="79" t="s">
        <v>10902</v>
      </c>
      <c r="B1291" s="45"/>
      <c r="C1291" s="79" t="s">
        <v>10903</v>
      </c>
      <c r="D1291" s="45"/>
      <c r="E1291" s="79" t="s">
        <v>5341</v>
      </c>
      <c r="F1291" s="79" t="s">
        <v>8784</v>
      </c>
      <c r="G1291" s="80" t="s">
        <v>96</v>
      </c>
      <c r="H1291" s="90">
        <v>2.561E-4</v>
      </c>
      <c r="I1291" s="45"/>
      <c r="J1291" s="45"/>
      <c r="K1291" s="45"/>
      <c r="L1291" s="45"/>
      <c r="M1291" s="45"/>
      <c r="N1291" s="45"/>
      <c r="O1291" s="45"/>
      <c r="P1291" s="45"/>
      <c r="Q1291" s="45"/>
      <c r="R1291" s="45"/>
      <c r="S1291" s="45"/>
      <c r="T1291" s="45"/>
      <c r="U1291" s="45"/>
    </row>
    <row r="1292">
      <c r="A1292" s="79" t="s">
        <v>18099</v>
      </c>
      <c r="B1292" s="45"/>
      <c r="C1292" s="79" t="s">
        <v>18100</v>
      </c>
      <c r="D1292" s="45"/>
      <c r="E1292" s="79" t="s">
        <v>5478</v>
      </c>
      <c r="F1292" s="79" t="s">
        <v>5300</v>
      </c>
      <c r="G1292" s="80" t="s">
        <v>96</v>
      </c>
      <c r="H1292" s="90">
        <v>2.561E-4</v>
      </c>
      <c r="I1292" s="45"/>
      <c r="J1292" s="45"/>
      <c r="K1292" s="45"/>
      <c r="L1292" s="45"/>
      <c r="M1292" s="45"/>
      <c r="N1292" s="45"/>
      <c r="O1292" s="45"/>
      <c r="P1292" s="45"/>
      <c r="Q1292" s="45"/>
      <c r="R1292" s="45"/>
      <c r="S1292" s="45"/>
      <c r="T1292" s="45"/>
      <c r="U1292" s="45"/>
    </row>
    <row r="1293">
      <c r="A1293" s="79" t="s">
        <v>18101</v>
      </c>
      <c r="B1293" s="45"/>
      <c r="C1293" s="79" t="s">
        <v>18102</v>
      </c>
      <c r="D1293" s="45"/>
      <c r="E1293" s="79" t="s">
        <v>5215</v>
      </c>
      <c r="F1293" s="79" t="s">
        <v>5300</v>
      </c>
      <c r="G1293" s="80" t="s">
        <v>96</v>
      </c>
      <c r="H1293" s="90">
        <v>2.556E-4</v>
      </c>
      <c r="I1293" s="45"/>
      <c r="J1293" s="45"/>
      <c r="K1293" s="45"/>
      <c r="L1293" s="45"/>
      <c r="M1293" s="45"/>
      <c r="N1293" s="45"/>
      <c r="O1293" s="45"/>
      <c r="P1293" s="45"/>
      <c r="Q1293" s="45"/>
      <c r="R1293" s="45"/>
      <c r="S1293" s="45"/>
      <c r="T1293" s="45"/>
      <c r="U1293" s="45"/>
    </row>
    <row r="1294">
      <c r="A1294" s="79" t="s">
        <v>18103</v>
      </c>
      <c r="B1294" s="45"/>
      <c r="C1294" s="79" t="s">
        <v>18104</v>
      </c>
      <c r="D1294" s="45"/>
      <c r="E1294" s="79" t="s">
        <v>5691</v>
      </c>
      <c r="F1294" s="79" t="s">
        <v>5300</v>
      </c>
      <c r="G1294" s="80" t="s">
        <v>96</v>
      </c>
      <c r="H1294" s="90">
        <v>2.554E-4</v>
      </c>
      <c r="I1294" s="45"/>
      <c r="J1294" s="45"/>
      <c r="K1294" s="45"/>
      <c r="L1294" s="45"/>
      <c r="M1294" s="45"/>
      <c r="N1294" s="45"/>
      <c r="O1294" s="45"/>
      <c r="P1294" s="45"/>
      <c r="Q1294" s="45"/>
      <c r="R1294" s="45"/>
      <c r="S1294" s="45"/>
      <c r="T1294" s="45"/>
      <c r="U1294" s="45"/>
    </row>
    <row r="1295">
      <c r="A1295" s="79" t="s">
        <v>18105</v>
      </c>
      <c r="B1295" s="45"/>
      <c r="C1295" s="79" t="s">
        <v>18106</v>
      </c>
      <c r="D1295" s="45"/>
      <c r="E1295" s="79" t="s">
        <v>5578</v>
      </c>
      <c r="F1295" s="79" t="s">
        <v>5300</v>
      </c>
      <c r="G1295" s="80" t="s">
        <v>96</v>
      </c>
      <c r="H1295" s="90">
        <v>2.554E-4</v>
      </c>
      <c r="I1295" s="45"/>
      <c r="J1295" s="45"/>
      <c r="K1295" s="45"/>
      <c r="L1295" s="45"/>
      <c r="M1295" s="45"/>
      <c r="N1295" s="45"/>
      <c r="O1295" s="45"/>
      <c r="P1295" s="45"/>
      <c r="Q1295" s="45"/>
      <c r="R1295" s="45"/>
      <c r="S1295" s="45"/>
      <c r="T1295" s="45"/>
      <c r="U1295" s="45"/>
    </row>
    <row r="1296">
      <c r="A1296" s="79" t="s">
        <v>10482</v>
      </c>
      <c r="B1296" s="45"/>
      <c r="C1296" s="79" t="s">
        <v>10483</v>
      </c>
      <c r="D1296" s="45"/>
      <c r="E1296" s="79" t="s">
        <v>6115</v>
      </c>
      <c r="F1296" s="79" t="s">
        <v>8784</v>
      </c>
      <c r="G1296" s="80" t="s">
        <v>96</v>
      </c>
      <c r="H1296" s="90">
        <v>2.552E-4</v>
      </c>
      <c r="I1296" s="45"/>
      <c r="J1296" s="45"/>
      <c r="K1296" s="45"/>
      <c r="L1296" s="45"/>
      <c r="M1296" s="45"/>
      <c r="N1296" s="45"/>
      <c r="O1296" s="45"/>
      <c r="P1296" s="45"/>
      <c r="Q1296" s="45"/>
      <c r="R1296" s="45"/>
      <c r="S1296" s="45"/>
      <c r="T1296" s="45"/>
      <c r="U1296" s="45"/>
    </row>
    <row r="1297">
      <c r="A1297" s="79" t="s">
        <v>18107</v>
      </c>
      <c r="B1297" s="45"/>
      <c r="C1297" s="79" t="s">
        <v>18108</v>
      </c>
      <c r="D1297" s="45"/>
      <c r="E1297" s="79" t="s">
        <v>5226</v>
      </c>
      <c r="F1297" s="79" t="s">
        <v>5425</v>
      </c>
      <c r="G1297" s="80" t="s">
        <v>96</v>
      </c>
      <c r="H1297" s="90">
        <v>2.545E-4</v>
      </c>
      <c r="I1297" s="45"/>
      <c r="J1297" s="45"/>
      <c r="K1297" s="45"/>
      <c r="L1297" s="45"/>
      <c r="M1297" s="45"/>
      <c r="N1297" s="45"/>
      <c r="O1297" s="45"/>
      <c r="P1297" s="45"/>
      <c r="Q1297" s="45"/>
      <c r="R1297" s="45"/>
      <c r="S1297" s="45"/>
      <c r="T1297" s="45"/>
      <c r="U1297" s="45"/>
    </row>
    <row r="1298">
      <c r="A1298" s="79" t="s">
        <v>18109</v>
      </c>
      <c r="B1298" s="45"/>
      <c r="C1298" s="79" t="s">
        <v>18110</v>
      </c>
      <c r="D1298" s="45"/>
      <c r="E1298" s="79" t="s">
        <v>6801</v>
      </c>
      <c r="F1298" s="79" t="s">
        <v>5747</v>
      </c>
      <c r="G1298" s="80" t="s">
        <v>96</v>
      </c>
      <c r="H1298" s="90">
        <v>2.544E-4</v>
      </c>
      <c r="I1298" s="45"/>
      <c r="J1298" s="45"/>
      <c r="K1298" s="45"/>
      <c r="L1298" s="45"/>
      <c r="M1298" s="45"/>
      <c r="N1298" s="45"/>
      <c r="O1298" s="45"/>
      <c r="P1298" s="45"/>
      <c r="Q1298" s="45"/>
      <c r="R1298" s="45"/>
      <c r="S1298" s="45"/>
      <c r="T1298" s="45"/>
      <c r="U1298" s="45"/>
    </row>
    <row r="1299">
      <c r="A1299" s="79" t="s">
        <v>5269</v>
      </c>
      <c r="B1299" s="45"/>
      <c r="C1299" s="79" t="s">
        <v>18111</v>
      </c>
      <c r="D1299" s="45"/>
      <c r="E1299" s="79" t="s">
        <v>6130</v>
      </c>
      <c r="F1299" s="79" t="s">
        <v>8759</v>
      </c>
      <c r="G1299" s="80" t="s">
        <v>96</v>
      </c>
      <c r="H1299" s="90">
        <v>2.543E-4</v>
      </c>
      <c r="I1299" s="45"/>
      <c r="J1299" s="45"/>
      <c r="K1299" s="45"/>
      <c r="L1299" s="45"/>
      <c r="M1299" s="45"/>
      <c r="N1299" s="45"/>
      <c r="O1299" s="45"/>
      <c r="P1299" s="45"/>
      <c r="Q1299" s="45"/>
      <c r="R1299" s="45"/>
      <c r="S1299" s="45"/>
      <c r="T1299" s="45"/>
      <c r="U1299" s="45"/>
    </row>
    <row r="1300">
      <c r="A1300" s="79" t="s">
        <v>18112</v>
      </c>
      <c r="B1300" s="45"/>
      <c r="C1300" s="79" t="s">
        <v>18113</v>
      </c>
      <c r="D1300" s="45"/>
      <c r="E1300" s="79" t="s">
        <v>5218</v>
      </c>
      <c r="F1300" s="79" t="s">
        <v>8784</v>
      </c>
      <c r="G1300" s="80" t="s">
        <v>96</v>
      </c>
      <c r="H1300" s="90">
        <v>2.543E-4</v>
      </c>
      <c r="I1300" s="45"/>
      <c r="J1300" s="45"/>
      <c r="K1300" s="45"/>
      <c r="L1300" s="45"/>
      <c r="M1300" s="45"/>
      <c r="N1300" s="45"/>
      <c r="O1300" s="45"/>
      <c r="P1300" s="45"/>
      <c r="Q1300" s="45"/>
      <c r="R1300" s="45"/>
      <c r="S1300" s="45"/>
      <c r="T1300" s="45"/>
      <c r="U1300" s="45"/>
    </row>
    <row r="1301">
      <c r="A1301" s="79" t="s">
        <v>18114</v>
      </c>
      <c r="B1301" s="45"/>
      <c r="C1301" s="79" t="s">
        <v>18115</v>
      </c>
      <c r="D1301" s="45"/>
      <c r="E1301" s="79" t="s">
        <v>7471</v>
      </c>
      <c r="F1301" s="79" t="s">
        <v>5300</v>
      </c>
      <c r="G1301" s="80" t="s">
        <v>96</v>
      </c>
      <c r="H1301" s="90">
        <v>2.543E-4</v>
      </c>
      <c r="I1301" s="45"/>
      <c r="J1301" s="45"/>
      <c r="K1301" s="45"/>
      <c r="L1301" s="45"/>
      <c r="M1301" s="45"/>
      <c r="N1301" s="45"/>
      <c r="O1301" s="45"/>
      <c r="P1301" s="45"/>
      <c r="Q1301" s="45"/>
      <c r="R1301" s="45"/>
      <c r="S1301" s="45"/>
      <c r="T1301" s="45"/>
      <c r="U1301" s="45"/>
    </row>
    <row r="1302">
      <c r="A1302" s="79" t="s">
        <v>18116</v>
      </c>
      <c r="B1302" s="45"/>
      <c r="C1302" s="79" t="s">
        <v>18117</v>
      </c>
      <c r="D1302" s="45"/>
      <c r="E1302" s="79" t="s">
        <v>5742</v>
      </c>
      <c r="F1302" s="79" t="s">
        <v>9021</v>
      </c>
      <c r="G1302" s="80" t="s">
        <v>96</v>
      </c>
      <c r="H1302" s="90">
        <v>2.543E-4</v>
      </c>
      <c r="I1302" s="45"/>
      <c r="J1302" s="45"/>
      <c r="K1302" s="45"/>
      <c r="L1302" s="45"/>
      <c r="M1302" s="45"/>
      <c r="N1302" s="45"/>
      <c r="O1302" s="45"/>
      <c r="P1302" s="45"/>
      <c r="Q1302" s="45"/>
      <c r="R1302" s="45"/>
      <c r="S1302" s="45"/>
      <c r="T1302" s="45"/>
      <c r="U1302" s="45"/>
    </row>
    <row r="1303">
      <c r="A1303" s="79" t="s">
        <v>18118</v>
      </c>
      <c r="B1303" s="45"/>
      <c r="C1303" s="79" t="s">
        <v>18119</v>
      </c>
      <c r="D1303" s="45"/>
      <c r="E1303" s="79" t="s">
        <v>5589</v>
      </c>
      <c r="F1303" s="79" t="s">
        <v>8784</v>
      </c>
      <c r="G1303" s="80" t="s">
        <v>96</v>
      </c>
      <c r="H1303" s="90">
        <v>2.541E-4</v>
      </c>
      <c r="I1303" s="45"/>
      <c r="J1303" s="45"/>
      <c r="K1303" s="45"/>
      <c r="L1303" s="45"/>
      <c r="M1303" s="45"/>
      <c r="N1303" s="45"/>
      <c r="O1303" s="45"/>
      <c r="P1303" s="45"/>
      <c r="Q1303" s="45"/>
      <c r="R1303" s="45"/>
      <c r="S1303" s="45"/>
      <c r="T1303" s="45"/>
      <c r="U1303" s="45"/>
    </row>
    <row r="1304">
      <c r="A1304" s="79" t="s">
        <v>18120</v>
      </c>
      <c r="B1304" s="45"/>
      <c r="C1304" s="79" t="s">
        <v>18121</v>
      </c>
      <c r="D1304" s="45"/>
      <c r="E1304" s="79" t="s">
        <v>5229</v>
      </c>
      <c r="F1304" s="79" t="s">
        <v>9513</v>
      </c>
      <c r="G1304" s="80" t="s">
        <v>96</v>
      </c>
      <c r="H1304" s="90">
        <v>2.538E-4</v>
      </c>
      <c r="I1304" s="45"/>
      <c r="J1304" s="45"/>
      <c r="K1304" s="45"/>
      <c r="L1304" s="45"/>
      <c r="M1304" s="45"/>
      <c r="N1304" s="45"/>
      <c r="O1304" s="45"/>
      <c r="P1304" s="45"/>
      <c r="Q1304" s="45"/>
      <c r="R1304" s="45"/>
      <c r="S1304" s="45"/>
      <c r="T1304" s="45"/>
      <c r="U1304" s="45"/>
    </row>
    <row r="1305">
      <c r="A1305" s="79" t="s">
        <v>18122</v>
      </c>
      <c r="B1305" s="45"/>
      <c r="C1305" s="79" t="s">
        <v>18123</v>
      </c>
      <c r="D1305" s="45"/>
      <c r="E1305" s="79" t="s">
        <v>5670</v>
      </c>
      <c r="F1305" s="79" t="s">
        <v>5300</v>
      </c>
      <c r="G1305" s="80" t="s">
        <v>96</v>
      </c>
      <c r="H1305" s="90">
        <v>2.538E-4</v>
      </c>
      <c r="I1305" s="45"/>
      <c r="J1305" s="45"/>
      <c r="K1305" s="45"/>
      <c r="L1305" s="45"/>
      <c r="M1305" s="45"/>
      <c r="N1305" s="45"/>
      <c r="O1305" s="45"/>
      <c r="P1305" s="45"/>
      <c r="Q1305" s="45"/>
      <c r="R1305" s="45"/>
      <c r="S1305" s="45"/>
      <c r="T1305" s="45"/>
      <c r="U1305" s="45"/>
    </row>
    <row r="1306">
      <c r="A1306" s="79" t="s">
        <v>10631</v>
      </c>
      <c r="B1306" s="45"/>
      <c r="C1306" s="79" t="s">
        <v>10632</v>
      </c>
      <c r="D1306" s="45"/>
      <c r="E1306" s="79" t="s">
        <v>5855</v>
      </c>
      <c r="F1306" s="79" t="s">
        <v>8784</v>
      </c>
      <c r="G1306" s="80" t="s">
        <v>96</v>
      </c>
      <c r="H1306" s="90">
        <v>2.537E-4</v>
      </c>
      <c r="I1306" s="45"/>
      <c r="J1306" s="45"/>
      <c r="K1306" s="45"/>
      <c r="L1306" s="45"/>
      <c r="M1306" s="45"/>
      <c r="N1306" s="45"/>
      <c r="O1306" s="45"/>
      <c r="P1306" s="45"/>
      <c r="Q1306" s="45"/>
      <c r="R1306" s="45"/>
      <c r="S1306" s="45"/>
      <c r="T1306" s="45"/>
      <c r="U1306" s="45"/>
    </row>
    <row r="1307">
      <c r="A1307" s="79" t="s">
        <v>10925</v>
      </c>
      <c r="B1307" s="45"/>
      <c r="C1307" s="79" t="s">
        <v>10926</v>
      </c>
      <c r="D1307" s="45"/>
      <c r="E1307" s="79" t="s">
        <v>5218</v>
      </c>
      <c r="F1307" s="79" t="s">
        <v>8784</v>
      </c>
      <c r="G1307" s="80" t="s">
        <v>96</v>
      </c>
      <c r="H1307" s="90">
        <v>2.537E-4</v>
      </c>
      <c r="I1307" s="45"/>
      <c r="J1307" s="45"/>
      <c r="K1307" s="45"/>
      <c r="L1307" s="45"/>
      <c r="M1307" s="45"/>
      <c r="N1307" s="45"/>
      <c r="O1307" s="45"/>
      <c r="P1307" s="45"/>
      <c r="Q1307" s="45"/>
      <c r="R1307" s="45"/>
      <c r="S1307" s="45"/>
      <c r="T1307" s="45"/>
      <c r="U1307" s="45"/>
    </row>
    <row r="1308">
      <c r="A1308" s="79" t="s">
        <v>10038</v>
      </c>
      <c r="B1308" s="45"/>
      <c r="C1308" s="79" t="s">
        <v>18124</v>
      </c>
      <c r="D1308" s="45"/>
      <c r="E1308" s="79" t="s">
        <v>7611</v>
      </c>
      <c r="F1308" s="79" t="s">
        <v>8759</v>
      </c>
      <c r="G1308" s="80" t="s">
        <v>96</v>
      </c>
      <c r="H1308" s="90">
        <v>2.534E-4</v>
      </c>
      <c r="I1308" s="45"/>
      <c r="J1308" s="45"/>
      <c r="K1308" s="45"/>
      <c r="L1308" s="45"/>
      <c r="M1308" s="45"/>
      <c r="N1308" s="45"/>
      <c r="O1308" s="45"/>
      <c r="P1308" s="45"/>
      <c r="Q1308" s="45"/>
      <c r="R1308" s="45"/>
      <c r="S1308" s="45"/>
      <c r="T1308" s="45"/>
      <c r="U1308" s="45"/>
    </row>
    <row r="1309">
      <c r="A1309" s="79" t="s">
        <v>18125</v>
      </c>
      <c r="B1309" s="45"/>
      <c r="C1309" s="79" t="s">
        <v>18126</v>
      </c>
      <c r="D1309" s="45"/>
      <c r="E1309" s="79" t="s">
        <v>5226</v>
      </c>
      <c r="F1309" s="79" t="s">
        <v>5300</v>
      </c>
      <c r="G1309" s="80" t="s">
        <v>96</v>
      </c>
      <c r="H1309" s="90">
        <v>2.534E-4</v>
      </c>
      <c r="I1309" s="45"/>
      <c r="J1309" s="45"/>
      <c r="K1309" s="45"/>
      <c r="L1309" s="45"/>
      <c r="M1309" s="45"/>
      <c r="N1309" s="45"/>
      <c r="O1309" s="45"/>
      <c r="P1309" s="45"/>
      <c r="Q1309" s="45"/>
      <c r="R1309" s="45"/>
      <c r="S1309" s="45"/>
      <c r="T1309" s="45"/>
      <c r="U1309" s="45"/>
    </row>
    <row r="1310">
      <c r="A1310" s="79" t="s">
        <v>18127</v>
      </c>
      <c r="B1310" s="45"/>
      <c r="C1310" s="79" t="s">
        <v>18128</v>
      </c>
      <c r="D1310" s="45"/>
      <c r="E1310" s="79" t="s">
        <v>5296</v>
      </c>
      <c r="F1310" s="79" t="s">
        <v>4357</v>
      </c>
      <c r="G1310" s="80" t="s">
        <v>96</v>
      </c>
      <c r="H1310" s="90">
        <v>2.53E-4</v>
      </c>
      <c r="I1310" s="45"/>
      <c r="J1310" s="45"/>
      <c r="K1310" s="45"/>
      <c r="L1310" s="45"/>
      <c r="M1310" s="45"/>
      <c r="N1310" s="45"/>
      <c r="O1310" s="45"/>
      <c r="P1310" s="45"/>
      <c r="Q1310" s="45"/>
      <c r="R1310" s="45"/>
      <c r="S1310" s="45"/>
      <c r="T1310" s="45"/>
      <c r="U1310" s="45"/>
    </row>
    <row r="1311">
      <c r="A1311" s="79" t="s">
        <v>18129</v>
      </c>
      <c r="B1311" s="45"/>
      <c r="C1311" s="79" t="s">
        <v>18130</v>
      </c>
      <c r="D1311" s="45"/>
      <c r="E1311" s="79" t="s">
        <v>5742</v>
      </c>
      <c r="F1311" s="79" t="s">
        <v>4095</v>
      </c>
      <c r="G1311" s="80" t="s">
        <v>96</v>
      </c>
      <c r="H1311" s="90">
        <v>2.528E-4</v>
      </c>
      <c r="I1311" s="45"/>
      <c r="J1311" s="45"/>
      <c r="K1311" s="45"/>
      <c r="L1311" s="45"/>
      <c r="M1311" s="45"/>
      <c r="N1311" s="45"/>
      <c r="O1311" s="45"/>
      <c r="P1311" s="45"/>
      <c r="Q1311" s="45"/>
      <c r="R1311" s="45"/>
      <c r="S1311" s="45"/>
      <c r="T1311" s="45"/>
      <c r="U1311" s="45"/>
    </row>
    <row r="1312">
      <c r="A1312" s="79" t="s">
        <v>18131</v>
      </c>
      <c r="B1312" s="45"/>
      <c r="C1312" s="79" t="s">
        <v>18132</v>
      </c>
      <c r="D1312" s="45"/>
      <c r="E1312" s="79" t="s">
        <v>5759</v>
      </c>
      <c r="F1312" s="79" t="s">
        <v>5425</v>
      </c>
      <c r="G1312" s="80" t="s">
        <v>96</v>
      </c>
      <c r="H1312" s="90">
        <v>2.526E-4</v>
      </c>
      <c r="I1312" s="45"/>
      <c r="J1312" s="45"/>
      <c r="K1312" s="45"/>
      <c r="L1312" s="45"/>
      <c r="M1312" s="45"/>
      <c r="N1312" s="45"/>
      <c r="O1312" s="45"/>
      <c r="P1312" s="45"/>
      <c r="Q1312" s="45"/>
      <c r="R1312" s="45"/>
      <c r="S1312" s="45"/>
      <c r="T1312" s="45"/>
      <c r="U1312" s="45"/>
    </row>
    <row r="1313">
      <c r="A1313" s="79" t="s">
        <v>5747</v>
      </c>
      <c r="B1313" s="45"/>
      <c r="C1313" s="79" t="s">
        <v>18133</v>
      </c>
      <c r="D1313" s="45"/>
      <c r="E1313" s="79" t="s">
        <v>6416</v>
      </c>
      <c r="F1313" s="79" t="s">
        <v>5836</v>
      </c>
      <c r="G1313" s="80" t="s">
        <v>96</v>
      </c>
      <c r="H1313" s="90">
        <v>2.526E-4</v>
      </c>
      <c r="I1313" s="45"/>
      <c r="J1313" s="45"/>
      <c r="K1313" s="45"/>
      <c r="L1313" s="45"/>
      <c r="M1313" s="45"/>
      <c r="N1313" s="45"/>
      <c r="O1313" s="45"/>
      <c r="P1313" s="45"/>
      <c r="Q1313" s="45"/>
      <c r="R1313" s="45"/>
      <c r="S1313" s="45"/>
      <c r="T1313" s="45"/>
      <c r="U1313" s="45"/>
    </row>
    <row r="1314">
      <c r="A1314" s="79" t="s">
        <v>10892</v>
      </c>
      <c r="B1314" s="45"/>
      <c r="C1314" s="79" t="s">
        <v>10893</v>
      </c>
      <c r="D1314" s="45"/>
      <c r="E1314" s="79" t="s">
        <v>5564</v>
      </c>
      <c r="F1314" s="79" t="s">
        <v>8784</v>
      </c>
      <c r="G1314" s="80" t="s">
        <v>96</v>
      </c>
      <c r="H1314" s="90">
        <v>2.524E-4</v>
      </c>
      <c r="I1314" s="45"/>
      <c r="J1314" s="45"/>
      <c r="K1314" s="45"/>
      <c r="L1314" s="45"/>
      <c r="M1314" s="45"/>
      <c r="N1314" s="45"/>
      <c r="O1314" s="45"/>
      <c r="P1314" s="45"/>
      <c r="Q1314" s="45"/>
      <c r="R1314" s="45"/>
      <c r="S1314" s="45"/>
      <c r="T1314" s="45"/>
      <c r="U1314" s="45"/>
    </row>
    <row r="1315">
      <c r="A1315" s="79" t="s">
        <v>18134</v>
      </c>
      <c r="B1315" s="45"/>
      <c r="C1315" s="79" t="s">
        <v>18135</v>
      </c>
      <c r="D1315" s="45"/>
      <c r="E1315" s="79" t="s">
        <v>6338</v>
      </c>
      <c r="F1315" s="79" t="s">
        <v>9513</v>
      </c>
      <c r="G1315" s="80" t="s">
        <v>96</v>
      </c>
      <c r="H1315" s="90">
        <v>2.523E-4</v>
      </c>
      <c r="I1315" s="45"/>
      <c r="J1315" s="45"/>
      <c r="K1315" s="45"/>
      <c r="L1315" s="45"/>
      <c r="M1315" s="45"/>
      <c r="N1315" s="45"/>
      <c r="O1315" s="45"/>
      <c r="P1315" s="45"/>
      <c r="Q1315" s="45"/>
      <c r="R1315" s="45"/>
      <c r="S1315" s="45"/>
      <c r="T1315" s="45"/>
      <c r="U1315" s="45"/>
    </row>
    <row r="1316">
      <c r="A1316" s="79" t="s">
        <v>18136</v>
      </c>
      <c r="B1316" s="45"/>
      <c r="C1316" s="79" t="s">
        <v>18137</v>
      </c>
      <c r="D1316" s="45"/>
      <c r="E1316" s="79" t="s">
        <v>5232</v>
      </c>
      <c r="F1316" s="79" t="s">
        <v>5300</v>
      </c>
      <c r="G1316" s="80" t="s">
        <v>96</v>
      </c>
      <c r="H1316" s="90">
        <v>2.522E-4</v>
      </c>
      <c r="I1316" s="45"/>
      <c r="J1316" s="45"/>
      <c r="K1316" s="45"/>
      <c r="L1316" s="45"/>
      <c r="M1316" s="45"/>
      <c r="N1316" s="45"/>
      <c r="O1316" s="45"/>
      <c r="P1316" s="45"/>
      <c r="Q1316" s="45"/>
      <c r="R1316" s="45"/>
      <c r="S1316" s="45"/>
      <c r="T1316" s="45"/>
      <c r="U1316" s="45"/>
    </row>
    <row r="1317">
      <c r="A1317" s="79" t="s">
        <v>18138</v>
      </c>
      <c r="B1317" s="45"/>
      <c r="C1317" s="79" t="s">
        <v>18139</v>
      </c>
      <c r="D1317" s="45"/>
      <c r="E1317" s="79" t="s">
        <v>5326</v>
      </c>
      <c r="F1317" s="79" t="s">
        <v>5425</v>
      </c>
      <c r="G1317" s="80" t="s">
        <v>96</v>
      </c>
      <c r="H1317" s="90">
        <v>2.519E-4</v>
      </c>
      <c r="I1317" s="45"/>
      <c r="J1317" s="45"/>
      <c r="K1317" s="45"/>
      <c r="L1317" s="45"/>
      <c r="M1317" s="45"/>
      <c r="N1317" s="45"/>
      <c r="O1317" s="45"/>
      <c r="P1317" s="45"/>
      <c r="Q1317" s="45"/>
      <c r="R1317" s="45"/>
      <c r="S1317" s="45"/>
      <c r="T1317" s="45"/>
      <c r="U1317" s="45"/>
    </row>
    <row r="1318">
      <c r="A1318" s="79" t="s">
        <v>18140</v>
      </c>
      <c r="B1318" s="45"/>
      <c r="C1318" s="79" t="s">
        <v>18141</v>
      </c>
      <c r="D1318" s="45"/>
      <c r="E1318" s="79" t="s">
        <v>5267</v>
      </c>
      <c r="F1318" s="79" t="s">
        <v>9021</v>
      </c>
      <c r="G1318" s="80" t="s">
        <v>96</v>
      </c>
      <c r="H1318" s="90">
        <v>2.516E-4</v>
      </c>
      <c r="I1318" s="45"/>
      <c r="J1318" s="45"/>
      <c r="K1318" s="45"/>
      <c r="L1318" s="45"/>
      <c r="M1318" s="45"/>
      <c r="N1318" s="45"/>
      <c r="O1318" s="45"/>
      <c r="P1318" s="45"/>
      <c r="Q1318" s="45"/>
      <c r="R1318" s="45"/>
      <c r="S1318" s="45"/>
      <c r="T1318" s="45"/>
      <c r="U1318" s="45"/>
    </row>
    <row r="1319">
      <c r="A1319" s="79" t="s">
        <v>18142</v>
      </c>
      <c r="B1319" s="45"/>
      <c r="C1319" s="79" t="s">
        <v>18143</v>
      </c>
      <c r="D1319" s="45"/>
      <c r="E1319" s="79" t="s">
        <v>5215</v>
      </c>
      <c r="F1319" s="79" t="s">
        <v>5300</v>
      </c>
      <c r="G1319" s="80" t="s">
        <v>96</v>
      </c>
      <c r="H1319" s="90">
        <v>2.512E-4</v>
      </c>
      <c r="I1319" s="45"/>
      <c r="J1319" s="45"/>
      <c r="K1319" s="45"/>
      <c r="L1319" s="45"/>
      <c r="M1319" s="45"/>
      <c r="N1319" s="45"/>
      <c r="O1319" s="45"/>
      <c r="P1319" s="45"/>
      <c r="Q1319" s="45"/>
      <c r="R1319" s="45"/>
      <c r="S1319" s="45"/>
      <c r="T1319" s="45"/>
      <c r="U1319" s="45"/>
    </row>
    <row r="1320">
      <c r="A1320" s="79" t="s">
        <v>18144</v>
      </c>
      <c r="B1320" s="45"/>
      <c r="C1320" s="79" t="s">
        <v>18145</v>
      </c>
      <c r="D1320" s="45"/>
      <c r="E1320" s="79" t="s">
        <v>6172</v>
      </c>
      <c r="F1320" s="79" t="s">
        <v>4436</v>
      </c>
      <c r="G1320" s="80" t="s">
        <v>96</v>
      </c>
      <c r="H1320" s="90">
        <v>2.511E-4</v>
      </c>
      <c r="I1320" s="45"/>
      <c r="J1320" s="45"/>
      <c r="K1320" s="45"/>
      <c r="L1320" s="45"/>
      <c r="M1320" s="45"/>
      <c r="N1320" s="45"/>
      <c r="O1320" s="45"/>
      <c r="P1320" s="45"/>
      <c r="Q1320" s="45"/>
      <c r="R1320" s="45"/>
      <c r="S1320" s="45"/>
      <c r="T1320" s="45"/>
      <c r="U1320" s="45"/>
    </row>
    <row r="1321">
      <c r="A1321" s="79" t="s">
        <v>18146</v>
      </c>
      <c r="B1321" s="45"/>
      <c r="C1321" s="79" t="s">
        <v>18147</v>
      </c>
      <c r="D1321" s="45"/>
      <c r="E1321" s="79" t="s">
        <v>7248</v>
      </c>
      <c r="F1321" s="79" t="s">
        <v>9299</v>
      </c>
      <c r="G1321" s="80" t="s">
        <v>96</v>
      </c>
      <c r="H1321" s="90">
        <v>2.509E-4</v>
      </c>
      <c r="I1321" s="45"/>
      <c r="J1321" s="45"/>
      <c r="K1321" s="45"/>
      <c r="L1321" s="45"/>
      <c r="M1321" s="45"/>
      <c r="N1321" s="45"/>
      <c r="O1321" s="45"/>
      <c r="P1321" s="45"/>
      <c r="Q1321" s="45"/>
      <c r="R1321" s="45"/>
      <c r="S1321" s="45"/>
      <c r="T1321" s="45"/>
      <c r="U1321" s="45"/>
    </row>
    <row r="1322">
      <c r="A1322" s="79" t="s">
        <v>18148</v>
      </c>
      <c r="B1322" s="45"/>
      <c r="C1322" s="79" t="s">
        <v>18149</v>
      </c>
      <c r="D1322" s="45"/>
      <c r="E1322" s="79" t="s">
        <v>5377</v>
      </c>
      <c r="F1322" s="79" t="s">
        <v>6210</v>
      </c>
      <c r="G1322" s="80" t="s">
        <v>96</v>
      </c>
      <c r="H1322" s="90">
        <v>2.507E-4</v>
      </c>
      <c r="I1322" s="45"/>
      <c r="J1322" s="45"/>
      <c r="K1322" s="45"/>
      <c r="L1322" s="45"/>
      <c r="M1322" s="45"/>
      <c r="N1322" s="45"/>
      <c r="O1322" s="45"/>
      <c r="P1322" s="45"/>
      <c r="Q1322" s="45"/>
      <c r="R1322" s="45"/>
      <c r="S1322" s="45"/>
      <c r="T1322" s="45"/>
      <c r="U1322" s="45"/>
    </row>
    <row r="1323">
      <c r="A1323" s="79" t="s">
        <v>18150</v>
      </c>
      <c r="B1323" s="45"/>
      <c r="C1323" s="79" t="s">
        <v>18151</v>
      </c>
      <c r="D1323" s="45"/>
      <c r="E1323" s="79" t="s">
        <v>5235</v>
      </c>
      <c r="F1323" s="79" t="s">
        <v>5300</v>
      </c>
      <c r="G1323" s="80" t="s">
        <v>96</v>
      </c>
      <c r="H1323" s="90">
        <v>2.504E-4</v>
      </c>
      <c r="I1323" s="45"/>
      <c r="J1323" s="45"/>
      <c r="K1323" s="45"/>
      <c r="L1323" s="45"/>
      <c r="M1323" s="45"/>
      <c r="N1323" s="45"/>
      <c r="O1323" s="45"/>
      <c r="P1323" s="45"/>
      <c r="Q1323" s="45"/>
      <c r="R1323" s="45"/>
      <c r="S1323" s="45"/>
      <c r="T1323" s="45"/>
      <c r="U1323" s="45"/>
    </row>
    <row r="1324">
      <c r="A1324" s="79" t="s">
        <v>18152</v>
      </c>
      <c r="B1324" s="45"/>
      <c r="C1324" s="79" t="s">
        <v>18153</v>
      </c>
      <c r="D1324" s="45"/>
      <c r="E1324" s="79" t="s">
        <v>5434</v>
      </c>
      <c r="F1324" s="79" t="s">
        <v>8759</v>
      </c>
      <c r="G1324" s="80" t="s">
        <v>96</v>
      </c>
      <c r="H1324" s="90">
        <v>2.499E-4</v>
      </c>
      <c r="I1324" s="45"/>
      <c r="J1324" s="45"/>
      <c r="K1324" s="45"/>
      <c r="L1324" s="45"/>
      <c r="M1324" s="45"/>
      <c r="N1324" s="45"/>
      <c r="O1324" s="45"/>
      <c r="P1324" s="45"/>
      <c r="Q1324" s="45"/>
      <c r="R1324" s="45"/>
      <c r="S1324" s="45"/>
      <c r="T1324" s="45"/>
      <c r="U1324" s="45"/>
    </row>
    <row r="1325">
      <c r="A1325" s="79" t="s">
        <v>10689</v>
      </c>
      <c r="B1325" s="45"/>
      <c r="C1325" s="79" t="s">
        <v>10690</v>
      </c>
      <c r="D1325" s="45"/>
      <c r="E1325" s="79" t="s">
        <v>5246</v>
      </c>
      <c r="F1325" s="79" t="s">
        <v>8784</v>
      </c>
      <c r="G1325" s="80" t="s">
        <v>96</v>
      </c>
      <c r="H1325" s="90">
        <v>2.497E-4</v>
      </c>
      <c r="I1325" s="45"/>
      <c r="J1325" s="45"/>
      <c r="K1325" s="45"/>
      <c r="L1325" s="45"/>
      <c r="M1325" s="45"/>
      <c r="N1325" s="45"/>
      <c r="O1325" s="45"/>
      <c r="P1325" s="45"/>
      <c r="Q1325" s="45"/>
      <c r="R1325" s="45"/>
      <c r="S1325" s="45"/>
      <c r="T1325" s="45"/>
      <c r="U1325" s="45"/>
    </row>
    <row r="1326">
      <c r="A1326" s="79" t="s">
        <v>10923</v>
      </c>
      <c r="B1326" s="45"/>
      <c r="C1326" s="79" t="s">
        <v>10924</v>
      </c>
      <c r="D1326" s="45"/>
      <c r="E1326" s="79" t="s">
        <v>9478</v>
      </c>
      <c r="F1326" s="79" t="s">
        <v>8784</v>
      </c>
      <c r="G1326" s="80" t="s">
        <v>96</v>
      </c>
      <c r="H1326" s="90">
        <v>2.495E-4</v>
      </c>
      <c r="I1326" s="45"/>
      <c r="J1326" s="45"/>
      <c r="K1326" s="45"/>
      <c r="L1326" s="45"/>
      <c r="M1326" s="45"/>
      <c r="N1326" s="45"/>
      <c r="O1326" s="45"/>
      <c r="P1326" s="45"/>
      <c r="Q1326" s="45"/>
      <c r="R1326" s="45"/>
      <c r="S1326" s="45"/>
      <c r="T1326" s="45"/>
      <c r="U1326" s="45"/>
    </row>
    <row r="1327">
      <c r="A1327" s="79" t="s">
        <v>10659</v>
      </c>
      <c r="B1327" s="45"/>
      <c r="C1327" s="79" t="s">
        <v>10910</v>
      </c>
      <c r="D1327" s="45"/>
      <c r="E1327" s="79" t="s">
        <v>6427</v>
      </c>
      <c r="F1327" s="79" t="s">
        <v>4357</v>
      </c>
      <c r="G1327" s="80" t="s">
        <v>96</v>
      </c>
      <c r="H1327" s="90">
        <v>2.493E-4</v>
      </c>
      <c r="I1327" s="45"/>
      <c r="J1327" s="45"/>
      <c r="K1327" s="45"/>
      <c r="L1327" s="45"/>
      <c r="M1327" s="45"/>
      <c r="N1327" s="45"/>
      <c r="O1327" s="45"/>
      <c r="P1327" s="45"/>
      <c r="Q1327" s="45"/>
      <c r="R1327" s="45"/>
      <c r="S1327" s="45"/>
      <c r="T1327" s="45"/>
      <c r="U1327" s="45"/>
    </row>
    <row r="1328">
      <c r="A1328" s="79" t="s">
        <v>18154</v>
      </c>
      <c r="B1328" s="45"/>
      <c r="C1328" s="79" t="s">
        <v>18155</v>
      </c>
      <c r="D1328" s="45"/>
      <c r="E1328" s="79" t="s">
        <v>5462</v>
      </c>
      <c r="F1328" s="79" t="s">
        <v>5836</v>
      </c>
      <c r="G1328" s="80" t="s">
        <v>96</v>
      </c>
      <c r="H1328" s="90">
        <v>2.492E-4</v>
      </c>
      <c r="I1328" s="45"/>
      <c r="J1328" s="45"/>
      <c r="K1328" s="45"/>
      <c r="L1328" s="45"/>
      <c r="M1328" s="45"/>
      <c r="N1328" s="45"/>
      <c r="O1328" s="45"/>
      <c r="P1328" s="45"/>
      <c r="Q1328" s="45"/>
      <c r="R1328" s="45"/>
      <c r="S1328" s="45"/>
      <c r="T1328" s="45"/>
      <c r="U1328" s="45"/>
    </row>
    <row r="1329">
      <c r="A1329" s="79" t="s">
        <v>18156</v>
      </c>
      <c r="B1329" s="45"/>
      <c r="C1329" s="79" t="s">
        <v>18157</v>
      </c>
      <c r="D1329" s="45"/>
      <c r="E1329" s="79" t="s">
        <v>5226</v>
      </c>
      <c r="F1329" s="79" t="s">
        <v>5425</v>
      </c>
      <c r="G1329" s="80" t="s">
        <v>96</v>
      </c>
      <c r="H1329" s="90">
        <v>2.489E-4</v>
      </c>
      <c r="I1329" s="45"/>
      <c r="J1329" s="45"/>
      <c r="K1329" s="45"/>
      <c r="L1329" s="45"/>
      <c r="M1329" s="45"/>
      <c r="N1329" s="45"/>
      <c r="O1329" s="45"/>
      <c r="P1329" s="45"/>
      <c r="Q1329" s="45"/>
      <c r="R1329" s="45"/>
      <c r="S1329" s="45"/>
      <c r="T1329" s="45"/>
      <c r="U1329" s="45"/>
    </row>
    <row r="1330">
      <c r="A1330" s="79" t="s">
        <v>18158</v>
      </c>
      <c r="B1330" s="45"/>
      <c r="C1330" s="79" t="s">
        <v>18159</v>
      </c>
      <c r="D1330" s="45"/>
      <c r="E1330" s="79" t="s">
        <v>5775</v>
      </c>
      <c r="F1330" s="79" t="s">
        <v>5300</v>
      </c>
      <c r="G1330" s="80" t="s">
        <v>96</v>
      </c>
      <c r="H1330" s="90">
        <v>2.488E-4</v>
      </c>
      <c r="I1330" s="45"/>
      <c r="J1330" s="45"/>
      <c r="K1330" s="45"/>
      <c r="L1330" s="45"/>
      <c r="M1330" s="45"/>
      <c r="N1330" s="45"/>
      <c r="O1330" s="45"/>
      <c r="P1330" s="45"/>
      <c r="Q1330" s="45"/>
      <c r="R1330" s="45"/>
      <c r="S1330" s="45"/>
      <c r="T1330" s="45"/>
      <c r="U1330" s="45"/>
    </row>
    <row r="1331">
      <c r="A1331" s="79" t="s">
        <v>18160</v>
      </c>
      <c r="B1331" s="45"/>
      <c r="C1331" s="79" t="s">
        <v>18161</v>
      </c>
      <c r="D1331" s="45"/>
      <c r="E1331" s="79" t="s">
        <v>5226</v>
      </c>
      <c r="F1331" s="79" t="s">
        <v>5836</v>
      </c>
      <c r="G1331" s="80" t="s">
        <v>96</v>
      </c>
      <c r="H1331" s="90">
        <v>2.484E-4</v>
      </c>
      <c r="I1331" s="45"/>
      <c r="J1331" s="45"/>
      <c r="K1331" s="45"/>
      <c r="L1331" s="45"/>
      <c r="M1331" s="45"/>
      <c r="N1331" s="45"/>
      <c r="O1331" s="45"/>
      <c r="P1331" s="45"/>
      <c r="Q1331" s="45"/>
      <c r="R1331" s="45"/>
      <c r="S1331" s="45"/>
      <c r="T1331" s="45"/>
      <c r="U1331" s="45"/>
    </row>
    <row r="1332">
      <c r="A1332" s="79" t="s">
        <v>18162</v>
      </c>
      <c r="B1332" s="45"/>
      <c r="C1332" s="79" t="s">
        <v>18163</v>
      </c>
      <c r="D1332" s="45"/>
      <c r="E1332" s="79" t="s">
        <v>9553</v>
      </c>
      <c r="F1332" s="79" t="s">
        <v>5300</v>
      </c>
      <c r="G1332" s="80" t="s">
        <v>96</v>
      </c>
      <c r="H1332" s="90">
        <v>2.482E-4</v>
      </c>
      <c r="I1332" s="45"/>
      <c r="J1332" s="45"/>
      <c r="K1332" s="45"/>
      <c r="L1332" s="45"/>
      <c r="M1332" s="45"/>
      <c r="N1332" s="45"/>
      <c r="O1332" s="45"/>
      <c r="P1332" s="45"/>
      <c r="Q1332" s="45"/>
      <c r="R1332" s="45"/>
      <c r="S1332" s="45"/>
      <c r="T1332" s="45"/>
      <c r="U1332" s="45"/>
    </row>
    <row r="1333">
      <c r="A1333" s="79" t="s">
        <v>18164</v>
      </c>
      <c r="B1333" s="45"/>
      <c r="C1333" s="79" t="s">
        <v>18165</v>
      </c>
      <c r="D1333" s="45"/>
      <c r="E1333" s="79" t="s">
        <v>5215</v>
      </c>
      <c r="F1333" s="79" t="s">
        <v>5300</v>
      </c>
      <c r="G1333" s="80" t="s">
        <v>96</v>
      </c>
      <c r="H1333" s="90">
        <v>2.476E-4</v>
      </c>
      <c r="I1333" s="45"/>
      <c r="J1333" s="45"/>
      <c r="K1333" s="45"/>
      <c r="L1333" s="45"/>
      <c r="M1333" s="45"/>
      <c r="N1333" s="45"/>
      <c r="O1333" s="45"/>
      <c r="P1333" s="45"/>
      <c r="Q1333" s="45"/>
      <c r="R1333" s="45"/>
      <c r="S1333" s="45"/>
      <c r="T1333" s="45"/>
      <c r="U1333" s="45"/>
    </row>
    <row r="1334">
      <c r="A1334" s="79" t="s">
        <v>18166</v>
      </c>
      <c r="B1334" s="45"/>
      <c r="C1334" s="79" t="s">
        <v>18167</v>
      </c>
      <c r="D1334" s="45"/>
      <c r="E1334" s="79" t="s">
        <v>5516</v>
      </c>
      <c r="F1334" s="79" t="s">
        <v>5300</v>
      </c>
      <c r="G1334" s="80" t="s">
        <v>96</v>
      </c>
      <c r="H1334" s="90">
        <v>2.475E-4</v>
      </c>
      <c r="I1334" s="45"/>
      <c r="J1334" s="45"/>
      <c r="K1334" s="45"/>
      <c r="L1334" s="45"/>
      <c r="M1334" s="45"/>
      <c r="N1334" s="45"/>
      <c r="O1334" s="45"/>
      <c r="P1334" s="45"/>
      <c r="Q1334" s="45"/>
      <c r="R1334" s="45"/>
      <c r="S1334" s="45"/>
      <c r="T1334" s="45"/>
      <c r="U1334" s="45"/>
    </row>
    <row r="1335">
      <c r="A1335" s="79" t="s">
        <v>18168</v>
      </c>
      <c r="B1335" s="45"/>
      <c r="C1335" s="79" t="s">
        <v>18169</v>
      </c>
      <c r="D1335" s="45"/>
      <c r="E1335" s="79" t="s">
        <v>6238</v>
      </c>
      <c r="F1335" s="79" t="s">
        <v>5300</v>
      </c>
      <c r="G1335" s="80" t="s">
        <v>96</v>
      </c>
      <c r="H1335" s="90">
        <v>2.475E-4</v>
      </c>
      <c r="I1335" s="45"/>
      <c r="J1335" s="45"/>
      <c r="K1335" s="45"/>
      <c r="L1335" s="45"/>
      <c r="M1335" s="45"/>
      <c r="N1335" s="45"/>
      <c r="O1335" s="45"/>
      <c r="P1335" s="45"/>
      <c r="Q1335" s="45"/>
      <c r="R1335" s="45"/>
      <c r="S1335" s="45"/>
      <c r="T1335" s="45"/>
      <c r="U1335" s="45"/>
    </row>
    <row r="1336">
      <c r="A1336" s="79" t="s">
        <v>18170</v>
      </c>
      <c r="B1336" s="45"/>
      <c r="C1336" s="79" t="s">
        <v>18171</v>
      </c>
      <c r="D1336" s="45"/>
      <c r="E1336" s="79" t="s">
        <v>8110</v>
      </c>
      <c r="F1336" s="79" t="s">
        <v>6988</v>
      </c>
      <c r="G1336" s="80" t="s">
        <v>96</v>
      </c>
      <c r="H1336" s="90">
        <v>2.464E-4</v>
      </c>
      <c r="I1336" s="45"/>
      <c r="J1336" s="45"/>
      <c r="K1336" s="45"/>
      <c r="L1336" s="45"/>
      <c r="M1336" s="45"/>
      <c r="N1336" s="45"/>
      <c r="O1336" s="45"/>
      <c r="P1336" s="45"/>
      <c r="Q1336" s="45"/>
      <c r="R1336" s="45"/>
      <c r="S1336" s="45"/>
      <c r="T1336" s="45"/>
      <c r="U1336" s="45"/>
    </row>
    <row r="1337">
      <c r="A1337" s="79" t="s">
        <v>18172</v>
      </c>
      <c r="B1337" s="45"/>
      <c r="C1337" s="79" t="s">
        <v>18173</v>
      </c>
      <c r="D1337" s="45"/>
      <c r="E1337" s="79" t="s">
        <v>6130</v>
      </c>
      <c r="F1337" s="79" t="s">
        <v>9513</v>
      </c>
      <c r="G1337" s="80" t="s">
        <v>96</v>
      </c>
      <c r="H1337" s="90">
        <v>2.464E-4</v>
      </c>
      <c r="I1337" s="45"/>
      <c r="J1337" s="45"/>
      <c r="K1337" s="45"/>
      <c r="L1337" s="45"/>
      <c r="M1337" s="45"/>
      <c r="N1337" s="45"/>
      <c r="O1337" s="45"/>
      <c r="P1337" s="45"/>
      <c r="Q1337" s="45"/>
      <c r="R1337" s="45"/>
      <c r="S1337" s="45"/>
      <c r="T1337" s="45"/>
      <c r="U1337" s="45"/>
    </row>
    <row r="1338">
      <c r="A1338" s="79" t="s">
        <v>18174</v>
      </c>
      <c r="B1338" s="45"/>
      <c r="C1338" s="79" t="s">
        <v>18175</v>
      </c>
      <c r="D1338" s="45"/>
      <c r="E1338" s="79" t="s">
        <v>5291</v>
      </c>
      <c r="F1338" s="79" t="s">
        <v>5300</v>
      </c>
      <c r="G1338" s="80" t="s">
        <v>96</v>
      </c>
      <c r="H1338" s="90">
        <v>2.462E-4</v>
      </c>
      <c r="I1338" s="45"/>
      <c r="J1338" s="45"/>
      <c r="K1338" s="45"/>
      <c r="L1338" s="45"/>
      <c r="M1338" s="45"/>
      <c r="N1338" s="45"/>
      <c r="O1338" s="45"/>
      <c r="P1338" s="45"/>
      <c r="Q1338" s="45"/>
      <c r="R1338" s="45"/>
      <c r="S1338" s="45"/>
      <c r="T1338" s="45"/>
      <c r="U1338" s="45"/>
    </row>
    <row r="1339">
      <c r="A1339" s="79" t="s">
        <v>18176</v>
      </c>
      <c r="B1339" s="45"/>
      <c r="C1339" s="79" t="s">
        <v>18177</v>
      </c>
      <c r="D1339" s="45"/>
      <c r="E1339" s="79" t="s">
        <v>5431</v>
      </c>
      <c r="F1339" s="79" t="s">
        <v>5300</v>
      </c>
      <c r="G1339" s="80" t="s">
        <v>96</v>
      </c>
      <c r="H1339" s="90">
        <v>2.457E-4</v>
      </c>
      <c r="I1339" s="45"/>
      <c r="J1339" s="45"/>
      <c r="K1339" s="45"/>
      <c r="L1339" s="45"/>
      <c r="M1339" s="45"/>
      <c r="N1339" s="45"/>
      <c r="O1339" s="45"/>
      <c r="P1339" s="45"/>
      <c r="Q1339" s="45"/>
      <c r="R1339" s="45"/>
      <c r="S1339" s="45"/>
      <c r="T1339" s="45"/>
      <c r="U1339" s="45"/>
    </row>
    <row r="1340">
      <c r="A1340" s="79" t="s">
        <v>18178</v>
      </c>
      <c r="B1340" s="45"/>
      <c r="C1340" s="79" t="s">
        <v>18179</v>
      </c>
      <c r="D1340" s="45"/>
      <c r="E1340" s="79" t="s">
        <v>6266</v>
      </c>
      <c r="F1340" s="79" t="s">
        <v>8784</v>
      </c>
      <c r="G1340" s="80" t="s">
        <v>96</v>
      </c>
      <c r="H1340" s="90">
        <v>2.457E-4</v>
      </c>
      <c r="I1340" s="45"/>
      <c r="J1340" s="45"/>
      <c r="K1340" s="45"/>
      <c r="L1340" s="45"/>
      <c r="M1340" s="45"/>
      <c r="N1340" s="45"/>
      <c r="O1340" s="45"/>
      <c r="P1340" s="45"/>
      <c r="Q1340" s="45"/>
      <c r="R1340" s="45"/>
      <c r="S1340" s="45"/>
      <c r="T1340" s="45"/>
      <c r="U1340" s="45"/>
    </row>
    <row r="1341">
      <c r="A1341" s="79" t="s">
        <v>18180</v>
      </c>
      <c r="B1341" s="45"/>
      <c r="C1341" s="79" t="s">
        <v>18181</v>
      </c>
      <c r="D1341" s="45"/>
      <c r="E1341" s="79" t="s">
        <v>5258</v>
      </c>
      <c r="F1341" s="79" t="s">
        <v>5836</v>
      </c>
      <c r="G1341" s="80" t="s">
        <v>96</v>
      </c>
      <c r="H1341" s="90">
        <v>2.455E-4</v>
      </c>
      <c r="I1341" s="45"/>
      <c r="J1341" s="45"/>
      <c r="K1341" s="45"/>
      <c r="L1341" s="45"/>
      <c r="M1341" s="45"/>
      <c r="N1341" s="45"/>
      <c r="O1341" s="45"/>
      <c r="P1341" s="45"/>
      <c r="Q1341" s="45"/>
      <c r="R1341" s="45"/>
      <c r="S1341" s="45"/>
      <c r="T1341" s="45"/>
      <c r="U1341" s="45"/>
    </row>
    <row r="1342">
      <c r="A1342" s="79" t="s">
        <v>18182</v>
      </c>
      <c r="B1342" s="45"/>
      <c r="C1342" s="79" t="s">
        <v>18183</v>
      </c>
      <c r="D1342" s="45"/>
      <c r="E1342" s="79" t="s">
        <v>5341</v>
      </c>
      <c r="F1342" s="79" t="s">
        <v>8784</v>
      </c>
      <c r="G1342" s="80" t="s">
        <v>96</v>
      </c>
      <c r="H1342" s="90">
        <v>2.452E-4</v>
      </c>
      <c r="I1342" s="45"/>
      <c r="J1342" s="45"/>
      <c r="K1342" s="45"/>
      <c r="L1342" s="45"/>
      <c r="M1342" s="45"/>
      <c r="N1342" s="45"/>
      <c r="O1342" s="45"/>
      <c r="P1342" s="45"/>
      <c r="Q1342" s="45"/>
      <c r="R1342" s="45"/>
      <c r="S1342" s="45"/>
      <c r="T1342" s="45"/>
      <c r="U1342" s="45"/>
    </row>
    <row r="1343">
      <c r="A1343" s="79" t="s">
        <v>18184</v>
      </c>
      <c r="B1343" s="45"/>
      <c r="C1343" s="79" t="s">
        <v>18185</v>
      </c>
      <c r="D1343" s="45"/>
      <c r="E1343" s="79" t="s">
        <v>5501</v>
      </c>
      <c r="F1343" s="79" t="s">
        <v>4095</v>
      </c>
      <c r="G1343" s="80" t="s">
        <v>96</v>
      </c>
      <c r="H1343" s="90">
        <v>2.452E-4</v>
      </c>
      <c r="I1343" s="45"/>
      <c r="J1343" s="45"/>
      <c r="K1343" s="45"/>
      <c r="L1343" s="45"/>
      <c r="M1343" s="45"/>
      <c r="N1343" s="45"/>
      <c r="O1343" s="45"/>
      <c r="P1343" s="45"/>
      <c r="Q1343" s="45"/>
      <c r="R1343" s="45"/>
      <c r="S1343" s="45"/>
      <c r="T1343" s="45"/>
      <c r="U1343" s="45"/>
    </row>
    <row r="1344">
      <c r="A1344" s="79" t="s">
        <v>18186</v>
      </c>
      <c r="B1344" s="45"/>
      <c r="C1344" s="79" t="s">
        <v>18187</v>
      </c>
      <c r="D1344" s="45"/>
      <c r="E1344" s="79" t="s">
        <v>5211</v>
      </c>
      <c r="F1344" s="79" t="s">
        <v>5836</v>
      </c>
      <c r="G1344" s="80" t="s">
        <v>96</v>
      </c>
      <c r="H1344" s="90">
        <v>2.451E-4</v>
      </c>
      <c r="I1344" s="45"/>
      <c r="J1344" s="45"/>
      <c r="K1344" s="45"/>
      <c r="L1344" s="45"/>
      <c r="M1344" s="45"/>
      <c r="N1344" s="45"/>
      <c r="O1344" s="45"/>
      <c r="P1344" s="45"/>
      <c r="Q1344" s="45"/>
      <c r="R1344" s="45"/>
      <c r="S1344" s="45"/>
      <c r="T1344" s="45"/>
      <c r="U1344" s="45"/>
    </row>
    <row r="1345">
      <c r="A1345" s="79" t="s">
        <v>18188</v>
      </c>
      <c r="B1345" s="45"/>
      <c r="C1345" s="79" t="s">
        <v>18189</v>
      </c>
      <c r="D1345" s="45"/>
      <c r="E1345" s="79" t="s">
        <v>7248</v>
      </c>
      <c r="F1345" s="79" t="s">
        <v>4357</v>
      </c>
      <c r="G1345" s="80" t="s">
        <v>96</v>
      </c>
      <c r="H1345" s="90">
        <v>2.449E-4</v>
      </c>
      <c r="I1345" s="45"/>
      <c r="J1345" s="45"/>
      <c r="K1345" s="45"/>
      <c r="L1345" s="45"/>
      <c r="M1345" s="45"/>
      <c r="N1345" s="45"/>
      <c r="O1345" s="45"/>
      <c r="P1345" s="45"/>
      <c r="Q1345" s="45"/>
      <c r="R1345" s="45"/>
      <c r="S1345" s="45"/>
      <c r="T1345" s="45"/>
      <c r="U1345" s="45"/>
    </row>
    <row r="1346">
      <c r="A1346" s="79" t="s">
        <v>18190</v>
      </c>
      <c r="B1346" s="45"/>
      <c r="C1346" s="79" t="s">
        <v>18191</v>
      </c>
      <c r="D1346" s="45"/>
      <c r="E1346" s="79" t="s">
        <v>5276</v>
      </c>
      <c r="F1346" s="79" t="s">
        <v>5300</v>
      </c>
      <c r="G1346" s="80" t="s">
        <v>96</v>
      </c>
      <c r="H1346" s="90">
        <v>2.442E-4</v>
      </c>
      <c r="I1346" s="45"/>
      <c r="J1346" s="45"/>
      <c r="K1346" s="45"/>
      <c r="L1346" s="45"/>
      <c r="M1346" s="45"/>
      <c r="N1346" s="45"/>
      <c r="O1346" s="45"/>
      <c r="P1346" s="45"/>
      <c r="Q1346" s="45"/>
      <c r="R1346" s="45"/>
      <c r="S1346" s="45"/>
      <c r="T1346" s="45"/>
      <c r="U1346" s="45"/>
    </row>
    <row r="1347">
      <c r="A1347" s="79" t="s">
        <v>18192</v>
      </c>
      <c r="B1347" s="45"/>
      <c r="C1347" s="79" t="s">
        <v>18193</v>
      </c>
      <c r="D1347" s="45"/>
      <c r="E1347" s="79" t="s">
        <v>7248</v>
      </c>
      <c r="F1347" s="79" t="s">
        <v>6210</v>
      </c>
      <c r="G1347" s="80" t="s">
        <v>96</v>
      </c>
      <c r="H1347" s="90">
        <v>2.442E-4</v>
      </c>
      <c r="I1347" s="45"/>
      <c r="J1347" s="45"/>
      <c r="K1347" s="45"/>
      <c r="L1347" s="45"/>
      <c r="M1347" s="45"/>
      <c r="N1347" s="45"/>
      <c r="O1347" s="45"/>
      <c r="P1347" s="45"/>
      <c r="Q1347" s="45"/>
      <c r="R1347" s="45"/>
      <c r="S1347" s="45"/>
      <c r="T1347" s="45"/>
      <c r="U1347" s="45"/>
    </row>
    <row r="1348">
      <c r="A1348" s="79" t="s">
        <v>11064</v>
      </c>
      <c r="B1348" s="45"/>
      <c r="C1348" s="79" t="s">
        <v>11065</v>
      </c>
      <c r="D1348" s="45"/>
      <c r="E1348" s="79" t="s">
        <v>5335</v>
      </c>
      <c r="F1348" s="79" t="s">
        <v>8784</v>
      </c>
      <c r="G1348" s="80" t="s">
        <v>96</v>
      </c>
      <c r="H1348" s="90">
        <v>2.44E-4</v>
      </c>
      <c r="I1348" s="45"/>
      <c r="J1348" s="45"/>
      <c r="K1348" s="45"/>
      <c r="L1348" s="45"/>
      <c r="M1348" s="45"/>
      <c r="N1348" s="45"/>
      <c r="O1348" s="45"/>
      <c r="P1348" s="45"/>
      <c r="Q1348" s="45"/>
      <c r="R1348" s="45"/>
      <c r="S1348" s="45"/>
      <c r="T1348" s="45"/>
      <c r="U1348" s="45"/>
    </row>
    <row r="1349">
      <c r="A1349" s="79" t="s">
        <v>6923</v>
      </c>
      <c r="B1349" s="45"/>
      <c r="C1349" s="79" t="s">
        <v>10742</v>
      </c>
      <c r="D1349" s="45"/>
      <c r="E1349" s="79" t="s">
        <v>5961</v>
      </c>
      <c r="F1349" s="79" t="s">
        <v>8784</v>
      </c>
      <c r="G1349" s="80" t="s">
        <v>96</v>
      </c>
      <c r="H1349" s="90">
        <v>2.44E-4</v>
      </c>
      <c r="I1349" s="45"/>
      <c r="J1349" s="45"/>
      <c r="K1349" s="45"/>
      <c r="L1349" s="45"/>
      <c r="M1349" s="45"/>
      <c r="N1349" s="45"/>
      <c r="O1349" s="45"/>
      <c r="P1349" s="45"/>
      <c r="Q1349" s="45"/>
      <c r="R1349" s="45"/>
      <c r="S1349" s="45"/>
      <c r="T1349" s="45"/>
      <c r="U1349" s="45"/>
    </row>
    <row r="1350">
      <c r="A1350" s="79" t="s">
        <v>18194</v>
      </c>
      <c r="B1350" s="45"/>
      <c r="C1350" s="79" t="s">
        <v>18195</v>
      </c>
      <c r="D1350" s="45"/>
      <c r="E1350" s="79" t="s">
        <v>5276</v>
      </c>
      <c r="F1350" s="79" t="s">
        <v>5425</v>
      </c>
      <c r="G1350" s="80" t="s">
        <v>96</v>
      </c>
      <c r="H1350" s="90">
        <v>2.44E-4</v>
      </c>
      <c r="I1350" s="45"/>
      <c r="J1350" s="45"/>
      <c r="K1350" s="45"/>
      <c r="L1350" s="45"/>
      <c r="M1350" s="45"/>
      <c r="N1350" s="45"/>
      <c r="O1350" s="45"/>
      <c r="P1350" s="45"/>
      <c r="Q1350" s="45"/>
      <c r="R1350" s="45"/>
      <c r="S1350" s="45"/>
      <c r="T1350" s="45"/>
      <c r="U1350" s="45"/>
    </row>
    <row r="1351">
      <c r="A1351" s="79" t="s">
        <v>18196</v>
      </c>
      <c r="B1351" s="45"/>
      <c r="C1351" s="79" t="s">
        <v>18197</v>
      </c>
      <c r="D1351" s="45"/>
      <c r="E1351" s="79" t="s">
        <v>5516</v>
      </c>
      <c r="F1351" s="79" t="s">
        <v>5836</v>
      </c>
      <c r="G1351" s="80" t="s">
        <v>96</v>
      </c>
      <c r="H1351" s="90">
        <v>2.439E-4</v>
      </c>
      <c r="I1351" s="45"/>
      <c r="J1351" s="45"/>
      <c r="K1351" s="45"/>
      <c r="L1351" s="45"/>
      <c r="M1351" s="45"/>
      <c r="N1351" s="45"/>
      <c r="O1351" s="45"/>
      <c r="P1351" s="45"/>
      <c r="Q1351" s="45"/>
      <c r="R1351" s="45"/>
      <c r="S1351" s="45"/>
      <c r="T1351" s="45"/>
      <c r="U1351" s="45"/>
    </row>
    <row r="1352">
      <c r="A1352" s="79" t="s">
        <v>18198</v>
      </c>
      <c r="B1352" s="45"/>
      <c r="C1352" s="79" t="s">
        <v>18199</v>
      </c>
      <c r="D1352" s="45"/>
      <c r="E1352" s="79" t="s">
        <v>5366</v>
      </c>
      <c r="F1352" s="79" t="s">
        <v>4153</v>
      </c>
      <c r="G1352" s="80" t="s">
        <v>96</v>
      </c>
      <c r="H1352" s="90">
        <v>2.439E-4</v>
      </c>
      <c r="I1352" s="45"/>
      <c r="J1352" s="45"/>
      <c r="K1352" s="45"/>
      <c r="L1352" s="45"/>
      <c r="M1352" s="45"/>
      <c r="N1352" s="45"/>
      <c r="O1352" s="45"/>
      <c r="P1352" s="45"/>
      <c r="Q1352" s="45"/>
      <c r="R1352" s="45"/>
      <c r="S1352" s="45"/>
      <c r="T1352" s="45"/>
      <c r="U1352" s="45"/>
    </row>
    <row r="1353">
      <c r="A1353" s="79" t="s">
        <v>18200</v>
      </c>
      <c r="B1353" s="45"/>
      <c r="C1353" s="79" t="s">
        <v>18201</v>
      </c>
      <c r="D1353" s="45"/>
      <c r="E1353" s="79" t="s">
        <v>5215</v>
      </c>
      <c r="F1353" s="79" t="s">
        <v>5425</v>
      </c>
      <c r="G1353" s="80" t="s">
        <v>96</v>
      </c>
      <c r="H1353" s="90">
        <v>2.439E-4</v>
      </c>
      <c r="I1353" s="45"/>
      <c r="J1353" s="45"/>
      <c r="K1353" s="45"/>
      <c r="L1353" s="45"/>
      <c r="M1353" s="45"/>
      <c r="N1353" s="45"/>
      <c r="O1353" s="45"/>
      <c r="P1353" s="45"/>
      <c r="Q1353" s="45"/>
      <c r="R1353" s="45"/>
      <c r="S1353" s="45"/>
      <c r="T1353" s="45"/>
      <c r="U1353" s="45"/>
    </row>
    <row r="1354">
      <c r="A1354" s="79" t="s">
        <v>18202</v>
      </c>
      <c r="B1354" s="45"/>
      <c r="C1354" s="79" t="s">
        <v>18203</v>
      </c>
      <c r="D1354" s="45"/>
      <c r="E1354" s="79" t="s">
        <v>5564</v>
      </c>
      <c r="F1354" s="79" t="s">
        <v>5300</v>
      </c>
      <c r="G1354" s="80" t="s">
        <v>96</v>
      </c>
      <c r="H1354" s="90">
        <v>2.436E-4</v>
      </c>
      <c r="I1354" s="45"/>
      <c r="J1354" s="45"/>
      <c r="K1354" s="45"/>
      <c r="L1354" s="45"/>
      <c r="M1354" s="45"/>
      <c r="N1354" s="45"/>
      <c r="O1354" s="45"/>
      <c r="P1354" s="45"/>
      <c r="Q1354" s="45"/>
      <c r="R1354" s="45"/>
      <c r="S1354" s="45"/>
      <c r="T1354" s="45"/>
      <c r="U1354" s="45"/>
    </row>
    <row r="1355">
      <c r="A1355" s="79" t="s">
        <v>10927</v>
      </c>
      <c r="B1355" s="45"/>
      <c r="C1355" s="79" t="s">
        <v>10928</v>
      </c>
      <c r="D1355" s="45"/>
      <c r="E1355" s="79" t="s">
        <v>5578</v>
      </c>
      <c r="F1355" s="79" t="s">
        <v>8784</v>
      </c>
      <c r="G1355" s="80" t="s">
        <v>96</v>
      </c>
      <c r="H1355" s="90">
        <v>2.43E-4</v>
      </c>
      <c r="I1355" s="45"/>
      <c r="J1355" s="45"/>
      <c r="K1355" s="45"/>
      <c r="L1355" s="45"/>
      <c r="M1355" s="45"/>
      <c r="N1355" s="45"/>
      <c r="O1355" s="45"/>
      <c r="P1355" s="45"/>
      <c r="Q1355" s="45"/>
      <c r="R1355" s="45"/>
      <c r="S1355" s="45"/>
      <c r="T1355" s="45"/>
      <c r="U1355" s="45"/>
    </row>
    <row r="1356">
      <c r="A1356" s="79" t="s">
        <v>10998</v>
      </c>
      <c r="B1356" s="45"/>
      <c r="C1356" s="79" t="s">
        <v>10999</v>
      </c>
      <c r="D1356" s="45"/>
      <c r="E1356" s="79" t="s">
        <v>5516</v>
      </c>
      <c r="F1356" s="79" t="s">
        <v>8784</v>
      </c>
      <c r="G1356" s="80" t="s">
        <v>96</v>
      </c>
      <c r="H1356" s="90">
        <v>2.425E-4</v>
      </c>
      <c r="I1356" s="45"/>
      <c r="J1356" s="45"/>
      <c r="K1356" s="45"/>
      <c r="L1356" s="45"/>
      <c r="M1356" s="45"/>
      <c r="N1356" s="45"/>
      <c r="O1356" s="45"/>
      <c r="P1356" s="45"/>
      <c r="Q1356" s="45"/>
      <c r="R1356" s="45"/>
      <c r="S1356" s="45"/>
      <c r="T1356" s="45"/>
      <c r="U1356" s="45"/>
    </row>
    <row r="1357">
      <c r="A1357" s="79" t="s">
        <v>18204</v>
      </c>
      <c r="B1357" s="45"/>
      <c r="C1357" s="79" t="s">
        <v>18205</v>
      </c>
      <c r="D1357" s="45"/>
      <c r="E1357" s="79" t="s">
        <v>6012</v>
      </c>
      <c r="F1357" s="79" t="s">
        <v>5425</v>
      </c>
      <c r="G1357" s="80" t="s">
        <v>96</v>
      </c>
      <c r="H1357" s="90">
        <v>2.425E-4</v>
      </c>
      <c r="I1357" s="45"/>
      <c r="J1357" s="45"/>
      <c r="K1357" s="45"/>
      <c r="L1357" s="45"/>
      <c r="M1357" s="45"/>
      <c r="N1357" s="45"/>
      <c r="O1357" s="45"/>
      <c r="P1357" s="45"/>
      <c r="Q1357" s="45"/>
      <c r="R1357" s="45"/>
      <c r="S1357" s="45"/>
      <c r="T1357" s="45"/>
      <c r="U1357" s="45"/>
    </row>
    <row r="1358">
      <c r="A1358" s="79" t="s">
        <v>18206</v>
      </c>
      <c r="B1358" s="45"/>
      <c r="C1358" s="79" t="s">
        <v>18207</v>
      </c>
      <c r="D1358" s="45"/>
      <c r="E1358" s="79" t="s">
        <v>6389</v>
      </c>
      <c r="F1358" s="79" t="s">
        <v>8784</v>
      </c>
      <c r="G1358" s="80" t="s">
        <v>96</v>
      </c>
      <c r="H1358" s="90">
        <v>2.422E-4</v>
      </c>
      <c r="I1358" s="45"/>
      <c r="J1358" s="45"/>
      <c r="K1358" s="45"/>
      <c r="L1358" s="45"/>
      <c r="M1358" s="45"/>
      <c r="N1358" s="45"/>
      <c r="O1358" s="45"/>
      <c r="P1358" s="45"/>
      <c r="Q1358" s="45"/>
      <c r="R1358" s="45"/>
      <c r="S1358" s="45"/>
      <c r="T1358" s="45"/>
      <c r="U1358" s="45"/>
    </row>
    <row r="1359">
      <c r="A1359" s="79" t="s">
        <v>18208</v>
      </c>
      <c r="B1359" s="45"/>
      <c r="C1359" s="79" t="s">
        <v>18209</v>
      </c>
      <c r="D1359" s="45"/>
      <c r="E1359" s="79" t="s">
        <v>5215</v>
      </c>
      <c r="F1359" s="79" t="s">
        <v>8759</v>
      </c>
      <c r="G1359" s="80" t="s">
        <v>96</v>
      </c>
      <c r="H1359" s="90">
        <v>2.421E-4</v>
      </c>
      <c r="I1359" s="45"/>
      <c r="J1359" s="45"/>
      <c r="K1359" s="45"/>
      <c r="L1359" s="45"/>
      <c r="M1359" s="45"/>
      <c r="N1359" s="45"/>
      <c r="O1359" s="45"/>
      <c r="P1359" s="45"/>
      <c r="Q1359" s="45"/>
      <c r="R1359" s="45"/>
      <c r="S1359" s="45"/>
      <c r="T1359" s="45"/>
      <c r="U1359" s="45"/>
    </row>
    <row r="1360">
      <c r="A1360" s="79" t="s">
        <v>5625</v>
      </c>
      <c r="B1360" s="45"/>
      <c r="C1360" s="79" t="s">
        <v>18210</v>
      </c>
      <c r="D1360" s="45"/>
      <c r="E1360" s="79" t="s">
        <v>5759</v>
      </c>
      <c r="F1360" s="79" t="s">
        <v>5300</v>
      </c>
      <c r="G1360" s="80" t="s">
        <v>96</v>
      </c>
      <c r="H1360" s="90">
        <v>2.42E-4</v>
      </c>
      <c r="I1360" s="45"/>
      <c r="J1360" s="45"/>
      <c r="K1360" s="45"/>
      <c r="L1360" s="45"/>
      <c r="M1360" s="45"/>
      <c r="N1360" s="45"/>
      <c r="O1360" s="45"/>
      <c r="P1360" s="45"/>
      <c r="Q1360" s="45"/>
      <c r="R1360" s="45"/>
      <c r="S1360" s="45"/>
      <c r="T1360" s="45"/>
      <c r="U1360" s="45"/>
    </row>
    <row r="1361">
      <c r="A1361" s="79" t="s">
        <v>18211</v>
      </c>
      <c r="B1361" s="45"/>
      <c r="C1361" s="79" t="s">
        <v>18212</v>
      </c>
      <c r="D1361" s="45"/>
      <c r="E1361" s="79" t="s">
        <v>5348</v>
      </c>
      <c r="F1361" s="79" t="s">
        <v>5300</v>
      </c>
      <c r="G1361" s="80" t="s">
        <v>96</v>
      </c>
      <c r="H1361" s="90">
        <v>2.42E-4</v>
      </c>
      <c r="I1361" s="45"/>
      <c r="J1361" s="45"/>
      <c r="K1361" s="45"/>
      <c r="L1361" s="45"/>
      <c r="M1361" s="45"/>
      <c r="N1361" s="45"/>
      <c r="O1361" s="45"/>
      <c r="P1361" s="45"/>
      <c r="Q1361" s="45"/>
      <c r="R1361" s="45"/>
      <c r="S1361" s="45"/>
      <c r="T1361" s="45"/>
      <c r="U1361" s="45"/>
    </row>
    <row r="1362">
      <c r="A1362" s="79" t="s">
        <v>18213</v>
      </c>
      <c r="B1362" s="45"/>
      <c r="C1362" s="79" t="s">
        <v>18214</v>
      </c>
      <c r="D1362" s="45"/>
      <c r="E1362" s="79" t="s">
        <v>5258</v>
      </c>
      <c r="F1362" s="79" t="s">
        <v>5836</v>
      </c>
      <c r="G1362" s="80" t="s">
        <v>96</v>
      </c>
      <c r="H1362" s="90">
        <v>2.418E-4</v>
      </c>
      <c r="I1362" s="45"/>
      <c r="J1362" s="45"/>
      <c r="K1362" s="45"/>
      <c r="L1362" s="45"/>
      <c r="M1362" s="45"/>
      <c r="N1362" s="45"/>
      <c r="O1362" s="45"/>
      <c r="P1362" s="45"/>
      <c r="Q1362" s="45"/>
      <c r="R1362" s="45"/>
      <c r="S1362" s="45"/>
      <c r="T1362" s="45"/>
      <c r="U1362" s="45"/>
    </row>
    <row r="1363">
      <c r="A1363" s="79" t="s">
        <v>18215</v>
      </c>
      <c r="B1363" s="45"/>
      <c r="C1363" s="79" t="s">
        <v>18216</v>
      </c>
      <c r="D1363" s="45"/>
      <c r="E1363" s="79" t="s">
        <v>7248</v>
      </c>
      <c r="F1363" s="79" t="s">
        <v>5836</v>
      </c>
      <c r="G1363" s="80" t="s">
        <v>96</v>
      </c>
      <c r="H1363" s="90">
        <v>2.415E-4</v>
      </c>
      <c r="I1363" s="45"/>
      <c r="J1363" s="45"/>
      <c r="K1363" s="45"/>
      <c r="L1363" s="45"/>
      <c r="M1363" s="45"/>
      <c r="N1363" s="45"/>
      <c r="O1363" s="45"/>
      <c r="P1363" s="45"/>
      <c r="Q1363" s="45"/>
      <c r="R1363" s="45"/>
      <c r="S1363" s="45"/>
      <c r="T1363" s="45"/>
      <c r="U1363" s="45"/>
    </row>
    <row r="1364">
      <c r="A1364" s="79" t="s">
        <v>18217</v>
      </c>
      <c r="B1364" s="45"/>
      <c r="C1364" s="79" t="s">
        <v>18218</v>
      </c>
      <c r="D1364" s="45"/>
      <c r="E1364" s="79" t="s">
        <v>5326</v>
      </c>
      <c r="F1364" s="79" t="s">
        <v>9513</v>
      </c>
      <c r="G1364" s="80" t="s">
        <v>96</v>
      </c>
      <c r="H1364" s="90">
        <v>2.41E-4</v>
      </c>
      <c r="I1364" s="45"/>
      <c r="J1364" s="45"/>
      <c r="K1364" s="45"/>
      <c r="L1364" s="45"/>
      <c r="M1364" s="45"/>
      <c r="N1364" s="45"/>
      <c r="O1364" s="45"/>
      <c r="P1364" s="45"/>
      <c r="Q1364" s="45"/>
      <c r="R1364" s="45"/>
      <c r="S1364" s="45"/>
      <c r="T1364" s="45"/>
      <c r="U1364" s="45"/>
    </row>
    <row r="1365">
      <c r="A1365" s="79" t="s">
        <v>17308</v>
      </c>
      <c r="B1365" s="45"/>
      <c r="C1365" s="79" t="s">
        <v>18219</v>
      </c>
      <c r="D1365" s="45"/>
      <c r="E1365" s="79" t="s">
        <v>5456</v>
      </c>
      <c r="F1365" s="79" t="s">
        <v>5425</v>
      </c>
      <c r="G1365" s="80" t="s">
        <v>96</v>
      </c>
      <c r="H1365" s="90">
        <v>2.403E-4</v>
      </c>
      <c r="I1365" s="45"/>
      <c r="J1365" s="45"/>
      <c r="K1365" s="45"/>
      <c r="L1365" s="45"/>
      <c r="M1365" s="45"/>
      <c r="N1365" s="45"/>
      <c r="O1365" s="45"/>
      <c r="P1365" s="45"/>
      <c r="Q1365" s="45"/>
      <c r="R1365" s="45"/>
      <c r="S1365" s="45"/>
      <c r="T1365" s="45"/>
      <c r="U1365" s="45"/>
    </row>
    <row r="1366">
      <c r="A1366" s="79" t="s">
        <v>18220</v>
      </c>
      <c r="B1366" s="45"/>
      <c r="C1366" s="79" t="s">
        <v>18221</v>
      </c>
      <c r="D1366" s="45"/>
      <c r="E1366" s="79" t="s">
        <v>5609</v>
      </c>
      <c r="F1366" s="79" t="s">
        <v>5425</v>
      </c>
      <c r="G1366" s="80" t="s">
        <v>96</v>
      </c>
      <c r="H1366" s="90">
        <v>2.402E-4</v>
      </c>
      <c r="I1366" s="45"/>
      <c r="J1366" s="45"/>
      <c r="K1366" s="45"/>
      <c r="L1366" s="45"/>
      <c r="M1366" s="45"/>
      <c r="N1366" s="45"/>
      <c r="O1366" s="45"/>
      <c r="P1366" s="45"/>
      <c r="Q1366" s="45"/>
      <c r="R1366" s="45"/>
      <c r="S1366" s="45"/>
      <c r="T1366" s="45"/>
      <c r="U1366" s="45"/>
    </row>
    <row r="1367">
      <c r="A1367" s="79" t="s">
        <v>11132</v>
      </c>
      <c r="B1367" s="45"/>
      <c r="C1367" s="79" t="s">
        <v>11133</v>
      </c>
      <c r="D1367" s="45"/>
      <c r="E1367" s="79" t="s">
        <v>5501</v>
      </c>
      <c r="F1367" s="79" t="s">
        <v>8784</v>
      </c>
      <c r="G1367" s="80" t="s">
        <v>96</v>
      </c>
      <c r="H1367" s="90">
        <v>2.402E-4</v>
      </c>
      <c r="I1367" s="45"/>
      <c r="J1367" s="45"/>
      <c r="K1367" s="45"/>
      <c r="L1367" s="45"/>
      <c r="M1367" s="45"/>
      <c r="N1367" s="45"/>
      <c r="O1367" s="45"/>
      <c r="P1367" s="45"/>
      <c r="Q1367" s="45"/>
      <c r="R1367" s="45"/>
      <c r="S1367" s="45"/>
      <c r="T1367" s="45"/>
      <c r="U1367" s="45"/>
    </row>
    <row r="1368">
      <c r="A1368" s="79" t="s">
        <v>18222</v>
      </c>
      <c r="B1368" s="45"/>
      <c r="C1368" s="79" t="s">
        <v>18223</v>
      </c>
      <c r="D1368" s="45"/>
      <c r="E1368" s="79" t="s">
        <v>5267</v>
      </c>
      <c r="F1368" s="79" t="s">
        <v>5300</v>
      </c>
      <c r="G1368" s="80" t="s">
        <v>96</v>
      </c>
      <c r="H1368" s="90">
        <v>2.398E-4</v>
      </c>
      <c r="I1368" s="45"/>
      <c r="J1368" s="45"/>
      <c r="K1368" s="45"/>
      <c r="L1368" s="45"/>
      <c r="M1368" s="45"/>
      <c r="N1368" s="45"/>
      <c r="O1368" s="45"/>
      <c r="P1368" s="45"/>
      <c r="Q1368" s="45"/>
      <c r="R1368" s="45"/>
      <c r="S1368" s="45"/>
      <c r="T1368" s="45"/>
      <c r="U1368" s="45"/>
    </row>
    <row r="1369">
      <c r="A1369" s="79" t="s">
        <v>18224</v>
      </c>
      <c r="B1369" s="45"/>
      <c r="C1369" s="79" t="s">
        <v>18225</v>
      </c>
      <c r="D1369" s="45"/>
      <c r="E1369" s="79" t="s">
        <v>5516</v>
      </c>
      <c r="F1369" s="79" t="s">
        <v>5425</v>
      </c>
      <c r="G1369" s="80" t="s">
        <v>96</v>
      </c>
      <c r="H1369" s="90">
        <v>2.398E-4</v>
      </c>
      <c r="I1369" s="45"/>
      <c r="J1369" s="45"/>
      <c r="K1369" s="45"/>
      <c r="L1369" s="45"/>
      <c r="M1369" s="45"/>
      <c r="N1369" s="45"/>
      <c r="O1369" s="45"/>
      <c r="P1369" s="45"/>
      <c r="Q1369" s="45"/>
      <c r="R1369" s="45"/>
      <c r="S1369" s="45"/>
      <c r="T1369" s="45"/>
      <c r="U1369" s="45"/>
    </row>
    <row r="1370">
      <c r="A1370" s="79" t="s">
        <v>18226</v>
      </c>
      <c r="B1370" s="45"/>
      <c r="C1370" s="79" t="s">
        <v>18227</v>
      </c>
      <c r="D1370" s="45"/>
      <c r="E1370" s="79" t="s">
        <v>5691</v>
      </c>
      <c r="F1370" s="79" t="s">
        <v>5300</v>
      </c>
      <c r="G1370" s="80" t="s">
        <v>96</v>
      </c>
      <c r="H1370" s="90">
        <v>2.393E-4</v>
      </c>
      <c r="I1370" s="45"/>
      <c r="J1370" s="45"/>
      <c r="K1370" s="45"/>
      <c r="L1370" s="45"/>
      <c r="M1370" s="45"/>
      <c r="N1370" s="45"/>
      <c r="O1370" s="45"/>
      <c r="P1370" s="45"/>
      <c r="Q1370" s="45"/>
      <c r="R1370" s="45"/>
      <c r="S1370" s="45"/>
      <c r="T1370" s="45"/>
      <c r="U1370" s="45"/>
    </row>
    <row r="1371">
      <c r="A1371" s="79" t="s">
        <v>11196</v>
      </c>
      <c r="B1371" s="45"/>
      <c r="C1371" s="79" t="s">
        <v>11197</v>
      </c>
      <c r="D1371" s="45"/>
      <c r="E1371" s="79" t="s">
        <v>5276</v>
      </c>
      <c r="F1371" s="79" t="s">
        <v>8784</v>
      </c>
      <c r="G1371" s="80" t="s">
        <v>96</v>
      </c>
      <c r="H1371" s="90">
        <v>2.392E-4</v>
      </c>
      <c r="I1371" s="45"/>
      <c r="J1371" s="45"/>
      <c r="K1371" s="45"/>
      <c r="L1371" s="45"/>
      <c r="M1371" s="45"/>
      <c r="N1371" s="45"/>
      <c r="O1371" s="45"/>
      <c r="P1371" s="45"/>
      <c r="Q1371" s="45"/>
      <c r="R1371" s="45"/>
      <c r="S1371" s="45"/>
      <c r="T1371" s="45"/>
      <c r="U1371" s="45"/>
    </row>
    <row r="1372">
      <c r="A1372" s="79" t="s">
        <v>10758</v>
      </c>
      <c r="B1372" s="45"/>
      <c r="C1372" s="79" t="s">
        <v>10759</v>
      </c>
      <c r="D1372" s="45"/>
      <c r="E1372" s="79" t="s">
        <v>5215</v>
      </c>
      <c r="F1372" s="79" t="s">
        <v>8784</v>
      </c>
      <c r="G1372" s="80" t="s">
        <v>96</v>
      </c>
      <c r="H1372" s="90">
        <v>2.384E-4</v>
      </c>
      <c r="I1372" s="45"/>
      <c r="J1372" s="45"/>
      <c r="K1372" s="45"/>
      <c r="L1372" s="45"/>
      <c r="M1372" s="45"/>
      <c r="N1372" s="45"/>
      <c r="O1372" s="45"/>
      <c r="P1372" s="45"/>
      <c r="Q1372" s="45"/>
      <c r="R1372" s="45"/>
      <c r="S1372" s="45"/>
      <c r="T1372" s="45"/>
      <c r="U1372" s="45"/>
    </row>
    <row r="1373">
      <c r="A1373" s="79" t="s">
        <v>18228</v>
      </c>
      <c r="B1373" s="45"/>
      <c r="C1373" s="79" t="s">
        <v>18229</v>
      </c>
      <c r="D1373" s="45"/>
      <c r="E1373" s="79" t="s">
        <v>7846</v>
      </c>
      <c r="F1373" s="79" t="s">
        <v>5300</v>
      </c>
      <c r="G1373" s="80" t="s">
        <v>96</v>
      </c>
      <c r="H1373" s="90">
        <v>2.374E-4</v>
      </c>
      <c r="I1373" s="45"/>
      <c r="J1373" s="45"/>
      <c r="K1373" s="45"/>
      <c r="L1373" s="45"/>
      <c r="M1373" s="45"/>
      <c r="N1373" s="45"/>
      <c r="O1373" s="45"/>
      <c r="P1373" s="45"/>
      <c r="Q1373" s="45"/>
      <c r="R1373" s="45"/>
      <c r="S1373" s="45"/>
      <c r="T1373" s="45"/>
      <c r="U1373" s="45"/>
    </row>
    <row r="1374">
      <c r="A1374" s="79" t="s">
        <v>18230</v>
      </c>
      <c r="B1374" s="45"/>
      <c r="C1374" s="79" t="s">
        <v>18231</v>
      </c>
      <c r="D1374" s="45"/>
      <c r="E1374" s="79" t="s">
        <v>5211</v>
      </c>
      <c r="F1374" s="79" t="s">
        <v>5836</v>
      </c>
      <c r="G1374" s="80" t="s">
        <v>96</v>
      </c>
      <c r="H1374" s="90">
        <v>2.373E-4</v>
      </c>
      <c r="I1374" s="45"/>
      <c r="J1374" s="45"/>
      <c r="K1374" s="45"/>
      <c r="L1374" s="45"/>
      <c r="M1374" s="45"/>
      <c r="N1374" s="45"/>
      <c r="O1374" s="45"/>
      <c r="P1374" s="45"/>
      <c r="Q1374" s="45"/>
      <c r="R1374" s="45"/>
      <c r="S1374" s="45"/>
      <c r="T1374" s="45"/>
      <c r="U1374" s="45"/>
    </row>
    <row r="1375">
      <c r="A1375" s="79" t="s">
        <v>18232</v>
      </c>
      <c r="B1375" s="45"/>
      <c r="C1375" s="79" t="s">
        <v>18233</v>
      </c>
      <c r="D1375" s="45"/>
      <c r="E1375" s="79" t="s">
        <v>6514</v>
      </c>
      <c r="F1375" s="79" t="s">
        <v>5300</v>
      </c>
      <c r="G1375" s="80" t="s">
        <v>96</v>
      </c>
      <c r="H1375" s="90">
        <v>2.371E-4</v>
      </c>
      <c r="I1375" s="45"/>
      <c r="J1375" s="45"/>
      <c r="K1375" s="45"/>
      <c r="L1375" s="45"/>
      <c r="M1375" s="45"/>
      <c r="N1375" s="45"/>
      <c r="O1375" s="45"/>
      <c r="P1375" s="45"/>
      <c r="Q1375" s="45"/>
      <c r="R1375" s="45"/>
      <c r="S1375" s="45"/>
      <c r="T1375" s="45"/>
      <c r="U1375" s="45"/>
    </row>
    <row r="1376">
      <c r="A1376" s="79" t="s">
        <v>18234</v>
      </c>
      <c r="B1376" s="45"/>
      <c r="C1376" s="79" t="s">
        <v>18235</v>
      </c>
      <c r="D1376" s="45"/>
      <c r="E1376" s="79" t="s">
        <v>5456</v>
      </c>
      <c r="F1376" s="79" t="s">
        <v>5300</v>
      </c>
      <c r="G1376" s="80" t="s">
        <v>96</v>
      </c>
      <c r="H1376" s="90">
        <v>2.37E-4</v>
      </c>
      <c r="I1376" s="45"/>
      <c r="J1376" s="45"/>
      <c r="K1376" s="45"/>
      <c r="L1376" s="45"/>
      <c r="M1376" s="45"/>
      <c r="N1376" s="45"/>
      <c r="O1376" s="45"/>
      <c r="P1376" s="45"/>
      <c r="Q1376" s="45"/>
      <c r="R1376" s="45"/>
      <c r="S1376" s="45"/>
      <c r="T1376" s="45"/>
      <c r="U1376" s="45"/>
    </row>
    <row r="1377">
      <c r="A1377" s="79" t="s">
        <v>18236</v>
      </c>
      <c r="B1377" s="45"/>
      <c r="C1377" s="79" t="s">
        <v>18237</v>
      </c>
      <c r="D1377" s="45"/>
      <c r="E1377" s="79" t="s">
        <v>5218</v>
      </c>
      <c r="F1377" s="79" t="s">
        <v>5300</v>
      </c>
      <c r="G1377" s="80" t="s">
        <v>96</v>
      </c>
      <c r="H1377" s="90">
        <v>2.369E-4</v>
      </c>
      <c r="I1377" s="45"/>
      <c r="J1377" s="45"/>
      <c r="K1377" s="45"/>
      <c r="L1377" s="45"/>
      <c r="M1377" s="45"/>
      <c r="N1377" s="45"/>
      <c r="O1377" s="45"/>
      <c r="P1377" s="45"/>
      <c r="Q1377" s="45"/>
      <c r="R1377" s="45"/>
      <c r="S1377" s="45"/>
      <c r="T1377" s="45"/>
      <c r="U1377" s="45"/>
    </row>
    <row r="1378">
      <c r="A1378" s="79" t="s">
        <v>18238</v>
      </c>
      <c r="B1378" s="45"/>
      <c r="C1378" s="79" t="s">
        <v>18239</v>
      </c>
      <c r="D1378" s="45"/>
      <c r="E1378" s="79" t="s">
        <v>8154</v>
      </c>
      <c r="F1378" s="79" t="s">
        <v>8759</v>
      </c>
      <c r="G1378" s="80" t="s">
        <v>96</v>
      </c>
      <c r="H1378" s="90">
        <v>2.366E-4</v>
      </c>
      <c r="I1378" s="45"/>
      <c r="J1378" s="45"/>
      <c r="K1378" s="45"/>
      <c r="L1378" s="45"/>
      <c r="M1378" s="45"/>
      <c r="N1378" s="45"/>
      <c r="O1378" s="45"/>
      <c r="P1378" s="45"/>
      <c r="Q1378" s="45"/>
      <c r="R1378" s="45"/>
      <c r="S1378" s="45"/>
      <c r="T1378" s="45"/>
      <c r="U1378" s="45"/>
    </row>
    <row r="1379">
      <c r="A1379" s="79" t="s">
        <v>18240</v>
      </c>
      <c r="B1379" s="45"/>
      <c r="C1379" s="79" t="s">
        <v>18241</v>
      </c>
      <c r="D1379" s="45"/>
      <c r="E1379" s="79" t="s">
        <v>5501</v>
      </c>
      <c r="F1379" s="79" t="s">
        <v>5300</v>
      </c>
      <c r="G1379" s="80" t="s">
        <v>96</v>
      </c>
      <c r="H1379" s="90">
        <v>2.365E-4</v>
      </c>
      <c r="I1379" s="45"/>
      <c r="J1379" s="45"/>
      <c r="K1379" s="45"/>
      <c r="L1379" s="45"/>
      <c r="M1379" s="45"/>
      <c r="N1379" s="45"/>
      <c r="O1379" s="45"/>
      <c r="P1379" s="45"/>
      <c r="Q1379" s="45"/>
      <c r="R1379" s="45"/>
      <c r="S1379" s="45"/>
      <c r="T1379" s="45"/>
      <c r="U1379" s="45"/>
    </row>
    <row r="1380">
      <c r="A1380" s="79" t="s">
        <v>6030</v>
      </c>
      <c r="B1380" s="45"/>
      <c r="C1380" s="79" t="s">
        <v>10937</v>
      </c>
      <c r="D1380" s="45"/>
      <c r="E1380" s="79" t="s">
        <v>5434</v>
      </c>
      <c r="F1380" s="79" t="s">
        <v>8784</v>
      </c>
      <c r="G1380" s="80" t="s">
        <v>96</v>
      </c>
      <c r="H1380" s="90">
        <v>2.364E-4</v>
      </c>
      <c r="I1380" s="45"/>
      <c r="J1380" s="45"/>
      <c r="K1380" s="45"/>
      <c r="L1380" s="45"/>
      <c r="M1380" s="45"/>
      <c r="N1380" s="45"/>
      <c r="O1380" s="45"/>
      <c r="P1380" s="45"/>
      <c r="Q1380" s="45"/>
      <c r="R1380" s="45"/>
      <c r="S1380" s="45"/>
      <c r="T1380" s="45"/>
      <c r="U1380" s="45"/>
    </row>
    <row r="1381">
      <c r="A1381" s="79" t="s">
        <v>18242</v>
      </c>
      <c r="B1381" s="45"/>
      <c r="C1381" s="79" t="s">
        <v>18243</v>
      </c>
      <c r="D1381" s="45"/>
      <c r="E1381" s="79" t="s">
        <v>5264</v>
      </c>
      <c r="F1381" s="79" t="s">
        <v>5300</v>
      </c>
      <c r="G1381" s="80" t="s">
        <v>96</v>
      </c>
      <c r="H1381" s="90">
        <v>2.36E-4</v>
      </c>
      <c r="I1381" s="45"/>
      <c r="J1381" s="45"/>
      <c r="K1381" s="45"/>
      <c r="L1381" s="45"/>
      <c r="M1381" s="45"/>
      <c r="N1381" s="45"/>
      <c r="O1381" s="45"/>
      <c r="P1381" s="45"/>
      <c r="Q1381" s="45"/>
      <c r="R1381" s="45"/>
      <c r="S1381" s="45"/>
      <c r="T1381" s="45"/>
      <c r="U1381" s="45"/>
    </row>
    <row r="1382">
      <c r="A1382" s="79" t="s">
        <v>18244</v>
      </c>
      <c r="B1382" s="45"/>
      <c r="C1382" s="79" t="s">
        <v>18245</v>
      </c>
      <c r="D1382" s="45"/>
      <c r="E1382" s="79" t="s">
        <v>5989</v>
      </c>
      <c r="F1382" s="79" t="s">
        <v>5300</v>
      </c>
      <c r="G1382" s="80" t="s">
        <v>96</v>
      </c>
      <c r="H1382" s="90">
        <v>2.359E-4</v>
      </c>
      <c r="I1382" s="45"/>
      <c r="J1382" s="45"/>
      <c r="K1382" s="45"/>
      <c r="L1382" s="45"/>
      <c r="M1382" s="45"/>
      <c r="N1382" s="45"/>
      <c r="O1382" s="45"/>
      <c r="P1382" s="45"/>
      <c r="Q1382" s="45"/>
      <c r="R1382" s="45"/>
      <c r="S1382" s="45"/>
      <c r="T1382" s="45"/>
      <c r="U1382" s="45"/>
    </row>
    <row r="1383">
      <c r="A1383" s="79" t="s">
        <v>18246</v>
      </c>
      <c r="B1383" s="45"/>
      <c r="C1383" s="79" t="s">
        <v>18247</v>
      </c>
      <c r="D1383" s="45"/>
      <c r="E1383" s="79" t="s">
        <v>5366</v>
      </c>
      <c r="F1383" s="79" t="s">
        <v>8784</v>
      </c>
      <c r="G1383" s="80" t="s">
        <v>96</v>
      </c>
      <c r="H1383" s="90">
        <v>2.359E-4</v>
      </c>
      <c r="I1383" s="45"/>
      <c r="J1383" s="45"/>
      <c r="K1383" s="45"/>
      <c r="L1383" s="45"/>
      <c r="M1383" s="45"/>
      <c r="N1383" s="45"/>
      <c r="O1383" s="45"/>
      <c r="P1383" s="45"/>
      <c r="Q1383" s="45"/>
      <c r="R1383" s="45"/>
      <c r="S1383" s="45"/>
      <c r="T1383" s="45"/>
      <c r="U1383" s="45"/>
    </row>
    <row r="1384">
      <c r="A1384" s="79" t="s">
        <v>18248</v>
      </c>
      <c r="B1384" s="45"/>
      <c r="C1384" s="79" t="s">
        <v>18249</v>
      </c>
      <c r="D1384" s="45"/>
      <c r="E1384" s="79" t="s">
        <v>5366</v>
      </c>
      <c r="F1384" s="79" t="s">
        <v>5941</v>
      </c>
      <c r="G1384" s="80" t="s">
        <v>96</v>
      </c>
      <c r="H1384" s="90">
        <v>2.359E-4</v>
      </c>
      <c r="I1384" s="45"/>
      <c r="J1384" s="45"/>
      <c r="K1384" s="45"/>
      <c r="L1384" s="45"/>
      <c r="M1384" s="45"/>
      <c r="N1384" s="45"/>
      <c r="O1384" s="45"/>
      <c r="P1384" s="45"/>
      <c r="Q1384" s="45"/>
      <c r="R1384" s="45"/>
      <c r="S1384" s="45"/>
      <c r="T1384" s="45"/>
      <c r="U1384" s="45"/>
    </row>
    <row r="1385">
      <c r="A1385" s="79" t="s">
        <v>10772</v>
      </c>
      <c r="B1385" s="45"/>
      <c r="C1385" s="79" t="s">
        <v>10773</v>
      </c>
      <c r="D1385" s="45"/>
      <c r="E1385" s="79" t="s">
        <v>5374</v>
      </c>
      <c r="F1385" s="79" t="s">
        <v>8784</v>
      </c>
      <c r="G1385" s="80" t="s">
        <v>96</v>
      </c>
      <c r="H1385" s="90">
        <v>2.358E-4</v>
      </c>
      <c r="I1385" s="45"/>
      <c r="J1385" s="45"/>
      <c r="K1385" s="45"/>
      <c r="L1385" s="45"/>
      <c r="M1385" s="45"/>
      <c r="N1385" s="45"/>
      <c r="O1385" s="45"/>
      <c r="P1385" s="45"/>
      <c r="Q1385" s="45"/>
      <c r="R1385" s="45"/>
      <c r="S1385" s="45"/>
      <c r="T1385" s="45"/>
      <c r="U1385" s="45"/>
    </row>
    <row r="1386">
      <c r="A1386" s="79" t="s">
        <v>18250</v>
      </c>
      <c r="B1386" s="45"/>
      <c r="C1386" s="79" t="s">
        <v>18251</v>
      </c>
      <c r="D1386" s="45"/>
      <c r="E1386" s="79" t="s">
        <v>5756</v>
      </c>
      <c r="F1386" s="79" t="s">
        <v>6210</v>
      </c>
      <c r="G1386" s="80" t="s">
        <v>96</v>
      </c>
      <c r="H1386" s="90">
        <v>2.355E-4</v>
      </c>
      <c r="I1386" s="45"/>
      <c r="J1386" s="45"/>
      <c r="K1386" s="45"/>
      <c r="L1386" s="45"/>
      <c r="M1386" s="45"/>
      <c r="N1386" s="45"/>
      <c r="O1386" s="45"/>
      <c r="P1386" s="45"/>
      <c r="Q1386" s="45"/>
      <c r="R1386" s="45"/>
      <c r="S1386" s="45"/>
      <c r="T1386" s="45"/>
      <c r="U1386" s="45"/>
    </row>
    <row r="1387">
      <c r="A1387" s="79" t="s">
        <v>18252</v>
      </c>
      <c r="B1387" s="45"/>
      <c r="C1387" s="79" t="s">
        <v>18253</v>
      </c>
      <c r="D1387" s="45"/>
      <c r="E1387" s="79" t="s">
        <v>7476</v>
      </c>
      <c r="F1387" s="79" t="s">
        <v>5300</v>
      </c>
      <c r="G1387" s="80" t="s">
        <v>96</v>
      </c>
      <c r="H1387" s="90">
        <v>2.355E-4</v>
      </c>
      <c r="I1387" s="45"/>
      <c r="J1387" s="45"/>
      <c r="K1387" s="45"/>
      <c r="L1387" s="45"/>
      <c r="M1387" s="45"/>
      <c r="N1387" s="45"/>
      <c r="O1387" s="45"/>
      <c r="P1387" s="45"/>
      <c r="Q1387" s="45"/>
      <c r="R1387" s="45"/>
      <c r="S1387" s="45"/>
      <c r="T1387" s="45"/>
      <c r="U1387" s="45"/>
    </row>
    <row r="1388">
      <c r="A1388" s="79" t="s">
        <v>18254</v>
      </c>
      <c r="B1388" s="45"/>
      <c r="C1388" s="79" t="s">
        <v>18255</v>
      </c>
      <c r="D1388" s="45"/>
      <c r="E1388" s="79" t="s">
        <v>5326</v>
      </c>
      <c r="F1388" s="79" t="s">
        <v>5300</v>
      </c>
      <c r="G1388" s="80" t="s">
        <v>96</v>
      </c>
      <c r="H1388" s="90">
        <v>2.354E-4</v>
      </c>
      <c r="I1388" s="45"/>
      <c r="J1388" s="45"/>
      <c r="K1388" s="45"/>
      <c r="L1388" s="45"/>
      <c r="M1388" s="45"/>
      <c r="N1388" s="45"/>
      <c r="O1388" s="45"/>
      <c r="P1388" s="45"/>
      <c r="Q1388" s="45"/>
      <c r="R1388" s="45"/>
      <c r="S1388" s="45"/>
      <c r="T1388" s="45"/>
      <c r="U1388" s="45"/>
    </row>
    <row r="1389">
      <c r="A1389" s="79" t="s">
        <v>18256</v>
      </c>
      <c r="B1389" s="45"/>
      <c r="C1389" s="79" t="s">
        <v>18257</v>
      </c>
      <c r="D1389" s="45"/>
      <c r="E1389" s="79" t="s">
        <v>5215</v>
      </c>
      <c r="F1389" s="79" t="s">
        <v>8784</v>
      </c>
      <c r="G1389" s="80" t="s">
        <v>96</v>
      </c>
      <c r="H1389" s="90">
        <v>2.354E-4</v>
      </c>
      <c r="I1389" s="45"/>
      <c r="J1389" s="45"/>
      <c r="K1389" s="45"/>
      <c r="L1389" s="45"/>
      <c r="M1389" s="45"/>
      <c r="N1389" s="45"/>
      <c r="O1389" s="45"/>
      <c r="P1389" s="45"/>
      <c r="Q1389" s="45"/>
      <c r="R1389" s="45"/>
      <c r="S1389" s="45"/>
      <c r="T1389" s="45"/>
      <c r="U1389" s="45"/>
    </row>
    <row r="1390">
      <c r="A1390" s="79" t="s">
        <v>18258</v>
      </c>
      <c r="B1390" s="45"/>
      <c r="C1390" s="79" t="s">
        <v>18259</v>
      </c>
      <c r="D1390" s="45"/>
      <c r="E1390" s="79" t="s">
        <v>5641</v>
      </c>
      <c r="F1390" s="79" t="s">
        <v>5836</v>
      </c>
      <c r="G1390" s="80" t="s">
        <v>96</v>
      </c>
      <c r="H1390" s="90">
        <v>2.35E-4</v>
      </c>
      <c r="I1390" s="45"/>
      <c r="J1390" s="45"/>
      <c r="K1390" s="45"/>
      <c r="L1390" s="45"/>
      <c r="M1390" s="45"/>
      <c r="N1390" s="45"/>
      <c r="O1390" s="45"/>
      <c r="P1390" s="45"/>
      <c r="Q1390" s="45"/>
      <c r="R1390" s="45"/>
      <c r="S1390" s="45"/>
      <c r="T1390" s="45"/>
      <c r="U1390" s="45"/>
    </row>
    <row r="1391">
      <c r="A1391" s="79" t="s">
        <v>18260</v>
      </c>
      <c r="B1391" s="45"/>
      <c r="C1391" s="79" t="s">
        <v>18261</v>
      </c>
      <c r="D1391" s="45"/>
      <c r="E1391" s="79" t="s">
        <v>5390</v>
      </c>
      <c r="F1391" s="79" t="s">
        <v>5300</v>
      </c>
      <c r="G1391" s="80" t="s">
        <v>96</v>
      </c>
      <c r="H1391" s="90">
        <v>2.345E-4</v>
      </c>
      <c r="I1391" s="45"/>
      <c r="J1391" s="45"/>
      <c r="K1391" s="45"/>
      <c r="L1391" s="45"/>
      <c r="M1391" s="45"/>
      <c r="N1391" s="45"/>
      <c r="O1391" s="45"/>
      <c r="P1391" s="45"/>
      <c r="Q1391" s="45"/>
      <c r="R1391" s="45"/>
      <c r="S1391" s="45"/>
      <c r="T1391" s="45"/>
      <c r="U1391" s="45"/>
    </row>
    <row r="1392">
      <c r="A1392" s="79" t="s">
        <v>18262</v>
      </c>
      <c r="B1392" s="45"/>
      <c r="C1392" s="79" t="s">
        <v>18263</v>
      </c>
      <c r="D1392" s="45"/>
      <c r="E1392" s="79" t="s">
        <v>6040</v>
      </c>
      <c r="F1392" s="79" t="s">
        <v>5425</v>
      </c>
      <c r="G1392" s="80" t="s">
        <v>96</v>
      </c>
      <c r="H1392" s="90">
        <v>2.344E-4</v>
      </c>
      <c r="I1392" s="45"/>
      <c r="J1392" s="45"/>
      <c r="K1392" s="45"/>
      <c r="L1392" s="45"/>
      <c r="M1392" s="45"/>
      <c r="N1392" s="45"/>
      <c r="O1392" s="45"/>
      <c r="P1392" s="45"/>
      <c r="Q1392" s="45"/>
      <c r="R1392" s="45"/>
      <c r="S1392" s="45"/>
      <c r="T1392" s="45"/>
      <c r="U1392" s="45"/>
    </row>
    <row r="1393">
      <c r="A1393" s="79" t="s">
        <v>18264</v>
      </c>
      <c r="B1393" s="45"/>
      <c r="C1393" s="79" t="s">
        <v>18265</v>
      </c>
      <c r="D1393" s="45"/>
      <c r="E1393" s="79" t="s">
        <v>5326</v>
      </c>
      <c r="F1393" s="79" t="s">
        <v>5300</v>
      </c>
      <c r="G1393" s="80" t="s">
        <v>96</v>
      </c>
      <c r="H1393" s="90">
        <v>2.343E-4</v>
      </c>
      <c r="I1393" s="45"/>
      <c r="J1393" s="45"/>
      <c r="K1393" s="45"/>
      <c r="L1393" s="45"/>
      <c r="M1393" s="45"/>
      <c r="N1393" s="45"/>
      <c r="O1393" s="45"/>
      <c r="P1393" s="45"/>
      <c r="Q1393" s="45"/>
      <c r="R1393" s="45"/>
      <c r="S1393" s="45"/>
      <c r="T1393" s="45"/>
      <c r="U1393" s="45"/>
    </row>
    <row r="1394">
      <c r="A1394" s="79" t="s">
        <v>18266</v>
      </c>
      <c r="B1394" s="45"/>
      <c r="C1394" s="79" t="s">
        <v>18267</v>
      </c>
      <c r="D1394" s="45"/>
      <c r="E1394" s="79" t="s">
        <v>5422</v>
      </c>
      <c r="F1394" s="79" t="s">
        <v>8784</v>
      </c>
      <c r="G1394" s="80" t="s">
        <v>96</v>
      </c>
      <c r="H1394" s="90">
        <v>2.342E-4</v>
      </c>
      <c r="I1394" s="45"/>
      <c r="J1394" s="45"/>
      <c r="K1394" s="45"/>
      <c r="L1394" s="45"/>
      <c r="M1394" s="45"/>
      <c r="N1394" s="45"/>
      <c r="O1394" s="45"/>
      <c r="P1394" s="45"/>
      <c r="Q1394" s="45"/>
      <c r="R1394" s="45"/>
      <c r="S1394" s="45"/>
      <c r="T1394" s="45"/>
      <c r="U1394" s="45"/>
    </row>
    <row r="1395">
      <c r="A1395" s="79" t="s">
        <v>18268</v>
      </c>
      <c r="B1395" s="45"/>
      <c r="C1395" s="79" t="s">
        <v>18269</v>
      </c>
      <c r="D1395" s="45"/>
      <c r="E1395" s="79" t="s">
        <v>5756</v>
      </c>
      <c r="F1395" s="79" t="s">
        <v>8767</v>
      </c>
      <c r="G1395" s="80" t="s">
        <v>96</v>
      </c>
      <c r="H1395" s="90">
        <v>2.338E-4</v>
      </c>
      <c r="I1395" s="45"/>
      <c r="J1395" s="45"/>
      <c r="K1395" s="45"/>
      <c r="L1395" s="45"/>
      <c r="M1395" s="45"/>
      <c r="N1395" s="45"/>
      <c r="O1395" s="45"/>
      <c r="P1395" s="45"/>
      <c r="Q1395" s="45"/>
      <c r="R1395" s="45"/>
      <c r="S1395" s="45"/>
      <c r="T1395" s="45"/>
      <c r="U1395" s="45"/>
    </row>
    <row r="1396">
      <c r="A1396" s="79" t="s">
        <v>18270</v>
      </c>
      <c r="B1396" s="45"/>
      <c r="C1396" s="79" t="s">
        <v>18271</v>
      </c>
      <c r="D1396" s="45"/>
      <c r="E1396" s="79" t="s">
        <v>5407</v>
      </c>
      <c r="F1396" s="79" t="s">
        <v>5300</v>
      </c>
      <c r="G1396" s="80" t="s">
        <v>96</v>
      </c>
      <c r="H1396" s="90">
        <v>2.336E-4</v>
      </c>
      <c r="I1396" s="45"/>
      <c r="J1396" s="45"/>
      <c r="K1396" s="45"/>
      <c r="L1396" s="45"/>
      <c r="M1396" s="45"/>
      <c r="N1396" s="45"/>
      <c r="O1396" s="45"/>
      <c r="P1396" s="45"/>
      <c r="Q1396" s="45"/>
      <c r="R1396" s="45"/>
      <c r="S1396" s="45"/>
      <c r="T1396" s="45"/>
      <c r="U1396" s="45"/>
    </row>
    <row r="1397">
      <c r="A1397" s="79" t="s">
        <v>18272</v>
      </c>
      <c r="B1397" s="45"/>
      <c r="C1397" s="79" t="s">
        <v>18273</v>
      </c>
      <c r="D1397" s="45"/>
      <c r="E1397" s="79" t="s">
        <v>5215</v>
      </c>
      <c r="F1397" s="79" t="s">
        <v>8759</v>
      </c>
      <c r="G1397" s="80" t="s">
        <v>96</v>
      </c>
      <c r="H1397" s="90">
        <v>2.335E-4</v>
      </c>
      <c r="I1397" s="45"/>
      <c r="J1397" s="45"/>
      <c r="K1397" s="45"/>
      <c r="L1397" s="45"/>
      <c r="M1397" s="45"/>
      <c r="N1397" s="45"/>
      <c r="O1397" s="45"/>
      <c r="P1397" s="45"/>
      <c r="Q1397" s="45"/>
      <c r="R1397" s="45"/>
      <c r="S1397" s="45"/>
      <c r="T1397" s="45"/>
      <c r="U1397" s="45"/>
    </row>
    <row r="1398">
      <c r="A1398" s="79" t="s">
        <v>18274</v>
      </c>
      <c r="B1398" s="45"/>
      <c r="C1398" s="79" t="s">
        <v>18275</v>
      </c>
      <c r="D1398" s="45"/>
      <c r="E1398" s="79" t="s">
        <v>5267</v>
      </c>
      <c r="F1398" s="79" t="s">
        <v>5300</v>
      </c>
      <c r="G1398" s="80" t="s">
        <v>96</v>
      </c>
      <c r="H1398" s="90">
        <v>2.333E-4</v>
      </c>
      <c r="I1398" s="45"/>
      <c r="J1398" s="45"/>
      <c r="K1398" s="45"/>
      <c r="L1398" s="45"/>
      <c r="M1398" s="45"/>
      <c r="N1398" s="45"/>
      <c r="O1398" s="45"/>
      <c r="P1398" s="45"/>
      <c r="Q1398" s="45"/>
      <c r="R1398" s="45"/>
      <c r="S1398" s="45"/>
      <c r="T1398" s="45"/>
      <c r="U1398" s="45"/>
    </row>
    <row r="1399">
      <c r="A1399" s="79" t="s">
        <v>18276</v>
      </c>
      <c r="B1399" s="45"/>
      <c r="C1399" s="79" t="s">
        <v>18277</v>
      </c>
      <c r="D1399" s="45"/>
      <c r="E1399" s="79" t="s">
        <v>6275</v>
      </c>
      <c r="F1399" s="79" t="s">
        <v>5300</v>
      </c>
      <c r="G1399" s="80" t="s">
        <v>96</v>
      </c>
      <c r="H1399" s="90">
        <v>2.333E-4</v>
      </c>
      <c r="I1399" s="45"/>
      <c r="J1399" s="45"/>
      <c r="K1399" s="45"/>
      <c r="L1399" s="45"/>
      <c r="M1399" s="45"/>
      <c r="N1399" s="45"/>
      <c r="O1399" s="45"/>
      <c r="P1399" s="45"/>
      <c r="Q1399" s="45"/>
      <c r="R1399" s="45"/>
      <c r="S1399" s="45"/>
      <c r="T1399" s="45"/>
      <c r="U1399" s="45"/>
    </row>
    <row r="1400">
      <c r="A1400" s="79" t="s">
        <v>18278</v>
      </c>
      <c r="B1400" s="45"/>
      <c r="C1400" s="79" t="s">
        <v>18279</v>
      </c>
      <c r="D1400" s="45"/>
      <c r="E1400" s="79" t="s">
        <v>6083</v>
      </c>
      <c r="F1400" s="79" t="s">
        <v>5300</v>
      </c>
      <c r="G1400" s="80" t="s">
        <v>96</v>
      </c>
      <c r="H1400" s="90">
        <v>2.332E-4</v>
      </c>
      <c r="I1400" s="45"/>
      <c r="J1400" s="45"/>
      <c r="K1400" s="45"/>
      <c r="L1400" s="45"/>
      <c r="M1400" s="45"/>
      <c r="N1400" s="45"/>
      <c r="O1400" s="45"/>
      <c r="P1400" s="45"/>
      <c r="Q1400" s="45"/>
      <c r="R1400" s="45"/>
      <c r="S1400" s="45"/>
      <c r="T1400" s="45"/>
      <c r="U1400" s="45"/>
    </row>
    <row r="1401">
      <c r="A1401" s="79" t="s">
        <v>18280</v>
      </c>
      <c r="B1401" s="45"/>
      <c r="C1401" s="79" t="s">
        <v>18281</v>
      </c>
      <c r="D1401" s="45"/>
      <c r="E1401" s="79" t="s">
        <v>5291</v>
      </c>
      <c r="F1401" s="79" t="s">
        <v>5836</v>
      </c>
      <c r="G1401" s="80" t="s">
        <v>96</v>
      </c>
      <c r="H1401" s="90">
        <v>2.332E-4</v>
      </c>
      <c r="I1401" s="45"/>
      <c r="J1401" s="45"/>
      <c r="K1401" s="45"/>
      <c r="L1401" s="45"/>
      <c r="M1401" s="45"/>
      <c r="N1401" s="45"/>
      <c r="O1401" s="45"/>
      <c r="P1401" s="45"/>
      <c r="Q1401" s="45"/>
      <c r="R1401" s="45"/>
      <c r="S1401" s="45"/>
      <c r="T1401" s="45"/>
      <c r="U1401" s="45"/>
    </row>
    <row r="1402">
      <c r="A1402" s="79" t="s">
        <v>18282</v>
      </c>
      <c r="B1402" s="45"/>
      <c r="C1402" s="79" t="s">
        <v>18283</v>
      </c>
      <c r="D1402" s="45"/>
      <c r="E1402" s="79" t="s">
        <v>5226</v>
      </c>
      <c r="F1402" s="79" t="s">
        <v>5300</v>
      </c>
      <c r="G1402" s="80" t="s">
        <v>96</v>
      </c>
      <c r="H1402" s="90">
        <v>2.331E-4</v>
      </c>
      <c r="I1402" s="45"/>
      <c r="J1402" s="45"/>
      <c r="K1402" s="45"/>
      <c r="L1402" s="45"/>
      <c r="M1402" s="45"/>
      <c r="N1402" s="45"/>
      <c r="O1402" s="45"/>
      <c r="P1402" s="45"/>
      <c r="Q1402" s="45"/>
      <c r="R1402" s="45"/>
      <c r="S1402" s="45"/>
      <c r="T1402" s="45"/>
      <c r="U1402" s="45"/>
    </row>
    <row r="1403">
      <c r="A1403" s="79" t="s">
        <v>18284</v>
      </c>
      <c r="B1403" s="45"/>
      <c r="C1403" s="79" t="s">
        <v>18285</v>
      </c>
      <c r="D1403" s="45"/>
      <c r="E1403" s="79" t="s">
        <v>8230</v>
      </c>
      <c r="F1403" s="79" t="s">
        <v>5300</v>
      </c>
      <c r="G1403" s="80" t="s">
        <v>96</v>
      </c>
      <c r="H1403" s="90">
        <v>2.33E-4</v>
      </c>
      <c r="I1403" s="45"/>
      <c r="J1403" s="45"/>
      <c r="K1403" s="45"/>
      <c r="L1403" s="45"/>
      <c r="M1403" s="45"/>
      <c r="N1403" s="45"/>
      <c r="O1403" s="45"/>
      <c r="P1403" s="45"/>
      <c r="Q1403" s="45"/>
      <c r="R1403" s="45"/>
      <c r="S1403" s="45"/>
      <c r="T1403" s="45"/>
      <c r="U1403" s="45"/>
    </row>
    <row r="1404">
      <c r="A1404" s="79" t="s">
        <v>18286</v>
      </c>
      <c r="B1404" s="45"/>
      <c r="C1404" s="79" t="s">
        <v>18287</v>
      </c>
      <c r="D1404" s="45"/>
      <c r="E1404" s="79" t="s">
        <v>5478</v>
      </c>
      <c r="F1404" s="79" t="s">
        <v>5836</v>
      </c>
      <c r="G1404" s="80" t="s">
        <v>96</v>
      </c>
      <c r="H1404" s="90">
        <v>2.33E-4</v>
      </c>
      <c r="I1404" s="45"/>
      <c r="J1404" s="45"/>
      <c r="K1404" s="45"/>
      <c r="L1404" s="45"/>
      <c r="M1404" s="45"/>
      <c r="N1404" s="45"/>
      <c r="O1404" s="45"/>
      <c r="P1404" s="45"/>
      <c r="Q1404" s="45"/>
      <c r="R1404" s="45"/>
      <c r="S1404" s="45"/>
      <c r="T1404" s="45"/>
      <c r="U1404" s="45"/>
    </row>
    <row r="1405">
      <c r="A1405" s="79" t="s">
        <v>18288</v>
      </c>
      <c r="B1405" s="45"/>
      <c r="C1405" s="79" t="s">
        <v>18289</v>
      </c>
      <c r="D1405" s="45"/>
      <c r="E1405" s="79" t="s">
        <v>5348</v>
      </c>
      <c r="F1405" s="79" t="s">
        <v>9021</v>
      </c>
      <c r="G1405" s="80" t="s">
        <v>96</v>
      </c>
      <c r="H1405" s="90">
        <v>2.323E-4</v>
      </c>
      <c r="I1405" s="45"/>
      <c r="J1405" s="45"/>
      <c r="K1405" s="45"/>
      <c r="L1405" s="45"/>
      <c r="M1405" s="45"/>
      <c r="N1405" s="45"/>
      <c r="O1405" s="45"/>
      <c r="P1405" s="45"/>
      <c r="Q1405" s="45"/>
      <c r="R1405" s="45"/>
      <c r="S1405" s="45"/>
      <c r="T1405" s="45"/>
      <c r="U1405" s="45"/>
    </row>
    <row r="1406">
      <c r="A1406" s="79" t="s">
        <v>18290</v>
      </c>
      <c r="B1406" s="45"/>
      <c r="C1406" s="79" t="s">
        <v>18291</v>
      </c>
      <c r="D1406" s="45"/>
      <c r="E1406" s="79" t="s">
        <v>5215</v>
      </c>
      <c r="F1406" s="79" t="s">
        <v>5300</v>
      </c>
      <c r="G1406" s="80" t="s">
        <v>96</v>
      </c>
      <c r="H1406" s="90">
        <v>2.32E-4</v>
      </c>
      <c r="I1406" s="45"/>
      <c r="J1406" s="45"/>
      <c r="K1406" s="45"/>
      <c r="L1406" s="45"/>
      <c r="M1406" s="45"/>
      <c r="N1406" s="45"/>
      <c r="O1406" s="45"/>
      <c r="P1406" s="45"/>
      <c r="Q1406" s="45"/>
      <c r="R1406" s="45"/>
      <c r="S1406" s="45"/>
      <c r="T1406" s="45"/>
      <c r="U1406" s="45"/>
    </row>
    <row r="1407">
      <c r="A1407" s="79" t="s">
        <v>18292</v>
      </c>
      <c r="B1407" s="45"/>
      <c r="C1407" s="79" t="s">
        <v>18293</v>
      </c>
      <c r="D1407" s="45"/>
      <c r="E1407" s="79" t="s">
        <v>5650</v>
      </c>
      <c r="F1407" s="79" t="s">
        <v>5300</v>
      </c>
      <c r="G1407" s="80" t="s">
        <v>96</v>
      </c>
      <c r="H1407" s="90">
        <v>2.32E-4</v>
      </c>
      <c r="I1407" s="45"/>
      <c r="J1407" s="45"/>
      <c r="K1407" s="45"/>
      <c r="L1407" s="45"/>
      <c r="M1407" s="45"/>
      <c r="N1407" s="45"/>
      <c r="O1407" s="45"/>
      <c r="P1407" s="45"/>
      <c r="Q1407" s="45"/>
      <c r="R1407" s="45"/>
      <c r="S1407" s="45"/>
      <c r="T1407" s="45"/>
      <c r="U1407" s="45"/>
    </row>
    <row r="1408">
      <c r="A1408" s="79" t="s">
        <v>18294</v>
      </c>
      <c r="B1408" s="45"/>
      <c r="C1408" s="79" t="s">
        <v>18295</v>
      </c>
      <c r="D1408" s="45"/>
      <c r="E1408" s="79" t="s">
        <v>5218</v>
      </c>
      <c r="F1408" s="79" t="s">
        <v>5300</v>
      </c>
      <c r="G1408" s="80" t="s">
        <v>96</v>
      </c>
      <c r="H1408" s="90">
        <v>2.316E-4</v>
      </c>
      <c r="I1408" s="45"/>
      <c r="J1408" s="45"/>
      <c r="K1408" s="45"/>
      <c r="L1408" s="45"/>
      <c r="M1408" s="45"/>
      <c r="N1408" s="45"/>
      <c r="O1408" s="45"/>
      <c r="P1408" s="45"/>
      <c r="Q1408" s="45"/>
      <c r="R1408" s="45"/>
      <c r="S1408" s="45"/>
      <c r="T1408" s="45"/>
      <c r="U1408" s="45"/>
    </row>
    <row r="1409">
      <c r="A1409" s="79" t="s">
        <v>18296</v>
      </c>
      <c r="B1409" s="45"/>
      <c r="C1409" s="79" t="s">
        <v>18297</v>
      </c>
      <c r="D1409" s="45"/>
      <c r="E1409" s="79" t="s">
        <v>5276</v>
      </c>
      <c r="F1409" s="79" t="s">
        <v>4095</v>
      </c>
      <c r="G1409" s="80" t="s">
        <v>96</v>
      </c>
      <c r="H1409" s="90">
        <v>2.316E-4</v>
      </c>
      <c r="I1409" s="45"/>
      <c r="J1409" s="45"/>
      <c r="K1409" s="45"/>
      <c r="L1409" s="45"/>
      <c r="M1409" s="45"/>
      <c r="N1409" s="45"/>
      <c r="O1409" s="45"/>
      <c r="P1409" s="45"/>
      <c r="Q1409" s="45"/>
      <c r="R1409" s="45"/>
      <c r="S1409" s="45"/>
      <c r="T1409" s="45"/>
      <c r="U1409" s="45"/>
    </row>
    <row r="1410">
      <c r="A1410" s="79" t="s">
        <v>18298</v>
      </c>
      <c r="B1410" s="45"/>
      <c r="C1410" s="79" t="s">
        <v>18299</v>
      </c>
      <c r="D1410" s="45"/>
      <c r="E1410" s="79" t="s">
        <v>7260</v>
      </c>
      <c r="F1410" s="79" t="s">
        <v>5300</v>
      </c>
      <c r="G1410" s="80" t="s">
        <v>96</v>
      </c>
      <c r="H1410" s="90">
        <v>2.312E-4</v>
      </c>
      <c r="I1410" s="45"/>
      <c r="J1410" s="45"/>
      <c r="K1410" s="45"/>
      <c r="L1410" s="45"/>
      <c r="M1410" s="45"/>
      <c r="N1410" s="45"/>
      <c r="O1410" s="45"/>
      <c r="P1410" s="45"/>
      <c r="Q1410" s="45"/>
      <c r="R1410" s="45"/>
      <c r="S1410" s="45"/>
      <c r="T1410" s="45"/>
      <c r="U1410" s="45"/>
    </row>
    <row r="1411">
      <c r="A1411" s="79" t="s">
        <v>18300</v>
      </c>
      <c r="B1411" s="45"/>
      <c r="C1411" s="79" t="s">
        <v>18301</v>
      </c>
      <c r="D1411" s="45"/>
      <c r="E1411" s="79" t="s">
        <v>5226</v>
      </c>
      <c r="F1411" s="79" t="s">
        <v>5836</v>
      </c>
      <c r="G1411" s="80" t="s">
        <v>96</v>
      </c>
      <c r="H1411" s="90">
        <v>2.312E-4</v>
      </c>
      <c r="I1411" s="45"/>
      <c r="J1411" s="45"/>
      <c r="K1411" s="45"/>
      <c r="L1411" s="45"/>
      <c r="M1411" s="45"/>
      <c r="N1411" s="45"/>
      <c r="O1411" s="45"/>
      <c r="P1411" s="45"/>
      <c r="Q1411" s="45"/>
      <c r="R1411" s="45"/>
      <c r="S1411" s="45"/>
      <c r="T1411" s="45"/>
      <c r="U1411" s="45"/>
    </row>
    <row r="1412">
      <c r="A1412" s="79" t="s">
        <v>18302</v>
      </c>
      <c r="B1412" s="45"/>
      <c r="C1412" s="79" t="s">
        <v>18303</v>
      </c>
      <c r="D1412" s="45"/>
      <c r="E1412" s="79" t="s">
        <v>6389</v>
      </c>
      <c r="F1412" s="79" t="s">
        <v>5300</v>
      </c>
      <c r="G1412" s="80" t="s">
        <v>96</v>
      </c>
      <c r="H1412" s="90">
        <v>2.312E-4</v>
      </c>
      <c r="I1412" s="45"/>
      <c r="J1412" s="45"/>
      <c r="K1412" s="45"/>
      <c r="L1412" s="45"/>
      <c r="M1412" s="45"/>
      <c r="N1412" s="45"/>
      <c r="O1412" s="45"/>
      <c r="P1412" s="45"/>
      <c r="Q1412" s="45"/>
      <c r="R1412" s="45"/>
      <c r="S1412" s="45"/>
      <c r="T1412" s="45"/>
      <c r="U1412" s="45"/>
    </row>
    <row r="1413">
      <c r="A1413" s="79" t="s">
        <v>9685</v>
      </c>
      <c r="B1413" s="45"/>
      <c r="C1413" s="79" t="s">
        <v>18304</v>
      </c>
      <c r="D1413" s="45"/>
      <c r="E1413" s="79" t="s">
        <v>5431</v>
      </c>
      <c r="F1413" s="79" t="s">
        <v>5425</v>
      </c>
      <c r="G1413" s="80" t="s">
        <v>96</v>
      </c>
      <c r="H1413" s="90">
        <v>2.31E-4</v>
      </c>
      <c r="I1413" s="45"/>
      <c r="J1413" s="45"/>
      <c r="K1413" s="45"/>
      <c r="L1413" s="45"/>
      <c r="M1413" s="45"/>
      <c r="N1413" s="45"/>
      <c r="O1413" s="45"/>
      <c r="P1413" s="45"/>
      <c r="Q1413" s="45"/>
      <c r="R1413" s="45"/>
      <c r="S1413" s="45"/>
      <c r="T1413" s="45"/>
      <c r="U1413" s="45"/>
    </row>
    <row r="1414">
      <c r="A1414" s="79" t="s">
        <v>18305</v>
      </c>
      <c r="B1414" s="45"/>
      <c r="C1414" s="79" t="s">
        <v>18306</v>
      </c>
      <c r="D1414" s="45"/>
      <c r="E1414" s="79" t="s">
        <v>7611</v>
      </c>
      <c r="F1414" s="79" t="s">
        <v>8759</v>
      </c>
      <c r="G1414" s="80" t="s">
        <v>96</v>
      </c>
      <c r="H1414" s="90">
        <v>2.31E-4</v>
      </c>
      <c r="I1414" s="45"/>
      <c r="J1414" s="45"/>
      <c r="K1414" s="45"/>
      <c r="L1414" s="45"/>
      <c r="M1414" s="45"/>
      <c r="N1414" s="45"/>
      <c r="O1414" s="45"/>
      <c r="P1414" s="45"/>
      <c r="Q1414" s="45"/>
      <c r="R1414" s="45"/>
      <c r="S1414" s="45"/>
      <c r="T1414" s="45"/>
      <c r="U1414" s="45"/>
    </row>
    <row r="1415">
      <c r="A1415" s="79" t="s">
        <v>18307</v>
      </c>
      <c r="B1415" s="45"/>
      <c r="C1415" s="79" t="s">
        <v>18308</v>
      </c>
      <c r="D1415" s="45"/>
      <c r="E1415" s="79" t="s">
        <v>5704</v>
      </c>
      <c r="F1415" s="79" t="s">
        <v>6988</v>
      </c>
      <c r="G1415" s="80" t="s">
        <v>96</v>
      </c>
      <c r="H1415" s="90">
        <v>2.308E-4</v>
      </c>
      <c r="I1415" s="45"/>
      <c r="J1415" s="45"/>
      <c r="K1415" s="45"/>
      <c r="L1415" s="45"/>
      <c r="M1415" s="45"/>
      <c r="N1415" s="45"/>
      <c r="O1415" s="45"/>
      <c r="P1415" s="45"/>
      <c r="Q1415" s="45"/>
      <c r="R1415" s="45"/>
      <c r="S1415" s="45"/>
      <c r="T1415" s="45"/>
      <c r="U1415" s="45"/>
    </row>
    <row r="1416">
      <c r="A1416" s="79" t="s">
        <v>10616</v>
      </c>
      <c r="B1416" s="45"/>
      <c r="C1416" s="79" t="s">
        <v>10617</v>
      </c>
      <c r="D1416" s="45"/>
      <c r="E1416" s="79" t="s">
        <v>6275</v>
      </c>
      <c r="F1416" s="79" t="s">
        <v>8784</v>
      </c>
      <c r="G1416" s="80" t="s">
        <v>96</v>
      </c>
      <c r="H1416" s="90">
        <v>2.299E-4</v>
      </c>
      <c r="I1416" s="45"/>
      <c r="J1416" s="45"/>
      <c r="K1416" s="45"/>
      <c r="L1416" s="45"/>
      <c r="M1416" s="45"/>
      <c r="N1416" s="45"/>
      <c r="O1416" s="45"/>
      <c r="P1416" s="45"/>
      <c r="Q1416" s="45"/>
      <c r="R1416" s="45"/>
      <c r="S1416" s="45"/>
      <c r="T1416" s="45"/>
      <c r="U1416" s="45"/>
    </row>
    <row r="1417">
      <c r="A1417" s="79" t="s">
        <v>18309</v>
      </c>
      <c r="B1417" s="45"/>
      <c r="C1417" s="79" t="s">
        <v>18310</v>
      </c>
      <c r="D1417" s="45"/>
      <c r="E1417" s="79" t="s">
        <v>18311</v>
      </c>
      <c r="F1417" s="79" t="s">
        <v>9698</v>
      </c>
      <c r="G1417" s="80" t="s">
        <v>96</v>
      </c>
      <c r="H1417" s="90">
        <v>2.297E-4</v>
      </c>
      <c r="I1417" s="45"/>
      <c r="J1417" s="45"/>
      <c r="K1417" s="45"/>
      <c r="L1417" s="45"/>
      <c r="M1417" s="45"/>
      <c r="N1417" s="45"/>
      <c r="O1417" s="45"/>
      <c r="P1417" s="45"/>
      <c r="Q1417" s="45"/>
      <c r="R1417" s="45"/>
      <c r="S1417" s="45"/>
      <c r="T1417" s="45"/>
      <c r="U1417" s="45"/>
    </row>
    <row r="1418">
      <c r="A1418" s="79" t="s">
        <v>18312</v>
      </c>
      <c r="B1418" s="45"/>
      <c r="C1418" s="79" t="s">
        <v>18313</v>
      </c>
      <c r="D1418" s="45"/>
      <c r="E1418" s="79" t="s">
        <v>5215</v>
      </c>
      <c r="F1418" s="79" t="s">
        <v>8759</v>
      </c>
      <c r="G1418" s="80" t="s">
        <v>96</v>
      </c>
      <c r="H1418" s="90">
        <v>2.295E-4</v>
      </c>
      <c r="I1418" s="45"/>
      <c r="J1418" s="45"/>
      <c r="K1418" s="45"/>
      <c r="L1418" s="45"/>
      <c r="M1418" s="45"/>
      <c r="N1418" s="45"/>
      <c r="O1418" s="45"/>
      <c r="P1418" s="45"/>
      <c r="Q1418" s="45"/>
      <c r="R1418" s="45"/>
      <c r="S1418" s="45"/>
      <c r="T1418" s="45"/>
      <c r="U1418" s="45"/>
    </row>
    <row r="1419">
      <c r="A1419" s="79" t="s">
        <v>18314</v>
      </c>
      <c r="B1419" s="45"/>
      <c r="C1419" s="79" t="s">
        <v>18315</v>
      </c>
      <c r="D1419" s="45"/>
      <c r="E1419" s="79" t="s">
        <v>6115</v>
      </c>
      <c r="F1419" s="79" t="s">
        <v>5300</v>
      </c>
      <c r="G1419" s="80" t="s">
        <v>96</v>
      </c>
      <c r="H1419" s="90">
        <v>2.294E-4</v>
      </c>
      <c r="I1419" s="45"/>
      <c r="J1419" s="45"/>
      <c r="K1419" s="45"/>
      <c r="L1419" s="45"/>
      <c r="M1419" s="45"/>
      <c r="N1419" s="45"/>
      <c r="O1419" s="45"/>
      <c r="P1419" s="45"/>
      <c r="Q1419" s="45"/>
      <c r="R1419" s="45"/>
      <c r="S1419" s="45"/>
      <c r="T1419" s="45"/>
      <c r="U1419" s="45"/>
    </row>
    <row r="1420">
      <c r="A1420" s="79" t="s">
        <v>18316</v>
      </c>
      <c r="B1420" s="45"/>
      <c r="C1420" s="79" t="s">
        <v>18317</v>
      </c>
      <c r="D1420" s="45"/>
      <c r="E1420" s="79" t="s">
        <v>5404</v>
      </c>
      <c r="F1420" s="79" t="s">
        <v>5300</v>
      </c>
      <c r="G1420" s="80" t="s">
        <v>96</v>
      </c>
      <c r="H1420" s="90">
        <v>2.29E-4</v>
      </c>
      <c r="I1420" s="45"/>
      <c r="J1420" s="45"/>
      <c r="K1420" s="45"/>
      <c r="L1420" s="45"/>
      <c r="M1420" s="45"/>
      <c r="N1420" s="45"/>
      <c r="O1420" s="45"/>
      <c r="P1420" s="45"/>
      <c r="Q1420" s="45"/>
      <c r="R1420" s="45"/>
      <c r="S1420" s="45"/>
      <c r="T1420" s="45"/>
      <c r="U1420" s="45"/>
    </row>
    <row r="1421">
      <c r="A1421" s="79" t="s">
        <v>18318</v>
      </c>
      <c r="B1421" s="45"/>
      <c r="C1421" s="79" t="s">
        <v>18319</v>
      </c>
      <c r="D1421" s="45"/>
      <c r="E1421" s="79" t="s">
        <v>6130</v>
      </c>
      <c r="F1421" s="79" t="s">
        <v>8784</v>
      </c>
      <c r="G1421" s="80" t="s">
        <v>96</v>
      </c>
      <c r="H1421" s="90">
        <v>2.287E-4</v>
      </c>
      <c r="I1421" s="45"/>
      <c r="J1421" s="45"/>
      <c r="K1421" s="45"/>
      <c r="L1421" s="45"/>
      <c r="M1421" s="45"/>
      <c r="N1421" s="45"/>
      <c r="O1421" s="45"/>
      <c r="P1421" s="45"/>
      <c r="Q1421" s="45"/>
      <c r="R1421" s="45"/>
      <c r="S1421" s="45"/>
      <c r="T1421" s="45"/>
      <c r="U1421" s="45"/>
    </row>
    <row r="1422">
      <c r="A1422" s="79" t="s">
        <v>18320</v>
      </c>
      <c r="B1422" s="45"/>
      <c r="C1422" s="79" t="s">
        <v>18321</v>
      </c>
      <c r="D1422" s="45"/>
      <c r="E1422" s="79" t="s">
        <v>5215</v>
      </c>
      <c r="F1422" s="79" t="s">
        <v>5300</v>
      </c>
      <c r="G1422" s="80" t="s">
        <v>96</v>
      </c>
      <c r="H1422" s="90">
        <v>2.287E-4</v>
      </c>
      <c r="I1422" s="45"/>
      <c r="J1422" s="45"/>
      <c r="K1422" s="45"/>
      <c r="L1422" s="45"/>
      <c r="M1422" s="45"/>
      <c r="N1422" s="45"/>
      <c r="O1422" s="45"/>
      <c r="P1422" s="45"/>
      <c r="Q1422" s="45"/>
      <c r="R1422" s="45"/>
      <c r="S1422" s="45"/>
      <c r="T1422" s="45"/>
      <c r="U1422" s="45"/>
    </row>
    <row r="1423">
      <c r="A1423" s="79" t="s">
        <v>18322</v>
      </c>
      <c r="B1423" s="45"/>
      <c r="C1423" s="79" t="s">
        <v>18323</v>
      </c>
      <c r="D1423" s="45"/>
      <c r="E1423" s="79" t="s">
        <v>5226</v>
      </c>
      <c r="F1423" s="79" t="s">
        <v>5836</v>
      </c>
      <c r="G1423" s="80" t="s">
        <v>96</v>
      </c>
      <c r="H1423" s="90">
        <v>2.284E-4</v>
      </c>
      <c r="I1423" s="45"/>
      <c r="J1423" s="45"/>
      <c r="K1423" s="45"/>
      <c r="L1423" s="45"/>
      <c r="M1423" s="45"/>
      <c r="N1423" s="45"/>
      <c r="O1423" s="45"/>
      <c r="P1423" s="45"/>
      <c r="Q1423" s="45"/>
      <c r="R1423" s="45"/>
      <c r="S1423" s="45"/>
      <c r="T1423" s="45"/>
      <c r="U1423" s="45"/>
    </row>
    <row r="1424">
      <c r="A1424" s="79" t="s">
        <v>7827</v>
      </c>
      <c r="B1424" s="45"/>
      <c r="C1424" s="79" t="s">
        <v>11050</v>
      </c>
      <c r="D1424" s="45"/>
      <c r="E1424" s="79" t="s">
        <v>5283</v>
      </c>
      <c r="F1424" s="79" t="s">
        <v>8784</v>
      </c>
      <c r="G1424" s="80" t="s">
        <v>96</v>
      </c>
      <c r="H1424" s="90">
        <v>2.279E-4</v>
      </c>
      <c r="I1424" s="45"/>
      <c r="J1424" s="45"/>
      <c r="K1424" s="45"/>
      <c r="L1424" s="45"/>
      <c r="M1424" s="45"/>
      <c r="N1424" s="45"/>
      <c r="O1424" s="45"/>
      <c r="P1424" s="45"/>
      <c r="Q1424" s="45"/>
      <c r="R1424" s="45"/>
      <c r="S1424" s="45"/>
      <c r="T1424" s="45"/>
      <c r="U1424" s="45"/>
    </row>
    <row r="1425">
      <c r="A1425" s="79" t="s">
        <v>18324</v>
      </c>
      <c r="B1425" s="45"/>
      <c r="C1425" s="79" t="s">
        <v>18325</v>
      </c>
      <c r="D1425" s="45"/>
      <c r="E1425" s="79" t="s">
        <v>5276</v>
      </c>
      <c r="F1425" s="79" t="s">
        <v>5300</v>
      </c>
      <c r="G1425" s="80" t="s">
        <v>96</v>
      </c>
      <c r="H1425" s="90">
        <v>2.278E-4</v>
      </c>
      <c r="I1425" s="45"/>
      <c r="J1425" s="45"/>
      <c r="K1425" s="45"/>
      <c r="L1425" s="45"/>
      <c r="M1425" s="45"/>
      <c r="N1425" s="45"/>
      <c r="O1425" s="45"/>
      <c r="P1425" s="45"/>
      <c r="Q1425" s="45"/>
      <c r="R1425" s="45"/>
      <c r="S1425" s="45"/>
      <c r="T1425" s="45"/>
      <c r="U1425" s="45"/>
    </row>
    <row r="1426">
      <c r="A1426" s="79" t="s">
        <v>18326</v>
      </c>
      <c r="B1426" s="45"/>
      <c r="C1426" s="79" t="s">
        <v>18327</v>
      </c>
      <c r="D1426" s="45"/>
      <c r="E1426" s="79" t="s">
        <v>5868</v>
      </c>
      <c r="F1426" s="79" t="s">
        <v>5300</v>
      </c>
      <c r="G1426" s="80" t="s">
        <v>96</v>
      </c>
      <c r="H1426" s="90">
        <v>2.276E-4</v>
      </c>
      <c r="I1426" s="45"/>
      <c r="J1426" s="45"/>
      <c r="K1426" s="45"/>
      <c r="L1426" s="45"/>
      <c r="M1426" s="45"/>
      <c r="N1426" s="45"/>
      <c r="O1426" s="45"/>
      <c r="P1426" s="45"/>
      <c r="Q1426" s="45"/>
      <c r="R1426" s="45"/>
      <c r="S1426" s="45"/>
      <c r="T1426" s="45"/>
      <c r="U1426" s="45"/>
    </row>
    <row r="1427">
      <c r="A1427" s="79" t="s">
        <v>18328</v>
      </c>
      <c r="B1427" s="45"/>
      <c r="C1427" s="79" t="s">
        <v>18329</v>
      </c>
      <c r="D1427" s="45"/>
      <c r="E1427" s="79" t="s">
        <v>5229</v>
      </c>
      <c r="F1427" s="79" t="s">
        <v>5329</v>
      </c>
      <c r="G1427" s="80" t="s">
        <v>96</v>
      </c>
      <c r="H1427" s="90">
        <v>2.274E-4</v>
      </c>
      <c r="I1427" s="45"/>
      <c r="J1427" s="45"/>
      <c r="K1427" s="45"/>
      <c r="L1427" s="45"/>
      <c r="M1427" s="45"/>
      <c r="N1427" s="45"/>
      <c r="O1427" s="45"/>
      <c r="P1427" s="45"/>
      <c r="Q1427" s="45"/>
      <c r="R1427" s="45"/>
      <c r="S1427" s="45"/>
      <c r="T1427" s="45"/>
      <c r="U1427" s="45"/>
    </row>
    <row r="1428">
      <c r="A1428" s="79" t="s">
        <v>9857</v>
      </c>
      <c r="B1428" s="45"/>
      <c r="C1428" s="79" t="s">
        <v>18330</v>
      </c>
      <c r="D1428" s="45"/>
      <c r="E1428" s="79" t="s">
        <v>5235</v>
      </c>
      <c r="F1428" s="79" t="s">
        <v>5425</v>
      </c>
      <c r="G1428" s="80" t="s">
        <v>96</v>
      </c>
      <c r="H1428" s="90">
        <v>2.27E-4</v>
      </c>
      <c r="I1428" s="45"/>
      <c r="J1428" s="45"/>
      <c r="K1428" s="45"/>
      <c r="L1428" s="45"/>
      <c r="M1428" s="45"/>
      <c r="N1428" s="45"/>
      <c r="O1428" s="45"/>
      <c r="P1428" s="45"/>
      <c r="Q1428" s="45"/>
      <c r="R1428" s="45"/>
      <c r="S1428" s="45"/>
      <c r="T1428" s="45"/>
      <c r="U1428" s="45"/>
    </row>
    <row r="1429">
      <c r="A1429" s="79" t="s">
        <v>18331</v>
      </c>
      <c r="B1429" s="45"/>
      <c r="C1429" s="79" t="s">
        <v>18332</v>
      </c>
      <c r="D1429" s="45"/>
      <c r="E1429" s="79" t="s">
        <v>5276</v>
      </c>
      <c r="F1429" s="79" t="s">
        <v>5300</v>
      </c>
      <c r="G1429" s="80" t="s">
        <v>96</v>
      </c>
      <c r="H1429" s="90">
        <v>2.269E-4</v>
      </c>
      <c r="I1429" s="45"/>
      <c r="J1429" s="45"/>
      <c r="K1429" s="45"/>
      <c r="L1429" s="45"/>
      <c r="M1429" s="45"/>
      <c r="N1429" s="45"/>
      <c r="O1429" s="45"/>
      <c r="P1429" s="45"/>
      <c r="Q1429" s="45"/>
      <c r="R1429" s="45"/>
      <c r="S1429" s="45"/>
      <c r="T1429" s="45"/>
      <c r="U1429" s="45"/>
    </row>
    <row r="1430">
      <c r="A1430" s="79" t="s">
        <v>18333</v>
      </c>
      <c r="B1430" s="45"/>
      <c r="C1430" s="79" t="s">
        <v>18334</v>
      </c>
      <c r="D1430" s="45"/>
      <c r="E1430" s="79" t="s">
        <v>5964</v>
      </c>
      <c r="F1430" s="79" t="s">
        <v>5425</v>
      </c>
      <c r="G1430" s="80" t="s">
        <v>96</v>
      </c>
      <c r="H1430" s="90">
        <v>2.269E-4</v>
      </c>
      <c r="I1430" s="45"/>
      <c r="J1430" s="45"/>
      <c r="K1430" s="45"/>
      <c r="L1430" s="45"/>
      <c r="M1430" s="45"/>
      <c r="N1430" s="45"/>
      <c r="O1430" s="45"/>
      <c r="P1430" s="45"/>
      <c r="Q1430" s="45"/>
      <c r="R1430" s="45"/>
      <c r="S1430" s="45"/>
      <c r="T1430" s="45"/>
      <c r="U1430" s="45"/>
    </row>
    <row r="1431">
      <c r="A1431" s="79" t="s">
        <v>18335</v>
      </c>
      <c r="B1431" s="45"/>
      <c r="C1431" s="79" t="s">
        <v>18336</v>
      </c>
      <c r="D1431" s="45"/>
      <c r="E1431" s="79" t="s">
        <v>5267</v>
      </c>
      <c r="F1431" s="79" t="s">
        <v>5425</v>
      </c>
      <c r="G1431" s="80" t="s">
        <v>96</v>
      </c>
      <c r="H1431" s="90">
        <v>2.269E-4</v>
      </c>
      <c r="I1431" s="45"/>
      <c r="J1431" s="45"/>
      <c r="K1431" s="45"/>
      <c r="L1431" s="45"/>
      <c r="M1431" s="45"/>
      <c r="N1431" s="45"/>
      <c r="O1431" s="45"/>
      <c r="P1431" s="45"/>
      <c r="Q1431" s="45"/>
      <c r="R1431" s="45"/>
      <c r="S1431" s="45"/>
      <c r="T1431" s="45"/>
      <c r="U1431" s="45"/>
    </row>
    <row r="1432">
      <c r="A1432" s="79" t="s">
        <v>18337</v>
      </c>
      <c r="B1432" s="45"/>
      <c r="C1432" s="79" t="s">
        <v>18338</v>
      </c>
      <c r="D1432" s="45"/>
      <c r="E1432" s="79" t="s">
        <v>5276</v>
      </c>
      <c r="F1432" s="79" t="s">
        <v>9021</v>
      </c>
      <c r="G1432" s="80" t="s">
        <v>96</v>
      </c>
      <c r="H1432" s="90">
        <v>2.268E-4</v>
      </c>
      <c r="I1432" s="45"/>
      <c r="J1432" s="45"/>
      <c r="K1432" s="45"/>
      <c r="L1432" s="45"/>
      <c r="M1432" s="45"/>
      <c r="N1432" s="45"/>
      <c r="O1432" s="45"/>
      <c r="P1432" s="45"/>
      <c r="Q1432" s="45"/>
      <c r="R1432" s="45"/>
      <c r="S1432" s="45"/>
      <c r="T1432" s="45"/>
      <c r="U1432" s="45"/>
    </row>
    <row r="1433">
      <c r="A1433" s="79" t="s">
        <v>10808</v>
      </c>
      <c r="B1433" s="45"/>
      <c r="C1433" s="79" t="s">
        <v>10809</v>
      </c>
      <c r="D1433" s="45"/>
      <c r="E1433" s="79" t="s">
        <v>5704</v>
      </c>
      <c r="F1433" s="79" t="s">
        <v>8784</v>
      </c>
      <c r="G1433" s="80" t="s">
        <v>96</v>
      </c>
      <c r="H1433" s="90">
        <v>2.267E-4</v>
      </c>
      <c r="I1433" s="45"/>
      <c r="J1433" s="45"/>
      <c r="K1433" s="45"/>
      <c r="L1433" s="45"/>
      <c r="M1433" s="45"/>
      <c r="N1433" s="45"/>
      <c r="O1433" s="45"/>
      <c r="P1433" s="45"/>
      <c r="Q1433" s="45"/>
      <c r="R1433" s="45"/>
      <c r="S1433" s="45"/>
      <c r="T1433" s="45"/>
      <c r="U1433" s="45"/>
    </row>
    <row r="1434">
      <c r="A1434" s="79" t="s">
        <v>18339</v>
      </c>
      <c r="B1434" s="45"/>
      <c r="C1434" s="79" t="s">
        <v>18340</v>
      </c>
      <c r="D1434" s="45"/>
      <c r="E1434" s="79" t="s">
        <v>8110</v>
      </c>
      <c r="F1434" s="79" t="s">
        <v>5300</v>
      </c>
      <c r="G1434" s="80" t="s">
        <v>96</v>
      </c>
      <c r="H1434" s="90">
        <v>2.264E-4</v>
      </c>
      <c r="I1434" s="45"/>
      <c r="J1434" s="45"/>
      <c r="K1434" s="45"/>
      <c r="L1434" s="45"/>
      <c r="M1434" s="45"/>
      <c r="N1434" s="45"/>
      <c r="O1434" s="45"/>
      <c r="P1434" s="45"/>
      <c r="Q1434" s="45"/>
      <c r="R1434" s="45"/>
      <c r="S1434" s="45"/>
      <c r="T1434" s="45"/>
      <c r="U1434" s="45"/>
    </row>
    <row r="1435">
      <c r="A1435" s="79" t="s">
        <v>18341</v>
      </c>
      <c r="B1435" s="45"/>
      <c r="C1435" s="79" t="s">
        <v>18342</v>
      </c>
      <c r="D1435" s="45"/>
      <c r="E1435" s="79" t="s">
        <v>6389</v>
      </c>
      <c r="F1435" s="79" t="s">
        <v>5300</v>
      </c>
      <c r="G1435" s="80" t="s">
        <v>96</v>
      </c>
      <c r="H1435" s="90">
        <v>2.264E-4</v>
      </c>
      <c r="I1435" s="45"/>
      <c r="J1435" s="45"/>
      <c r="K1435" s="45"/>
      <c r="L1435" s="45"/>
      <c r="M1435" s="45"/>
      <c r="N1435" s="45"/>
      <c r="O1435" s="45"/>
      <c r="P1435" s="45"/>
      <c r="Q1435" s="45"/>
      <c r="R1435" s="45"/>
      <c r="S1435" s="45"/>
      <c r="T1435" s="45"/>
      <c r="U1435" s="45"/>
    </row>
    <row r="1436">
      <c r="A1436" s="79" t="s">
        <v>18343</v>
      </c>
      <c r="B1436" s="45"/>
      <c r="C1436" s="79" t="s">
        <v>18344</v>
      </c>
      <c r="D1436" s="45"/>
      <c r="E1436" s="79" t="s">
        <v>9553</v>
      </c>
      <c r="F1436" s="79" t="s">
        <v>5300</v>
      </c>
      <c r="G1436" s="80" t="s">
        <v>96</v>
      </c>
      <c r="H1436" s="90">
        <v>2.263E-4</v>
      </c>
      <c r="I1436" s="45"/>
      <c r="J1436" s="45"/>
      <c r="K1436" s="45"/>
      <c r="L1436" s="45"/>
      <c r="M1436" s="45"/>
      <c r="N1436" s="45"/>
      <c r="O1436" s="45"/>
      <c r="P1436" s="45"/>
      <c r="Q1436" s="45"/>
      <c r="R1436" s="45"/>
      <c r="S1436" s="45"/>
      <c r="T1436" s="45"/>
      <c r="U1436" s="45"/>
    </row>
    <row r="1437">
      <c r="A1437" s="79" t="s">
        <v>18345</v>
      </c>
      <c r="B1437" s="45"/>
      <c r="C1437" s="79" t="s">
        <v>18346</v>
      </c>
      <c r="D1437" s="45"/>
      <c r="E1437" s="79" t="s">
        <v>5478</v>
      </c>
      <c r="F1437" s="79" t="s">
        <v>5300</v>
      </c>
      <c r="G1437" s="80" t="s">
        <v>96</v>
      </c>
      <c r="H1437" s="90">
        <v>2.262E-4</v>
      </c>
      <c r="I1437" s="45"/>
      <c r="J1437" s="45"/>
      <c r="K1437" s="45"/>
      <c r="L1437" s="45"/>
      <c r="M1437" s="45"/>
      <c r="N1437" s="45"/>
      <c r="O1437" s="45"/>
      <c r="P1437" s="45"/>
      <c r="Q1437" s="45"/>
      <c r="R1437" s="45"/>
      <c r="S1437" s="45"/>
      <c r="T1437" s="45"/>
      <c r="U1437" s="45"/>
    </row>
    <row r="1438">
      <c r="A1438" s="79" t="s">
        <v>18347</v>
      </c>
      <c r="B1438" s="45"/>
      <c r="C1438" s="79" t="s">
        <v>18348</v>
      </c>
      <c r="D1438" s="45"/>
      <c r="E1438" s="79" t="s">
        <v>5735</v>
      </c>
      <c r="F1438" s="79" t="s">
        <v>5425</v>
      </c>
      <c r="G1438" s="80" t="s">
        <v>96</v>
      </c>
      <c r="H1438" s="90">
        <v>2.262E-4</v>
      </c>
      <c r="I1438" s="45"/>
      <c r="J1438" s="45"/>
      <c r="K1438" s="45"/>
      <c r="L1438" s="45"/>
      <c r="M1438" s="45"/>
      <c r="N1438" s="45"/>
      <c r="O1438" s="45"/>
      <c r="P1438" s="45"/>
      <c r="Q1438" s="45"/>
      <c r="R1438" s="45"/>
      <c r="S1438" s="45"/>
      <c r="T1438" s="45"/>
      <c r="U1438" s="45"/>
    </row>
    <row r="1439">
      <c r="A1439" s="79" t="s">
        <v>11004</v>
      </c>
      <c r="B1439" s="45"/>
      <c r="C1439" s="79" t="s">
        <v>11005</v>
      </c>
      <c r="D1439" s="45"/>
      <c r="E1439" s="79" t="s">
        <v>9221</v>
      </c>
      <c r="F1439" s="79" t="s">
        <v>8784</v>
      </c>
      <c r="G1439" s="80" t="s">
        <v>96</v>
      </c>
      <c r="H1439" s="90">
        <v>2.26E-4</v>
      </c>
      <c r="I1439" s="45"/>
      <c r="J1439" s="45"/>
      <c r="K1439" s="45"/>
      <c r="L1439" s="45"/>
      <c r="M1439" s="45"/>
      <c r="N1439" s="45"/>
      <c r="O1439" s="45"/>
      <c r="P1439" s="45"/>
      <c r="Q1439" s="45"/>
      <c r="R1439" s="45"/>
      <c r="S1439" s="45"/>
      <c r="T1439" s="45"/>
      <c r="U1439" s="45"/>
    </row>
    <row r="1440">
      <c r="A1440" s="79" t="s">
        <v>17954</v>
      </c>
      <c r="B1440" s="45"/>
      <c r="C1440" s="79" t="s">
        <v>18349</v>
      </c>
      <c r="D1440" s="45"/>
      <c r="E1440" s="79" t="s">
        <v>5215</v>
      </c>
      <c r="F1440" s="79" t="s">
        <v>4436</v>
      </c>
      <c r="G1440" s="80" t="s">
        <v>96</v>
      </c>
      <c r="H1440" s="90">
        <v>2.257E-4</v>
      </c>
      <c r="I1440" s="45"/>
      <c r="J1440" s="45"/>
      <c r="K1440" s="45"/>
      <c r="L1440" s="45"/>
      <c r="M1440" s="45"/>
      <c r="N1440" s="45"/>
      <c r="O1440" s="45"/>
      <c r="P1440" s="45"/>
      <c r="Q1440" s="45"/>
      <c r="R1440" s="45"/>
      <c r="S1440" s="45"/>
      <c r="T1440" s="45"/>
      <c r="U1440" s="45"/>
    </row>
    <row r="1441">
      <c r="A1441" s="79" t="s">
        <v>16722</v>
      </c>
      <c r="B1441" s="45"/>
      <c r="C1441" s="79" t="s">
        <v>18350</v>
      </c>
      <c r="D1441" s="45"/>
      <c r="E1441" s="79" t="s">
        <v>5578</v>
      </c>
      <c r="F1441" s="79" t="s">
        <v>5425</v>
      </c>
      <c r="G1441" s="80" t="s">
        <v>96</v>
      </c>
      <c r="H1441" s="90">
        <v>2.255E-4</v>
      </c>
      <c r="I1441" s="45"/>
      <c r="J1441" s="45"/>
      <c r="K1441" s="45"/>
      <c r="L1441" s="45"/>
      <c r="M1441" s="45"/>
      <c r="N1441" s="45"/>
      <c r="O1441" s="45"/>
      <c r="P1441" s="45"/>
      <c r="Q1441" s="45"/>
      <c r="R1441" s="45"/>
      <c r="S1441" s="45"/>
      <c r="T1441" s="45"/>
      <c r="U1441" s="45"/>
    </row>
    <row r="1442">
      <c r="A1442" s="79" t="s">
        <v>18351</v>
      </c>
      <c r="B1442" s="45"/>
      <c r="C1442" s="79" t="s">
        <v>18352</v>
      </c>
      <c r="D1442" s="45"/>
      <c r="E1442" s="79" t="s">
        <v>5291</v>
      </c>
      <c r="F1442" s="79" t="s">
        <v>5425</v>
      </c>
      <c r="G1442" s="80" t="s">
        <v>96</v>
      </c>
      <c r="H1442" s="90">
        <v>2.253E-4</v>
      </c>
      <c r="I1442" s="45"/>
      <c r="J1442" s="45"/>
      <c r="K1442" s="45"/>
      <c r="L1442" s="45"/>
      <c r="M1442" s="45"/>
      <c r="N1442" s="45"/>
      <c r="O1442" s="45"/>
      <c r="P1442" s="45"/>
      <c r="Q1442" s="45"/>
      <c r="R1442" s="45"/>
      <c r="S1442" s="45"/>
      <c r="T1442" s="45"/>
      <c r="U1442" s="45"/>
    </row>
    <row r="1443">
      <c r="A1443" s="79" t="s">
        <v>10849</v>
      </c>
      <c r="B1443" s="45"/>
      <c r="C1443" s="79" t="s">
        <v>10850</v>
      </c>
      <c r="D1443" s="45"/>
      <c r="E1443" s="79" t="s">
        <v>6040</v>
      </c>
      <c r="F1443" s="79" t="s">
        <v>8784</v>
      </c>
      <c r="G1443" s="80" t="s">
        <v>96</v>
      </c>
      <c r="H1443" s="90">
        <v>2.249E-4</v>
      </c>
      <c r="I1443" s="45"/>
      <c r="J1443" s="45"/>
      <c r="K1443" s="45"/>
      <c r="L1443" s="45"/>
      <c r="M1443" s="45"/>
      <c r="N1443" s="45"/>
      <c r="O1443" s="45"/>
      <c r="P1443" s="45"/>
      <c r="Q1443" s="45"/>
      <c r="R1443" s="45"/>
      <c r="S1443" s="45"/>
      <c r="T1443" s="45"/>
      <c r="U1443" s="45"/>
    </row>
    <row r="1444">
      <c r="A1444" s="79" t="s">
        <v>18353</v>
      </c>
      <c r="B1444" s="45"/>
      <c r="C1444" s="79" t="s">
        <v>18354</v>
      </c>
      <c r="D1444" s="45"/>
      <c r="E1444" s="79" t="s">
        <v>5401</v>
      </c>
      <c r="F1444" s="79" t="s">
        <v>5300</v>
      </c>
      <c r="G1444" s="80" t="s">
        <v>96</v>
      </c>
      <c r="H1444" s="90">
        <v>2.247E-4</v>
      </c>
      <c r="I1444" s="45"/>
      <c r="J1444" s="45"/>
      <c r="K1444" s="45"/>
      <c r="L1444" s="45"/>
      <c r="M1444" s="45"/>
      <c r="N1444" s="45"/>
      <c r="O1444" s="45"/>
      <c r="P1444" s="45"/>
      <c r="Q1444" s="45"/>
      <c r="R1444" s="45"/>
      <c r="S1444" s="45"/>
      <c r="T1444" s="45"/>
      <c r="U1444" s="45"/>
    </row>
    <row r="1445">
      <c r="A1445" s="79" t="s">
        <v>18355</v>
      </c>
      <c r="B1445" s="45"/>
      <c r="C1445" s="79" t="s">
        <v>18356</v>
      </c>
      <c r="D1445" s="45"/>
      <c r="E1445" s="79" t="s">
        <v>5395</v>
      </c>
      <c r="F1445" s="79" t="s">
        <v>5425</v>
      </c>
      <c r="G1445" s="80" t="s">
        <v>96</v>
      </c>
      <c r="H1445" s="90">
        <v>2.247E-4</v>
      </c>
      <c r="I1445" s="45"/>
      <c r="J1445" s="45"/>
      <c r="K1445" s="45"/>
      <c r="L1445" s="45"/>
      <c r="M1445" s="45"/>
      <c r="N1445" s="45"/>
      <c r="O1445" s="45"/>
      <c r="P1445" s="45"/>
      <c r="Q1445" s="45"/>
      <c r="R1445" s="45"/>
      <c r="S1445" s="45"/>
      <c r="T1445" s="45"/>
      <c r="U1445" s="45"/>
    </row>
    <row r="1446">
      <c r="A1446" s="79" t="s">
        <v>18357</v>
      </c>
      <c r="B1446" s="45"/>
      <c r="C1446" s="79" t="s">
        <v>18358</v>
      </c>
      <c r="D1446" s="45"/>
      <c r="E1446" s="79" t="s">
        <v>8480</v>
      </c>
      <c r="F1446" s="79" t="s">
        <v>5300</v>
      </c>
      <c r="G1446" s="80" t="s">
        <v>96</v>
      </c>
      <c r="H1446" s="90">
        <v>2.244E-4</v>
      </c>
      <c r="I1446" s="45"/>
      <c r="J1446" s="45"/>
      <c r="K1446" s="45"/>
      <c r="L1446" s="45"/>
      <c r="M1446" s="45"/>
      <c r="N1446" s="45"/>
      <c r="O1446" s="45"/>
      <c r="P1446" s="45"/>
      <c r="Q1446" s="45"/>
      <c r="R1446" s="45"/>
      <c r="S1446" s="45"/>
      <c r="T1446" s="45"/>
      <c r="U1446" s="45"/>
    </row>
    <row r="1447">
      <c r="A1447" s="79" t="s">
        <v>18359</v>
      </c>
      <c r="B1447" s="45"/>
      <c r="C1447" s="79" t="s">
        <v>18360</v>
      </c>
      <c r="D1447" s="45"/>
      <c r="E1447" s="79" t="s">
        <v>6389</v>
      </c>
      <c r="F1447" s="79" t="s">
        <v>8759</v>
      </c>
      <c r="G1447" s="80" t="s">
        <v>96</v>
      </c>
      <c r="H1447" s="90">
        <v>2.242E-4</v>
      </c>
      <c r="I1447" s="45"/>
      <c r="J1447" s="45"/>
      <c r="K1447" s="45"/>
      <c r="L1447" s="45"/>
      <c r="M1447" s="45"/>
      <c r="N1447" s="45"/>
      <c r="O1447" s="45"/>
      <c r="P1447" s="45"/>
      <c r="Q1447" s="45"/>
      <c r="R1447" s="45"/>
      <c r="S1447" s="45"/>
      <c r="T1447" s="45"/>
      <c r="U1447" s="45"/>
    </row>
    <row r="1448">
      <c r="A1448" s="79" t="s">
        <v>18361</v>
      </c>
      <c r="B1448" s="45"/>
      <c r="C1448" s="79" t="s">
        <v>18362</v>
      </c>
      <c r="D1448" s="45"/>
      <c r="E1448" s="79" t="s">
        <v>11325</v>
      </c>
      <c r="F1448" s="79" t="s">
        <v>5300</v>
      </c>
      <c r="G1448" s="80" t="s">
        <v>96</v>
      </c>
      <c r="H1448" s="90">
        <v>2.241E-4</v>
      </c>
      <c r="I1448" s="45"/>
      <c r="J1448" s="45"/>
      <c r="K1448" s="45"/>
      <c r="L1448" s="45"/>
      <c r="M1448" s="45"/>
      <c r="N1448" s="45"/>
      <c r="O1448" s="45"/>
      <c r="P1448" s="45"/>
      <c r="Q1448" s="45"/>
      <c r="R1448" s="45"/>
      <c r="S1448" s="45"/>
      <c r="T1448" s="45"/>
      <c r="U1448" s="45"/>
    </row>
    <row r="1449">
      <c r="A1449" s="79" t="s">
        <v>18363</v>
      </c>
      <c r="B1449" s="45"/>
      <c r="C1449" s="79" t="s">
        <v>18364</v>
      </c>
      <c r="D1449" s="45"/>
      <c r="E1449" s="79" t="s">
        <v>5215</v>
      </c>
      <c r="F1449" s="79" t="s">
        <v>9299</v>
      </c>
      <c r="G1449" s="80" t="s">
        <v>96</v>
      </c>
      <c r="H1449" s="90">
        <v>2.241E-4</v>
      </c>
      <c r="I1449" s="45"/>
      <c r="J1449" s="45"/>
      <c r="K1449" s="45"/>
      <c r="L1449" s="45"/>
      <c r="M1449" s="45"/>
      <c r="N1449" s="45"/>
      <c r="O1449" s="45"/>
      <c r="P1449" s="45"/>
      <c r="Q1449" s="45"/>
      <c r="R1449" s="45"/>
      <c r="S1449" s="45"/>
      <c r="T1449" s="45"/>
      <c r="U1449" s="45"/>
    </row>
    <row r="1450">
      <c r="A1450" s="79" t="s">
        <v>18365</v>
      </c>
      <c r="B1450" s="45"/>
      <c r="C1450" s="79" t="s">
        <v>18366</v>
      </c>
      <c r="D1450" s="45"/>
      <c r="E1450" s="79" t="s">
        <v>5775</v>
      </c>
      <c r="F1450" s="79" t="s">
        <v>5300</v>
      </c>
      <c r="G1450" s="80" t="s">
        <v>96</v>
      </c>
      <c r="H1450" s="90">
        <v>2.24E-4</v>
      </c>
      <c r="I1450" s="45"/>
      <c r="J1450" s="45"/>
      <c r="K1450" s="45"/>
      <c r="L1450" s="45"/>
      <c r="M1450" s="45"/>
      <c r="N1450" s="45"/>
      <c r="O1450" s="45"/>
      <c r="P1450" s="45"/>
      <c r="Q1450" s="45"/>
      <c r="R1450" s="45"/>
      <c r="S1450" s="45"/>
      <c r="T1450" s="45"/>
      <c r="U1450" s="45"/>
    </row>
    <row r="1451">
      <c r="A1451" s="79" t="s">
        <v>18367</v>
      </c>
      <c r="B1451" s="45"/>
      <c r="C1451" s="79" t="s">
        <v>18368</v>
      </c>
      <c r="D1451" s="45"/>
      <c r="E1451" s="79" t="s">
        <v>5434</v>
      </c>
      <c r="F1451" s="79" t="s">
        <v>5836</v>
      </c>
      <c r="G1451" s="80" t="s">
        <v>96</v>
      </c>
      <c r="H1451" s="90">
        <v>2.238E-4</v>
      </c>
      <c r="I1451" s="45"/>
      <c r="J1451" s="45"/>
      <c r="K1451" s="45"/>
      <c r="L1451" s="45"/>
      <c r="M1451" s="45"/>
      <c r="N1451" s="45"/>
      <c r="O1451" s="45"/>
      <c r="P1451" s="45"/>
      <c r="Q1451" s="45"/>
      <c r="R1451" s="45"/>
      <c r="S1451" s="45"/>
      <c r="T1451" s="45"/>
      <c r="U1451" s="45"/>
    </row>
    <row r="1452">
      <c r="A1452" s="79" t="s">
        <v>18369</v>
      </c>
      <c r="B1452" s="45"/>
      <c r="C1452" s="79" t="s">
        <v>18370</v>
      </c>
      <c r="D1452" s="45"/>
      <c r="E1452" s="79" t="s">
        <v>5215</v>
      </c>
      <c r="F1452" s="79" t="s">
        <v>5300</v>
      </c>
      <c r="G1452" s="80" t="s">
        <v>96</v>
      </c>
      <c r="H1452" s="90">
        <v>2.233E-4</v>
      </c>
      <c r="I1452" s="45"/>
      <c r="J1452" s="45"/>
      <c r="K1452" s="45"/>
      <c r="L1452" s="45"/>
      <c r="M1452" s="45"/>
      <c r="N1452" s="45"/>
      <c r="O1452" s="45"/>
      <c r="P1452" s="45"/>
      <c r="Q1452" s="45"/>
      <c r="R1452" s="45"/>
      <c r="S1452" s="45"/>
      <c r="T1452" s="45"/>
      <c r="U1452" s="45"/>
    </row>
    <row r="1453">
      <c r="A1453" s="79" t="s">
        <v>18371</v>
      </c>
      <c r="B1453" s="45"/>
      <c r="C1453" s="79" t="s">
        <v>18372</v>
      </c>
      <c r="D1453" s="45"/>
      <c r="E1453" s="79" t="s">
        <v>5229</v>
      </c>
      <c r="F1453" s="79" t="s">
        <v>5300</v>
      </c>
      <c r="G1453" s="80" t="s">
        <v>96</v>
      </c>
      <c r="H1453" s="90">
        <v>2.232E-4</v>
      </c>
      <c r="I1453" s="45"/>
      <c r="J1453" s="45"/>
      <c r="K1453" s="45"/>
      <c r="L1453" s="45"/>
      <c r="M1453" s="45"/>
      <c r="N1453" s="45"/>
      <c r="O1453" s="45"/>
      <c r="P1453" s="45"/>
      <c r="Q1453" s="45"/>
      <c r="R1453" s="45"/>
      <c r="S1453" s="45"/>
      <c r="T1453" s="45"/>
      <c r="U1453" s="45"/>
    </row>
    <row r="1454">
      <c r="A1454" s="79" t="s">
        <v>18373</v>
      </c>
      <c r="B1454" s="45"/>
      <c r="C1454" s="79" t="s">
        <v>18374</v>
      </c>
      <c r="D1454" s="45"/>
      <c r="E1454" s="79" t="s">
        <v>5478</v>
      </c>
      <c r="F1454" s="79" t="s">
        <v>8767</v>
      </c>
      <c r="G1454" s="80" t="s">
        <v>96</v>
      </c>
      <c r="H1454" s="90">
        <v>2.231E-4</v>
      </c>
      <c r="I1454" s="45"/>
      <c r="J1454" s="45"/>
      <c r="K1454" s="45"/>
      <c r="L1454" s="45"/>
      <c r="M1454" s="45"/>
      <c r="N1454" s="45"/>
      <c r="O1454" s="45"/>
      <c r="P1454" s="45"/>
      <c r="Q1454" s="45"/>
      <c r="R1454" s="45"/>
      <c r="S1454" s="45"/>
      <c r="T1454" s="45"/>
      <c r="U1454" s="45"/>
    </row>
    <row r="1455">
      <c r="A1455" s="79" t="s">
        <v>11213</v>
      </c>
      <c r="B1455" s="45"/>
      <c r="C1455" s="79" t="s">
        <v>11214</v>
      </c>
      <c r="D1455" s="45"/>
      <c r="E1455" s="79" t="s">
        <v>5501</v>
      </c>
      <c r="F1455" s="79" t="s">
        <v>8784</v>
      </c>
      <c r="G1455" s="80" t="s">
        <v>96</v>
      </c>
      <c r="H1455" s="90">
        <v>2.228E-4</v>
      </c>
      <c r="I1455" s="45"/>
      <c r="J1455" s="45"/>
      <c r="K1455" s="45"/>
      <c r="L1455" s="45"/>
      <c r="M1455" s="45"/>
      <c r="N1455" s="45"/>
      <c r="O1455" s="45"/>
      <c r="P1455" s="45"/>
      <c r="Q1455" s="45"/>
      <c r="R1455" s="45"/>
      <c r="S1455" s="45"/>
      <c r="T1455" s="45"/>
      <c r="U1455" s="45"/>
    </row>
    <row r="1456">
      <c r="A1456" s="79" t="s">
        <v>18375</v>
      </c>
      <c r="B1456" s="45"/>
      <c r="C1456" s="79" t="s">
        <v>18376</v>
      </c>
      <c r="D1456" s="45"/>
      <c r="E1456" s="79" t="s">
        <v>5589</v>
      </c>
      <c r="F1456" s="79" t="s">
        <v>5300</v>
      </c>
      <c r="G1456" s="80" t="s">
        <v>96</v>
      </c>
      <c r="H1456" s="90">
        <v>2.226E-4</v>
      </c>
      <c r="I1456" s="45"/>
      <c r="J1456" s="45"/>
      <c r="K1456" s="45"/>
      <c r="L1456" s="45"/>
      <c r="M1456" s="45"/>
      <c r="N1456" s="45"/>
      <c r="O1456" s="45"/>
      <c r="P1456" s="45"/>
      <c r="Q1456" s="45"/>
      <c r="R1456" s="45"/>
      <c r="S1456" s="45"/>
      <c r="T1456" s="45"/>
      <c r="U1456" s="45"/>
    </row>
    <row r="1457">
      <c r="A1457" s="79" t="s">
        <v>18377</v>
      </c>
      <c r="B1457" s="45"/>
      <c r="C1457" s="79" t="s">
        <v>18378</v>
      </c>
      <c r="D1457" s="45"/>
      <c r="E1457" s="79" t="s">
        <v>5478</v>
      </c>
      <c r="F1457" s="79" t="s">
        <v>5300</v>
      </c>
      <c r="G1457" s="80" t="s">
        <v>96</v>
      </c>
      <c r="H1457" s="90">
        <v>2.225E-4</v>
      </c>
      <c r="I1457" s="45"/>
      <c r="J1457" s="45"/>
      <c r="K1457" s="45"/>
      <c r="L1457" s="45"/>
      <c r="M1457" s="45"/>
      <c r="N1457" s="45"/>
      <c r="O1457" s="45"/>
      <c r="P1457" s="45"/>
      <c r="Q1457" s="45"/>
      <c r="R1457" s="45"/>
      <c r="S1457" s="45"/>
      <c r="T1457" s="45"/>
      <c r="U1457" s="45"/>
    </row>
    <row r="1458">
      <c r="A1458" s="79" t="s">
        <v>18379</v>
      </c>
      <c r="B1458" s="45"/>
      <c r="C1458" s="79" t="s">
        <v>18380</v>
      </c>
      <c r="D1458" s="45"/>
      <c r="E1458" s="79" t="s">
        <v>5276</v>
      </c>
      <c r="F1458" s="79" t="s">
        <v>5300</v>
      </c>
      <c r="G1458" s="80" t="s">
        <v>96</v>
      </c>
      <c r="H1458" s="90">
        <v>2.225E-4</v>
      </c>
      <c r="I1458" s="45"/>
      <c r="J1458" s="45"/>
      <c r="K1458" s="45"/>
      <c r="L1458" s="45"/>
      <c r="M1458" s="45"/>
      <c r="N1458" s="45"/>
      <c r="O1458" s="45"/>
      <c r="P1458" s="45"/>
      <c r="Q1458" s="45"/>
      <c r="R1458" s="45"/>
      <c r="S1458" s="45"/>
      <c r="T1458" s="45"/>
      <c r="U1458" s="45"/>
    </row>
    <row r="1459">
      <c r="A1459" s="79" t="s">
        <v>18381</v>
      </c>
      <c r="B1459" s="45"/>
      <c r="C1459" s="79" t="s">
        <v>18382</v>
      </c>
      <c r="D1459" s="45"/>
      <c r="E1459" s="79" t="s">
        <v>5501</v>
      </c>
      <c r="F1459" s="79" t="s">
        <v>5300</v>
      </c>
      <c r="G1459" s="80" t="s">
        <v>96</v>
      </c>
      <c r="H1459" s="90">
        <v>2.222E-4</v>
      </c>
      <c r="I1459" s="45"/>
      <c r="J1459" s="45"/>
      <c r="K1459" s="45"/>
      <c r="L1459" s="45"/>
      <c r="M1459" s="45"/>
      <c r="N1459" s="45"/>
      <c r="O1459" s="45"/>
      <c r="P1459" s="45"/>
      <c r="Q1459" s="45"/>
      <c r="R1459" s="45"/>
      <c r="S1459" s="45"/>
      <c r="T1459" s="45"/>
      <c r="U1459" s="45"/>
    </row>
    <row r="1460">
      <c r="A1460" s="79" t="s">
        <v>18383</v>
      </c>
      <c r="B1460" s="45"/>
      <c r="C1460" s="79" t="s">
        <v>18384</v>
      </c>
      <c r="D1460" s="45"/>
      <c r="E1460" s="79" t="s">
        <v>5478</v>
      </c>
      <c r="F1460" s="79" t="s">
        <v>5836</v>
      </c>
      <c r="G1460" s="80" t="s">
        <v>96</v>
      </c>
      <c r="H1460" s="90">
        <v>2.22E-4</v>
      </c>
      <c r="I1460" s="45"/>
      <c r="J1460" s="45"/>
      <c r="K1460" s="45"/>
      <c r="L1460" s="45"/>
      <c r="M1460" s="45"/>
      <c r="N1460" s="45"/>
      <c r="O1460" s="45"/>
      <c r="P1460" s="45"/>
      <c r="Q1460" s="45"/>
      <c r="R1460" s="45"/>
      <c r="S1460" s="45"/>
      <c r="T1460" s="45"/>
      <c r="U1460" s="45"/>
    </row>
    <row r="1461">
      <c r="A1461" s="79" t="s">
        <v>18385</v>
      </c>
      <c r="B1461" s="45"/>
      <c r="C1461" s="79" t="s">
        <v>18386</v>
      </c>
      <c r="D1461" s="45"/>
      <c r="E1461" s="79" t="s">
        <v>7248</v>
      </c>
      <c r="F1461" s="79" t="s">
        <v>5425</v>
      </c>
      <c r="G1461" s="80" t="s">
        <v>96</v>
      </c>
      <c r="H1461" s="90">
        <v>2.22E-4</v>
      </c>
      <c r="I1461" s="45"/>
      <c r="J1461" s="45"/>
      <c r="K1461" s="45"/>
      <c r="L1461" s="45"/>
      <c r="M1461" s="45"/>
      <c r="N1461" s="45"/>
      <c r="O1461" s="45"/>
      <c r="P1461" s="45"/>
      <c r="Q1461" s="45"/>
      <c r="R1461" s="45"/>
      <c r="S1461" s="45"/>
      <c r="T1461" s="45"/>
      <c r="U1461" s="45"/>
    </row>
    <row r="1462">
      <c r="A1462" s="79" t="s">
        <v>18387</v>
      </c>
      <c r="B1462" s="45"/>
      <c r="C1462" s="79" t="s">
        <v>18388</v>
      </c>
      <c r="D1462" s="45"/>
      <c r="E1462" s="79" t="s">
        <v>5564</v>
      </c>
      <c r="F1462" s="79" t="s">
        <v>5836</v>
      </c>
      <c r="G1462" s="80" t="s">
        <v>96</v>
      </c>
      <c r="H1462" s="90">
        <v>2.215E-4</v>
      </c>
      <c r="I1462" s="45"/>
      <c r="J1462" s="45"/>
      <c r="K1462" s="45"/>
      <c r="L1462" s="45"/>
      <c r="M1462" s="45"/>
      <c r="N1462" s="45"/>
      <c r="O1462" s="45"/>
      <c r="P1462" s="45"/>
      <c r="Q1462" s="45"/>
      <c r="R1462" s="45"/>
      <c r="S1462" s="45"/>
      <c r="T1462" s="45"/>
      <c r="U1462" s="45"/>
    </row>
    <row r="1463">
      <c r="A1463" s="79" t="s">
        <v>18389</v>
      </c>
      <c r="B1463" s="45"/>
      <c r="C1463" s="79" t="s">
        <v>18390</v>
      </c>
      <c r="D1463" s="45"/>
      <c r="E1463" s="79" t="s">
        <v>8951</v>
      </c>
      <c r="F1463" s="79" t="s">
        <v>9021</v>
      </c>
      <c r="G1463" s="80" t="s">
        <v>96</v>
      </c>
      <c r="H1463" s="90">
        <v>2.214E-4</v>
      </c>
      <c r="I1463" s="45"/>
      <c r="J1463" s="45"/>
      <c r="K1463" s="45"/>
      <c r="L1463" s="45"/>
      <c r="M1463" s="45"/>
      <c r="N1463" s="45"/>
      <c r="O1463" s="45"/>
      <c r="P1463" s="45"/>
      <c r="Q1463" s="45"/>
      <c r="R1463" s="45"/>
      <c r="S1463" s="45"/>
      <c r="T1463" s="45"/>
      <c r="U1463" s="45"/>
    </row>
    <row r="1464">
      <c r="A1464" s="79" t="s">
        <v>11079</v>
      </c>
      <c r="B1464" s="45"/>
      <c r="C1464" s="79" t="s">
        <v>11080</v>
      </c>
      <c r="D1464" s="45"/>
      <c r="E1464" s="79" t="s">
        <v>5561</v>
      </c>
      <c r="F1464" s="79" t="s">
        <v>9513</v>
      </c>
      <c r="G1464" s="80" t="s">
        <v>96</v>
      </c>
      <c r="H1464" s="90">
        <v>2.214E-4</v>
      </c>
      <c r="I1464" s="45"/>
      <c r="J1464" s="45"/>
      <c r="K1464" s="45"/>
      <c r="L1464" s="45"/>
      <c r="M1464" s="45"/>
      <c r="N1464" s="45"/>
      <c r="O1464" s="45"/>
      <c r="P1464" s="45"/>
      <c r="Q1464" s="45"/>
      <c r="R1464" s="45"/>
      <c r="S1464" s="45"/>
      <c r="T1464" s="45"/>
      <c r="U1464" s="45"/>
    </row>
    <row r="1465">
      <c r="A1465" s="79" t="s">
        <v>18391</v>
      </c>
      <c r="B1465" s="45"/>
      <c r="C1465" s="79" t="s">
        <v>18392</v>
      </c>
      <c r="D1465" s="45"/>
      <c r="E1465" s="79" t="s">
        <v>5478</v>
      </c>
      <c r="F1465" s="79" t="s">
        <v>5300</v>
      </c>
      <c r="G1465" s="80" t="s">
        <v>96</v>
      </c>
      <c r="H1465" s="90">
        <v>2.212E-4</v>
      </c>
      <c r="I1465" s="45"/>
      <c r="J1465" s="45"/>
      <c r="K1465" s="45"/>
      <c r="L1465" s="45"/>
      <c r="M1465" s="45"/>
      <c r="N1465" s="45"/>
      <c r="O1465" s="45"/>
      <c r="P1465" s="45"/>
      <c r="Q1465" s="45"/>
      <c r="R1465" s="45"/>
      <c r="S1465" s="45"/>
      <c r="T1465" s="45"/>
      <c r="U1465" s="45"/>
    </row>
    <row r="1466">
      <c r="A1466" s="79" t="s">
        <v>18393</v>
      </c>
      <c r="B1466" s="45"/>
      <c r="C1466" s="79" t="s">
        <v>18394</v>
      </c>
      <c r="D1466" s="45"/>
      <c r="E1466" s="79" t="s">
        <v>6150</v>
      </c>
      <c r="F1466" s="79" t="s">
        <v>8784</v>
      </c>
      <c r="G1466" s="80" t="s">
        <v>96</v>
      </c>
      <c r="H1466" s="90">
        <v>2.21E-4</v>
      </c>
      <c r="I1466" s="45"/>
      <c r="J1466" s="45"/>
      <c r="K1466" s="45"/>
      <c r="L1466" s="45"/>
      <c r="M1466" s="45"/>
      <c r="N1466" s="45"/>
      <c r="O1466" s="45"/>
      <c r="P1466" s="45"/>
      <c r="Q1466" s="45"/>
      <c r="R1466" s="45"/>
      <c r="S1466" s="45"/>
      <c r="T1466" s="45"/>
      <c r="U1466" s="45"/>
    </row>
    <row r="1467">
      <c r="A1467" s="79" t="s">
        <v>18395</v>
      </c>
      <c r="B1467" s="45"/>
      <c r="C1467" s="79" t="s">
        <v>18396</v>
      </c>
      <c r="D1467" s="45"/>
      <c r="E1467" s="79" t="s">
        <v>6115</v>
      </c>
      <c r="F1467" s="79" t="s">
        <v>5300</v>
      </c>
      <c r="G1467" s="80" t="s">
        <v>96</v>
      </c>
      <c r="H1467" s="90">
        <v>2.208E-4</v>
      </c>
      <c r="I1467" s="45"/>
      <c r="J1467" s="45"/>
      <c r="K1467" s="45"/>
      <c r="L1467" s="45"/>
      <c r="M1467" s="45"/>
      <c r="N1467" s="45"/>
      <c r="O1467" s="45"/>
      <c r="P1467" s="45"/>
      <c r="Q1467" s="45"/>
      <c r="R1467" s="45"/>
      <c r="S1467" s="45"/>
      <c r="T1467" s="45"/>
      <c r="U1467" s="45"/>
    </row>
    <row r="1468">
      <c r="A1468" s="79" t="s">
        <v>18397</v>
      </c>
      <c r="B1468" s="45"/>
      <c r="C1468" s="79" t="s">
        <v>18398</v>
      </c>
      <c r="D1468" s="45"/>
      <c r="E1468" s="79" t="s">
        <v>5564</v>
      </c>
      <c r="F1468" s="79" t="s">
        <v>5941</v>
      </c>
      <c r="G1468" s="80" t="s">
        <v>96</v>
      </c>
      <c r="H1468" s="90">
        <v>2.206E-4</v>
      </c>
      <c r="I1468" s="45"/>
      <c r="J1468" s="45"/>
      <c r="K1468" s="45"/>
      <c r="L1468" s="45"/>
      <c r="M1468" s="45"/>
      <c r="N1468" s="45"/>
      <c r="O1468" s="45"/>
      <c r="P1468" s="45"/>
      <c r="Q1468" s="45"/>
      <c r="R1468" s="45"/>
      <c r="S1468" s="45"/>
      <c r="T1468" s="45"/>
      <c r="U1468" s="45"/>
    </row>
    <row r="1469">
      <c r="A1469" s="79" t="s">
        <v>18399</v>
      </c>
      <c r="B1469" s="45"/>
      <c r="C1469" s="79" t="s">
        <v>18400</v>
      </c>
      <c r="D1469" s="45"/>
      <c r="E1469" s="79" t="s">
        <v>5868</v>
      </c>
      <c r="F1469" s="79" t="s">
        <v>5300</v>
      </c>
      <c r="G1469" s="80" t="s">
        <v>96</v>
      </c>
      <c r="H1469" s="90">
        <v>2.199E-4</v>
      </c>
      <c r="I1469" s="45"/>
      <c r="J1469" s="45"/>
      <c r="K1469" s="45"/>
      <c r="L1469" s="45"/>
      <c r="M1469" s="45"/>
      <c r="N1469" s="45"/>
      <c r="O1469" s="45"/>
      <c r="P1469" s="45"/>
      <c r="Q1469" s="45"/>
      <c r="R1469" s="45"/>
      <c r="S1469" s="45"/>
      <c r="T1469" s="45"/>
      <c r="U1469" s="45"/>
    </row>
    <row r="1470">
      <c r="A1470" s="79" t="s">
        <v>10826</v>
      </c>
      <c r="B1470" s="45"/>
      <c r="C1470" s="79" t="s">
        <v>10827</v>
      </c>
      <c r="D1470" s="45"/>
      <c r="E1470" s="79" t="s">
        <v>5215</v>
      </c>
      <c r="F1470" s="79" t="s">
        <v>8784</v>
      </c>
      <c r="G1470" s="80" t="s">
        <v>96</v>
      </c>
      <c r="H1470" s="90">
        <v>2.197E-4</v>
      </c>
      <c r="I1470" s="45"/>
      <c r="J1470" s="45"/>
      <c r="K1470" s="45"/>
      <c r="L1470" s="45"/>
      <c r="M1470" s="45"/>
      <c r="N1470" s="45"/>
      <c r="O1470" s="45"/>
      <c r="P1470" s="45"/>
      <c r="Q1470" s="45"/>
      <c r="R1470" s="45"/>
      <c r="S1470" s="45"/>
      <c r="T1470" s="45"/>
      <c r="U1470" s="45"/>
    </row>
    <row r="1471">
      <c r="A1471" s="79" t="s">
        <v>11173</v>
      </c>
      <c r="B1471" s="45"/>
      <c r="C1471" s="79" t="s">
        <v>11174</v>
      </c>
      <c r="D1471" s="45"/>
      <c r="E1471" s="79" t="s">
        <v>5235</v>
      </c>
      <c r="F1471" s="79" t="s">
        <v>9414</v>
      </c>
      <c r="G1471" s="80" t="s">
        <v>96</v>
      </c>
      <c r="H1471" s="90">
        <v>2.197E-4</v>
      </c>
      <c r="I1471" s="45"/>
      <c r="J1471" s="45"/>
      <c r="K1471" s="45"/>
      <c r="L1471" s="45"/>
      <c r="M1471" s="45"/>
      <c r="N1471" s="45"/>
      <c r="O1471" s="45"/>
      <c r="P1471" s="45"/>
      <c r="Q1471" s="45"/>
      <c r="R1471" s="45"/>
      <c r="S1471" s="45"/>
      <c r="T1471" s="45"/>
      <c r="U1471" s="45"/>
    </row>
    <row r="1472">
      <c r="A1472" s="79" t="s">
        <v>18401</v>
      </c>
      <c r="B1472" s="45"/>
      <c r="C1472" s="79" t="s">
        <v>18402</v>
      </c>
      <c r="D1472" s="45"/>
      <c r="E1472" s="79" t="s">
        <v>5215</v>
      </c>
      <c r="F1472" s="79" t="s">
        <v>5300</v>
      </c>
      <c r="G1472" s="80" t="s">
        <v>96</v>
      </c>
      <c r="H1472" s="90">
        <v>2.196E-4</v>
      </c>
      <c r="I1472" s="45"/>
      <c r="J1472" s="45"/>
      <c r="K1472" s="45"/>
      <c r="L1472" s="45"/>
      <c r="M1472" s="45"/>
      <c r="N1472" s="45"/>
      <c r="O1472" s="45"/>
      <c r="P1472" s="45"/>
      <c r="Q1472" s="45"/>
      <c r="R1472" s="45"/>
      <c r="S1472" s="45"/>
      <c r="T1472" s="45"/>
      <c r="U1472" s="45"/>
    </row>
    <row r="1473">
      <c r="A1473" s="79" t="s">
        <v>18403</v>
      </c>
      <c r="B1473" s="45"/>
      <c r="C1473" s="79" t="s">
        <v>18404</v>
      </c>
      <c r="D1473" s="45"/>
      <c r="E1473" s="79" t="s">
        <v>5311</v>
      </c>
      <c r="F1473" s="79" t="s">
        <v>5300</v>
      </c>
      <c r="G1473" s="80" t="s">
        <v>96</v>
      </c>
      <c r="H1473" s="90">
        <v>2.195E-4</v>
      </c>
      <c r="I1473" s="45"/>
      <c r="J1473" s="45"/>
      <c r="K1473" s="45"/>
      <c r="L1473" s="45"/>
      <c r="M1473" s="45"/>
      <c r="N1473" s="45"/>
      <c r="O1473" s="45"/>
      <c r="P1473" s="45"/>
      <c r="Q1473" s="45"/>
      <c r="R1473" s="45"/>
      <c r="S1473" s="45"/>
      <c r="T1473" s="45"/>
      <c r="U1473" s="45"/>
    </row>
    <row r="1474">
      <c r="A1474" s="79" t="s">
        <v>10931</v>
      </c>
      <c r="B1474" s="45"/>
      <c r="C1474" s="79" t="s">
        <v>10932</v>
      </c>
      <c r="D1474" s="45"/>
      <c r="E1474" s="79" t="s">
        <v>6338</v>
      </c>
      <c r="F1474" s="79" t="s">
        <v>9513</v>
      </c>
      <c r="G1474" s="80" t="s">
        <v>96</v>
      </c>
      <c r="H1474" s="90">
        <v>2.194E-4</v>
      </c>
      <c r="I1474" s="45"/>
      <c r="J1474" s="45"/>
      <c r="K1474" s="45"/>
      <c r="L1474" s="45"/>
      <c r="M1474" s="45"/>
      <c r="N1474" s="45"/>
      <c r="O1474" s="45"/>
      <c r="P1474" s="45"/>
      <c r="Q1474" s="45"/>
      <c r="R1474" s="45"/>
      <c r="S1474" s="45"/>
      <c r="T1474" s="45"/>
      <c r="U1474" s="45"/>
    </row>
    <row r="1475">
      <c r="A1475" s="79" t="s">
        <v>18405</v>
      </c>
      <c r="B1475" s="45"/>
      <c r="C1475" s="79" t="s">
        <v>18406</v>
      </c>
      <c r="D1475" s="45"/>
      <c r="E1475" s="79" t="s">
        <v>5253</v>
      </c>
      <c r="F1475" s="79" t="s">
        <v>11562</v>
      </c>
      <c r="G1475" s="80" t="s">
        <v>96</v>
      </c>
      <c r="H1475" s="90">
        <v>2.193E-4</v>
      </c>
      <c r="I1475" s="45"/>
      <c r="J1475" s="45"/>
      <c r="K1475" s="45"/>
      <c r="L1475" s="45"/>
      <c r="M1475" s="45"/>
      <c r="N1475" s="45"/>
      <c r="O1475" s="45"/>
      <c r="P1475" s="45"/>
      <c r="Q1475" s="45"/>
      <c r="R1475" s="45"/>
      <c r="S1475" s="45"/>
      <c r="T1475" s="45"/>
      <c r="U1475" s="45"/>
    </row>
    <row r="1476">
      <c r="A1476" s="79" t="s">
        <v>10874</v>
      </c>
      <c r="B1476" s="45"/>
      <c r="C1476" s="79" t="s">
        <v>10875</v>
      </c>
      <c r="D1476" s="45"/>
      <c r="E1476" s="79" t="s">
        <v>7098</v>
      </c>
      <c r="F1476" s="79" t="s">
        <v>8784</v>
      </c>
      <c r="G1476" s="80" t="s">
        <v>96</v>
      </c>
      <c r="H1476" s="90">
        <v>2.193E-4</v>
      </c>
      <c r="I1476" s="45"/>
      <c r="J1476" s="45"/>
      <c r="K1476" s="45"/>
      <c r="L1476" s="45"/>
      <c r="M1476" s="45"/>
      <c r="N1476" s="45"/>
      <c r="O1476" s="45"/>
      <c r="P1476" s="45"/>
      <c r="Q1476" s="45"/>
      <c r="R1476" s="45"/>
      <c r="S1476" s="45"/>
      <c r="T1476" s="45"/>
      <c r="U1476" s="45"/>
    </row>
    <row r="1477">
      <c r="A1477" s="79" t="s">
        <v>4057</v>
      </c>
      <c r="B1477" s="45"/>
      <c r="C1477" s="79" t="s">
        <v>18407</v>
      </c>
      <c r="D1477" s="45"/>
      <c r="E1477" s="79" t="s">
        <v>5775</v>
      </c>
      <c r="F1477" s="79" t="s">
        <v>4095</v>
      </c>
      <c r="G1477" s="80" t="s">
        <v>96</v>
      </c>
      <c r="H1477" s="90">
        <v>2.186E-4</v>
      </c>
      <c r="I1477" s="45"/>
      <c r="J1477" s="45"/>
      <c r="K1477" s="45"/>
      <c r="L1477" s="45"/>
      <c r="M1477" s="45"/>
      <c r="N1477" s="45"/>
      <c r="O1477" s="45"/>
      <c r="P1477" s="45"/>
      <c r="Q1477" s="45"/>
      <c r="R1477" s="45"/>
      <c r="S1477" s="45"/>
      <c r="T1477" s="45"/>
      <c r="U1477" s="45"/>
    </row>
    <row r="1478">
      <c r="A1478" s="79" t="s">
        <v>10707</v>
      </c>
      <c r="B1478" s="45"/>
      <c r="C1478" s="79" t="s">
        <v>10708</v>
      </c>
      <c r="D1478" s="45"/>
      <c r="E1478" s="79" t="s">
        <v>5395</v>
      </c>
      <c r="F1478" s="79" t="s">
        <v>8784</v>
      </c>
      <c r="G1478" s="80" t="s">
        <v>96</v>
      </c>
      <c r="H1478" s="90">
        <v>2.186E-4</v>
      </c>
      <c r="I1478" s="45"/>
      <c r="J1478" s="45"/>
      <c r="K1478" s="45"/>
      <c r="L1478" s="45"/>
      <c r="M1478" s="45"/>
      <c r="N1478" s="45"/>
      <c r="O1478" s="45"/>
      <c r="P1478" s="45"/>
      <c r="Q1478" s="45"/>
      <c r="R1478" s="45"/>
      <c r="S1478" s="45"/>
      <c r="T1478" s="45"/>
      <c r="U1478" s="45"/>
    </row>
    <row r="1479">
      <c r="A1479" s="79" t="s">
        <v>18408</v>
      </c>
      <c r="B1479" s="45"/>
      <c r="C1479" s="79" t="s">
        <v>18409</v>
      </c>
      <c r="D1479" s="45"/>
      <c r="E1479" s="79" t="s">
        <v>5267</v>
      </c>
      <c r="F1479" s="79" t="s">
        <v>5300</v>
      </c>
      <c r="G1479" s="80" t="s">
        <v>96</v>
      </c>
      <c r="H1479" s="90">
        <v>2.186E-4</v>
      </c>
      <c r="I1479" s="45"/>
      <c r="J1479" s="45"/>
      <c r="K1479" s="45"/>
      <c r="L1479" s="45"/>
      <c r="M1479" s="45"/>
      <c r="N1479" s="45"/>
      <c r="O1479" s="45"/>
      <c r="P1479" s="45"/>
      <c r="Q1479" s="45"/>
      <c r="R1479" s="45"/>
      <c r="S1479" s="45"/>
      <c r="T1479" s="45"/>
      <c r="U1479" s="45"/>
    </row>
    <row r="1480">
      <c r="A1480" s="79" t="s">
        <v>18410</v>
      </c>
      <c r="B1480" s="45"/>
      <c r="C1480" s="79" t="s">
        <v>18411</v>
      </c>
      <c r="D1480" s="45"/>
      <c r="E1480" s="79" t="s">
        <v>5650</v>
      </c>
      <c r="F1480" s="79" t="s">
        <v>5927</v>
      </c>
      <c r="G1480" s="80" t="s">
        <v>96</v>
      </c>
      <c r="H1480" s="90">
        <v>2.185E-4</v>
      </c>
      <c r="I1480" s="45"/>
      <c r="J1480" s="45"/>
      <c r="K1480" s="45"/>
      <c r="L1480" s="45"/>
      <c r="M1480" s="45"/>
      <c r="N1480" s="45"/>
      <c r="O1480" s="45"/>
      <c r="P1480" s="45"/>
      <c r="Q1480" s="45"/>
      <c r="R1480" s="45"/>
      <c r="S1480" s="45"/>
      <c r="T1480" s="45"/>
      <c r="U1480" s="45"/>
    </row>
    <row r="1481">
      <c r="A1481" s="79" t="s">
        <v>18412</v>
      </c>
      <c r="B1481" s="45"/>
      <c r="C1481" s="79" t="s">
        <v>18413</v>
      </c>
      <c r="D1481" s="45"/>
      <c r="E1481" s="79" t="s">
        <v>5691</v>
      </c>
      <c r="F1481" s="79" t="s">
        <v>5300</v>
      </c>
      <c r="G1481" s="80" t="s">
        <v>96</v>
      </c>
      <c r="H1481" s="90">
        <v>2.185E-4</v>
      </c>
      <c r="I1481" s="45"/>
      <c r="J1481" s="45"/>
      <c r="K1481" s="45"/>
      <c r="L1481" s="45"/>
      <c r="M1481" s="45"/>
      <c r="N1481" s="45"/>
      <c r="O1481" s="45"/>
      <c r="P1481" s="45"/>
      <c r="Q1481" s="45"/>
      <c r="R1481" s="45"/>
      <c r="S1481" s="45"/>
      <c r="T1481" s="45"/>
      <c r="U1481" s="45"/>
    </row>
    <row r="1482">
      <c r="A1482" s="79" t="s">
        <v>10770</v>
      </c>
      <c r="B1482" s="45"/>
      <c r="C1482" s="79" t="s">
        <v>10771</v>
      </c>
      <c r="D1482" s="45"/>
      <c r="E1482" s="79" t="s">
        <v>5291</v>
      </c>
      <c r="F1482" s="79" t="s">
        <v>8784</v>
      </c>
      <c r="G1482" s="80" t="s">
        <v>96</v>
      </c>
      <c r="H1482" s="90">
        <v>2.184E-4</v>
      </c>
      <c r="I1482" s="45"/>
      <c r="J1482" s="45"/>
      <c r="K1482" s="45"/>
      <c r="L1482" s="45"/>
      <c r="M1482" s="45"/>
      <c r="N1482" s="45"/>
      <c r="O1482" s="45"/>
      <c r="P1482" s="45"/>
      <c r="Q1482" s="45"/>
      <c r="R1482" s="45"/>
      <c r="S1482" s="45"/>
      <c r="T1482" s="45"/>
      <c r="U1482" s="45"/>
    </row>
    <row r="1483">
      <c r="A1483" s="79" t="s">
        <v>18414</v>
      </c>
      <c r="B1483" s="45"/>
      <c r="C1483" s="79" t="s">
        <v>18415</v>
      </c>
      <c r="D1483" s="45"/>
      <c r="E1483" s="79" t="s">
        <v>5478</v>
      </c>
      <c r="F1483" s="79" t="s">
        <v>5300</v>
      </c>
      <c r="G1483" s="80" t="s">
        <v>96</v>
      </c>
      <c r="H1483" s="90">
        <v>2.184E-4</v>
      </c>
      <c r="I1483" s="45"/>
      <c r="J1483" s="45"/>
      <c r="K1483" s="45"/>
      <c r="L1483" s="45"/>
      <c r="M1483" s="45"/>
      <c r="N1483" s="45"/>
      <c r="O1483" s="45"/>
      <c r="P1483" s="45"/>
      <c r="Q1483" s="45"/>
      <c r="R1483" s="45"/>
      <c r="S1483" s="45"/>
      <c r="T1483" s="45"/>
      <c r="U1483" s="45"/>
    </row>
    <row r="1484">
      <c r="A1484" s="79" t="s">
        <v>10876</v>
      </c>
      <c r="B1484" s="45"/>
      <c r="C1484" s="79" t="s">
        <v>10877</v>
      </c>
      <c r="D1484" s="45"/>
      <c r="E1484" s="79" t="s">
        <v>5215</v>
      </c>
      <c r="F1484" s="79" t="s">
        <v>8784</v>
      </c>
      <c r="G1484" s="80" t="s">
        <v>96</v>
      </c>
      <c r="H1484" s="90">
        <v>2.184E-4</v>
      </c>
      <c r="I1484" s="45"/>
      <c r="J1484" s="45"/>
      <c r="K1484" s="45"/>
      <c r="L1484" s="45"/>
      <c r="M1484" s="45"/>
      <c r="N1484" s="45"/>
      <c r="O1484" s="45"/>
      <c r="P1484" s="45"/>
      <c r="Q1484" s="45"/>
      <c r="R1484" s="45"/>
      <c r="S1484" s="45"/>
      <c r="T1484" s="45"/>
      <c r="U1484" s="45"/>
    </row>
    <row r="1485">
      <c r="A1485" s="79" t="s">
        <v>18416</v>
      </c>
      <c r="B1485" s="45"/>
      <c r="C1485" s="79" t="s">
        <v>18417</v>
      </c>
      <c r="D1485" s="45"/>
      <c r="E1485" s="79" t="s">
        <v>5253</v>
      </c>
      <c r="F1485" s="79" t="s">
        <v>8784</v>
      </c>
      <c r="G1485" s="80" t="s">
        <v>96</v>
      </c>
      <c r="H1485" s="90">
        <v>2.182E-4</v>
      </c>
      <c r="I1485" s="45"/>
      <c r="J1485" s="45"/>
      <c r="K1485" s="45"/>
      <c r="L1485" s="45"/>
      <c r="M1485" s="45"/>
      <c r="N1485" s="45"/>
      <c r="O1485" s="45"/>
      <c r="P1485" s="45"/>
      <c r="Q1485" s="45"/>
      <c r="R1485" s="45"/>
      <c r="S1485" s="45"/>
      <c r="T1485" s="45"/>
      <c r="U1485" s="45"/>
    </row>
    <row r="1486">
      <c r="A1486" s="79" t="s">
        <v>18418</v>
      </c>
      <c r="B1486" s="45"/>
      <c r="C1486" s="79" t="s">
        <v>18419</v>
      </c>
      <c r="D1486" s="45"/>
      <c r="E1486" s="79" t="s">
        <v>5456</v>
      </c>
      <c r="F1486" s="79" t="s">
        <v>5300</v>
      </c>
      <c r="G1486" s="80" t="s">
        <v>96</v>
      </c>
      <c r="H1486" s="90">
        <v>2.181E-4</v>
      </c>
      <c r="I1486" s="45"/>
      <c r="J1486" s="45"/>
      <c r="K1486" s="45"/>
      <c r="L1486" s="45"/>
      <c r="M1486" s="45"/>
      <c r="N1486" s="45"/>
      <c r="O1486" s="45"/>
      <c r="P1486" s="45"/>
      <c r="Q1486" s="45"/>
      <c r="R1486" s="45"/>
      <c r="S1486" s="45"/>
      <c r="T1486" s="45"/>
      <c r="U1486" s="45"/>
    </row>
    <row r="1487">
      <c r="A1487" s="79" t="s">
        <v>18420</v>
      </c>
      <c r="B1487" s="45"/>
      <c r="C1487" s="79" t="s">
        <v>18421</v>
      </c>
      <c r="D1487" s="45"/>
      <c r="E1487" s="79" t="s">
        <v>8230</v>
      </c>
      <c r="F1487" s="79" t="s">
        <v>5300</v>
      </c>
      <c r="G1487" s="80" t="s">
        <v>96</v>
      </c>
      <c r="H1487" s="90">
        <v>2.18E-4</v>
      </c>
      <c r="I1487" s="45"/>
      <c r="J1487" s="45"/>
      <c r="K1487" s="45"/>
      <c r="L1487" s="45"/>
      <c r="M1487" s="45"/>
      <c r="N1487" s="45"/>
      <c r="O1487" s="45"/>
      <c r="P1487" s="45"/>
      <c r="Q1487" s="45"/>
      <c r="R1487" s="45"/>
      <c r="S1487" s="45"/>
      <c r="T1487" s="45"/>
      <c r="U1487" s="45"/>
    </row>
    <row r="1488">
      <c r="A1488" s="79" t="s">
        <v>18422</v>
      </c>
      <c r="B1488" s="45"/>
      <c r="C1488" s="79" t="s">
        <v>18423</v>
      </c>
      <c r="D1488" s="45"/>
      <c r="E1488" s="79" t="s">
        <v>9810</v>
      </c>
      <c r="F1488" s="79" t="s">
        <v>5300</v>
      </c>
      <c r="G1488" s="80" t="s">
        <v>96</v>
      </c>
      <c r="H1488" s="90">
        <v>2.179E-4</v>
      </c>
      <c r="I1488" s="45"/>
      <c r="J1488" s="45"/>
      <c r="K1488" s="45"/>
      <c r="L1488" s="45"/>
      <c r="M1488" s="45"/>
      <c r="N1488" s="45"/>
      <c r="O1488" s="45"/>
      <c r="P1488" s="45"/>
      <c r="Q1488" s="45"/>
      <c r="R1488" s="45"/>
      <c r="S1488" s="45"/>
      <c r="T1488" s="45"/>
      <c r="U1488" s="45"/>
    </row>
    <row r="1489">
      <c r="A1489" s="79" t="s">
        <v>18424</v>
      </c>
      <c r="B1489" s="45"/>
      <c r="C1489" s="79" t="s">
        <v>18425</v>
      </c>
      <c r="D1489" s="45"/>
      <c r="E1489" s="79" t="s">
        <v>7611</v>
      </c>
      <c r="F1489" s="79" t="s">
        <v>5425</v>
      </c>
      <c r="G1489" s="80" t="s">
        <v>96</v>
      </c>
      <c r="H1489" s="90">
        <v>2.176E-4</v>
      </c>
      <c r="I1489" s="45"/>
      <c r="J1489" s="45"/>
      <c r="K1489" s="45"/>
      <c r="L1489" s="45"/>
      <c r="M1489" s="45"/>
      <c r="N1489" s="45"/>
      <c r="O1489" s="45"/>
      <c r="P1489" s="45"/>
      <c r="Q1489" s="45"/>
      <c r="R1489" s="45"/>
      <c r="S1489" s="45"/>
      <c r="T1489" s="45"/>
      <c r="U1489" s="45"/>
    </row>
    <row r="1490">
      <c r="A1490" s="79" t="s">
        <v>18426</v>
      </c>
      <c r="B1490" s="45"/>
      <c r="C1490" s="79" t="s">
        <v>18427</v>
      </c>
      <c r="D1490" s="45"/>
      <c r="E1490" s="79" t="s">
        <v>5229</v>
      </c>
      <c r="F1490" s="79" t="s">
        <v>5300</v>
      </c>
      <c r="G1490" s="80" t="s">
        <v>96</v>
      </c>
      <c r="H1490" s="90">
        <v>2.174E-4</v>
      </c>
      <c r="I1490" s="45"/>
      <c r="J1490" s="45"/>
      <c r="K1490" s="45"/>
      <c r="L1490" s="45"/>
      <c r="M1490" s="45"/>
      <c r="N1490" s="45"/>
      <c r="O1490" s="45"/>
      <c r="P1490" s="45"/>
      <c r="Q1490" s="45"/>
      <c r="R1490" s="45"/>
      <c r="S1490" s="45"/>
      <c r="T1490" s="45"/>
      <c r="U1490" s="45"/>
    </row>
    <row r="1491">
      <c r="A1491" s="79" t="s">
        <v>18428</v>
      </c>
      <c r="B1491" s="45"/>
      <c r="C1491" s="79" t="s">
        <v>18429</v>
      </c>
      <c r="D1491" s="45"/>
      <c r="E1491" s="79" t="s">
        <v>5246</v>
      </c>
      <c r="F1491" s="79" t="s">
        <v>9414</v>
      </c>
      <c r="G1491" s="80" t="s">
        <v>96</v>
      </c>
      <c r="H1491" s="90">
        <v>2.173E-4</v>
      </c>
      <c r="I1491" s="45"/>
      <c r="J1491" s="45"/>
      <c r="K1491" s="45"/>
      <c r="L1491" s="45"/>
      <c r="M1491" s="45"/>
      <c r="N1491" s="45"/>
      <c r="O1491" s="45"/>
      <c r="P1491" s="45"/>
      <c r="Q1491" s="45"/>
      <c r="R1491" s="45"/>
      <c r="S1491" s="45"/>
      <c r="T1491" s="45"/>
      <c r="U1491" s="45"/>
    </row>
    <row r="1492">
      <c r="A1492" s="79" t="s">
        <v>18430</v>
      </c>
      <c r="B1492" s="45"/>
      <c r="C1492" s="79" t="s">
        <v>18431</v>
      </c>
      <c r="D1492" s="45"/>
      <c r="E1492" s="79" t="s">
        <v>5215</v>
      </c>
      <c r="F1492" s="79" t="s">
        <v>4357</v>
      </c>
      <c r="G1492" s="80" t="s">
        <v>96</v>
      </c>
      <c r="H1492" s="90">
        <v>2.173E-4</v>
      </c>
      <c r="I1492" s="45"/>
      <c r="J1492" s="45"/>
      <c r="K1492" s="45"/>
      <c r="L1492" s="45"/>
      <c r="M1492" s="45"/>
      <c r="N1492" s="45"/>
      <c r="O1492" s="45"/>
      <c r="P1492" s="45"/>
      <c r="Q1492" s="45"/>
      <c r="R1492" s="45"/>
      <c r="S1492" s="45"/>
      <c r="T1492" s="45"/>
      <c r="U1492" s="45"/>
    </row>
    <row r="1493">
      <c r="A1493" s="79" t="s">
        <v>18432</v>
      </c>
      <c r="B1493" s="45"/>
      <c r="C1493" s="79" t="s">
        <v>18433</v>
      </c>
      <c r="D1493" s="45"/>
      <c r="E1493" s="79" t="s">
        <v>5513</v>
      </c>
      <c r="F1493" s="79" t="s">
        <v>5300</v>
      </c>
      <c r="G1493" s="80" t="s">
        <v>96</v>
      </c>
      <c r="H1493" s="90">
        <v>2.168E-4</v>
      </c>
      <c r="I1493" s="45"/>
      <c r="J1493" s="45"/>
      <c r="K1493" s="45"/>
      <c r="L1493" s="45"/>
      <c r="M1493" s="45"/>
      <c r="N1493" s="45"/>
      <c r="O1493" s="45"/>
      <c r="P1493" s="45"/>
      <c r="Q1493" s="45"/>
      <c r="R1493" s="45"/>
      <c r="S1493" s="45"/>
      <c r="T1493" s="45"/>
      <c r="U1493" s="45"/>
    </row>
    <row r="1494">
      <c r="A1494" s="79" t="s">
        <v>18434</v>
      </c>
      <c r="B1494" s="45"/>
      <c r="C1494" s="79" t="s">
        <v>18435</v>
      </c>
      <c r="D1494" s="45"/>
      <c r="E1494" s="79" t="s">
        <v>5218</v>
      </c>
      <c r="F1494" s="79" t="s">
        <v>8767</v>
      </c>
      <c r="G1494" s="80" t="s">
        <v>96</v>
      </c>
      <c r="H1494" s="90">
        <v>2.167E-4</v>
      </c>
      <c r="I1494" s="45"/>
      <c r="J1494" s="45"/>
      <c r="K1494" s="45"/>
      <c r="L1494" s="45"/>
      <c r="M1494" s="45"/>
      <c r="N1494" s="45"/>
      <c r="O1494" s="45"/>
      <c r="P1494" s="45"/>
      <c r="Q1494" s="45"/>
      <c r="R1494" s="45"/>
      <c r="S1494" s="45"/>
      <c r="T1494" s="45"/>
      <c r="U1494" s="45"/>
    </row>
    <row r="1495">
      <c r="A1495" s="79" t="s">
        <v>18436</v>
      </c>
      <c r="B1495" s="45"/>
      <c r="C1495" s="79" t="s">
        <v>18437</v>
      </c>
      <c r="D1495" s="45"/>
      <c r="E1495" s="79" t="s">
        <v>5641</v>
      </c>
      <c r="F1495" s="79" t="s">
        <v>5300</v>
      </c>
      <c r="G1495" s="80" t="s">
        <v>96</v>
      </c>
      <c r="H1495" s="90">
        <v>2.167E-4</v>
      </c>
      <c r="I1495" s="45"/>
      <c r="J1495" s="45"/>
      <c r="K1495" s="45"/>
      <c r="L1495" s="45"/>
      <c r="M1495" s="45"/>
      <c r="N1495" s="45"/>
      <c r="O1495" s="45"/>
      <c r="P1495" s="45"/>
      <c r="Q1495" s="45"/>
      <c r="R1495" s="45"/>
      <c r="S1495" s="45"/>
      <c r="T1495" s="45"/>
      <c r="U1495" s="45"/>
    </row>
    <row r="1496">
      <c r="A1496" s="79" t="s">
        <v>18438</v>
      </c>
      <c r="B1496" s="45"/>
      <c r="C1496" s="79" t="s">
        <v>18439</v>
      </c>
      <c r="D1496" s="45"/>
      <c r="E1496" s="79" t="s">
        <v>5267</v>
      </c>
      <c r="F1496" s="79" t="s">
        <v>5300</v>
      </c>
      <c r="G1496" s="80" t="s">
        <v>96</v>
      </c>
      <c r="H1496" s="90">
        <v>2.164E-4</v>
      </c>
      <c r="I1496" s="45"/>
      <c r="J1496" s="45"/>
      <c r="K1496" s="45"/>
      <c r="L1496" s="45"/>
      <c r="M1496" s="45"/>
      <c r="N1496" s="45"/>
      <c r="O1496" s="45"/>
      <c r="P1496" s="45"/>
      <c r="Q1496" s="45"/>
      <c r="R1496" s="45"/>
      <c r="S1496" s="45"/>
      <c r="T1496" s="45"/>
      <c r="U1496" s="45"/>
    </row>
    <row r="1497">
      <c r="A1497" s="79" t="s">
        <v>16706</v>
      </c>
      <c r="B1497" s="45"/>
      <c r="C1497" s="79" t="s">
        <v>18440</v>
      </c>
      <c r="D1497" s="45"/>
      <c r="E1497" s="79" t="s">
        <v>5316</v>
      </c>
      <c r="F1497" s="79" t="s">
        <v>5277</v>
      </c>
      <c r="G1497" s="80" t="s">
        <v>96</v>
      </c>
      <c r="H1497" s="90">
        <v>2.163E-4</v>
      </c>
      <c r="I1497" s="45"/>
      <c r="J1497" s="45"/>
      <c r="K1497" s="45"/>
      <c r="L1497" s="45"/>
      <c r="M1497" s="45"/>
      <c r="N1497" s="45"/>
      <c r="O1497" s="45"/>
      <c r="P1497" s="45"/>
      <c r="Q1497" s="45"/>
      <c r="R1497" s="45"/>
      <c r="S1497" s="45"/>
      <c r="T1497" s="45"/>
      <c r="U1497" s="45"/>
    </row>
    <row r="1498">
      <c r="A1498" s="79" t="s">
        <v>18441</v>
      </c>
      <c r="B1498" s="45"/>
      <c r="C1498" s="79" t="s">
        <v>18442</v>
      </c>
      <c r="D1498" s="45"/>
      <c r="E1498" s="79" t="s">
        <v>5467</v>
      </c>
      <c r="F1498" s="79" t="s">
        <v>5300</v>
      </c>
      <c r="G1498" s="80" t="s">
        <v>96</v>
      </c>
      <c r="H1498" s="90">
        <v>2.163E-4</v>
      </c>
      <c r="I1498" s="45"/>
      <c r="J1498" s="45"/>
      <c r="K1498" s="45"/>
      <c r="L1498" s="45"/>
      <c r="M1498" s="45"/>
      <c r="N1498" s="45"/>
      <c r="O1498" s="45"/>
      <c r="P1498" s="45"/>
      <c r="Q1498" s="45"/>
      <c r="R1498" s="45"/>
      <c r="S1498" s="45"/>
      <c r="T1498" s="45"/>
      <c r="U1498" s="45"/>
    </row>
    <row r="1499">
      <c r="A1499" s="79" t="s">
        <v>18443</v>
      </c>
      <c r="B1499" s="45"/>
      <c r="C1499" s="79" t="s">
        <v>18444</v>
      </c>
      <c r="D1499" s="45"/>
      <c r="E1499" s="79" t="s">
        <v>6868</v>
      </c>
      <c r="F1499" s="79" t="s">
        <v>5300</v>
      </c>
      <c r="G1499" s="80" t="s">
        <v>96</v>
      </c>
      <c r="H1499" s="90">
        <v>2.161E-4</v>
      </c>
      <c r="I1499" s="45"/>
      <c r="J1499" s="45"/>
      <c r="K1499" s="45"/>
      <c r="L1499" s="45"/>
      <c r="M1499" s="45"/>
      <c r="N1499" s="45"/>
      <c r="O1499" s="45"/>
      <c r="P1499" s="45"/>
      <c r="Q1499" s="45"/>
      <c r="R1499" s="45"/>
      <c r="S1499" s="45"/>
      <c r="T1499" s="45"/>
      <c r="U1499" s="45"/>
    </row>
    <row r="1500">
      <c r="A1500" s="79" t="s">
        <v>18445</v>
      </c>
      <c r="B1500" s="45"/>
      <c r="C1500" s="79" t="s">
        <v>18446</v>
      </c>
      <c r="D1500" s="45"/>
      <c r="E1500" s="79" t="s">
        <v>5564</v>
      </c>
      <c r="F1500" s="79" t="s">
        <v>5836</v>
      </c>
      <c r="G1500" s="80" t="s">
        <v>96</v>
      </c>
      <c r="H1500" s="90">
        <v>2.16E-4</v>
      </c>
      <c r="I1500" s="45"/>
      <c r="J1500" s="45"/>
      <c r="K1500" s="45"/>
      <c r="L1500" s="45"/>
      <c r="M1500" s="45"/>
      <c r="N1500" s="45"/>
      <c r="O1500" s="45"/>
      <c r="P1500" s="45"/>
      <c r="Q1500" s="45"/>
      <c r="R1500" s="45"/>
      <c r="S1500" s="45"/>
      <c r="T1500" s="45"/>
      <c r="U1500" s="45"/>
    </row>
    <row r="1501">
      <c r="A1501" s="79" t="s">
        <v>18447</v>
      </c>
      <c r="B1501" s="45"/>
      <c r="C1501" s="79" t="s">
        <v>18448</v>
      </c>
      <c r="D1501" s="45"/>
      <c r="E1501" s="79" t="s">
        <v>5390</v>
      </c>
      <c r="F1501" s="79" t="s">
        <v>5300</v>
      </c>
      <c r="G1501" s="80" t="s">
        <v>96</v>
      </c>
      <c r="H1501" s="90">
        <v>2.158E-4</v>
      </c>
      <c r="I1501" s="45"/>
      <c r="J1501" s="45"/>
      <c r="K1501" s="45"/>
      <c r="L1501" s="45"/>
      <c r="M1501" s="45"/>
      <c r="N1501" s="45"/>
      <c r="O1501" s="45"/>
      <c r="P1501" s="45"/>
      <c r="Q1501" s="45"/>
      <c r="R1501" s="45"/>
      <c r="S1501" s="45"/>
      <c r="T1501" s="45"/>
      <c r="U1501" s="45"/>
    </row>
    <row r="1502">
      <c r="A1502" s="79" t="s">
        <v>18449</v>
      </c>
      <c r="B1502" s="45"/>
      <c r="C1502" s="79" t="s">
        <v>18450</v>
      </c>
      <c r="D1502" s="45"/>
      <c r="E1502" s="79" t="s">
        <v>5501</v>
      </c>
      <c r="F1502" s="79" t="s">
        <v>4436</v>
      </c>
      <c r="G1502" s="80" t="s">
        <v>96</v>
      </c>
      <c r="H1502" s="90">
        <v>2.155E-4</v>
      </c>
      <c r="I1502" s="45"/>
      <c r="J1502" s="45"/>
      <c r="K1502" s="45"/>
      <c r="L1502" s="45"/>
      <c r="M1502" s="45"/>
      <c r="N1502" s="45"/>
      <c r="O1502" s="45"/>
      <c r="P1502" s="45"/>
      <c r="Q1502" s="45"/>
      <c r="R1502" s="45"/>
      <c r="S1502" s="45"/>
      <c r="T1502" s="45"/>
      <c r="U1502" s="45"/>
    </row>
    <row r="1503">
      <c r="A1503" s="79" t="s">
        <v>18451</v>
      </c>
      <c r="B1503" s="45"/>
      <c r="C1503" s="79" t="s">
        <v>18452</v>
      </c>
      <c r="D1503" s="45"/>
      <c r="E1503" s="79" t="s">
        <v>16994</v>
      </c>
      <c r="F1503" s="79" t="s">
        <v>5300</v>
      </c>
      <c r="G1503" s="80" t="s">
        <v>96</v>
      </c>
      <c r="H1503" s="90">
        <v>2.155E-4</v>
      </c>
      <c r="I1503" s="45"/>
      <c r="J1503" s="45"/>
      <c r="K1503" s="45"/>
      <c r="L1503" s="45"/>
      <c r="M1503" s="45"/>
      <c r="N1503" s="45"/>
      <c r="O1503" s="45"/>
      <c r="P1503" s="45"/>
      <c r="Q1503" s="45"/>
      <c r="R1503" s="45"/>
      <c r="S1503" s="45"/>
      <c r="T1503" s="45"/>
      <c r="U1503" s="45"/>
    </row>
    <row r="1504">
      <c r="A1504" s="79" t="s">
        <v>18453</v>
      </c>
      <c r="B1504" s="45"/>
      <c r="C1504" s="79" t="s">
        <v>18454</v>
      </c>
      <c r="D1504" s="45"/>
      <c r="E1504" s="79" t="s">
        <v>8951</v>
      </c>
      <c r="F1504" s="79" t="s">
        <v>5300</v>
      </c>
      <c r="G1504" s="80" t="s">
        <v>96</v>
      </c>
      <c r="H1504" s="90">
        <v>2.152E-4</v>
      </c>
      <c r="I1504" s="45"/>
      <c r="J1504" s="45"/>
      <c r="K1504" s="45"/>
      <c r="L1504" s="45"/>
      <c r="M1504" s="45"/>
      <c r="N1504" s="45"/>
      <c r="O1504" s="45"/>
      <c r="P1504" s="45"/>
      <c r="Q1504" s="45"/>
      <c r="R1504" s="45"/>
      <c r="S1504" s="45"/>
      <c r="T1504" s="45"/>
      <c r="U1504" s="45"/>
    </row>
    <row r="1505">
      <c r="A1505" s="79" t="s">
        <v>18455</v>
      </c>
      <c r="B1505" s="45"/>
      <c r="C1505" s="79" t="s">
        <v>18456</v>
      </c>
      <c r="D1505" s="45"/>
      <c r="E1505" s="79" t="s">
        <v>5226</v>
      </c>
      <c r="F1505" s="79" t="s">
        <v>5836</v>
      </c>
      <c r="G1505" s="80" t="s">
        <v>96</v>
      </c>
      <c r="H1505" s="90">
        <v>2.152E-4</v>
      </c>
      <c r="I1505" s="45"/>
      <c r="J1505" s="45"/>
      <c r="K1505" s="45"/>
      <c r="L1505" s="45"/>
      <c r="M1505" s="45"/>
      <c r="N1505" s="45"/>
      <c r="O1505" s="45"/>
      <c r="P1505" s="45"/>
      <c r="Q1505" s="45"/>
      <c r="R1505" s="45"/>
      <c r="S1505" s="45"/>
      <c r="T1505" s="45"/>
      <c r="U1505" s="45"/>
    </row>
    <row r="1506">
      <c r="A1506" s="79" t="s">
        <v>10855</v>
      </c>
      <c r="B1506" s="45"/>
      <c r="C1506" s="79" t="s">
        <v>10856</v>
      </c>
      <c r="D1506" s="45"/>
      <c r="E1506" s="79" t="s">
        <v>5229</v>
      </c>
      <c r="F1506" s="79" t="s">
        <v>8784</v>
      </c>
      <c r="G1506" s="80" t="s">
        <v>96</v>
      </c>
      <c r="H1506" s="90">
        <v>2.15E-4</v>
      </c>
      <c r="I1506" s="45"/>
      <c r="J1506" s="45"/>
      <c r="K1506" s="45"/>
      <c r="L1506" s="45"/>
      <c r="M1506" s="45"/>
      <c r="N1506" s="45"/>
      <c r="O1506" s="45"/>
      <c r="P1506" s="45"/>
      <c r="Q1506" s="45"/>
      <c r="R1506" s="45"/>
      <c r="S1506" s="45"/>
      <c r="T1506" s="45"/>
      <c r="U1506" s="45"/>
    </row>
    <row r="1507">
      <c r="A1507" s="79" t="s">
        <v>18457</v>
      </c>
      <c r="B1507" s="45"/>
      <c r="C1507" s="79" t="s">
        <v>18458</v>
      </c>
      <c r="D1507" s="45"/>
      <c r="E1507" s="79" t="s">
        <v>5357</v>
      </c>
      <c r="F1507" s="79" t="s">
        <v>5300</v>
      </c>
      <c r="G1507" s="80" t="s">
        <v>96</v>
      </c>
      <c r="H1507" s="90">
        <v>2.15E-4</v>
      </c>
      <c r="I1507" s="45"/>
      <c r="J1507" s="45"/>
      <c r="K1507" s="45"/>
      <c r="L1507" s="45"/>
      <c r="M1507" s="45"/>
      <c r="N1507" s="45"/>
      <c r="O1507" s="45"/>
      <c r="P1507" s="45"/>
      <c r="Q1507" s="45"/>
      <c r="R1507" s="45"/>
      <c r="S1507" s="45"/>
      <c r="T1507" s="45"/>
      <c r="U1507" s="45"/>
    </row>
    <row r="1508">
      <c r="A1508" s="79" t="s">
        <v>18459</v>
      </c>
      <c r="B1508" s="45"/>
      <c r="C1508" s="79" t="s">
        <v>18460</v>
      </c>
      <c r="D1508" s="45"/>
      <c r="E1508" s="79" t="s">
        <v>5321</v>
      </c>
      <c r="F1508" s="79" t="s">
        <v>8784</v>
      </c>
      <c r="G1508" s="80" t="s">
        <v>96</v>
      </c>
      <c r="H1508" s="90">
        <v>2.15E-4</v>
      </c>
      <c r="I1508" s="45"/>
      <c r="J1508" s="45"/>
      <c r="K1508" s="45"/>
      <c r="L1508" s="45"/>
      <c r="M1508" s="45"/>
      <c r="N1508" s="45"/>
      <c r="O1508" s="45"/>
      <c r="P1508" s="45"/>
      <c r="Q1508" s="45"/>
      <c r="R1508" s="45"/>
      <c r="S1508" s="45"/>
      <c r="T1508" s="45"/>
      <c r="U1508" s="45"/>
    </row>
    <row r="1509">
      <c r="A1509" s="79" t="s">
        <v>10976</v>
      </c>
      <c r="B1509" s="45"/>
      <c r="C1509" s="79" t="s">
        <v>10977</v>
      </c>
      <c r="D1509" s="45"/>
      <c r="E1509" s="79" t="s">
        <v>5868</v>
      </c>
      <c r="F1509" s="79" t="s">
        <v>6210</v>
      </c>
      <c r="G1509" s="80" t="s">
        <v>96</v>
      </c>
      <c r="H1509" s="90">
        <v>2.148E-4</v>
      </c>
      <c r="I1509" s="45"/>
      <c r="J1509" s="45"/>
      <c r="K1509" s="45"/>
      <c r="L1509" s="45"/>
      <c r="M1509" s="45"/>
      <c r="N1509" s="45"/>
      <c r="O1509" s="45"/>
      <c r="P1509" s="45"/>
      <c r="Q1509" s="45"/>
      <c r="R1509" s="45"/>
      <c r="S1509" s="45"/>
      <c r="T1509" s="45"/>
      <c r="U1509" s="45"/>
    </row>
    <row r="1510">
      <c r="A1510" s="79" t="s">
        <v>18461</v>
      </c>
      <c r="B1510" s="45"/>
      <c r="C1510" s="79" t="s">
        <v>18462</v>
      </c>
      <c r="D1510" s="45"/>
      <c r="E1510" s="79" t="s">
        <v>10454</v>
      </c>
      <c r="F1510" s="79" t="s">
        <v>5300</v>
      </c>
      <c r="G1510" s="80" t="s">
        <v>96</v>
      </c>
      <c r="H1510" s="90">
        <v>2.145E-4</v>
      </c>
      <c r="I1510" s="45"/>
      <c r="J1510" s="45"/>
      <c r="K1510" s="45"/>
      <c r="L1510" s="45"/>
      <c r="M1510" s="45"/>
      <c r="N1510" s="45"/>
      <c r="O1510" s="45"/>
      <c r="P1510" s="45"/>
      <c r="Q1510" s="45"/>
      <c r="R1510" s="45"/>
      <c r="S1510" s="45"/>
      <c r="T1510" s="45"/>
      <c r="U1510" s="45"/>
    </row>
    <row r="1511">
      <c r="A1511" s="79" t="s">
        <v>18463</v>
      </c>
      <c r="B1511" s="45"/>
      <c r="C1511" s="79" t="s">
        <v>18464</v>
      </c>
      <c r="D1511" s="45"/>
      <c r="E1511" s="79" t="s">
        <v>5283</v>
      </c>
      <c r="F1511" s="79" t="s">
        <v>8784</v>
      </c>
      <c r="G1511" s="80" t="s">
        <v>96</v>
      </c>
      <c r="H1511" s="90">
        <v>2.144E-4</v>
      </c>
      <c r="I1511" s="45"/>
      <c r="J1511" s="45"/>
      <c r="K1511" s="45"/>
      <c r="L1511" s="45"/>
      <c r="M1511" s="45"/>
      <c r="N1511" s="45"/>
      <c r="O1511" s="45"/>
      <c r="P1511" s="45"/>
      <c r="Q1511" s="45"/>
      <c r="R1511" s="45"/>
      <c r="S1511" s="45"/>
      <c r="T1511" s="45"/>
      <c r="U1511" s="45"/>
    </row>
    <row r="1512">
      <c r="A1512" s="79" t="s">
        <v>18465</v>
      </c>
      <c r="B1512" s="45"/>
      <c r="C1512" s="79" t="s">
        <v>18466</v>
      </c>
      <c r="D1512" s="45"/>
      <c r="E1512" s="79" t="s">
        <v>5756</v>
      </c>
      <c r="F1512" s="79" t="s">
        <v>9513</v>
      </c>
      <c r="G1512" s="80" t="s">
        <v>96</v>
      </c>
      <c r="H1512" s="90">
        <v>2.135E-4</v>
      </c>
      <c r="I1512" s="45"/>
      <c r="J1512" s="45"/>
      <c r="K1512" s="45"/>
      <c r="L1512" s="45"/>
      <c r="M1512" s="45"/>
      <c r="N1512" s="45"/>
      <c r="O1512" s="45"/>
      <c r="P1512" s="45"/>
      <c r="Q1512" s="45"/>
      <c r="R1512" s="45"/>
      <c r="S1512" s="45"/>
      <c r="T1512" s="45"/>
      <c r="U1512" s="45"/>
    </row>
    <row r="1513">
      <c r="A1513" s="79" t="s">
        <v>11012</v>
      </c>
      <c r="B1513" s="45"/>
      <c r="C1513" s="79" t="s">
        <v>11013</v>
      </c>
      <c r="D1513" s="45"/>
      <c r="E1513" s="79" t="s">
        <v>5374</v>
      </c>
      <c r="F1513" s="79" t="s">
        <v>8784</v>
      </c>
      <c r="G1513" s="80" t="s">
        <v>96</v>
      </c>
      <c r="H1513" s="90">
        <v>2.134E-4</v>
      </c>
      <c r="I1513" s="45"/>
      <c r="J1513" s="45"/>
      <c r="K1513" s="45"/>
      <c r="L1513" s="45"/>
      <c r="M1513" s="45"/>
      <c r="N1513" s="45"/>
      <c r="O1513" s="45"/>
      <c r="P1513" s="45"/>
      <c r="Q1513" s="45"/>
      <c r="R1513" s="45"/>
      <c r="S1513" s="45"/>
      <c r="T1513" s="45"/>
      <c r="U1513" s="45"/>
    </row>
    <row r="1514">
      <c r="A1514" s="79" t="s">
        <v>18467</v>
      </c>
      <c r="B1514" s="45"/>
      <c r="C1514" s="79" t="s">
        <v>18468</v>
      </c>
      <c r="D1514" s="45"/>
      <c r="E1514" s="79" t="s">
        <v>5377</v>
      </c>
      <c r="F1514" s="79" t="s">
        <v>8784</v>
      </c>
      <c r="G1514" s="80" t="s">
        <v>96</v>
      </c>
      <c r="H1514" s="90">
        <v>2.134E-4</v>
      </c>
      <c r="I1514" s="45"/>
      <c r="J1514" s="45"/>
      <c r="K1514" s="45"/>
      <c r="L1514" s="45"/>
      <c r="M1514" s="45"/>
      <c r="N1514" s="45"/>
      <c r="O1514" s="45"/>
      <c r="P1514" s="45"/>
      <c r="Q1514" s="45"/>
      <c r="R1514" s="45"/>
      <c r="S1514" s="45"/>
      <c r="T1514" s="45"/>
      <c r="U1514" s="45"/>
    </row>
    <row r="1515">
      <c r="A1515" s="79" t="s">
        <v>18469</v>
      </c>
      <c r="B1515" s="45"/>
      <c r="C1515" s="79" t="s">
        <v>18470</v>
      </c>
      <c r="D1515" s="45"/>
      <c r="E1515" s="79" t="s">
        <v>5341</v>
      </c>
      <c r="F1515" s="79" t="s">
        <v>8784</v>
      </c>
      <c r="G1515" s="80" t="s">
        <v>96</v>
      </c>
      <c r="H1515" s="90">
        <v>2.132E-4</v>
      </c>
      <c r="I1515" s="45"/>
      <c r="J1515" s="45"/>
      <c r="K1515" s="45"/>
      <c r="L1515" s="45"/>
      <c r="M1515" s="45"/>
      <c r="N1515" s="45"/>
      <c r="O1515" s="45"/>
      <c r="P1515" s="45"/>
      <c r="Q1515" s="45"/>
      <c r="R1515" s="45"/>
      <c r="S1515" s="45"/>
      <c r="T1515" s="45"/>
      <c r="U1515" s="45"/>
    </row>
    <row r="1516">
      <c r="A1516" s="79" t="s">
        <v>18471</v>
      </c>
      <c r="B1516" s="45"/>
      <c r="C1516" s="79" t="s">
        <v>18472</v>
      </c>
      <c r="D1516" s="45"/>
      <c r="E1516" s="79" t="s">
        <v>9039</v>
      </c>
      <c r="F1516" s="79" t="s">
        <v>5300</v>
      </c>
      <c r="G1516" s="80" t="s">
        <v>96</v>
      </c>
      <c r="H1516" s="90">
        <v>2.132E-4</v>
      </c>
      <c r="I1516" s="45"/>
      <c r="J1516" s="45"/>
      <c r="K1516" s="45"/>
      <c r="L1516" s="45"/>
      <c r="M1516" s="45"/>
      <c r="N1516" s="45"/>
      <c r="O1516" s="45"/>
      <c r="P1516" s="45"/>
      <c r="Q1516" s="45"/>
      <c r="R1516" s="45"/>
      <c r="S1516" s="45"/>
      <c r="T1516" s="45"/>
      <c r="U1516" s="45"/>
    </row>
    <row r="1517">
      <c r="A1517" s="79" t="s">
        <v>10960</v>
      </c>
      <c r="B1517" s="45"/>
      <c r="C1517" s="79" t="s">
        <v>10961</v>
      </c>
      <c r="D1517" s="45"/>
      <c r="E1517" s="79" t="s">
        <v>5366</v>
      </c>
      <c r="F1517" s="79" t="s">
        <v>8784</v>
      </c>
      <c r="G1517" s="80" t="s">
        <v>96</v>
      </c>
      <c r="H1517" s="90">
        <v>2.129E-4</v>
      </c>
      <c r="I1517" s="45"/>
      <c r="J1517" s="45"/>
      <c r="K1517" s="45"/>
      <c r="L1517" s="45"/>
      <c r="M1517" s="45"/>
      <c r="N1517" s="45"/>
      <c r="O1517" s="45"/>
      <c r="P1517" s="45"/>
      <c r="Q1517" s="45"/>
      <c r="R1517" s="45"/>
      <c r="S1517" s="45"/>
      <c r="T1517" s="45"/>
      <c r="U1517" s="45"/>
    </row>
    <row r="1518">
      <c r="A1518" s="79" t="s">
        <v>10853</v>
      </c>
      <c r="B1518" s="45"/>
      <c r="C1518" s="79" t="s">
        <v>10854</v>
      </c>
      <c r="D1518" s="45"/>
      <c r="E1518" s="79" t="s">
        <v>5321</v>
      </c>
      <c r="F1518" s="79" t="s">
        <v>8784</v>
      </c>
      <c r="G1518" s="80" t="s">
        <v>96</v>
      </c>
      <c r="H1518" s="90">
        <v>2.129E-4</v>
      </c>
      <c r="I1518" s="45"/>
      <c r="J1518" s="45"/>
      <c r="K1518" s="45"/>
      <c r="L1518" s="45"/>
      <c r="M1518" s="45"/>
      <c r="N1518" s="45"/>
      <c r="O1518" s="45"/>
      <c r="P1518" s="45"/>
      <c r="Q1518" s="45"/>
      <c r="R1518" s="45"/>
      <c r="S1518" s="45"/>
      <c r="T1518" s="45"/>
      <c r="U1518" s="45"/>
    </row>
    <row r="1519">
      <c r="A1519" s="79" t="s">
        <v>10766</v>
      </c>
      <c r="B1519" s="45"/>
      <c r="C1519" s="79" t="s">
        <v>10767</v>
      </c>
      <c r="D1519" s="45"/>
      <c r="E1519" s="79" t="s">
        <v>5434</v>
      </c>
      <c r="F1519" s="79" t="s">
        <v>8784</v>
      </c>
      <c r="G1519" s="80" t="s">
        <v>96</v>
      </c>
      <c r="H1519" s="90">
        <v>2.128E-4</v>
      </c>
      <c r="I1519" s="45"/>
      <c r="J1519" s="45"/>
      <c r="K1519" s="45"/>
      <c r="L1519" s="45"/>
      <c r="M1519" s="45"/>
      <c r="N1519" s="45"/>
      <c r="O1519" s="45"/>
      <c r="P1519" s="45"/>
      <c r="Q1519" s="45"/>
      <c r="R1519" s="45"/>
      <c r="S1519" s="45"/>
      <c r="T1519" s="45"/>
      <c r="U1519" s="45"/>
    </row>
    <row r="1520">
      <c r="A1520" s="79" t="s">
        <v>18473</v>
      </c>
      <c r="B1520" s="45"/>
      <c r="C1520" s="79" t="s">
        <v>18474</v>
      </c>
      <c r="D1520" s="45"/>
      <c r="E1520" s="79" t="s">
        <v>6630</v>
      </c>
      <c r="F1520" s="79" t="s">
        <v>5300</v>
      </c>
      <c r="G1520" s="80" t="s">
        <v>96</v>
      </c>
      <c r="H1520" s="90">
        <v>2.125E-4</v>
      </c>
      <c r="I1520" s="45"/>
      <c r="J1520" s="45"/>
      <c r="K1520" s="45"/>
      <c r="L1520" s="45"/>
      <c r="M1520" s="45"/>
      <c r="N1520" s="45"/>
      <c r="O1520" s="45"/>
      <c r="P1520" s="45"/>
      <c r="Q1520" s="45"/>
      <c r="R1520" s="45"/>
      <c r="S1520" s="45"/>
      <c r="T1520" s="45"/>
      <c r="U1520" s="45"/>
    </row>
    <row r="1521">
      <c r="A1521" s="79" t="s">
        <v>11095</v>
      </c>
      <c r="B1521" s="45"/>
      <c r="C1521" s="79" t="s">
        <v>11096</v>
      </c>
      <c r="D1521" s="45"/>
      <c r="E1521" s="79" t="s">
        <v>5404</v>
      </c>
      <c r="F1521" s="79" t="s">
        <v>8784</v>
      </c>
      <c r="G1521" s="80" t="s">
        <v>96</v>
      </c>
      <c r="H1521" s="90">
        <v>2.123E-4</v>
      </c>
      <c r="I1521" s="45"/>
      <c r="J1521" s="45"/>
      <c r="K1521" s="45"/>
      <c r="L1521" s="45"/>
      <c r="M1521" s="45"/>
      <c r="N1521" s="45"/>
      <c r="O1521" s="45"/>
      <c r="P1521" s="45"/>
      <c r="Q1521" s="45"/>
      <c r="R1521" s="45"/>
      <c r="S1521" s="45"/>
      <c r="T1521" s="45"/>
      <c r="U1521" s="45"/>
    </row>
    <row r="1522">
      <c r="A1522" s="79" t="s">
        <v>18475</v>
      </c>
      <c r="B1522" s="45"/>
      <c r="C1522" s="79" t="s">
        <v>18476</v>
      </c>
      <c r="D1522" s="45"/>
      <c r="E1522" s="79" t="s">
        <v>6472</v>
      </c>
      <c r="F1522" s="79" t="s">
        <v>4095</v>
      </c>
      <c r="G1522" s="80" t="s">
        <v>96</v>
      </c>
      <c r="H1522" s="90">
        <v>2.12E-4</v>
      </c>
      <c r="I1522" s="45"/>
      <c r="J1522" s="45"/>
      <c r="K1522" s="45"/>
      <c r="L1522" s="45"/>
      <c r="M1522" s="45"/>
      <c r="N1522" s="45"/>
      <c r="O1522" s="45"/>
      <c r="P1522" s="45"/>
      <c r="Q1522" s="45"/>
      <c r="R1522" s="45"/>
      <c r="S1522" s="45"/>
      <c r="T1522" s="45"/>
      <c r="U1522" s="45"/>
    </row>
    <row r="1523">
      <c r="A1523" s="79" t="s">
        <v>18477</v>
      </c>
      <c r="B1523" s="45"/>
      <c r="C1523" s="79" t="s">
        <v>18478</v>
      </c>
      <c r="D1523" s="45"/>
      <c r="E1523" s="79" t="s">
        <v>5478</v>
      </c>
      <c r="F1523" s="79" t="s">
        <v>5300</v>
      </c>
      <c r="G1523" s="80" t="s">
        <v>96</v>
      </c>
      <c r="H1523" s="90">
        <v>2.117E-4</v>
      </c>
      <c r="I1523" s="45"/>
      <c r="J1523" s="45"/>
      <c r="K1523" s="45"/>
      <c r="L1523" s="45"/>
      <c r="M1523" s="45"/>
      <c r="N1523" s="45"/>
      <c r="O1523" s="45"/>
      <c r="P1523" s="45"/>
      <c r="Q1523" s="45"/>
      <c r="R1523" s="45"/>
      <c r="S1523" s="45"/>
      <c r="T1523" s="45"/>
      <c r="U1523" s="45"/>
    </row>
    <row r="1524">
      <c r="A1524" s="79" t="s">
        <v>18479</v>
      </c>
      <c r="B1524" s="45"/>
      <c r="C1524" s="79" t="s">
        <v>18480</v>
      </c>
      <c r="D1524" s="45"/>
      <c r="E1524" s="79" t="s">
        <v>5366</v>
      </c>
      <c r="F1524" s="79" t="s">
        <v>8784</v>
      </c>
      <c r="G1524" s="80" t="s">
        <v>96</v>
      </c>
      <c r="H1524" s="90">
        <v>2.115E-4</v>
      </c>
      <c r="I1524" s="45"/>
      <c r="J1524" s="45"/>
      <c r="K1524" s="45"/>
      <c r="L1524" s="45"/>
      <c r="M1524" s="45"/>
      <c r="N1524" s="45"/>
      <c r="O1524" s="45"/>
      <c r="P1524" s="45"/>
      <c r="Q1524" s="45"/>
      <c r="R1524" s="45"/>
      <c r="S1524" s="45"/>
      <c r="T1524" s="45"/>
      <c r="U1524" s="45"/>
    </row>
    <row r="1525">
      <c r="A1525" s="79" t="s">
        <v>18481</v>
      </c>
      <c r="B1525" s="45"/>
      <c r="C1525" s="79" t="s">
        <v>18482</v>
      </c>
      <c r="D1525" s="45"/>
      <c r="E1525" s="79" t="s">
        <v>5855</v>
      </c>
      <c r="F1525" s="79" t="s">
        <v>5300</v>
      </c>
      <c r="G1525" s="80" t="s">
        <v>96</v>
      </c>
      <c r="H1525" s="90">
        <v>2.115E-4</v>
      </c>
      <c r="I1525" s="45"/>
      <c r="J1525" s="45"/>
      <c r="K1525" s="45"/>
      <c r="L1525" s="45"/>
      <c r="M1525" s="45"/>
      <c r="N1525" s="45"/>
      <c r="O1525" s="45"/>
      <c r="P1525" s="45"/>
      <c r="Q1525" s="45"/>
      <c r="R1525" s="45"/>
      <c r="S1525" s="45"/>
      <c r="T1525" s="45"/>
      <c r="U1525" s="45"/>
    </row>
    <row r="1526">
      <c r="A1526" s="79" t="s">
        <v>18483</v>
      </c>
      <c r="B1526" s="45"/>
      <c r="C1526" s="79" t="s">
        <v>18484</v>
      </c>
      <c r="D1526" s="45"/>
      <c r="E1526" s="79" t="s">
        <v>5261</v>
      </c>
      <c r="F1526" s="79" t="s">
        <v>5300</v>
      </c>
      <c r="G1526" s="80" t="s">
        <v>96</v>
      </c>
      <c r="H1526" s="90">
        <v>2.112E-4</v>
      </c>
      <c r="I1526" s="45"/>
      <c r="J1526" s="45"/>
      <c r="K1526" s="45"/>
      <c r="L1526" s="45"/>
      <c r="M1526" s="45"/>
      <c r="N1526" s="45"/>
      <c r="O1526" s="45"/>
      <c r="P1526" s="45"/>
      <c r="Q1526" s="45"/>
      <c r="R1526" s="45"/>
      <c r="S1526" s="45"/>
      <c r="T1526" s="45"/>
      <c r="U1526" s="45"/>
    </row>
    <row r="1527">
      <c r="A1527" s="79" t="s">
        <v>18485</v>
      </c>
      <c r="B1527" s="45"/>
      <c r="C1527" s="79" t="s">
        <v>18486</v>
      </c>
      <c r="D1527" s="45"/>
      <c r="E1527" s="79" t="s">
        <v>5811</v>
      </c>
      <c r="F1527" s="79" t="s">
        <v>9414</v>
      </c>
      <c r="G1527" s="80" t="s">
        <v>96</v>
      </c>
      <c r="H1527" s="90">
        <v>2.106E-4</v>
      </c>
      <c r="I1527" s="45"/>
      <c r="J1527" s="45"/>
      <c r="K1527" s="45"/>
      <c r="L1527" s="45"/>
      <c r="M1527" s="45"/>
      <c r="N1527" s="45"/>
      <c r="O1527" s="45"/>
      <c r="P1527" s="45"/>
      <c r="Q1527" s="45"/>
      <c r="R1527" s="45"/>
      <c r="S1527" s="45"/>
      <c r="T1527" s="45"/>
      <c r="U1527" s="45"/>
    </row>
    <row r="1528">
      <c r="A1528" s="79" t="s">
        <v>18487</v>
      </c>
      <c r="B1528" s="45"/>
      <c r="C1528" s="79" t="s">
        <v>18488</v>
      </c>
      <c r="D1528" s="45"/>
      <c r="E1528" s="79" t="s">
        <v>18489</v>
      </c>
      <c r="F1528" s="79" t="s">
        <v>5300</v>
      </c>
      <c r="G1528" s="80" t="s">
        <v>96</v>
      </c>
      <c r="H1528" s="90">
        <v>2.105E-4</v>
      </c>
      <c r="I1528" s="45"/>
      <c r="J1528" s="45"/>
      <c r="K1528" s="45"/>
      <c r="L1528" s="45"/>
      <c r="M1528" s="45"/>
      <c r="N1528" s="45"/>
      <c r="O1528" s="45"/>
      <c r="P1528" s="45"/>
      <c r="Q1528" s="45"/>
      <c r="R1528" s="45"/>
      <c r="S1528" s="45"/>
      <c r="T1528" s="45"/>
      <c r="U1528" s="45"/>
    </row>
    <row r="1529">
      <c r="A1529" s="79" t="s">
        <v>18490</v>
      </c>
      <c r="B1529" s="45"/>
      <c r="C1529" s="79" t="s">
        <v>18491</v>
      </c>
      <c r="D1529" s="45"/>
      <c r="E1529" s="79" t="s">
        <v>5742</v>
      </c>
      <c r="F1529" s="79" t="s">
        <v>5300</v>
      </c>
      <c r="G1529" s="80" t="s">
        <v>96</v>
      </c>
      <c r="H1529" s="90">
        <v>2.102E-4</v>
      </c>
      <c r="I1529" s="45"/>
      <c r="J1529" s="45"/>
      <c r="K1529" s="45"/>
      <c r="L1529" s="45"/>
      <c r="M1529" s="45"/>
      <c r="N1529" s="45"/>
      <c r="O1529" s="45"/>
      <c r="P1529" s="45"/>
      <c r="Q1529" s="45"/>
      <c r="R1529" s="45"/>
      <c r="S1529" s="45"/>
      <c r="T1529" s="45"/>
      <c r="U1529" s="45"/>
    </row>
    <row r="1530">
      <c r="A1530" s="79" t="s">
        <v>18492</v>
      </c>
      <c r="B1530" s="45"/>
      <c r="C1530" s="79" t="s">
        <v>18493</v>
      </c>
      <c r="D1530" s="45"/>
      <c r="E1530" s="79" t="s">
        <v>5321</v>
      </c>
      <c r="F1530" s="79" t="s">
        <v>8784</v>
      </c>
      <c r="G1530" s="80" t="s">
        <v>96</v>
      </c>
      <c r="H1530" s="90">
        <v>2.101E-4</v>
      </c>
      <c r="I1530" s="45"/>
      <c r="J1530" s="45"/>
      <c r="K1530" s="45"/>
      <c r="L1530" s="45"/>
      <c r="M1530" s="45"/>
      <c r="N1530" s="45"/>
      <c r="O1530" s="45"/>
      <c r="P1530" s="45"/>
      <c r="Q1530" s="45"/>
      <c r="R1530" s="45"/>
      <c r="S1530" s="45"/>
      <c r="T1530" s="45"/>
      <c r="U1530" s="45"/>
    </row>
    <row r="1531">
      <c r="A1531" s="79" t="s">
        <v>18494</v>
      </c>
      <c r="B1531" s="45"/>
      <c r="C1531" s="79" t="s">
        <v>18495</v>
      </c>
      <c r="D1531" s="45"/>
      <c r="E1531" s="79" t="s">
        <v>7251</v>
      </c>
      <c r="F1531" s="79" t="s">
        <v>4357</v>
      </c>
      <c r="G1531" s="80" t="s">
        <v>96</v>
      </c>
      <c r="H1531" s="90">
        <v>2.1E-4</v>
      </c>
      <c r="I1531" s="45"/>
      <c r="J1531" s="45"/>
      <c r="K1531" s="45"/>
      <c r="L1531" s="45"/>
      <c r="M1531" s="45"/>
      <c r="N1531" s="45"/>
      <c r="O1531" s="45"/>
      <c r="P1531" s="45"/>
      <c r="Q1531" s="45"/>
      <c r="R1531" s="45"/>
      <c r="S1531" s="45"/>
      <c r="T1531" s="45"/>
      <c r="U1531" s="45"/>
    </row>
    <row r="1532">
      <c r="A1532" s="79" t="s">
        <v>18496</v>
      </c>
      <c r="B1532" s="45"/>
      <c r="C1532" s="79" t="s">
        <v>18497</v>
      </c>
      <c r="D1532" s="45"/>
      <c r="E1532" s="79" t="s">
        <v>9553</v>
      </c>
      <c r="F1532" s="79" t="s">
        <v>5300</v>
      </c>
      <c r="G1532" s="80" t="s">
        <v>96</v>
      </c>
      <c r="H1532" s="90">
        <v>2.1E-4</v>
      </c>
      <c r="I1532" s="45"/>
      <c r="J1532" s="45"/>
      <c r="K1532" s="45"/>
      <c r="L1532" s="45"/>
      <c r="M1532" s="45"/>
      <c r="N1532" s="45"/>
      <c r="O1532" s="45"/>
      <c r="P1532" s="45"/>
      <c r="Q1532" s="45"/>
      <c r="R1532" s="45"/>
      <c r="S1532" s="45"/>
      <c r="T1532" s="45"/>
      <c r="U1532" s="45"/>
    </row>
    <row r="1533">
      <c r="A1533" s="79" t="s">
        <v>18498</v>
      </c>
      <c r="B1533" s="45"/>
      <c r="C1533" s="79" t="s">
        <v>18499</v>
      </c>
      <c r="D1533" s="45"/>
      <c r="E1533" s="79" t="s">
        <v>5742</v>
      </c>
      <c r="F1533" s="79" t="s">
        <v>5300</v>
      </c>
      <c r="G1533" s="80" t="s">
        <v>96</v>
      </c>
      <c r="H1533" s="90">
        <v>2.1E-4</v>
      </c>
      <c r="I1533" s="45"/>
      <c r="J1533" s="45"/>
      <c r="K1533" s="45"/>
      <c r="L1533" s="45"/>
      <c r="M1533" s="45"/>
      <c r="N1533" s="45"/>
      <c r="O1533" s="45"/>
      <c r="P1533" s="45"/>
      <c r="Q1533" s="45"/>
      <c r="R1533" s="45"/>
      <c r="S1533" s="45"/>
      <c r="T1533" s="45"/>
      <c r="U1533" s="45"/>
    </row>
    <row r="1534">
      <c r="A1534" s="79" t="s">
        <v>18500</v>
      </c>
      <c r="B1534" s="45"/>
      <c r="C1534" s="79" t="s">
        <v>18501</v>
      </c>
      <c r="D1534" s="45"/>
      <c r="E1534" s="79" t="s">
        <v>5229</v>
      </c>
      <c r="F1534" s="79" t="s">
        <v>5425</v>
      </c>
      <c r="G1534" s="80" t="s">
        <v>96</v>
      </c>
      <c r="H1534" s="90">
        <v>2.094E-4</v>
      </c>
      <c r="I1534" s="45"/>
      <c r="J1534" s="45"/>
      <c r="K1534" s="45"/>
      <c r="L1534" s="45"/>
      <c r="M1534" s="45"/>
      <c r="N1534" s="45"/>
      <c r="O1534" s="45"/>
      <c r="P1534" s="45"/>
      <c r="Q1534" s="45"/>
      <c r="R1534" s="45"/>
      <c r="S1534" s="45"/>
      <c r="T1534" s="45"/>
      <c r="U1534" s="45"/>
    </row>
    <row r="1535">
      <c r="A1535" s="79" t="s">
        <v>18502</v>
      </c>
      <c r="B1535" s="45"/>
      <c r="C1535" s="79" t="s">
        <v>18503</v>
      </c>
      <c r="D1535" s="45"/>
      <c r="E1535" s="79" t="s">
        <v>5434</v>
      </c>
      <c r="F1535" s="79" t="s">
        <v>6988</v>
      </c>
      <c r="G1535" s="80" t="s">
        <v>96</v>
      </c>
      <c r="H1535" s="90">
        <v>2.093E-4</v>
      </c>
      <c r="I1535" s="45"/>
      <c r="J1535" s="45"/>
      <c r="K1535" s="45"/>
      <c r="L1535" s="45"/>
      <c r="M1535" s="45"/>
      <c r="N1535" s="45"/>
      <c r="O1535" s="45"/>
      <c r="P1535" s="45"/>
      <c r="Q1535" s="45"/>
      <c r="R1535" s="45"/>
      <c r="S1535" s="45"/>
      <c r="T1535" s="45"/>
      <c r="U1535" s="45"/>
    </row>
    <row r="1536">
      <c r="A1536" s="79" t="s">
        <v>18504</v>
      </c>
      <c r="B1536" s="45"/>
      <c r="C1536" s="79" t="s">
        <v>18505</v>
      </c>
      <c r="D1536" s="45"/>
      <c r="E1536" s="79" t="s">
        <v>7251</v>
      </c>
      <c r="F1536" s="79" t="s">
        <v>5300</v>
      </c>
      <c r="G1536" s="80" t="s">
        <v>96</v>
      </c>
      <c r="H1536" s="90">
        <v>2.092E-4</v>
      </c>
      <c r="I1536" s="45"/>
      <c r="J1536" s="45"/>
      <c r="K1536" s="45"/>
      <c r="L1536" s="45"/>
      <c r="M1536" s="45"/>
      <c r="N1536" s="45"/>
      <c r="O1536" s="45"/>
      <c r="P1536" s="45"/>
      <c r="Q1536" s="45"/>
      <c r="R1536" s="45"/>
      <c r="S1536" s="45"/>
      <c r="T1536" s="45"/>
      <c r="U1536" s="45"/>
    </row>
    <row r="1537">
      <c r="A1537" s="79" t="s">
        <v>11015</v>
      </c>
      <c r="B1537" s="45"/>
      <c r="C1537" s="79" t="s">
        <v>11016</v>
      </c>
      <c r="D1537" s="45"/>
      <c r="E1537" s="79" t="s">
        <v>5561</v>
      </c>
      <c r="F1537" s="79" t="s">
        <v>9513</v>
      </c>
      <c r="G1537" s="80" t="s">
        <v>96</v>
      </c>
      <c r="H1537" s="90">
        <v>2.092E-4</v>
      </c>
      <c r="I1537" s="45"/>
      <c r="J1537" s="45"/>
      <c r="K1537" s="45"/>
      <c r="L1537" s="45"/>
      <c r="M1537" s="45"/>
      <c r="N1537" s="45"/>
      <c r="O1537" s="45"/>
      <c r="P1537" s="45"/>
      <c r="Q1537" s="45"/>
      <c r="R1537" s="45"/>
      <c r="S1537" s="45"/>
      <c r="T1537" s="45"/>
      <c r="U1537" s="45"/>
    </row>
    <row r="1538">
      <c r="A1538" s="79" t="s">
        <v>10860</v>
      </c>
      <c r="B1538" s="45"/>
      <c r="C1538" s="79" t="s">
        <v>10861</v>
      </c>
      <c r="D1538" s="45"/>
      <c r="E1538" s="79" t="s">
        <v>5366</v>
      </c>
      <c r="F1538" s="79" t="s">
        <v>8784</v>
      </c>
      <c r="G1538" s="80" t="s">
        <v>96</v>
      </c>
      <c r="H1538" s="90">
        <v>2.092E-4</v>
      </c>
      <c r="I1538" s="45"/>
      <c r="J1538" s="45"/>
      <c r="K1538" s="45"/>
      <c r="L1538" s="45"/>
      <c r="M1538" s="45"/>
      <c r="N1538" s="45"/>
      <c r="O1538" s="45"/>
      <c r="P1538" s="45"/>
      <c r="Q1538" s="45"/>
      <c r="R1538" s="45"/>
      <c r="S1538" s="45"/>
      <c r="T1538" s="45"/>
      <c r="U1538" s="45"/>
    </row>
    <row r="1539">
      <c r="A1539" s="79" t="s">
        <v>18506</v>
      </c>
      <c r="B1539" s="45"/>
      <c r="C1539" s="79" t="s">
        <v>18507</v>
      </c>
      <c r="D1539" s="45"/>
      <c r="E1539" s="79" t="s">
        <v>9039</v>
      </c>
      <c r="F1539" s="79" t="s">
        <v>5300</v>
      </c>
      <c r="G1539" s="80" t="s">
        <v>96</v>
      </c>
      <c r="H1539" s="90">
        <v>2.09E-4</v>
      </c>
      <c r="I1539" s="45"/>
      <c r="J1539" s="45"/>
      <c r="K1539" s="45"/>
      <c r="L1539" s="45"/>
      <c r="M1539" s="45"/>
      <c r="N1539" s="45"/>
      <c r="O1539" s="45"/>
      <c r="P1539" s="45"/>
      <c r="Q1539" s="45"/>
      <c r="R1539" s="45"/>
      <c r="S1539" s="45"/>
      <c r="T1539" s="45"/>
      <c r="U1539" s="45"/>
    </row>
    <row r="1540">
      <c r="A1540" s="79" t="s">
        <v>18508</v>
      </c>
      <c r="B1540" s="45"/>
      <c r="C1540" s="79" t="s">
        <v>18509</v>
      </c>
      <c r="D1540" s="45"/>
      <c r="E1540" s="79" t="s">
        <v>5609</v>
      </c>
      <c r="F1540" s="79" t="s">
        <v>5425</v>
      </c>
      <c r="G1540" s="80" t="s">
        <v>96</v>
      </c>
      <c r="H1540" s="90">
        <v>2.088E-4</v>
      </c>
      <c r="I1540" s="45"/>
      <c r="J1540" s="45"/>
      <c r="K1540" s="45"/>
      <c r="L1540" s="45"/>
      <c r="M1540" s="45"/>
      <c r="N1540" s="45"/>
      <c r="O1540" s="45"/>
      <c r="P1540" s="45"/>
      <c r="Q1540" s="45"/>
      <c r="R1540" s="45"/>
      <c r="S1540" s="45"/>
      <c r="T1540" s="45"/>
      <c r="U1540" s="45"/>
    </row>
    <row r="1541">
      <c r="A1541" s="79" t="s">
        <v>18510</v>
      </c>
      <c r="B1541" s="45"/>
      <c r="C1541" s="79" t="s">
        <v>18511</v>
      </c>
      <c r="D1541" s="45"/>
      <c r="E1541" s="79" t="s">
        <v>5215</v>
      </c>
      <c r="F1541" s="79" t="s">
        <v>5300</v>
      </c>
      <c r="G1541" s="80" t="s">
        <v>96</v>
      </c>
      <c r="H1541" s="90">
        <v>2.087E-4</v>
      </c>
      <c r="I1541" s="45"/>
      <c r="J1541" s="45"/>
      <c r="K1541" s="45"/>
      <c r="L1541" s="45"/>
      <c r="M1541" s="45"/>
      <c r="N1541" s="45"/>
      <c r="O1541" s="45"/>
      <c r="P1541" s="45"/>
      <c r="Q1541" s="45"/>
      <c r="R1541" s="45"/>
      <c r="S1541" s="45"/>
      <c r="T1541" s="45"/>
      <c r="U1541" s="45"/>
    </row>
    <row r="1542">
      <c r="A1542" s="79" t="s">
        <v>11054</v>
      </c>
      <c r="B1542" s="45"/>
      <c r="C1542" s="79" t="s">
        <v>11055</v>
      </c>
      <c r="D1542" s="45"/>
      <c r="E1542" s="79" t="s">
        <v>5341</v>
      </c>
      <c r="F1542" s="79" t="s">
        <v>8784</v>
      </c>
      <c r="G1542" s="80" t="s">
        <v>96</v>
      </c>
      <c r="H1542" s="90">
        <v>2.085E-4</v>
      </c>
      <c r="I1542" s="45"/>
      <c r="J1542" s="45"/>
      <c r="K1542" s="45"/>
      <c r="L1542" s="45"/>
      <c r="M1542" s="45"/>
      <c r="N1542" s="45"/>
      <c r="O1542" s="45"/>
      <c r="P1542" s="45"/>
      <c r="Q1542" s="45"/>
      <c r="R1542" s="45"/>
      <c r="S1542" s="45"/>
      <c r="T1542" s="45"/>
      <c r="U1542" s="45"/>
    </row>
    <row r="1543">
      <c r="A1543" s="79" t="s">
        <v>18512</v>
      </c>
      <c r="B1543" s="45"/>
      <c r="C1543" s="79" t="s">
        <v>18513</v>
      </c>
      <c r="D1543" s="45"/>
      <c r="E1543" s="79" t="s">
        <v>5246</v>
      </c>
      <c r="F1543" s="79" t="s">
        <v>5836</v>
      </c>
      <c r="G1543" s="80" t="s">
        <v>96</v>
      </c>
      <c r="H1543" s="90">
        <v>2.085E-4</v>
      </c>
      <c r="I1543" s="45"/>
      <c r="J1543" s="45"/>
      <c r="K1543" s="45"/>
      <c r="L1543" s="45"/>
      <c r="M1543" s="45"/>
      <c r="N1543" s="45"/>
      <c r="O1543" s="45"/>
      <c r="P1543" s="45"/>
      <c r="Q1543" s="45"/>
      <c r="R1543" s="45"/>
      <c r="S1543" s="45"/>
      <c r="T1543" s="45"/>
      <c r="U1543" s="45"/>
    </row>
    <row r="1544">
      <c r="A1544" s="79" t="s">
        <v>18514</v>
      </c>
      <c r="B1544" s="45"/>
      <c r="C1544" s="79" t="s">
        <v>18515</v>
      </c>
      <c r="D1544" s="45"/>
      <c r="E1544" s="79" t="s">
        <v>5211</v>
      </c>
      <c r="F1544" s="79" t="s">
        <v>5747</v>
      </c>
      <c r="G1544" s="80" t="s">
        <v>96</v>
      </c>
      <c r="H1544" s="90">
        <v>2.083E-4</v>
      </c>
      <c r="I1544" s="45"/>
      <c r="J1544" s="45"/>
      <c r="K1544" s="45"/>
      <c r="L1544" s="45"/>
      <c r="M1544" s="45"/>
      <c r="N1544" s="45"/>
      <c r="O1544" s="45"/>
      <c r="P1544" s="45"/>
      <c r="Q1544" s="45"/>
      <c r="R1544" s="45"/>
      <c r="S1544" s="45"/>
      <c r="T1544" s="45"/>
      <c r="U1544" s="45"/>
    </row>
    <row r="1545">
      <c r="A1545" s="79" t="s">
        <v>18516</v>
      </c>
      <c r="B1545" s="45"/>
      <c r="C1545" s="79" t="s">
        <v>18517</v>
      </c>
      <c r="D1545" s="45"/>
      <c r="E1545" s="79" t="s">
        <v>5478</v>
      </c>
      <c r="F1545" s="79" t="s">
        <v>5300</v>
      </c>
      <c r="G1545" s="80" t="s">
        <v>96</v>
      </c>
      <c r="H1545" s="90">
        <v>2.08E-4</v>
      </c>
      <c r="I1545" s="45"/>
      <c r="J1545" s="45"/>
      <c r="K1545" s="45"/>
      <c r="L1545" s="45"/>
      <c r="M1545" s="45"/>
      <c r="N1545" s="45"/>
      <c r="O1545" s="45"/>
      <c r="P1545" s="45"/>
      <c r="Q1545" s="45"/>
      <c r="R1545" s="45"/>
      <c r="S1545" s="45"/>
      <c r="T1545" s="45"/>
      <c r="U1545" s="45"/>
    </row>
    <row r="1546">
      <c r="A1546" s="79" t="s">
        <v>18518</v>
      </c>
      <c r="B1546" s="45"/>
      <c r="C1546" s="79" t="s">
        <v>18519</v>
      </c>
      <c r="D1546" s="45"/>
      <c r="E1546" s="79" t="s">
        <v>5404</v>
      </c>
      <c r="F1546" s="79" t="s">
        <v>9021</v>
      </c>
      <c r="G1546" s="80" t="s">
        <v>96</v>
      </c>
      <c r="H1546" s="90">
        <v>2.078E-4</v>
      </c>
      <c r="I1546" s="45"/>
      <c r="J1546" s="45"/>
      <c r="K1546" s="45"/>
      <c r="L1546" s="45"/>
      <c r="M1546" s="45"/>
      <c r="N1546" s="45"/>
      <c r="O1546" s="45"/>
      <c r="P1546" s="45"/>
      <c r="Q1546" s="45"/>
      <c r="R1546" s="45"/>
      <c r="S1546" s="45"/>
      <c r="T1546" s="45"/>
      <c r="U1546" s="45"/>
    </row>
    <row r="1547">
      <c r="A1547" s="79" t="s">
        <v>18520</v>
      </c>
      <c r="B1547" s="45"/>
      <c r="C1547" s="79" t="s">
        <v>18521</v>
      </c>
      <c r="D1547" s="45"/>
      <c r="E1547" s="79" t="s">
        <v>6249</v>
      </c>
      <c r="F1547" s="79" t="s">
        <v>5300</v>
      </c>
      <c r="G1547" s="80" t="s">
        <v>96</v>
      </c>
      <c r="H1547" s="90">
        <v>2.075E-4</v>
      </c>
      <c r="I1547" s="45"/>
      <c r="J1547" s="45"/>
      <c r="K1547" s="45"/>
      <c r="L1547" s="45"/>
      <c r="M1547" s="45"/>
      <c r="N1547" s="45"/>
      <c r="O1547" s="45"/>
      <c r="P1547" s="45"/>
      <c r="Q1547" s="45"/>
      <c r="R1547" s="45"/>
      <c r="S1547" s="45"/>
      <c r="T1547" s="45"/>
      <c r="U1547" s="45"/>
    </row>
    <row r="1548">
      <c r="A1548" s="79" t="s">
        <v>18522</v>
      </c>
      <c r="B1548" s="45"/>
      <c r="C1548" s="79" t="s">
        <v>18523</v>
      </c>
      <c r="D1548" s="45"/>
      <c r="E1548" s="79" t="s">
        <v>5395</v>
      </c>
      <c r="F1548" s="79" t="s">
        <v>4436</v>
      </c>
      <c r="G1548" s="80" t="s">
        <v>96</v>
      </c>
      <c r="H1548" s="90">
        <v>2.073E-4</v>
      </c>
      <c r="I1548" s="45"/>
      <c r="J1548" s="45"/>
      <c r="K1548" s="45"/>
      <c r="L1548" s="45"/>
      <c r="M1548" s="45"/>
      <c r="N1548" s="45"/>
      <c r="O1548" s="45"/>
      <c r="P1548" s="45"/>
      <c r="Q1548" s="45"/>
      <c r="R1548" s="45"/>
      <c r="S1548" s="45"/>
      <c r="T1548" s="45"/>
      <c r="U1548" s="45"/>
    </row>
    <row r="1549">
      <c r="A1549" s="79" t="s">
        <v>18524</v>
      </c>
      <c r="B1549" s="45"/>
      <c r="C1549" s="79" t="s">
        <v>18525</v>
      </c>
      <c r="D1549" s="45"/>
      <c r="E1549" s="79" t="s">
        <v>5276</v>
      </c>
      <c r="F1549" s="79" t="s">
        <v>8784</v>
      </c>
      <c r="G1549" s="80" t="s">
        <v>96</v>
      </c>
      <c r="H1549" s="90">
        <v>2.071E-4</v>
      </c>
      <c r="I1549" s="45"/>
      <c r="J1549" s="45"/>
      <c r="K1549" s="45"/>
      <c r="L1549" s="45"/>
      <c r="M1549" s="45"/>
      <c r="N1549" s="45"/>
      <c r="O1549" s="45"/>
      <c r="P1549" s="45"/>
      <c r="Q1549" s="45"/>
      <c r="R1549" s="45"/>
      <c r="S1549" s="45"/>
      <c r="T1549" s="45"/>
      <c r="U1549" s="45"/>
    </row>
    <row r="1550">
      <c r="A1550" s="79" t="s">
        <v>18526</v>
      </c>
      <c r="B1550" s="45"/>
      <c r="C1550" s="79" t="s">
        <v>18527</v>
      </c>
      <c r="D1550" s="45"/>
      <c r="E1550" s="79" t="s">
        <v>5215</v>
      </c>
      <c r="F1550" s="79" t="s">
        <v>5300</v>
      </c>
      <c r="G1550" s="80" t="s">
        <v>96</v>
      </c>
      <c r="H1550" s="90">
        <v>2.069E-4</v>
      </c>
      <c r="I1550" s="45"/>
      <c r="J1550" s="45"/>
      <c r="K1550" s="45"/>
      <c r="L1550" s="45"/>
      <c r="M1550" s="45"/>
      <c r="N1550" s="45"/>
      <c r="O1550" s="45"/>
      <c r="P1550" s="45"/>
      <c r="Q1550" s="45"/>
      <c r="R1550" s="45"/>
      <c r="S1550" s="45"/>
      <c r="T1550" s="45"/>
      <c r="U1550" s="45"/>
    </row>
    <row r="1551">
      <c r="A1551" s="79" t="s">
        <v>18528</v>
      </c>
      <c r="B1551" s="45"/>
      <c r="C1551" s="79" t="s">
        <v>18529</v>
      </c>
      <c r="D1551" s="45"/>
      <c r="E1551" s="79" t="s">
        <v>6238</v>
      </c>
      <c r="F1551" s="79" t="s">
        <v>5836</v>
      </c>
      <c r="G1551" s="80" t="s">
        <v>96</v>
      </c>
      <c r="H1551" s="90">
        <v>2.068E-4</v>
      </c>
      <c r="I1551" s="45"/>
      <c r="J1551" s="45"/>
      <c r="K1551" s="45"/>
      <c r="L1551" s="45"/>
      <c r="M1551" s="45"/>
      <c r="N1551" s="45"/>
      <c r="O1551" s="45"/>
      <c r="P1551" s="45"/>
      <c r="Q1551" s="45"/>
      <c r="R1551" s="45"/>
      <c r="S1551" s="45"/>
      <c r="T1551" s="45"/>
      <c r="U1551" s="45"/>
    </row>
    <row r="1552">
      <c r="A1552" s="79" t="s">
        <v>18530</v>
      </c>
      <c r="B1552" s="45"/>
      <c r="C1552" s="79" t="s">
        <v>18531</v>
      </c>
      <c r="D1552" s="45"/>
      <c r="E1552" s="79" t="s">
        <v>5215</v>
      </c>
      <c r="F1552" s="79" t="s">
        <v>5300</v>
      </c>
      <c r="G1552" s="80" t="s">
        <v>96</v>
      </c>
      <c r="H1552" s="90">
        <v>2.068E-4</v>
      </c>
      <c r="I1552" s="45"/>
      <c r="J1552" s="45"/>
      <c r="K1552" s="45"/>
      <c r="L1552" s="45"/>
      <c r="M1552" s="45"/>
      <c r="N1552" s="45"/>
      <c r="O1552" s="45"/>
      <c r="P1552" s="45"/>
      <c r="Q1552" s="45"/>
      <c r="R1552" s="45"/>
      <c r="S1552" s="45"/>
      <c r="T1552" s="45"/>
      <c r="U1552" s="45"/>
    </row>
    <row r="1553">
      <c r="A1553" s="79" t="s">
        <v>5355</v>
      </c>
      <c r="B1553" s="45"/>
      <c r="C1553" s="79" t="s">
        <v>11097</v>
      </c>
      <c r="D1553" s="45"/>
      <c r="E1553" s="79" t="s">
        <v>6157</v>
      </c>
      <c r="F1553" s="79" t="s">
        <v>5747</v>
      </c>
      <c r="G1553" s="80" t="s">
        <v>96</v>
      </c>
      <c r="H1553" s="90">
        <v>2.066E-4</v>
      </c>
      <c r="I1553" s="45"/>
      <c r="J1553" s="45"/>
      <c r="K1553" s="45"/>
      <c r="L1553" s="45"/>
      <c r="M1553" s="45"/>
      <c r="N1553" s="45"/>
      <c r="O1553" s="45"/>
      <c r="P1553" s="45"/>
      <c r="Q1553" s="45"/>
      <c r="R1553" s="45"/>
      <c r="S1553" s="45"/>
      <c r="T1553" s="45"/>
      <c r="U1553" s="45"/>
    </row>
    <row r="1554">
      <c r="A1554" s="79" t="s">
        <v>18532</v>
      </c>
      <c r="B1554" s="45"/>
      <c r="C1554" s="79" t="s">
        <v>18533</v>
      </c>
      <c r="D1554" s="45"/>
      <c r="E1554" s="79" t="s">
        <v>5326</v>
      </c>
      <c r="F1554" s="79" t="s">
        <v>5425</v>
      </c>
      <c r="G1554" s="80" t="s">
        <v>96</v>
      </c>
      <c r="H1554" s="90">
        <v>2.063E-4</v>
      </c>
      <c r="I1554" s="45"/>
      <c r="J1554" s="45"/>
      <c r="K1554" s="45"/>
      <c r="L1554" s="45"/>
      <c r="M1554" s="45"/>
      <c r="N1554" s="45"/>
      <c r="O1554" s="45"/>
      <c r="P1554" s="45"/>
      <c r="Q1554" s="45"/>
      <c r="R1554" s="45"/>
      <c r="S1554" s="45"/>
      <c r="T1554" s="45"/>
      <c r="U1554" s="45"/>
    </row>
    <row r="1555">
      <c r="A1555" s="79" t="s">
        <v>18534</v>
      </c>
      <c r="B1555" s="45"/>
      <c r="C1555" s="79" t="s">
        <v>18535</v>
      </c>
      <c r="D1555" s="45"/>
      <c r="E1555" s="79" t="s">
        <v>5296</v>
      </c>
      <c r="F1555" s="79" t="s">
        <v>5300</v>
      </c>
      <c r="G1555" s="80" t="s">
        <v>96</v>
      </c>
      <c r="H1555" s="90">
        <v>2.063E-4</v>
      </c>
      <c r="I1555" s="45"/>
      <c r="J1555" s="45"/>
      <c r="K1555" s="45"/>
      <c r="L1555" s="45"/>
      <c r="M1555" s="45"/>
      <c r="N1555" s="45"/>
      <c r="O1555" s="45"/>
      <c r="P1555" s="45"/>
      <c r="Q1555" s="45"/>
      <c r="R1555" s="45"/>
      <c r="S1555" s="45"/>
      <c r="T1555" s="45"/>
      <c r="U1555" s="45"/>
    </row>
    <row r="1556">
      <c r="A1556" s="79" t="s">
        <v>18536</v>
      </c>
      <c r="B1556" s="45"/>
      <c r="C1556" s="79" t="s">
        <v>18537</v>
      </c>
      <c r="D1556" s="45"/>
      <c r="E1556" s="79" t="s">
        <v>5961</v>
      </c>
      <c r="F1556" s="79" t="s">
        <v>5300</v>
      </c>
      <c r="G1556" s="80" t="s">
        <v>96</v>
      </c>
      <c r="H1556" s="90">
        <v>2.063E-4</v>
      </c>
      <c r="I1556" s="45"/>
      <c r="J1556" s="45"/>
      <c r="K1556" s="45"/>
      <c r="L1556" s="45"/>
      <c r="M1556" s="45"/>
      <c r="N1556" s="45"/>
      <c r="O1556" s="45"/>
      <c r="P1556" s="45"/>
      <c r="Q1556" s="45"/>
      <c r="R1556" s="45"/>
      <c r="S1556" s="45"/>
      <c r="T1556" s="45"/>
      <c r="U1556" s="45"/>
    </row>
    <row r="1557">
      <c r="A1557" s="79" t="s">
        <v>18538</v>
      </c>
      <c r="B1557" s="45"/>
      <c r="C1557" s="79" t="s">
        <v>18539</v>
      </c>
      <c r="D1557" s="45"/>
      <c r="E1557" s="79" t="s">
        <v>5276</v>
      </c>
      <c r="F1557" s="79" t="s">
        <v>5300</v>
      </c>
      <c r="G1557" s="80" t="s">
        <v>96</v>
      </c>
      <c r="H1557" s="90">
        <v>2.061E-4</v>
      </c>
      <c r="I1557" s="45"/>
      <c r="J1557" s="45"/>
      <c r="K1557" s="45"/>
      <c r="L1557" s="45"/>
      <c r="M1557" s="45"/>
      <c r="N1557" s="45"/>
      <c r="O1557" s="45"/>
      <c r="P1557" s="45"/>
      <c r="Q1557" s="45"/>
      <c r="R1557" s="45"/>
      <c r="S1557" s="45"/>
      <c r="T1557" s="45"/>
      <c r="U1557" s="45"/>
    </row>
    <row r="1558">
      <c r="A1558" s="79" t="s">
        <v>18540</v>
      </c>
      <c r="B1558" s="45"/>
      <c r="C1558" s="79" t="s">
        <v>18541</v>
      </c>
      <c r="D1558" s="45"/>
      <c r="E1558" s="79" t="s">
        <v>6083</v>
      </c>
      <c r="F1558" s="79" t="s">
        <v>5300</v>
      </c>
      <c r="G1558" s="80" t="s">
        <v>96</v>
      </c>
      <c r="H1558" s="90">
        <v>2.06E-4</v>
      </c>
      <c r="I1558" s="45"/>
      <c r="J1558" s="45"/>
      <c r="K1558" s="45"/>
      <c r="L1558" s="45"/>
      <c r="M1558" s="45"/>
      <c r="N1558" s="45"/>
      <c r="O1558" s="45"/>
      <c r="P1558" s="45"/>
      <c r="Q1558" s="45"/>
      <c r="R1558" s="45"/>
      <c r="S1558" s="45"/>
      <c r="T1558" s="45"/>
      <c r="U1558" s="45"/>
    </row>
    <row r="1559">
      <c r="A1559" s="79" t="s">
        <v>18542</v>
      </c>
      <c r="B1559" s="45"/>
      <c r="C1559" s="79" t="s">
        <v>18543</v>
      </c>
      <c r="D1559" s="45"/>
      <c r="E1559" s="79" t="s">
        <v>5296</v>
      </c>
      <c r="F1559" s="79" t="s">
        <v>5300</v>
      </c>
      <c r="G1559" s="80" t="s">
        <v>96</v>
      </c>
      <c r="H1559" s="90">
        <v>2.059E-4</v>
      </c>
      <c r="I1559" s="45"/>
      <c r="J1559" s="45"/>
      <c r="K1559" s="45"/>
      <c r="L1559" s="45"/>
      <c r="M1559" s="45"/>
      <c r="N1559" s="45"/>
      <c r="O1559" s="45"/>
      <c r="P1559" s="45"/>
      <c r="Q1559" s="45"/>
      <c r="R1559" s="45"/>
      <c r="S1559" s="45"/>
      <c r="T1559" s="45"/>
      <c r="U1559" s="45"/>
    </row>
    <row r="1560">
      <c r="A1560" s="79" t="s">
        <v>18544</v>
      </c>
      <c r="B1560" s="45"/>
      <c r="C1560" s="79" t="s">
        <v>18545</v>
      </c>
      <c r="D1560" s="45"/>
      <c r="E1560" s="79" t="s">
        <v>5291</v>
      </c>
      <c r="F1560" s="79" t="s">
        <v>5300</v>
      </c>
      <c r="G1560" s="80" t="s">
        <v>96</v>
      </c>
      <c r="H1560" s="90">
        <v>2.059E-4</v>
      </c>
      <c r="I1560" s="45"/>
      <c r="J1560" s="45"/>
      <c r="K1560" s="45"/>
      <c r="L1560" s="45"/>
      <c r="M1560" s="45"/>
      <c r="N1560" s="45"/>
      <c r="O1560" s="45"/>
      <c r="P1560" s="45"/>
      <c r="Q1560" s="45"/>
      <c r="R1560" s="45"/>
      <c r="S1560" s="45"/>
      <c r="T1560" s="45"/>
      <c r="U1560" s="45"/>
    </row>
    <row r="1561">
      <c r="A1561" s="79" t="s">
        <v>18546</v>
      </c>
      <c r="B1561" s="45"/>
      <c r="C1561" s="79" t="s">
        <v>18547</v>
      </c>
      <c r="D1561" s="45"/>
      <c r="E1561" s="79" t="s">
        <v>6472</v>
      </c>
      <c r="F1561" s="79" t="s">
        <v>5425</v>
      </c>
      <c r="G1561" s="80" t="s">
        <v>96</v>
      </c>
      <c r="H1561" s="90">
        <v>2.057E-4</v>
      </c>
      <c r="I1561" s="45"/>
      <c r="J1561" s="45"/>
      <c r="K1561" s="45"/>
      <c r="L1561" s="45"/>
      <c r="M1561" s="45"/>
      <c r="N1561" s="45"/>
      <c r="O1561" s="45"/>
      <c r="P1561" s="45"/>
      <c r="Q1561" s="45"/>
      <c r="R1561" s="45"/>
      <c r="S1561" s="45"/>
      <c r="T1561" s="45"/>
      <c r="U1561" s="45"/>
    </row>
    <row r="1562">
      <c r="A1562" s="79" t="s">
        <v>18548</v>
      </c>
      <c r="B1562" s="45"/>
      <c r="C1562" s="79" t="s">
        <v>18549</v>
      </c>
      <c r="D1562" s="45"/>
      <c r="E1562" s="79" t="s">
        <v>5445</v>
      </c>
      <c r="F1562" s="79" t="s">
        <v>5300</v>
      </c>
      <c r="G1562" s="80" t="s">
        <v>96</v>
      </c>
      <c r="H1562" s="90">
        <v>2.056E-4</v>
      </c>
      <c r="I1562" s="45"/>
      <c r="J1562" s="45"/>
      <c r="K1562" s="45"/>
      <c r="L1562" s="45"/>
      <c r="M1562" s="45"/>
      <c r="N1562" s="45"/>
      <c r="O1562" s="45"/>
      <c r="P1562" s="45"/>
      <c r="Q1562" s="45"/>
      <c r="R1562" s="45"/>
      <c r="S1562" s="45"/>
      <c r="T1562" s="45"/>
      <c r="U1562" s="45"/>
    </row>
    <row r="1563">
      <c r="A1563" s="79" t="s">
        <v>18550</v>
      </c>
      <c r="B1563" s="45"/>
      <c r="C1563" s="79" t="s">
        <v>18551</v>
      </c>
      <c r="D1563" s="45"/>
      <c r="E1563" s="79" t="s">
        <v>5258</v>
      </c>
      <c r="F1563" s="79" t="s">
        <v>5836</v>
      </c>
      <c r="G1563" s="80" t="s">
        <v>96</v>
      </c>
      <c r="H1563" s="90">
        <v>2.055E-4</v>
      </c>
      <c r="I1563" s="45"/>
      <c r="J1563" s="45"/>
      <c r="K1563" s="45"/>
      <c r="L1563" s="45"/>
      <c r="M1563" s="45"/>
      <c r="N1563" s="45"/>
      <c r="O1563" s="45"/>
      <c r="P1563" s="45"/>
      <c r="Q1563" s="45"/>
      <c r="R1563" s="45"/>
      <c r="S1563" s="45"/>
      <c r="T1563" s="45"/>
      <c r="U1563" s="45"/>
    </row>
    <row r="1564">
      <c r="A1564" s="79" t="s">
        <v>18552</v>
      </c>
      <c r="B1564" s="45"/>
      <c r="C1564" s="79" t="s">
        <v>18553</v>
      </c>
      <c r="D1564" s="45"/>
      <c r="E1564" s="79" t="s">
        <v>5276</v>
      </c>
      <c r="F1564" s="79" t="s">
        <v>5300</v>
      </c>
      <c r="G1564" s="80" t="s">
        <v>96</v>
      </c>
      <c r="H1564" s="90">
        <v>2.053E-4</v>
      </c>
      <c r="I1564" s="45"/>
      <c r="J1564" s="45"/>
      <c r="K1564" s="45"/>
      <c r="L1564" s="45"/>
      <c r="M1564" s="45"/>
      <c r="N1564" s="45"/>
      <c r="O1564" s="45"/>
      <c r="P1564" s="45"/>
      <c r="Q1564" s="45"/>
      <c r="R1564" s="45"/>
      <c r="S1564" s="45"/>
      <c r="T1564" s="45"/>
      <c r="U1564" s="45"/>
    </row>
    <row r="1565">
      <c r="A1565" s="79" t="s">
        <v>18554</v>
      </c>
      <c r="B1565" s="45"/>
      <c r="C1565" s="79" t="s">
        <v>18555</v>
      </c>
      <c r="D1565" s="45"/>
      <c r="E1565" s="79" t="s">
        <v>5382</v>
      </c>
      <c r="F1565" s="79" t="s">
        <v>6698</v>
      </c>
      <c r="G1565" s="80" t="s">
        <v>96</v>
      </c>
      <c r="H1565" s="90">
        <v>2.053E-4</v>
      </c>
      <c r="I1565" s="45"/>
      <c r="J1565" s="45"/>
      <c r="K1565" s="45"/>
      <c r="L1565" s="45"/>
      <c r="M1565" s="45"/>
      <c r="N1565" s="45"/>
      <c r="O1565" s="45"/>
      <c r="P1565" s="45"/>
      <c r="Q1565" s="45"/>
      <c r="R1565" s="45"/>
      <c r="S1565" s="45"/>
      <c r="T1565" s="45"/>
      <c r="U1565" s="45"/>
    </row>
    <row r="1566">
      <c r="A1566" s="79" t="s">
        <v>18556</v>
      </c>
      <c r="B1566" s="45"/>
      <c r="C1566" s="79" t="s">
        <v>18557</v>
      </c>
      <c r="D1566" s="45"/>
      <c r="E1566" s="79" t="s">
        <v>6249</v>
      </c>
      <c r="F1566" s="79" t="s">
        <v>8784</v>
      </c>
      <c r="G1566" s="80" t="s">
        <v>96</v>
      </c>
      <c r="H1566" s="90">
        <v>2.051E-4</v>
      </c>
      <c r="I1566" s="45"/>
      <c r="J1566" s="45"/>
      <c r="K1566" s="45"/>
      <c r="L1566" s="45"/>
      <c r="M1566" s="45"/>
      <c r="N1566" s="45"/>
      <c r="O1566" s="45"/>
      <c r="P1566" s="45"/>
      <c r="Q1566" s="45"/>
      <c r="R1566" s="45"/>
      <c r="S1566" s="45"/>
      <c r="T1566" s="45"/>
      <c r="U1566" s="45"/>
    </row>
    <row r="1567">
      <c r="A1567" s="79" t="s">
        <v>7670</v>
      </c>
      <c r="B1567" s="45"/>
      <c r="C1567" s="79" t="s">
        <v>18558</v>
      </c>
      <c r="D1567" s="45"/>
      <c r="E1567" s="79" t="s">
        <v>16994</v>
      </c>
      <c r="F1567" s="79" t="s">
        <v>5300</v>
      </c>
      <c r="G1567" s="80" t="s">
        <v>96</v>
      </c>
      <c r="H1567" s="90">
        <v>2.05E-4</v>
      </c>
      <c r="I1567" s="45"/>
      <c r="J1567" s="45"/>
      <c r="K1567" s="45"/>
      <c r="L1567" s="45"/>
      <c r="M1567" s="45"/>
      <c r="N1567" s="45"/>
      <c r="O1567" s="45"/>
      <c r="P1567" s="45"/>
      <c r="Q1567" s="45"/>
      <c r="R1567" s="45"/>
      <c r="S1567" s="45"/>
      <c r="T1567" s="45"/>
      <c r="U1567" s="45"/>
    </row>
    <row r="1568">
      <c r="A1568" s="79" t="s">
        <v>18559</v>
      </c>
      <c r="B1568" s="45"/>
      <c r="C1568" s="79" t="s">
        <v>18560</v>
      </c>
      <c r="D1568" s="45"/>
      <c r="E1568" s="79" t="s">
        <v>5401</v>
      </c>
      <c r="F1568" s="79" t="s">
        <v>5300</v>
      </c>
      <c r="G1568" s="80" t="s">
        <v>96</v>
      </c>
      <c r="H1568" s="90">
        <v>2.049E-4</v>
      </c>
      <c r="I1568" s="45"/>
      <c r="J1568" s="45"/>
      <c r="K1568" s="45"/>
      <c r="L1568" s="45"/>
      <c r="M1568" s="45"/>
      <c r="N1568" s="45"/>
      <c r="O1568" s="45"/>
      <c r="P1568" s="45"/>
      <c r="Q1568" s="45"/>
      <c r="R1568" s="45"/>
      <c r="S1568" s="45"/>
      <c r="T1568" s="45"/>
      <c r="U1568" s="45"/>
    </row>
    <row r="1569">
      <c r="A1569" s="79" t="s">
        <v>18561</v>
      </c>
      <c r="B1569" s="45"/>
      <c r="C1569" s="79" t="s">
        <v>18562</v>
      </c>
      <c r="D1569" s="45"/>
      <c r="E1569" s="79" t="s">
        <v>5478</v>
      </c>
      <c r="F1569" s="79" t="s">
        <v>5300</v>
      </c>
      <c r="G1569" s="80" t="s">
        <v>96</v>
      </c>
      <c r="H1569" s="90">
        <v>2.045E-4</v>
      </c>
      <c r="I1569" s="45"/>
      <c r="J1569" s="45"/>
      <c r="K1569" s="45"/>
      <c r="L1569" s="45"/>
      <c r="M1569" s="45"/>
      <c r="N1569" s="45"/>
      <c r="O1569" s="45"/>
      <c r="P1569" s="45"/>
      <c r="Q1569" s="45"/>
      <c r="R1569" s="45"/>
      <c r="S1569" s="45"/>
      <c r="T1569" s="45"/>
      <c r="U1569" s="45"/>
    </row>
    <row r="1570">
      <c r="A1570" s="79" t="s">
        <v>18563</v>
      </c>
      <c r="B1570" s="45"/>
      <c r="C1570" s="79" t="s">
        <v>18564</v>
      </c>
      <c r="D1570" s="45"/>
      <c r="E1570" s="79" t="s">
        <v>9937</v>
      </c>
      <c r="F1570" s="79" t="s">
        <v>5268</v>
      </c>
      <c r="G1570" s="80" t="s">
        <v>96</v>
      </c>
      <c r="H1570" s="90">
        <v>2.043E-4</v>
      </c>
      <c r="I1570" s="45"/>
      <c r="J1570" s="45"/>
      <c r="K1570" s="45"/>
      <c r="L1570" s="45"/>
      <c r="M1570" s="45"/>
      <c r="N1570" s="45"/>
      <c r="O1570" s="45"/>
      <c r="P1570" s="45"/>
      <c r="Q1570" s="45"/>
      <c r="R1570" s="45"/>
      <c r="S1570" s="45"/>
      <c r="T1570" s="45"/>
      <c r="U1570" s="45"/>
    </row>
    <row r="1571">
      <c r="A1571" s="79" t="s">
        <v>18565</v>
      </c>
      <c r="B1571" s="45"/>
      <c r="C1571" s="79" t="s">
        <v>18566</v>
      </c>
      <c r="D1571" s="45"/>
      <c r="E1571" s="79" t="s">
        <v>5401</v>
      </c>
      <c r="F1571" s="79" t="s">
        <v>5300</v>
      </c>
      <c r="G1571" s="80" t="s">
        <v>96</v>
      </c>
      <c r="H1571" s="90">
        <v>2.043E-4</v>
      </c>
      <c r="I1571" s="45"/>
      <c r="J1571" s="45"/>
      <c r="K1571" s="45"/>
      <c r="L1571" s="45"/>
      <c r="M1571" s="45"/>
      <c r="N1571" s="45"/>
      <c r="O1571" s="45"/>
      <c r="P1571" s="45"/>
      <c r="Q1571" s="45"/>
      <c r="R1571" s="45"/>
      <c r="S1571" s="45"/>
      <c r="T1571" s="45"/>
      <c r="U1571" s="45"/>
    </row>
    <row r="1572">
      <c r="A1572" s="79" t="s">
        <v>18567</v>
      </c>
      <c r="B1572" s="45"/>
      <c r="C1572" s="79" t="s">
        <v>18568</v>
      </c>
      <c r="D1572" s="45"/>
      <c r="E1572" s="79" t="s">
        <v>5258</v>
      </c>
      <c r="F1572" s="79" t="s">
        <v>5329</v>
      </c>
      <c r="G1572" s="80" t="s">
        <v>96</v>
      </c>
      <c r="H1572" s="90">
        <v>2.038E-4</v>
      </c>
      <c r="I1572" s="45"/>
      <c r="J1572" s="45"/>
      <c r="K1572" s="45"/>
      <c r="L1572" s="45"/>
      <c r="M1572" s="45"/>
      <c r="N1572" s="45"/>
      <c r="O1572" s="45"/>
      <c r="P1572" s="45"/>
      <c r="Q1572" s="45"/>
      <c r="R1572" s="45"/>
      <c r="S1572" s="45"/>
      <c r="T1572" s="45"/>
      <c r="U1572" s="45"/>
    </row>
    <row r="1573">
      <c r="A1573" s="79" t="s">
        <v>18569</v>
      </c>
      <c r="B1573" s="45"/>
      <c r="C1573" s="79" t="s">
        <v>18570</v>
      </c>
      <c r="D1573" s="45"/>
      <c r="E1573" s="79" t="s">
        <v>5283</v>
      </c>
      <c r="F1573" s="79" t="s">
        <v>16525</v>
      </c>
      <c r="G1573" s="80" t="s">
        <v>96</v>
      </c>
      <c r="H1573" s="90">
        <v>2.037E-4</v>
      </c>
      <c r="I1573" s="45"/>
      <c r="J1573" s="45"/>
      <c r="K1573" s="45"/>
      <c r="L1573" s="45"/>
      <c r="M1573" s="45"/>
      <c r="N1573" s="45"/>
      <c r="O1573" s="45"/>
      <c r="P1573" s="45"/>
      <c r="Q1573" s="45"/>
      <c r="R1573" s="45"/>
      <c r="S1573" s="45"/>
      <c r="T1573" s="45"/>
      <c r="U1573" s="45"/>
    </row>
    <row r="1574">
      <c r="A1574" s="79" t="s">
        <v>18571</v>
      </c>
      <c r="B1574" s="45"/>
      <c r="C1574" s="79" t="s">
        <v>18572</v>
      </c>
      <c r="D1574" s="45"/>
      <c r="E1574" s="79" t="s">
        <v>5478</v>
      </c>
      <c r="F1574" s="79" t="s">
        <v>5300</v>
      </c>
      <c r="G1574" s="80" t="s">
        <v>96</v>
      </c>
      <c r="H1574" s="90">
        <v>2.035E-4</v>
      </c>
      <c r="I1574" s="45"/>
      <c r="J1574" s="45"/>
      <c r="K1574" s="45"/>
      <c r="L1574" s="45"/>
      <c r="M1574" s="45"/>
      <c r="N1574" s="45"/>
      <c r="O1574" s="45"/>
      <c r="P1574" s="45"/>
      <c r="Q1574" s="45"/>
      <c r="R1574" s="45"/>
      <c r="S1574" s="45"/>
      <c r="T1574" s="45"/>
      <c r="U1574" s="45"/>
    </row>
    <row r="1575">
      <c r="A1575" s="79" t="s">
        <v>18573</v>
      </c>
      <c r="B1575" s="45"/>
      <c r="C1575" s="79" t="s">
        <v>18574</v>
      </c>
      <c r="D1575" s="45"/>
      <c r="E1575" s="79" t="s">
        <v>5215</v>
      </c>
      <c r="F1575" s="79" t="s">
        <v>5300</v>
      </c>
      <c r="G1575" s="80" t="s">
        <v>96</v>
      </c>
      <c r="H1575" s="90">
        <v>2.034E-4</v>
      </c>
      <c r="I1575" s="45"/>
      <c r="J1575" s="45"/>
      <c r="K1575" s="45"/>
      <c r="L1575" s="45"/>
      <c r="M1575" s="45"/>
      <c r="N1575" s="45"/>
      <c r="O1575" s="45"/>
      <c r="P1575" s="45"/>
      <c r="Q1575" s="45"/>
      <c r="R1575" s="45"/>
      <c r="S1575" s="45"/>
      <c r="T1575" s="45"/>
      <c r="U1575" s="45"/>
    </row>
    <row r="1576">
      <c r="A1576" s="79" t="s">
        <v>18575</v>
      </c>
      <c r="B1576" s="45"/>
      <c r="C1576" s="79" t="s">
        <v>18576</v>
      </c>
      <c r="D1576" s="45"/>
      <c r="E1576" s="79" t="s">
        <v>18577</v>
      </c>
      <c r="F1576" s="79" t="s">
        <v>9021</v>
      </c>
      <c r="G1576" s="80" t="s">
        <v>96</v>
      </c>
      <c r="H1576" s="90">
        <v>2.032E-4</v>
      </c>
      <c r="I1576" s="45"/>
      <c r="J1576" s="45"/>
      <c r="K1576" s="45"/>
      <c r="L1576" s="45"/>
      <c r="M1576" s="45"/>
      <c r="N1576" s="45"/>
      <c r="O1576" s="45"/>
      <c r="P1576" s="45"/>
      <c r="Q1576" s="45"/>
      <c r="R1576" s="45"/>
      <c r="S1576" s="45"/>
      <c r="T1576" s="45"/>
      <c r="U1576" s="45"/>
    </row>
    <row r="1577">
      <c r="A1577" s="79" t="s">
        <v>10606</v>
      </c>
      <c r="B1577" s="45"/>
      <c r="C1577" s="79" t="s">
        <v>10607</v>
      </c>
      <c r="D1577" s="45"/>
      <c r="E1577" s="79" t="s">
        <v>5390</v>
      </c>
      <c r="F1577" s="79" t="s">
        <v>8784</v>
      </c>
      <c r="G1577" s="80" t="s">
        <v>96</v>
      </c>
      <c r="H1577" s="90">
        <v>2.021E-4</v>
      </c>
      <c r="I1577" s="45"/>
      <c r="J1577" s="45"/>
      <c r="K1577" s="45"/>
      <c r="L1577" s="45"/>
      <c r="M1577" s="45"/>
      <c r="N1577" s="45"/>
      <c r="O1577" s="45"/>
      <c r="P1577" s="45"/>
      <c r="Q1577" s="45"/>
      <c r="R1577" s="45"/>
      <c r="S1577" s="45"/>
      <c r="T1577" s="45"/>
      <c r="U1577" s="45"/>
    </row>
    <row r="1578">
      <c r="A1578" s="79" t="s">
        <v>10804</v>
      </c>
      <c r="B1578" s="45"/>
      <c r="C1578" s="79" t="s">
        <v>10805</v>
      </c>
      <c r="D1578" s="45"/>
      <c r="E1578" s="79" t="s">
        <v>6130</v>
      </c>
      <c r="F1578" s="79" t="s">
        <v>8784</v>
      </c>
      <c r="G1578" s="80" t="s">
        <v>96</v>
      </c>
      <c r="H1578" s="90">
        <v>2.021E-4</v>
      </c>
      <c r="I1578" s="45"/>
      <c r="J1578" s="45"/>
      <c r="K1578" s="45"/>
      <c r="L1578" s="45"/>
      <c r="M1578" s="45"/>
      <c r="N1578" s="45"/>
      <c r="O1578" s="45"/>
      <c r="P1578" s="45"/>
      <c r="Q1578" s="45"/>
      <c r="R1578" s="45"/>
      <c r="S1578" s="45"/>
      <c r="T1578" s="45"/>
      <c r="U1578" s="45"/>
    </row>
    <row r="1579">
      <c r="A1579" s="79" t="s">
        <v>18578</v>
      </c>
      <c r="B1579" s="45"/>
      <c r="C1579" s="79" t="s">
        <v>18579</v>
      </c>
      <c r="D1579" s="45"/>
      <c r="E1579" s="79" t="s">
        <v>9810</v>
      </c>
      <c r="F1579" s="79" t="s">
        <v>5300</v>
      </c>
      <c r="G1579" s="80" t="s">
        <v>96</v>
      </c>
      <c r="H1579" s="90">
        <v>2.019E-4</v>
      </c>
      <c r="I1579" s="45"/>
      <c r="J1579" s="45"/>
      <c r="K1579" s="45"/>
      <c r="L1579" s="45"/>
      <c r="M1579" s="45"/>
      <c r="N1579" s="45"/>
      <c r="O1579" s="45"/>
      <c r="P1579" s="45"/>
      <c r="Q1579" s="45"/>
      <c r="R1579" s="45"/>
      <c r="S1579" s="45"/>
      <c r="T1579" s="45"/>
      <c r="U1579" s="45"/>
    </row>
    <row r="1580">
      <c r="A1580" s="79" t="s">
        <v>18580</v>
      </c>
      <c r="B1580" s="45"/>
      <c r="C1580" s="79" t="s">
        <v>18581</v>
      </c>
      <c r="D1580" s="45"/>
      <c r="E1580" s="79" t="s">
        <v>5855</v>
      </c>
      <c r="F1580" s="79" t="s">
        <v>5425</v>
      </c>
      <c r="G1580" s="80" t="s">
        <v>96</v>
      </c>
      <c r="H1580" s="90">
        <v>2.018E-4</v>
      </c>
      <c r="I1580" s="45"/>
      <c r="J1580" s="45"/>
      <c r="K1580" s="45"/>
      <c r="L1580" s="45"/>
      <c r="M1580" s="45"/>
      <c r="N1580" s="45"/>
      <c r="O1580" s="45"/>
      <c r="P1580" s="45"/>
      <c r="Q1580" s="45"/>
      <c r="R1580" s="45"/>
      <c r="S1580" s="45"/>
      <c r="T1580" s="45"/>
      <c r="U1580" s="45"/>
    </row>
    <row r="1581">
      <c r="A1581" s="79" t="s">
        <v>18582</v>
      </c>
      <c r="B1581" s="45"/>
      <c r="C1581" s="79" t="s">
        <v>18583</v>
      </c>
      <c r="D1581" s="45"/>
      <c r="E1581" s="79" t="s">
        <v>5316</v>
      </c>
      <c r="F1581" s="79" t="s">
        <v>5300</v>
      </c>
      <c r="G1581" s="80" t="s">
        <v>96</v>
      </c>
      <c r="H1581" s="90">
        <v>2.018E-4</v>
      </c>
      <c r="I1581" s="45"/>
      <c r="J1581" s="45"/>
      <c r="K1581" s="45"/>
      <c r="L1581" s="45"/>
      <c r="M1581" s="45"/>
      <c r="N1581" s="45"/>
      <c r="O1581" s="45"/>
      <c r="P1581" s="45"/>
      <c r="Q1581" s="45"/>
      <c r="R1581" s="45"/>
      <c r="S1581" s="45"/>
      <c r="T1581" s="45"/>
      <c r="U1581" s="45"/>
    </row>
    <row r="1582">
      <c r="A1582" s="79" t="s">
        <v>18584</v>
      </c>
      <c r="B1582" s="45"/>
      <c r="C1582" s="79" t="s">
        <v>18585</v>
      </c>
      <c r="D1582" s="45"/>
      <c r="E1582" s="79" t="s">
        <v>6338</v>
      </c>
      <c r="F1582" s="79" t="s">
        <v>5300</v>
      </c>
      <c r="G1582" s="80" t="s">
        <v>96</v>
      </c>
      <c r="H1582" s="90">
        <v>2.018E-4</v>
      </c>
      <c r="I1582" s="45"/>
      <c r="J1582" s="45"/>
      <c r="K1582" s="45"/>
      <c r="L1582" s="45"/>
      <c r="M1582" s="45"/>
      <c r="N1582" s="45"/>
      <c r="O1582" s="45"/>
      <c r="P1582" s="45"/>
      <c r="Q1582" s="45"/>
      <c r="R1582" s="45"/>
      <c r="S1582" s="45"/>
      <c r="T1582" s="45"/>
      <c r="U1582" s="45"/>
    </row>
    <row r="1583">
      <c r="A1583" s="79" t="s">
        <v>18586</v>
      </c>
      <c r="B1583" s="45"/>
      <c r="C1583" s="79" t="s">
        <v>18587</v>
      </c>
      <c r="D1583" s="45"/>
      <c r="E1583" s="79" t="s">
        <v>8154</v>
      </c>
      <c r="F1583" s="79" t="s">
        <v>5425</v>
      </c>
      <c r="G1583" s="80" t="s">
        <v>96</v>
      </c>
      <c r="H1583" s="90">
        <v>2.017E-4</v>
      </c>
      <c r="I1583" s="45"/>
      <c r="J1583" s="45"/>
      <c r="K1583" s="45"/>
      <c r="L1583" s="45"/>
      <c r="M1583" s="45"/>
      <c r="N1583" s="45"/>
      <c r="O1583" s="45"/>
      <c r="P1583" s="45"/>
      <c r="Q1583" s="45"/>
      <c r="R1583" s="45"/>
      <c r="S1583" s="45"/>
      <c r="T1583" s="45"/>
      <c r="U1583" s="45"/>
    </row>
    <row r="1584">
      <c r="A1584" s="79" t="s">
        <v>18588</v>
      </c>
      <c r="B1584" s="45"/>
      <c r="C1584" s="79" t="s">
        <v>18589</v>
      </c>
      <c r="D1584" s="45"/>
      <c r="E1584" s="79" t="s">
        <v>5238</v>
      </c>
      <c r="F1584" s="79" t="s">
        <v>5300</v>
      </c>
      <c r="G1584" s="80" t="s">
        <v>96</v>
      </c>
      <c r="H1584" s="90">
        <v>2.017E-4</v>
      </c>
      <c r="I1584" s="45"/>
      <c r="J1584" s="45"/>
      <c r="K1584" s="45"/>
      <c r="L1584" s="45"/>
      <c r="M1584" s="45"/>
      <c r="N1584" s="45"/>
      <c r="O1584" s="45"/>
      <c r="P1584" s="45"/>
      <c r="Q1584" s="45"/>
      <c r="R1584" s="45"/>
      <c r="S1584" s="45"/>
      <c r="T1584" s="45"/>
      <c r="U1584" s="45"/>
    </row>
    <row r="1585">
      <c r="A1585" s="79" t="s">
        <v>18590</v>
      </c>
      <c r="B1585" s="45"/>
      <c r="C1585" s="79" t="s">
        <v>18591</v>
      </c>
      <c r="D1585" s="45"/>
      <c r="E1585" s="79" t="s">
        <v>5283</v>
      </c>
      <c r="F1585" s="79" t="s">
        <v>5300</v>
      </c>
      <c r="G1585" s="80" t="s">
        <v>96</v>
      </c>
      <c r="H1585" s="90">
        <v>2.016E-4</v>
      </c>
      <c r="I1585" s="45"/>
      <c r="J1585" s="45"/>
      <c r="K1585" s="45"/>
      <c r="L1585" s="45"/>
      <c r="M1585" s="45"/>
      <c r="N1585" s="45"/>
      <c r="O1585" s="45"/>
      <c r="P1585" s="45"/>
      <c r="Q1585" s="45"/>
      <c r="R1585" s="45"/>
      <c r="S1585" s="45"/>
      <c r="T1585" s="45"/>
      <c r="U1585" s="45"/>
    </row>
    <row r="1586">
      <c r="A1586" s="79" t="s">
        <v>18592</v>
      </c>
      <c r="B1586" s="45"/>
      <c r="C1586" s="79" t="s">
        <v>18593</v>
      </c>
      <c r="D1586" s="45"/>
      <c r="E1586" s="79" t="s">
        <v>5215</v>
      </c>
      <c r="F1586" s="79" t="s">
        <v>16434</v>
      </c>
      <c r="G1586" s="80" t="s">
        <v>96</v>
      </c>
      <c r="H1586" s="90">
        <v>2.013E-4</v>
      </c>
      <c r="I1586" s="45"/>
      <c r="J1586" s="45"/>
      <c r="K1586" s="45"/>
      <c r="L1586" s="45"/>
      <c r="M1586" s="45"/>
      <c r="N1586" s="45"/>
      <c r="O1586" s="45"/>
      <c r="P1586" s="45"/>
      <c r="Q1586" s="45"/>
      <c r="R1586" s="45"/>
      <c r="S1586" s="45"/>
      <c r="T1586" s="45"/>
      <c r="U1586" s="45"/>
    </row>
    <row r="1587">
      <c r="A1587" s="79" t="s">
        <v>18594</v>
      </c>
      <c r="B1587" s="45"/>
      <c r="C1587" s="79" t="s">
        <v>18595</v>
      </c>
      <c r="D1587" s="45"/>
      <c r="E1587" s="79" t="s">
        <v>6249</v>
      </c>
      <c r="F1587" s="79" t="s">
        <v>8784</v>
      </c>
      <c r="G1587" s="80" t="s">
        <v>96</v>
      </c>
      <c r="H1587" s="90">
        <v>2.012E-4</v>
      </c>
      <c r="I1587" s="45"/>
      <c r="J1587" s="45"/>
      <c r="K1587" s="45"/>
      <c r="L1587" s="45"/>
      <c r="M1587" s="45"/>
      <c r="N1587" s="45"/>
      <c r="O1587" s="45"/>
      <c r="P1587" s="45"/>
      <c r="Q1587" s="45"/>
      <c r="R1587" s="45"/>
      <c r="S1587" s="45"/>
      <c r="T1587" s="45"/>
      <c r="U1587" s="45"/>
    </row>
    <row r="1588">
      <c r="A1588" s="79" t="s">
        <v>18596</v>
      </c>
      <c r="B1588" s="45"/>
      <c r="C1588" s="79" t="s">
        <v>18597</v>
      </c>
      <c r="D1588" s="45"/>
      <c r="E1588" s="79" t="s">
        <v>7248</v>
      </c>
      <c r="F1588" s="79" t="s">
        <v>5300</v>
      </c>
      <c r="G1588" s="80" t="s">
        <v>96</v>
      </c>
      <c r="H1588" s="90">
        <v>2.012E-4</v>
      </c>
      <c r="I1588" s="45"/>
      <c r="J1588" s="45"/>
      <c r="K1588" s="45"/>
      <c r="L1588" s="45"/>
      <c r="M1588" s="45"/>
      <c r="N1588" s="45"/>
      <c r="O1588" s="45"/>
      <c r="P1588" s="45"/>
      <c r="Q1588" s="45"/>
      <c r="R1588" s="45"/>
      <c r="S1588" s="45"/>
      <c r="T1588" s="45"/>
      <c r="U1588" s="45"/>
    </row>
    <row r="1589">
      <c r="A1589" s="79" t="s">
        <v>18598</v>
      </c>
      <c r="B1589" s="45"/>
      <c r="C1589" s="79" t="s">
        <v>18599</v>
      </c>
      <c r="D1589" s="45"/>
      <c r="E1589" s="79" t="s">
        <v>5478</v>
      </c>
      <c r="F1589" s="79" t="s">
        <v>5300</v>
      </c>
      <c r="G1589" s="80" t="s">
        <v>96</v>
      </c>
      <c r="H1589" s="90">
        <v>2.009E-4</v>
      </c>
      <c r="I1589" s="45"/>
      <c r="J1589" s="45"/>
      <c r="K1589" s="45"/>
      <c r="L1589" s="45"/>
      <c r="M1589" s="45"/>
      <c r="N1589" s="45"/>
      <c r="O1589" s="45"/>
      <c r="P1589" s="45"/>
      <c r="Q1589" s="45"/>
      <c r="R1589" s="45"/>
      <c r="S1589" s="45"/>
      <c r="T1589" s="45"/>
      <c r="U1589" s="45"/>
    </row>
    <row r="1590">
      <c r="A1590" s="79" t="s">
        <v>18600</v>
      </c>
      <c r="B1590" s="45"/>
      <c r="C1590" s="79" t="s">
        <v>18601</v>
      </c>
      <c r="D1590" s="45"/>
      <c r="E1590" s="79" t="s">
        <v>5564</v>
      </c>
      <c r="F1590" s="79" t="s">
        <v>5277</v>
      </c>
      <c r="G1590" s="80" t="s">
        <v>96</v>
      </c>
      <c r="H1590" s="90">
        <v>2.009E-4</v>
      </c>
      <c r="I1590" s="45"/>
      <c r="J1590" s="45"/>
      <c r="K1590" s="45"/>
      <c r="L1590" s="45"/>
      <c r="M1590" s="45"/>
      <c r="N1590" s="45"/>
      <c r="O1590" s="45"/>
      <c r="P1590" s="45"/>
      <c r="Q1590" s="45"/>
      <c r="R1590" s="45"/>
      <c r="S1590" s="45"/>
      <c r="T1590" s="45"/>
      <c r="U1590" s="45"/>
    </row>
    <row r="1591">
      <c r="A1591" s="79" t="s">
        <v>18602</v>
      </c>
      <c r="B1591" s="45"/>
      <c r="C1591" s="79" t="s">
        <v>18603</v>
      </c>
      <c r="D1591" s="45"/>
      <c r="E1591" s="79" t="s">
        <v>9189</v>
      </c>
      <c r="F1591" s="79" t="s">
        <v>5300</v>
      </c>
      <c r="G1591" s="80" t="s">
        <v>96</v>
      </c>
      <c r="H1591" s="90">
        <v>2.008E-4</v>
      </c>
      <c r="I1591" s="45"/>
      <c r="J1591" s="45"/>
      <c r="K1591" s="45"/>
      <c r="L1591" s="45"/>
      <c r="M1591" s="45"/>
      <c r="N1591" s="45"/>
      <c r="O1591" s="45"/>
      <c r="P1591" s="45"/>
      <c r="Q1591" s="45"/>
      <c r="R1591" s="45"/>
      <c r="S1591" s="45"/>
      <c r="T1591" s="45"/>
      <c r="U1591" s="45"/>
    </row>
    <row r="1592">
      <c r="A1592" s="79" t="s">
        <v>18604</v>
      </c>
      <c r="B1592" s="45"/>
      <c r="C1592" s="79" t="s">
        <v>18605</v>
      </c>
      <c r="D1592" s="45"/>
      <c r="E1592" s="79" t="s">
        <v>6327</v>
      </c>
      <c r="F1592" s="79" t="s">
        <v>4153</v>
      </c>
      <c r="G1592" s="80" t="s">
        <v>96</v>
      </c>
      <c r="H1592" s="90">
        <v>2.006E-4</v>
      </c>
      <c r="I1592" s="45"/>
      <c r="J1592" s="45"/>
      <c r="K1592" s="45"/>
      <c r="L1592" s="45"/>
      <c r="M1592" s="45"/>
      <c r="N1592" s="45"/>
      <c r="O1592" s="45"/>
      <c r="P1592" s="45"/>
      <c r="Q1592" s="45"/>
      <c r="R1592" s="45"/>
      <c r="S1592" s="45"/>
      <c r="T1592" s="45"/>
      <c r="U1592" s="45"/>
    </row>
    <row r="1593">
      <c r="A1593" s="79" t="s">
        <v>18606</v>
      </c>
      <c r="B1593" s="45"/>
      <c r="C1593" s="79" t="s">
        <v>18607</v>
      </c>
      <c r="D1593" s="45"/>
      <c r="E1593" s="79" t="s">
        <v>5258</v>
      </c>
      <c r="F1593" s="79" t="s">
        <v>5836</v>
      </c>
      <c r="G1593" s="80" t="s">
        <v>96</v>
      </c>
      <c r="H1593" s="90">
        <v>2.005E-4</v>
      </c>
      <c r="I1593" s="45"/>
      <c r="J1593" s="45"/>
      <c r="K1593" s="45"/>
      <c r="L1593" s="45"/>
      <c r="M1593" s="45"/>
      <c r="N1593" s="45"/>
      <c r="O1593" s="45"/>
      <c r="P1593" s="45"/>
      <c r="Q1593" s="45"/>
      <c r="R1593" s="45"/>
      <c r="S1593" s="45"/>
      <c r="T1593" s="45"/>
      <c r="U1593" s="45"/>
    </row>
    <row r="1594">
      <c r="A1594" s="79" t="s">
        <v>18608</v>
      </c>
      <c r="B1594" s="45"/>
      <c r="C1594" s="79" t="s">
        <v>18609</v>
      </c>
      <c r="D1594" s="45"/>
      <c r="E1594" s="79" t="s">
        <v>5215</v>
      </c>
      <c r="F1594" s="79" t="s">
        <v>9414</v>
      </c>
      <c r="G1594" s="80" t="s">
        <v>96</v>
      </c>
      <c r="H1594" s="90">
        <v>2.005E-4</v>
      </c>
      <c r="I1594" s="45"/>
      <c r="J1594" s="45"/>
      <c r="K1594" s="45"/>
      <c r="L1594" s="45"/>
      <c r="M1594" s="45"/>
      <c r="N1594" s="45"/>
      <c r="O1594" s="45"/>
      <c r="P1594" s="45"/>
      <c r="Q1594" s="45"/>
      <c r="R1594" s="45"/>
      <c r="S1594" s="45"/>
      <c r="T1594" s="45"/>
      <c r="U1594" s="45"/>
    </row>
    <row r="1595">
      <c r="A1595" s="79" t="s">
        <v>18610</v>
      </c>
      <c r="B1595" s="45"/>
      <c r="C1595" s="79" t="s">
        <v>18611</v>
      </c>
      <c r="D1595" s="45"/>
      <c r="E1595" s="79" t="s">
        <v>5459</v>
      </c>
      <c r="F1595" s="79" t="s">
        <v>6988</v>
      </c>
      <c r="G1595" s="80" t="s">
        <v>96</v>
      </c>
      <c r="H1595" s="90">
        <v>2.003E-4</v>
      </c>
      <c r="I1595" s="45"/>
      <c r="J1595" s="45"/>
      <c r="K1595" s="45"/>
      <c r="L1595" s="45"/>
      <c r="M1595" s="45"/>
      <c r="N1595" s="45"/>
      <c r="O1595" s="45"/>
      <c r="P1595" s="45"/>
      <c r="Q1595" s="45"/>
      <c r="R1595" s="45"/>
      <c r="S1595" s="45"/>
      <c r="T1595" s="45"/>
      <c r="U1595" s="45"/>
    </row>
    <row r="1596">
      <c r="A1596" s="79" t="s">
        <v>18612</v>
      </c>
      <c r="B1596" s="45"/>
      <c r="C1596" s="79" t="s">
        <v>18613</v>
      </c>
      <c r="D1596" s="45"/>
      <c r="E1596" s="79" t="s">
        <v>5226</v>
      </c>
      <c r="F1596" s="79" t="s">
        <v>5836</v>
      </c>
      <c r="G1596" s="80" t="s">
        <v>96</v>
      </c>
      <c r="H1596" s="90">
        <v>1.999E-4</v>
      </c>
      <c r="I1596" s="45"/>
      <c r="J1596" s="45"/>
      <c r="K1596" s="45"/>
      <c r="L1596" s="45"/>
      <c r="M1596" s="45"/>
      <c r="N1596" s="45"/>
      <c r="O1596" s="45"/>
      <c r="P1596" s="45"/>
      <c r="Q1596" s="45"/>
      <c r="R1596" s="45"/>
      <c r="S1596" s="45"/>
      <c r="T1596" s="45"/>
      <c r="U1596" s="45"/>
    </row>
    <row r="1597">
      <c r="A1597" s="79" t="s">
        <v>5519</v>
      </c>
      <c r="B1597" s="45"/>
      <c r="C1597" s="79" t="s">
        <v>18614</v>
      </c>
      <c r="D1597" s="45"/>
      <c r="E1597" s="79" t="s">
        <v>5450</v>
      </c>
      <c r="F1597" s="79" t="s">
        <v>5300</v>
      </c>
      <c r="G1597" s="80" t="s">
        <v>96</v>
      </c>
      <c r="H1597" s="90">
        <v>1.998E-4</v>
      </c>
      <c r="I1597" s="45"/>
      <c r="J1597" s="45"/>
      <c r="K1597" s="45"/>
      <c r="L1597" s="45"/>
      <c r="M1597" s="45"/>
      <c r="N1597" s="45"/>
      <c r="O1597" s="45"/>
      <c r="P1597" s="45"/>
      <c r="Q1597" s="45"/>
      <c r="R1597" s="45"/>
      <c r="S1597" s="45"/>
      <c r="T1597" s="45"/>
      <c r="U1597" s="45"/>
    </row>
    <row r="1598">
      <c r="A1598" s="79" t="s">
        <v>9802</v>
      </c>
      <c r="B1598" s="45"/>
      <c r="C1598" s="79" t="s">
        <v>18615</v>
      </c>
      <c r="D1598" s="45"/>
      <c r="E1598" s="79" t="s">
        <v>5215</v>
      </c>
      <c r="F1598" s="79" t="s">
        <v>5300</v>
      </c>
      <c r="G1598" s="80" t="s">
        <v>96</v>
      </c>
      <c r="H1598" s="90">
        <v>1.992E-4</v>
      </c>
      <c r="I1598" s="45"/>
      <c r="J1598" s="45"/>
      <c r="K1598" s="45"/>
      <c r="L1598" s="45"/>
      <c r="M1598" s="45"/>
      <c r="N1598" s="45"/>
      <c r="O1598" s="45"/>
      <c r="P1598" s="45"/>
      <c r="Q1598" s="45"/>
      <c r="R1598" s="45"/>
      <c r="S1598" s="45"/>
      <c r="T1598" s="45"/>
      <c r="U1598" s="45"/>
    </row>
    <row r="1599">
      <c r="A1599" s="79" t="s">
        <v>11163</v>
      </c>
      <c r="B1599" s="45"/>
      <c r="C1599" s="79" t="s">
        <v>11164</v>
      </c>
      <c r="D1599" s="45"/>
      <c r="E1599" s="79" t="s">
        <v>6801</v>
      </c>
      <c r="F1599" s="79" t="s">
        <v>8784</v>
      </c>
      <c r="G1599" s="80" t="s">
        <v>96</v>
      </c>
      <c r="H1599" s="90">
        <v>1.991E-4</v>
      </c>
      <c r="I1599" s="45"/>
      <c r="J1599" s="45"/>
      <c r="K1599" s="45"/>
      <c r="L1599" s="45"/>
      <c r="M1599" s="45"/>
      <c r="N1599" s="45"/>
      <c r="O1599" s="45"/>
      <c r="P1599" s="45"/>
      <c r="Q1599" s="45"/>
      <c r="R1599" s="45"/>
      <c r="S1599" s="45"/>
      <c r="T1599" s="45"/>
      <c r="U1599" s="45"/>
    </row>
    <row r="1600">
      <c r="A1600" s="79" t="s">
        <v>10843</v>
      </c>
      <c r="B1600" s="45"/>
      <c r="C1600" s="79" t="s">
        <v>10844</v>
      </c>
      <c r="D1600" s="45"/>
      <c r="E1600" s="79" t="s">
        <v>5561</v>
      </c>
      <c r="F1600" s="79" t="s">
        <v>4153</v>
      </c>
      <c r="G1600" s="80" t="s">
        <v>96</v>
      </c>
      <c r="H1600" s="90">
        <v>1.991E-4</v>
      </c>
      <c r="I1600" s="45"/>
      <c r="J1600" s="45"/>
      <c r="K1600" s="45"/>
      <c r="L1600" s="45"/>
      <c r="M1600" s="45"/>
      <c r="N1600" s="45"/>
      <c r="O1600" s="45"/>
      <c r="P1600" s="45"/>
      <c r="Q1600" s="45"/>
      <c r="R1600" s="45"/>
      <c r="S1600" s="45"/>
      <c r="T1600" s="45"/>
      <c r="U1600" s="45"/>
    </row>
    <row r="1601">
      <c r="A1601" s="79" t="s">
        <v>5511</v>
      </c>
      <c r="B1601" s="45"/>
      <c r="C1601" s="79" t="s">
        <v>18616</v>
      </c>
      <c r="D1601" s="45"/>
      <c r="E1601" s="79" t="s">
        <v>6012</v>
      </c>
      <c r="F1601" s="79" t="s">
        <v>9299</v>
      </c>
      <c r="G1601" s="80" t="s">
        <v>96</v>
      </c>
      <c r="H1601" s="90">
        <v>1.987E-4</v>
      </c>
      <c r="I1601" s="45"/>
      <c r="J1601" s="45"/>
      <c r="K1601" s="45"/>
      <c r="L1601" s="45"/>
      <c r="M1601" s="45"/>
      <c r="N1601" s="45"/>
      <c r="O1601" s="45"/>
      <c r="P1601" s="45"/>
      <c r="Q1601" s="45"/>
      <c r="R1601" s="45"/>
      <c r="S1601" s="45"/>
      <c r="T1601" s="45"/>
      <c r="U1601" s="45"/>
    </row>
    <row r="1602">
      <c r="A1602" s="79" t="s">
        <v>18617</v>
      </c>
      <c r="B1602" s="45"/>
      <c r="C1602" s="79" t="s">
        <v>18618</v>
      </c>
      <c r="D1602" s="45"/>
      <c r="E1602" s="79" t="s">
        <v>5450</v>
      </c>
      <c r="F1602" s="79" t="s">
        <v>5425</v>
      </c>
      <c r="G1602" s="80" t="s">
        <v>96</v>
      </c>
      <c r="H1602" s="90">
        <v>1.98E-4</v>
      </c>
      <c r="I1602" s="45"/>
      <c r="J1602" s="45"/>
      <c r="K1602" s="45"/>
      <c r="L1602" s="45"/>
      <c r="M1602" s="45"/>
      <c r="N1602" s="45"/>
      <c r="O1602" s="45"/>
      <c r="P1602" s="45"/>
      <c r="Q1602" s="45"/>
      <c r="R1602" s="45"/>
      <c r="S1602" s="45"/>
      <c r="T1602" s="45"/>
      <c r="U1602" s="45"/>
    </row>
    <row r="1603">
      <c r="A1603" s="79" t="s">
        <v>18619</v>
      </c>
      <c r="B1603" s="45"/>
      <c r="C1603" s="79" t="s">
        <v>18620</v>
      </c>
      <c r="D1603" s="45"/>
      <c r="E1603" s="79" t="s">
        <v>5276</v>
      </c>
      <c r="F1603" s="79" t="s">
        <v>5300</v>
      </c>
      <c r="G1603" s="80" t="s">
        <v>96</v>
      </c>
      <c r="H1603" s="90">
        <v>1.98E-4</v>
      </c>
      <c r="I1603" s="45"/>
      <c r="J1603" s="45"/>
      <c r="K1603" s="45"/>
      <c r="L1603" s="45"/>
      <c r="M1603" s="45"/>
      <c r="N1603" s="45"/>
      <c r="O1603" s="45"/>
      <c r="P1603" s="45"/>
      <c r="Q1603" s="45"/>
      <c r="R1603" s="45"/>
      <c r="S1603" s="45"/>
      <c r="T1603" s="45"/>
      <c r="U1603" s="45"/>
    </row>
    <row r="1604">
      <c r="A1604" s="79" t="s">
        <v>5538</v>
      </c>
      <c r="B1604" s="45"/>
      <c r="C1604" s="79" t="s">
        <v>18621</v>
      </c>
      <c r="D1604" s="45"/>
      <c r="E1604" s="79" t="s">
        <v>5288</v>
      </c>
      <c r="F1604" s="79" t="s">
        <v>4357</v>
      </c>
      <c r="G1604" s="80" t="s">
        <v>96</v>
      </c>
      <c r="H1604" s="90">
        <v>1.977E-4</v>
      </c>
      <c r="I1604" s="45"/>
      <c r="J1604" s="45"/>
      <c r="K1604" s="45"/>
      <c r="L1604" s="45"/>
      <c r="M1604" s="45"/>
      <c r="N1604" s="45"/>
      <c r="O1604" s="45"/>
      <c r="P1604" s="45"/>
      <c r="Q1604" s="45"/>
      <c r="R1604" s="45"/>
      <c r="S1604" s="45"/>
      <c r="T1604" s="45"/>
      <c r="U1604" s="45"/>
    </row>
    <row r="1605">
      <c r="A1605" s="79" t="s">
        <v>18622</v>
      </c>
      <c r="B1605" s="45"/>
      <c r="C1605" s="79" t="s">
        <v>18623</v>
      </c>
      <c r="D1605" s="45"/>
      <c r="E1605" s="79" t="s">
        <v>5467</v>
      </c>
      <c r="F1605" s="79" t="s">
        <v>8759</v>
      </c>
      <c r="G1605" s="80" t="s">
        <v>96</v>
      </c>
      <c r="H1605" s="90">
        <v>1.977E-4</v>
      </c>
      <c r="I1605" s="45"/>
      <c r="J1605" s="45"/>
      <c r="K1605" s="45"/>
      <c r="L1605" s="45"/>
      <c r="M1605" s="45"/>
      <c r="N1605" s="45"/>
      <c r="O1605" s="45"/>
      <c r="P1605" s="45"/>
      <c r="Q1605" s="45"/>
      <c r="R1605" s="45"/>
      <c r="S1605" s="45"/>
      <c r="T1605" s="45"/>
      <c r="U1605" s="45"/>
    </row>
    <row r="1606">
      <c r="A1606" s="79" t="s">
        <v>18624</v>
      </c>
      <c r="B1606" s="45"/>
      <c r="C1606" s="79" t="s">
        <v>18625</v>
      </c>
      <c r="D1606" s="45"/>
      <c r="E1606" s="79" t="s">
        <v>5283</v>
      </c>
      <c r="F1606" s="79" t="s">
        <v>5300</v>
      </c>
      <c r="G1606" s="80" t="s">
        <v>96</v>
      </c>
      <c r="H1606" s="90">
        <v>1.974E-4</v>
      </c>
      <c r="I1606" s="45"/>
      <c r="J1606" s="45"/>
      <c r="K1606" s="45"/>
      <c r="L1606" s="45"/>
      <c r="M1606" s="45"/>
      <c r="N1606" s="45"/>
      <c r="O1606" s="45"/>
      <c r="P1606" s="45"/>
      <c r="Q1606" s="45"/>
      <c r="R1606" s="45"/>
      <c r="S1606" s="45"/>
      <c r="T1606" s="45"/>
      <c r="U1606" s="45"/>
    </row>
    <row r="1607">
      <c r="A1607" s="79" t="s">
        <v>18626</v>
      </c>
      <c r="B1607" s="45"/>
      <c r="C1607" s="79" t="s">
        <v>18627</v>
      </c>
      <c r="D1607" s="45"/>
      <c r="E1607" s="79" t="s">
        <v>5434</v>
      </c>
      <c r="F1607" s="79" t="s">
        <v>5927</v>
      </c>
      <c r="G1607" s="80" t="s">
        <v>96</v>
      </c>
      <c r="H1607" s="90">
        <v>1.974E-4</v>
      </c>
      <c r="I1607" s="45"/>
      <c r="J1607" s="45"/>
      <c r="K1607" s="45"/>
      <c r="L1607" s="45"/>
      <c r="M1607" s="45"/>
      <c r="N1607" s="45"/>
      <c r="O1607" s="45"/>
      <c r="P1607" s="45"/>
      <c r="Q1607" s="45"/>
      <c r="R1607" s="45"/>
      <c r="S1607" s="45"/>
      <c r="T1607" s="45"/>
      <c r="U1607" s="45"/>
    </row>
    <row r="1608">
      <c r="A1608" s="79" t="s">
        <v>18628</v>
      </c>
      <c r="B1608" s="45"/>
      <c r="C1608" s="79" t="s">
        <v>18629</v>
      </c>
      <c r="D1608" s="45"/>
      <c r="E1608" s="79" t="s">
        <v>5211</v>
      </c>
      <c r="F1608" s="79" t="s">
        <v>5836</v>
      </c>
      <c r="G1608" s="80" t="s">
        <v>96</v>
      </c>
      <c r="H1608" s="90">
        <v>1.974E-4</v>
      </c>
      <c r="I1608" s="45"/>
      <c r="J1608" s="45"/>
      <c r="K1608" s="45"/>
      <c r="L1608" s="45"/>
      <c r="M1608" s="45"/>
      <c r="N1608" s="45"/>
      <c r="O1608" s="45"/>
      <c r="P1608" s="45"/>
      <c r="Q1608" s="45"/>
      <c r="R1608" s="45"/>
      <c r="S1608" s="45"/>
      <c r="T1608" s="45"/>
      <c r="U1608" s="45"/>
    </row>
    <row r="1609">
      <c r="A1609" s="79" t="s">
        <v>17419</v>
      </c>
      <c r="B1609" s="45"/>
      <c r="C1609" s="79" t="s">
        <v>18630</v>
      </c>
      <c r="D1609" s="45"/>
      <c r="E1609" s="79" t="s">
        <v>5246</v>
      </c>
      <c r="F1609" s="79" t="s">
        <v>6698</v>
      </c>
      <c r="G1609" s="80" t="s">
        <v>96</v>
      </c>
      <c r="H1609" s="90">
        <v>1.973E-4</v>
      </c>
      <c r="I1609" s="45"/>
      <c r="J1609" s="45"/>
      <c r="K1609" s="45"/>
      <c r="L1609" s="45"/>
      <c r="M1609" s="45"/>
      <c r="N1609" s="45"/>
      <c r="O1609" s="45"/>
      <c r="P1609" s="45"/>
      <c r="Q1609" s="45"/>
      <c r="R1609" s="45"/>
      <c r="S1609" s="45"/>
      <c r="T1609" s="45"/>
      <c r="U1609" s="45"/>
    </row>
    <row r="1610">
      <c r="A1610" s="79" t="s">
        <v>18631</v>
      </c>
      <c r="B1610" s="45"/>
      <c r="C1610" s="79" t="s">
        <v>18632</v>
      </c>
      <c r="D1610" s="45"/>
      <c r="E1610" s="79" t="s">
        <v>5215</v>
      </c>
      <c r="F1610" s="79" t="s">
        <v>5300</v>
      </c>
      <c r="G1610" s="80" t="s">
        <v>96</v>
      </c>
      <c r="H1610" s="90">
        <v>1.972E-4</v>
      </c>
      <c r="I1610" s="45"/>
      <c r="J1610" s="45"/>
      <c r="K1610" s="45"/>
      <c r="L1610" s="45"/>
      <c r="M1610" s="45"/>
      <c r="N1610" s="45"/>
      <c r="O1610" s="45"/>
      <c r="P1610" s="45"/>
      <c r="Q1610" s="45"/>
      <c r="R1610" s="45"/>
      <c r="S1610" s="45"/>
      <c r="T1610" s="45"/>
      <c r="U1610" s="45"/>
    </row>
    <row r="1611">
      <c r="A1611" s="79" t="s">
        <v>18633</v>
      </c>
      <c r="B1611" s="45"/>
      <c r="C1611" s="79" t="s">
        <v>18634</v>
      </c>
      <c r="D1611" s="45"/>
      <c r="E1611" s="79" t="s">
        <v>7611</v>
      </c>
      <c r="F1611" s="79" t="s">
        <v>6988</v>
      </c>
      <c r="G1611" s="80" t="s">
        <v>96</v>
      </c>
      <c r="H1611" s="90">
        <v>1.971E-4</v>
      </c>
      <c r="I1611" s="45"/>
      <c r="J1611" s="45"/>
      <c r="K1611" s="45"/>
      <c r="L1611" s="45"/>
      <c r="M1611" s="45"/>
      <c r="N1611" s="45"/>
      <c r="O1611" s="45"/>
      <c r="P1611" s="45"/>
      <c r="Q1611" s="45"/>
      <c r="R1611" s="45"/>
      <c r="S1611" s="45"/>
      <c r="T1611" s="45"/>
      <c r="U1611" s="45"/>
    </row>
    <row r="1612">
      <c r="A1612" s="79" t="s">
        <v>11122</v>
      </c>
      <c r="B1612" s="45"/>
      <c r="C1612" s="79" t="s">
        <v>11123</v>
      </c>
      <c r="D1612" s="45"/>
      <c r="E1612" s="79" t="s">
        <v>5561</v>
      </c>
      <c r="F1612" s="79" t="s">
        <v>6220</v>
      </c>
      <c r="G1612" s="80" t="s">
        <v>96</v>
      </c>
      <c r="H1612" s="90">
        <v>1.971E-4</v>
      </c>
      <c r="I1612" s="45"/>
      <c r="J1612" s="45"/>
      <c r="K1612" s="45"/>
      <c r="L1612" s="45"/>
      <c r="M1612" s="45"/>
      <c r="N1612" s="45"/>
      <c r="O1612" s="45"/>
      <c r="P1612" s="45"/>
      <c r="Q1612" s="45"/>
      <c r="R1612" s="45"/>
      <c r="S1612" s="45"/>
      <c r="T1612" s="45"/>
      <c r="U1612" s="45"/>
    </row>
    <row r="1613">
      <c r="A1613" s="79" t="s">
        <v>18635</v>
      </c>
      <c r="B1613" s="45"/>
      <c r="C1613" s="79" t="s">
        <v>18636</v>
      </c>
      <c r="D1613" s="45"/>
      <c r="E1613" s="79" t="s">
        <v>6729</v>
      </c>
      <c r="F1613" s="79" t="s">
        <v>5425</v>
      </c>
      <c r="G1613" s="80" t="s">
        <v>96</v>
      </c>
      <c r="H1613" s="90">
        <v>1.971E-4</v>
      </c>
      <c r="I1613" s="45"/>
      <c r="J1613" s="45"/>
      <c r="K1613" s="45"/>
      <c r="L1613" s="45"/>
      <c r="M1613" s="45"/>
      <c r="N1613" s="45"/>
      <c r="O1613" s="45"/>
      <c r="P1613" s="45"/>
      <c r="Q1613" s="45"/>
      <c r="R1613" s="45"/>
      <c r="S1613" s="45"/>
      <c r="T1613" s="45"/>
      <c r="U1613" s="45"/>
    </row>
    <row r="1614">
      <c r="A1614" s="79" t="s">
        <v>18637</v>
      </c>
      <c r="B1614" s="45"/>
      <c r="C1614" s="79" t="s">
        <v>18638</v>
      </c>
      <c r="D1614" s="45"/>
      <c r="E1614" s="79" t="s">
        <v>5215</v>
      </c>
      <c r="F1614" s="79" t="s">
        <v>5425</v>
      </c>
      <c r="G1614" s="80" t="s">
        <v>96</v>
      </c>
      <c r="H1614" s="90">
        <v>1.971E-4</v>
      </c>
      <c r="I1614" s="45"/>
      <c r="J1614" s="45"/>
      <c r="K1614" s="45"/>
      <c r="L1614" s="45"/>
      <c r="M1614" s="45"/>
      <c r="N1614" s="45"/>
      <c r="O1614" s="45"/>
      <c r="P1614" s="45"/>
      <c r="Q1614" s="45"/>
      <c r="R1614" s="45"/>
      <c r="S1614" s="45"/>
      <c r="T1614" s="45"/>
      <c r="U1614" s="45"/>
    </row>
    <row r="1615">
      <c r="A1615" s="79" t="s">
        <v>4710</v>
      </c>
      <c r="B1615" s="45"/>
      <c r="C1615" s="79" t="s">
        <v>18639</v>
      </c>
      <c r="D1615" s="45"/>
      <c r="E1615" s="79" t="s">
        <v>5309</v>
      </c>
      <c r="F1615" s="79" t="s">
        <v>5300</v>
      </c>
      <c r="G1615" s="80" t="s">
        <v>96</v>
      </c>
      <c r="H1615" s="90">
        <v>1.97E-4</v>
      </c>
      <c r="I1615" s="45"/>
      <c r="J1615" s="45"/>
      <c r="K1615" s="45"/>
      <c r="L1615" s="45"/>
      <c r="M1615" s="45"/>
      <c r="N1615" s="45"/>
      <c r="O1615" s="45"/>
      <c r="P1615" s="45"/>
      <c r="Q1615" s="45"/>
      <c r="R1615" s="45"/>
      <c r="S1615" s="45"/>
      <c r="T1615" s="45"/>
      <c r="U1615" s="45"/>
    </row>
    <row r="1616">
      <c r="A1616" s="79" t="s">
        <v>18640</v>
      </c>
      <c r="B1616" s="45"/>
      <c r="C1616" s="79" t="s">
        <v>18641</v>
      </c>
      <c r="D1616" s="45"/>
      <c r="E1616" s="79" t="s">
        <v>5453</v>
      </c>
      <c r="F1616" s="79" t="s">
        <v>5300</v>
      </c>
      <c r="G1616" s="80" t="s">
        <v>96</v>
      </c>
      <c r="H1616" s="90">
        <v>1.97E-4</v>
      </c>
      <c r="I1616" s="45"/>
      <c r="J1616" s="45"/>
      <c r="K1616" s="45"/>
      <c r="L1616" s="45"/>
      <c r="M1616" s="45"/>
      <c r="N1616" s="45"/>
      <c r="O1616" s="45"/>
      <c r="P1616" s="45"/>
      <c r="Q1616" s="45"/>
      <c r="R1616" s="45"/>
      <c r="S1616" s="45"/>
      <c r="T1616" s="45"/>
      <c r="U1616" s="45"/>
    </row>
    <row r="1617">
      <c r="A1617" s="79" t="s">
        <v>18642</v>
      </c>
      <c r="B1617" s="45"/>
      <c r="C1617" s="79" t="s">
        <v>18643</v>
      </c>
      <c r="D1617" s="45"/>
      <c r="E1617" s="79" t="s">
        <v>6130</v>
      </c>
      <c r="F1617" s="79" t="s">
        <v>8784</v>
      </c>
      <c r="G1617" s="80" t="s">
        <v>96</v>
      </c>
      <c r="H1617" s="90">
        <v>1.969E-4</v>
      </c>
      <c r="I1617" s="45"/>
      <c r="J1617" s="45"/>
      <c r="K1617" s="45"/>
      <c r="L1617" s="45"/>
      <c r="M1617" s="45"/>
      <c r="N1617" s="45"/>
      <c r="O1617" s="45"/>
      <c r="P1617" s="45"/>
      <c r="Q1617" s="45"/>
      <c r="R1617" s="45"/>
      <c r="S1617" s="45"/>
      <c r="T1617" s="45"/>
      <c r="U1617" s="45"/>
    </row>
    <row r="1618">
      <c r="A1618" s="79" t="s">
        <v>18644</v>
      </c>
      <c r="B1618" s="45"/>
      <c r="C1618" s="79" t="s">
        <v>18645</v>
      </c>
      <c r="D1618" s="45"/>
      <c r="E1618" s="79" t="s">
        <v>8154</v>
      </c>
      <c r="F1618" s="79" t="s">
        <v>8759</v>
      </c>
      <c r="G1618" s="80" t="s">
        <v>96</v>
      </c>
      <c r="H1618" s="90">
        <v>1.968E-4</v>
      </c>
      <c r="I1618" s="45"/>
      <c r="J1618" s="45"/>
      <c r="K1618" s="45"/>
      <c r="L1618" s="45"/>
      <c r="M1618" s="45"/>
      <c r="N1618" s="45"/>
      <c r="O1618" s="45"/>
      <c r="P1618" s="45"/>
      <c r="Q1618" s="45"/>
      <c r="R1618" s="45"/>
      <c r="S1618" s="45"/>
      <c r="T1618" s="45"/>
      <c r="U1618" s="45"/>
    </row>
    <row r="1619">
      <c r="A1619" s="79" t="s">
        <v>18646</v>
      </c>
      <c r="B1619" s="45"/>
      <c r="C1619" s="79" t="s">
        <v>18647</v>
      </c>
      <c r="D1619" s="45"/>
      <c r="E1619" s="79" t="s">
        <v>5395</v>
      </c>
      <c r="F1619" s="79" t="s">
        <v>5329</v>
      </c>
      <c r="G1619" s="80" t="s">
        <v>96</v>
      </c>
      <c r="H1619" s="90">
        <v>1.968E-4</v>
      </c>
      <c r="I1619" s="45"/>
      <c r="J1619" s="45"/>
      <c r="K1619" s="45"/>
      <c r="L1619" s="45"/>
      <c r="M1619" s="45"/>
      <c r="N1619" s="45"/>
      <c r="O1619" s="45"/>
      <c r="P1619" s="45"/>
      <c r="Q1619" s="45"/>
      <c r="R1619" s="45"/>
      <c r="S1619" s="45"/>
      <c r="T1619" s="45"/>
      <c r="U1619" s="45"/>
    </row>
    <row r="1620">
      <c r="A1620" s="79" t="s">
        <v>18648</v>
      </c>
      <c r="B1620" s="45"/>
      <c r="C1620" s="79" t="s">
        <v>18649</v>
      </c>
      <c r="D1620" s="45"/>
      <c r="E1620" s="79" t="s">
        <v>5215</v>
      </c>
      <c r="F1620" s="79" t="s">
        <v>5300</v>
      </c>
      <c r="G1620" s="80" t="s">
        <v>96</v>
      </c>
      <c r="H1620" s="90">
        <v>1.968E-4</v>
      </c>
      <c r="I1620" s="45"/>
      <c r="J1620" s="45"/>
      <c r="K1620" s="45"/>
      <c r="L1620" s="45"/>
      <c r="M1620" s="45"/>
      <c r="N1620" s="45"/>
      <c r="O1620" s="45"/>
      <c r="P1620" s="45"/>
      <c r="Q1620" s="45"/>
      <c r="R1620" s="45"/>
      <c r="S1620" s="45"/>
      <c r="T1620" s="45"/>
      <c r="U1620" s="45"/>
    </row>
    <row r="1621">
      <c r="A1621" s="79" t="s">
        <v>18650</v>
      </c>
      <c r="B1621" s="45"/>
      <c r="C1621" s="79" t="s">
        <v>18651</v>
      </c>
      <c r="D1621" s="45"/>
      <c r="E1621" s="79" t="s">
        <v>5215</v>
      </c>
      <c r="F1621" s="79" t="s">
        <v>5300</v>
      </c>
      <c r="G1621" s="80" t="s">
        <v>96</v>
      </c>
      <c r="H1621" s="90">
        <v>1.968E-4</v>
      </c>
      <c r="I1621" s="45"/>
      <c r="J1621" s="45"/>
      <c r="K1621" s="45"/>
      <c r="L1621" s="45"/>
      <c r="M1621" s="45"/>
      <c r="N1621" s="45"/>
      <c r="O1621" s="45"/>
      <c r="P1621" s="45"/>
      <c r="Q1621" s="45"/>
      <c r="R1621" s="45"/>
      <c r="S1621" s="45"/>
      <c r="T1621" s="45"/>
      <c r="U1621" s="45"/>
    </row>
    <row r="1622">
      <c r="A1622" s="79" t="s">
        <v>18652</v>
      </c>
      <c r="B1622" s="45"/>
      <c r="C1622" s="79" t="s">
        <v>18653</v>
      </c>
      <c r="D1622" s="45"/>
      <c r="E1622" s="79" t="s">
        <v>6130</v>
      </c>
      <c r="F1622" s="79" t="s">
        <v>4095</v>
      </c>
      <c r="G1622" s="80" t="s">
        <v>96</v>
      </c>
      <c r="H1622" s="90">
        <v>1.965E-4</v>
      </c>
      <c r="I1622" s="45"/>
      <c r="J1622" s="45"/>
      <c r="K1622" s="45"/>
      <c r="L1622" s="45"/>
      <c r="M1622" s="45"/>
      <c r="N1622" s="45"/>
      <c r="O1622" s="45"/>
      <c r="P1622" s="45"/>
      <c r="Q1622" s="45"/>
      <c r="R1622" s="45"/>
      <c r="S1622" s="45"/>
      <c r="T1622" s="45"/>
      <c r="U1622" s="45"/>
    </row>
    <row r="1623">
      <c r="A1623" s="79" t="s">
        <v>18654</v>
      </c>
      <c r="B1623" s="45"/>
      <c r="C1623" s="79" t="s">
        <v>18655</v>
      </c>
      <c r="D1623" s="45"/>
      <c r="E1623" s="79" t="s">
        <v>5238</v>
      </c>
      <c r="F1623" s="79" t="s">
        <v>5300</v>
      </c>
      <c r="G1623" s="80" t="s">
        <v>96</v>
      </c>
      <c r="H1623" s="90">
        <v>1.964E-4</v>
      </c>
      <c r="I1623" s="45"/>
      <c r="J1623" s="45"/>
      <c r="K1623" s="45"/>
      <c r="L1623" s="45"/>
      <c r="M1623" s="45"/>
      <c r="N1623" s="45"/>
      <c r="O1623" s="45"/>
      <c r="P1623" s="45"/>
      <c r="Q1623" s="45"/>
      <c r="R1623" s="45"/>
      <c r="S1623" s="45"/>
      <c r="T1623" s="45"/>
      <c r="U1623" s="45"/>
    </row>
    <row r="1624">
      <c r="A1624" s="79" t="s">
        <v>18656</v>
      </c>
      <c r="B1624" s="45"/>
      <c r="C1624" s="79" t="s">
        <v>18657</v>
      </c>
      <c r="D1624" s="45"/>
      <c r="E1624" s="79" t="s">
        <v>5467</v>
      </c>
      <c r="F1624" s="79" t="s">
        <v>5300</v>
      </c>
      <c r="G1624" s="80" t="s">
        <v>96</v>
      </c>
      <c r="H1624" s="90">
        <v>1.963E-4</v>
      </c>
      <c r="I1624" s="45"/>
      <c r="J1624" s="45"/>
      <c r="K1624" s="45"/>
      <c r="L1624" s="45"/>
      <c r="M1624" s="45"/>
      <c r="N1624" s="45"/>
      <c r="O1624" s="45"/>
      <c r="P1624" s="45"/>
      <c r="Q1624" s="45"/>
      <c r="R1624" s="45"/>
      <c r="S1624" s="45"/>
      <c r="T1624" s="45"/>
      <c r="U1624" s="45"/>
    </row>
    <row r="1625">
      <c r="A1625" s="79" t="s">
        <v>18658</v>
      </c>
      <c r="B1625" s="45"/>
      <c r="C1625" s="79" t="s">
        <v>18659</v>
      </c>
      <c r="D1625" s="45"/>
      <c r="E1625" s="79" t="s">
        <v>5434</v>
      </c>
      <c r="F1625" s="79" t="s">
        <v>5300</v>
      </c>
      <c r="G1625" s="80" t="s">
        <v>96</v>
      </c>
      <c r="H1625" s="90">
        <v>1.963E-4</v>
      </c>
      <c r="I1625" s="45"/>
      <c r="J1625" s="45"/>
      <c r="K1625" s="45"/>
      <c r="L1625" s="45"/>
      <c r="M1625" s="45"/>
      <c r="N1625" s="45"/>
      <c r="O1625" s="45"/>
      <c r="P1625" s="45"/>
      <c r="Q1625" s="45"/>
      <c r="R1625" s="45"/>
      <c r="S1625" s="45"/>
      <c r="T1625" s="45"/>
      <c r="U1625" s="45"/>
    </row>
    <row r="1626">
      <c r="A1626" s="79" t="s">
        <v>18660</v>
      </c>
      <c r="B1626" s="45"/>
      <c r="C1626" s="79" t="s">
        <v>18661</v>
      </c>
      <c r="D1626" s="45"/>
      <c r="E1626" s="79" t="s">
        <v>5218</v>
      </c>
      <c r="F1626" s="79" t="s">
        <v>5300</v>
      </c>
      <c r="G1626" s="80" t="s">
        <v>96</v>
      </c>
      <c r="H1626" s="90">
        <v>1.963E-4</v>
      </c>
      <c r="I1626" s="45"/>
      <c r="J1626" s="45"/>
      <c r="K1626" s="45"/>
      <c r="L1626" s="45"/>
      <c r="M1626" s="45"/>
      <c r="N1626" s="45"/>
      <c r="O1626" s="45"/>
      <c r="P1626" s="45"/>
      <c r="Q1626" s="45"/>
      <c r="R1626" s="45"/>
      <c r="S1626" s="45"/>
      <c r="T1626" s="45"/>
      <c r="U1626" s="45"/>
    </row>
    <row r="1627">
      <c r="A1627" s="79" t="s">
        <v>18662</v>
      </c>
      <c r="B1627" s="45"/>
      <c r="C1627" s="79" t="s">
        <v>18663</v>
      </c>
      <c r="D1627" s="45"/>
      <c r="E1627" s="79" t="s">
        <v>5215</v>
      </c>
      <c r="F1627" s="79" t="s">
        <v>5300</v>
      </c>
      <c r="G1627" s="80" t="s">
        <v>96</v>
      </c>
      <c r="H1627" s="90">
        <v>1.961E-4</v>
      </c>
      <c r="I1627" s="45"/>
      <c r="J1627" s="45"/>
      <c r="K1627" s="45"/>
      <c r="L1627" s="45"/>
      <c r="M1627" s="45"/>
      <c r="N1627" s="45"/>
      <c r="O1627" s="45"/>
      <c r="P1627" s="45"/>
      <c r="Q1627" s="45"/>
      <c r="R1627" s="45"/>
      <c r="S1627" s="45"/>
      <c r="T1627" s="45"/>
      <c r="U1627" s="45"/>
    </row>
    <row r="1628">
      <c r="A1628" s="79" t="s">
        <v>18664</v>
      </c>
      <c r="B1628" s="45"/>
      <c r="C1628" s="79" t="s">
        <v>18665</v>
      </c>
      <c r="D1628" s="45"/>
      <c r="E1628" s="79" t="s">
        <v>5501</v>
      </c>
      <c r="F1628" s="79" t="s">
        <v>5836</v>
      </c>
      <c r="G1628" s="80" t="s">
        <v>96</v>
      </c>
      <c r="H1628" s="90">
        <v>1.958E-4</v>
      </c>
      <c r="I1628" s="45"/>
      <c r="J1628" s="45"/>
      <c r="K1628" s="45"/>
      <c r="L1628" s="45"/>
      <c r="M1628" s="45"/>
      <c r="N1628" s="45"/>
      <c r="O1628" s="45"/>
      <c r="P1628" s="45"/>
      <c r="Q1628" s="45"/>
      <c r="R1628" s="45"/>
      <c r="S1628" s="45"/>
      <c r="T1628" s="45"/>
      <c r="U1628" s="45"/>
    </row>
    <row r="1629">
      <c r="A1629" s="79" t="s">
        <v>10735</v>
      </c>
      <c r="B1629" s="45"/>
      <c r="C1629" s="79" t="s">
        <v>10736</v>
      </c>
      <c r="D1629" s="45"/>
      <c r="E1629" s="79" t="s">
        <v>5232</v>
      </c>
      <c r="F1629" s="79" t="s">
        <v>8784</v>
      </c>
      <c r="G1629" s="80" t="s">
        <v>96</v>
      </c>
      <c r="H1629" s="90">
        <v>1.958E-4</v>
      </c>
      <c r="I1629" s="45"/>
      <c r="J1629" s="45"/>
      <c r="K1629" s="45"/>
      <c r="L1629" s="45"/>
      <c r="M1629" s="45"/>
      <c r="N1629" s="45"/>
      <c r="O1629" s="45"/>
      <c r="P1629" s="45"/>
      <c r="Q1629" s="45"/>
      <c r="R1629" s="45"/>
      <c r="S1629" s="45"/>
      <c r="T1629" s="45"/>
      <c r="U1629" s="45"/>
    </row>
    <row r="1630">
      <c r="A1630" s="79" t="s">
        <v>16408</v>
      </c>
      <c r="B1630" s="45"/>
      <c r="C1630" s="79" t="s">
        <v>18666</v>
      </c>
      <c r="D1630" s="45"/>
      <c r="E1630" s="79" t="s">
        <v>5258</v>
      </c>
      <c r="F1630" s="79" t="s">
        <v>5836</v>
      </c>
      <c r="G1630" s="80" t="s">
        <v>96</v>
      </c>
      <c r="H1630" s="90">
        <v>1.955E-4</v>
      </c>
      <c r="I1630" s="45"/>
      <c r="J1630" s="45"/>
      <c r="K1630" s="45"/>
      <c r="L1630" s="45"/>
      <c r="M1630" s="45"/>
      <c r="N1630" s="45"/>
      <c r="O1630" s="45"/>
      <c r="P1630" s="45"/>
      <c r="Q1630" s="45"/>
      <c r="R1630" s="45"/>
      <c r="S1630" s="45"/>
      <c r="T1630" s="45"/>
      <c r="U1630" s="45"/>
    </row>
    <row r="1631">
      <c r="A1631" s="79" t="s">
        <v>18667</v>
      </c>
      <c r="B1631" s="45"/>
      <c r="C1631" s="79" t="s">
        <v>18668</v>
      </c>
      <c r="D1631" s="45"/>
      <c r="E1631" s="79" t="s">
        <v>10125</v>
      </c>
      <c r="F1631" s="79" t="s">
        <v>5300</v>
      </c>
      <c r="G1631" s="80" t="s">
        <v>96</v>
      </c>
      <c r="H1631" s="90">
        <v>1.952E-4</v>
      </c>
      <c r="I1631" s="45"/>
      <c r="J1631" s="45"/>
      <c r="K1631" s="45"/>
      <c r="L1631" s="45"/>
      <c r="M1631" s="45"/>
      <c r="N1631" s="45"/>
      <c r="O1631" s="45"/>
      <c r="P1631" s="45"/>
      <c r="Q1631" s="45"/>
      <c r="R1631" s="45"/>
      <c r="S1631" s="45"/>
      <c r="T1631" s="45"/>
      <c r="U1631" s="45"/>
    </row>
    <row r="1632">
      <c r="A1632" s="79" t="s">
        <v>18669</v>
      </c>
      <c r="B1632" s="45"/>
      <c r="C1632" s="79" t="s">
        <v>18670</v>
      </c>
      <c r="D1632" s="45"/>
      <c r="E1632" s="79" t="s">
        <v>5578</v>
      </c>
      <c r="F1632" s="79" t="s">
        <v>5300</v>
      </c>
      <c r="G1632" s="80" t="s">
        <v>96</v>
      </c>
      <c r="H1632" s="90">
        <v>1.951E-4</v>
      </c>
      <c r="I1632" s="45"/>
      <c r="J1632" s="45"/>
      <c r="K1632" s="45"/>
      <c r="L1632" s="45"/>
      <c r="M1632" s="45"/>
      <c r="N1632" s="45"/>
      <c r="O1632" s="45"/>
      <c r="P1632" s="45"/>
      <c r="Q1632" s="45"/>
      <c r="R1632" s="45"/>
      <c r="S1632" s="45"/>
      <c r="T1632" s="45"/>
      <c r="U1632" s="45"/>
    </row>
    <row r="1633">
      <c r="A1633" s="79" t="s">
        <v>18671</v>
      </c>
      <c r="B1633" s="45"/>
      <c r="C1633" s="79" t="s">
        <v>18672</v>
      </c>
      <c r="D1633" s="45"/>
      <c r="E1633" s="79" t="s">
        <v>8230</v>
      </c>
      <c r="F1633" s="79" t="s">
        <v>8759</v>
      </c>
      <c r="G1633" s="80" t="s">
        <v>96</v>
      </c>
      <c r="H1633" s="90">
        <v>1.951E-4</v>
      </c>
      <c r="I1633" s="45"/>
      <c r="J1633" s="45"/>
      <c r="K1633" s="45"/>
      <c r="L1633" s="45"/>
      <c r="M1633" s="45"/>
      <c r="N1633" s="45"/>
      <c r="O1633" s="45"/>
      <c r="P1633" s="45"/>
      <c r="Q1633" s="45"/>
      <c r="R1633" s="45"/>
      <c r="S1633" s="45"/>
      <c r="T1633" s="45"/>
      <c r="U1633" s="45"/>
    </row>
    <row r="1634">
      <c r="A1634" s="79" t="s">
        <v>18673</v>
      </c>
      <c r="B1634" s="45"/>
      <c r="C1634" s="79" t="s">
        <v>18674</v>
      </c>
      <c r="D1634" s="45"/>
      <c r="E1634" s="79" t="s">
        <v>5267</v>
      </c>
      <c r="F1634" s="79" t="s">
        <v>8759</v>
      </c>
      <c r="G1634" s="80" t="s">
        <v>96</v>
      </c>
      <c r="H1634" s="90">
        <v>1.95E-4</v>
      </c>
      <c r="I1634" s="45"/>
      <c r="J1634" s="45"/>
      <c r="K1634" s="45"/>
      <c r="L1634" s="45"/>
      <c r="M1634" s="45"/>
      <c r="N1634" s="45"/>
      <c r="O1634" s="45"/>
      <c r="P1634" s="45"/>
      <c r="Q1634" s="45"/>
      <c r="R1634" s="45"/>
      <c r="S1634" s="45"/>
      <c r="T1634" s="45"/>
      <c r="U1634" s="45"/>
    </row>
    <row r="1635">
      <c r="A1635" s="79" t="s">
        <v>18675</v>
      </c>
      <c r="B1635" s="45"/>
      <c r="C1635" s="79" t="s">
        <v>18676</v>
      </c>
      <c r="D1635" s="45"/>
      <c r="E1635" s="79" t="s">
        <v>5276</v>
      </c>
      <c r="F1635" s="79" t="s">
        <v>4153</v>
      </c>
      <c r="G1635" s="80" t="s">
        <v>96</v>
      </c>
      <c r="H1635" s="90">
        <v>1.948E-4</v>
      </c>
      <c r="I1635" s="45"/>
      <c r="J1635" s="45"/>
      <c r="K1635" s="45"/>
      <c r="L1635" s="45"/>
      <c r="M1635" s="45"/>
      <c r="N1635" s="45"/>
      <c r="O1635" s="45"/>
      <c r="P1635" s="45"/>
      <c r="Q1635" s="45"/>
      <c r="R1635" s="45"/>
      <c r="S1635" s="45"/>
      <c r="T1635" s="45"/>
      <c r="U1635" s="45"/>
    </row>
    <row r="1636">
      <c r="A1636" s="79" t="s">
        <v>18677</v>
      </c>
      <c r="B1636" s="45"/>
      <c r="C1636" s="79" t="s">
        <v>18678</v>
      </c>
      <c r="D1636" s="45"/>
      <c r="E1636" s="79" t="s">
        <v>5326</v>
      </c>
      <c r="F1636" s="79" t="s">
        <v>5300</v>
      </c>
      <c r="G1636" s="80" t="s">
        <v>96</v>
      </c>
      <c r="H1636" s="90">
        <v>1.948E-4</v>
      </c>
      <c r="I1636" s="45"/>
      <c r="J1636" s="45"/>
      <c r="K1636" s="45"/>
      <c r="L1636" s="45"/>
      <c r="M1636" s="45"/>
      <c r="N1636" s="45"/>
      <c r="O1636" s="45"/>
      <c r="P1636" s="45"/>
      <c r="Q1636" s="45"/>
      <c r="R1636" s="45"/>
      <c r="S1636" s="45"/>
      <c r="T1636" s="45"/>
      <c r="U1636" s="45"/>
    </row>
    <row r="1637">
      <c r="A1637" s="79" t="s">
        <v>18679</v>
      </c>
      <c r="B1637" s="45"/>
      <c r="C1637" s="79" t="s">
        <v>18680</v>
      </c>
      <c r="D1637" s="45"/>
      <c r="E1637" s="79" t="s">
        <v>5407</v>
      </c>
      <c r="F1637" s="79" t="s">
        <v>8784</v>
      </c>
      <c r="G1637" s="80" t="s">
        <v>96</v>
      </c>
      <c r="H1637" s="90">
        <v>1.947E-4</v>
      </c>
      <c r="I1637" s="45"/>
      <c r="J1637" s="45"/>
      <c r="K1637" s="45"/>
      <c r="L1637" s="45"/>
      <c r="M1637" s="45"/>
      <c r="N1637" s="45"/>
      <c r="O1637" s="45"/>
      <c r="P1637" s="45"/>
      <c r="Q1637" s="45"/>
      <c r="R1637" s="45"/>
      <c r="S1637" s="45"/>
      <c r="T1637" s="45"/>
      <c r="U1637" s="45"/>
    </row>
    <row r="1638">
      <c r="A1638" s="79" t="s">
        <v>18681</v>
      </c>
      <c r="B1638" s="45"/>
      <c r="C1638" s="79" t="s">
        <v>18682</v>
      </c>
      <c r="D1638" s="45"/>
      <c r="E1638" s="79" t="s">
        <v>5808</v>
      </c>
      <c r="F1638" s="79" t="s">
        <v>5300</v>
      </c>
      <c r="G1638" s="80" t="s">
        <v>96</v>
      </c>
      <c r="H1638" s="90">
        <v>1.946E-4</v>
      </c>
      <c r="I1638" s="45"/>
      <c r="J1638" s="45"/>
      <c r="K1638" s="45"/>
      <c r="L1638" s="45"/>
      <c r="M1638" s="45"/>
      <c r="N1638" s="45"/>
      <c r="O1638" s="45"/>
      <c r="P1638" s="45"/>
      <c r="Q1638" s="45"/>
      <c r="R1638" s="45"/>
      <c r="S1638" s="45"/>
      <c r="T1638" s="45"/>
      <c r="U1638" s="45"/>
    </row>
    <row r="1639">
      <c r="A1639" s="79" t="s">
        <v>18683</v>
      </c>
      <c r="B1639" s="45"/>
      <c r="C1639" s="79" t="s">
        <v>18684</v>
      </c>
      <c r="D1639" s="45"/>
      <c r="E1639" s="79" t="s">
        <v>5478</v>
      </c>
      <c r="F1639" s="79" t="s">
        <v>5300</v>
      </c>
      <c r="G1639" s="80" t="s">
        <v>96</v>
      </c>
      <c r="H1639" s="90">
        <v>1.945E-4</v>
      </c>
      <c r="I1639" s="45"/>
      <c r="J1639" s="45"/>
      <c r="K1639" s="45"/>
      <c r="L1639" s="45"/>
      <c r="M1639" s="45"/>
      <c r="N1639" s="45"/>
      <c r="O1639" s="45"/>
      <c r="P1639" s="45"/>
      <c r="Q1639" s="45"/>
      <c r="R1639" s="45"/>
      <c r="S1639" s="45"/>
      <c r="T1639" s="45"/>
      <c r="U1639" s="45"/>
    </row>
    <row r="1640">
      <c r="A1640" s="79" t="s">
        <v>18685</v>
      </c>
      <c r="B1640" s="45"/>
      <c r="C1640" s="79" t="s">
        <v>18686</v>
      </c>
      <c r="D1640" s="45"/>
      <c r="E1640" s="79" t="s">
        <v>5561</v>
      </c>
      <c r="F1640" s="79" t="s">
        <v>9617</v>
      </c>
      <c r="G1640" s="80" t="s">
        <v>96</v>
      </c>
      <c r="H1640" s="90">
        <v>1.943E-4</v>
      </c>
      <c r="I1640" s="45"/>
      <c r="J1640" s="45"/>
      <c r="K1640" s="45"/>
      <c r="L1640" s="45"/>
      <c r="M1640" s="45"/>
      <c r="N1640" s="45"/>
      <c r="O1640" s="45"/>
      <c r="P1640" s="45"/>
      <c r="Q1640" s="45"/>
      <c r="R1640" s="45"/>
      <c r="S1640" s="45"/>
      <c r="T1640" s="45"/>
      <c r="U1640" s="45"/>
    </row>
    <row r="1641">
      <c r="A1641" s="79" t="s">
        <v>18687</v>
      </c>
      <c r="B1641" s="45"/>
      <c r="C1641" s="79" t="s">
        <v>18688</v>
      </c>
      <c r="D1641" s="45"/>
      <c r="E1641" s="79" t="s">
        <v>5759</v>
      </c>
      <c r="F1641" s="79" t="s">
        <v>5300</v>
      </c>
      <c r="G1641" s="80" t="s">
        <v>96</v>
      </c>
      <c r="H1641" s="90">
        <v>1.943E-4</v>
      </c>
      <c r="I1641" s="45"/>
      <c r="J1641" s="45"/>
      <c r="K1641" s="45"/>
      <c r="L1641" s="45"/>
      <c r="M1641" s="45"/>
      <c r="N1641" s="45"/>
      <c r="O1641" s="45"/>
      <c r="P1641" s="45"/>
      <c r="Q1641" s="45"/>
      <c r="R1641" s="45"/>
      <c r="S1641" s="45"/>
      <c r="T1641" s="45"/>
      <c r="U1641" s="45"/>
    </row>
    <row r="1642">
      <c r="A1642" s="79" t="s">
        <v>18689</v>
      </c>
      <c r="B1642" s="45"/>
      <c r="C1642" s="79" t="s">
        <v>18690</v>
      </c>
      <c r="D1642" s="45"/>
      <c r="E1642" s="79" t="s">
        <v>5478</v>
      </c>
      <c r="F1642" s="79" t="s">
        <v>5300</v>
      </c>
      <c r="G1642" s="80" t="s">
        <v>96</v>
      </c>
      <c r="H1642" s="90">
        <v>1.937E-4</v>
      </c>
      <c r="I1642" s="45"/>
      <c r="J1642" s="45"/>
      <c r="K1642" s="45"/>
      <c r="L1642" s="45"/>
      <c r="M1642" s="45"/>
      <c r="N1642" s="45"/>
      <c r="O1642" s="45"/>
      <c r="P1642" s="45"/>
      <c r="Q1642" s="45"/>
      <c r="R1642" s="45"/>
      <c r="S1642" s="45"/>
      <c r="T1642" s="45"/>
      <c r="U1642" s="45"/>
    </row>
    <row r="1643">
      <c r="A1643" s="79" t="s">
        <v>18691</v>
      </c>
      <c r="B1643" s="45"/>
      <c r="C1643" s="79" t="s">
        <v>18692</v>
      </c>
      <c r="D1643" s="45"/>
      <c r="E1643" s="79" t="s">
        <v>5218</v>
      </c>
      <c r="F1643" s="79" t="s">
        <v>5747</v>
      </c>
      <c r="G1643" s="80" t="s">
        <v>96</v>
      </c>
      <c r="H1643" s="90">
        <v>1.932E-4</v>
      </c>
      <c r="I1643" s="45"/>
      <c r="J1643" s="45"/>
      <c r="K1643" s="45"/>
      <c r="L1643" s="45"/>
      <c r="M1643" s="45"/>
      <c r="N1643" s="45"/>
      <c r="O1643" s="45"/>
      <c r="P1643" s="45"/>
      <c r="Q1643" s="45"/>
      <c r="R1643" s="45"/>
      <c r="S1643" s="45"/>
      <c r="T1643" s="45"/>
      <c r="U1643" s="45"/>
    </row>
    <row r="1644">
      <c r="A1644" s="79" t="s">
        <v>18693</v>
      </c>
      <c r="B1644" s="45"/>
      <c r="C1644" s="79" t="s">
        <v>18694</v>
      </c>
      <c r="D1644" s="45"/>
      <c r="E1644" s="79" t="s">
        <v>5450</v>
      </c>
      <c r="F1644" s="79" t="s">
        <v>4357</v>
      </c>
      <c r="G1644" s="80" t="s">
        <v>96</v>
      </c>
      <c r="H1644" s="90">
        <v>1.926E-4</v>
      </c>
      <c r="I1644" s="45"/>
      <c r="J1644" s="45"/>
      <c r="K1644" s="45"/>
      <c r="L1644" s="45"/>
      <c r="M1644" s="45"/>
      <c r="N1644" s="45"/>
      <c r="O1644" s="45"/>
      <c r="P1644" s="45"/>
      <c r="Q1644" s="45"/>
      <c r="R1644" s="45"/>
      <c r="S1644" s="45"/>
      <c r="T1644" s="45"/>
      <c r="U1644" s="45"/>
    </row>
    <row r="1645">
      <c r="A1645" s="79" t="s">
        <v>18695</v>
      </c>
      <c r="B1645" s="45"/>
      <c r="C1645" s="79" t="s">
        <v>18696</v>
      </c>
      <c r="D1645" s="45"/>
      <c r="E1645" s="79" t="s">
        <v>5395</v>
      </c>
      <c r="F1645" s="79" t="s">
        <v>5425</v>
      </c>
      <c r="G1645" s="80" t="s">
        <v>96</v>
      </c>
      <c r="H1645" s="90">
        <v>1.923E-4</v>
      </c>
      <c r="I1645" s="45"/>
      <c r="J1645" s="45"/>
      <c r="K1645" s="45"/>
      <c r="L1645" s="45"/>
      <c r="M1645" s="45"/>
      <c r="N1645" s="45"/>
      <c r="O1645" s="45"/>
      <c r="P1645" s="45"/>
      <c r="Q1645" s="45"/>
      <c r="R1645" s="45"/>
      <c r="S1645" s="45"/>
      <c r="T1645" s="45"/>
      <c r="U1645" s="45"/>
    </row>
    <row r="1646">
      <c r="A1646" s="79" t="s">
        <v>11156</v>
      </c>
      <c r="B1646" s="45"/>
      <c r="C1646" s="79" t="s">
        <v>11157</v>
      </c>
      <c r="D1646" s="45"/>
      <c r="E1646" s="79" t="s">
        <v>9189</v>
      </c>
      <c r="F1646" s="79" t="s">
        <v>8784</v>
      </c>
      <c r="G1646" s="80" t="s">
        <v>96</v>
      </c>
      <c r="H1646" s="90">
        <v>1.922E-4</v>
      </c>
      <c r="I1646" s="45"/>
      <c r="J1646" s="45"/>
      <c r="K1646" s="45"/>
      <c r="L1646" s="45"/>
      <c r="M1646" s="45"/>
      <c r="N1646" s="45"/>
      <c r="O1646" s="45"/>
      <c r="P1646" s="45"/>
      <c r="Q1646" s="45"/>
      <c r="R1646" s="45"/>
      <c r="S1646" s="45"/>
      <c r="T1646" s="45"/>
      <c r="U1646" s="45"/>
    </row>
    <row r="1647">
      <c r="A1647" s="79" t="s">
        <v>18697</v>
      </c>
      <c r="B1647" s="45"/>
      <c r="C1647" s="79" t="s">
        <v>18698</v>
      </c>
      <c r="D1647" s="45"/>
      <c r="E1647" s="79" t="s">
        <v>5326</v>
      </c>
      <c r="F1647" s="79" t="s">
        <v>8784</v>
      </c>
      <c r="G1647" s="80" t="s">
        <v>96</v>
      </c>
      <c r="H1647" s="90">
        <v>1.921E-4</v>
      </c>
      <c r="I1647" s="45"/>
      <c r="J1647" s="45"/>
      <c r="K1647" s="45"/>
      <c r="L1647" s="45"/>
      <c r="M1647" s="45"/>
      <c r="N1647" s="45"/>
      <c r="O1647" s="45"/>
      <c r="P1647" s="45"/>
      <c r="Q1647" s="45"/>
      <c r="R1647" s="45"/>
      <c r="S1647" s="45"/>
      <c r="T1647" s="45"/>
      <c r="U1647" s="45"/>
    </row>
    <row r="1648">
      <c r="A1648" s="79" t="s">
        <v>11074</v>
      </c>
      <c r="B1648" s="45"/>
      <c r="C1648" s="79" t="s">
        <v>11075</v>
      </c>
      <c r="D1648" s="45"/>
      <c r="E1648" s="79" t="s">
        <v>5561</v>
      </c>
      <c r="F1648" s="79" t="s">
        <v>6210</v>
      </c>
      <c r="G1648" s="80" t="s">
        <v>96</v>
      </c>
      <c r="H1648" s="90">
        <v>1.917E-4</v>
      </c>
      <c r="I1648" s="45"/>
      <c r="J1648" s="45"/>
      <c r="K1648" s="45"/>
      <c r="L1648" s="45"/>
      <c r="M1648" s="45"/>
      <c r="N1648" s="45"/>
      <c r="O1648" s="45"/>
      <c r="P1648" s="45"/>
      <c r="Q1648" s="45"/>
      <c r="R1648" s="45"/>
      <c r="S1648" s="45"/>
      <c r="T1648" s="45"/>
      <c r="U1648" s="45"/>
    </row>
    <row r="1649">
      <c r="A1649" s="79" t="s">
        <v>18699</v>
      </c>
      <c r="B1649" s="45"/>
      <c r="C1649" s="79" t="s">
        <v>18700</v>
      </c>
      <c r="D1649" s="45"/>
      <c r="E1649" s="79" t="s">
        <v>5478</v>
      </c>
      <c r="F1649" s="79" t="s">
        <v>5300</v>
      </c>
      <c r="G1649" s="80" t="s">
        <v>96</v>
      </c>
      <c r="H1649" s="90">
        <v>1.916E-4</v>
      </c>
      <c r="I1649" s="45"/>
      <c r="J1649" s="45"/>
      <c r="K1649" s="45"/>
      <c r="L1649" s="45"/>
      <c r="M1649" s="45"/>
      <c r="N1649" s="45"/>
      <c r="O1649" s="45"/>
      <c r="P1649" s="45"/>
      <c r="Q1649" s="45"/>
      <c r="R1649" s="45"/>
      <c r="S1649" s="45"/>
      <c r="T1649" s="45"/>
      <c r="U1649" s="45"/>
    </row>
    <row r="1650">
      <c r="A1650" s="79" t="s">
        <v>18701</v>
      </c>
      <c r="B1650" s="45"/>
      <c r="C1650" s="79" t="s">
        <v>18702</v>
      </c>
      <c r="D1650" s="45"/>
      <c r="E1650" s="79" t="s">
        <v>6514</v>
      </c>
      <c r="F1650" s="79" t="s">
        <v>4095</v>
      </c>
      <c r="G1650" s="80" t="s">
        <v>96</v>
      </c>
      <c r="H1650" s="90">
        <v>1.916E-4</v>
      </c>
      <c r="I1650" s="45"/>
      <c r="J1650" s="45"/>
      <c r="K1650" s="45"/>
      <c r="L1650" s="45"/>
      <c r="M1650" s="45"/>
      <c r="N1650" s="45"/>
      <c r="O1650" s="45"/>
      <c r="P1650" s="45"/>
      <c r="Q1650" s="45"/>
      <c r="R1650" s="45"/>
      <c r="S1650" s="45"/>
      <c r="T1650" s="45"/>
      <c r="U1650" s="45"/>
    </row>
    <row r="1651">
      <c r="A1651" s="79" t="s">
        <v>18703</v>
      </c>
      <c r="B1651" s="45"/>
      <c r="C1651" s="79" t="s">
        <v>18704</v>
      </c>
      <c r="D1651" s="45"/>
      <c r="E1651" s="79" t="s">
        <v>6009</v>
      </c>
      <c r="F1651" s="79" t="s">
        <v>5300</v>
      </c>
      <c r="G1651" s="80" t="s">
        <v>96</v>
      </c>
      <c r="H1651" s="90">
        <v>1.911E-4</v>
      </c>
      <c r="I1651" s="45"/>
      <c r="J1651" s="45"/>
      <c r="K1651" s="45"/>
      <c r="L1651" s="45"/>
      <c r="M1651" s="45"/>
      <c r="N1651" s="45"/>
      <c r="O1651" s="45"/>
      <c r="P1651" s="45"/>
      <c r="Q1651" s="45"/>
      <c r="R1651" s="45"/>
      <c r="S1651" s="45"/>
      <c r="T1651" s="45"/>
      <c r="U1651" s="45"/>
    </row>
    <row r="1652">
      <c r="A1652" s="79" t="s">
        <v>11161</v>
      </c>
      <c r="B1652" s="45"/>
      <c r="C1652" s="79" t="s">
        <v>11162</v>
      </c>
      <c r="D1652" s="45"/>
      <c r="E1652" s="79" t="s">
        <v>5434</v>
      </c>
      <c r="F1652" s="79" t="s">
        <v>9513</v>
      </c>
      <c r="G1652" s="80" t="s">
        <v>96</v>
      </c>
      <c r="H1652" s="90">
        <v>1.91E-4</v>
      </c>
      <c r="I1652" s="45"/>
      <c r="J1652" s="45"/>
      <c r="K1652" s="45"/>
      <c r="L1652" s="45"/>
      <c r="M1652" s="45"/>
      <c r="N1652" s="45"/>
      <c r="O1652" s="45"/>
      <c r="P1652" s="45"/>
      <c r="Q1652" s="45"/>
      <c r="R1652" s="45"/>
      <c r="S1652" s="45"/>
      <c r="T1652" s="45"/>
      <c r="U1652" s="45"/>
    </row>
    <row r="1653">
      <c r="A1653" s="79" t="s">
        <v>18705</v>
      </c>
      <c r="B1653" s="45"/>
      <c r="C1653" s="79" t="s">
        <v>18706</v>
      </c>
      <c r="D1653" s="45"/>
      <c r="E1653" s="79" t="s">
        <v>5215</v>
      </c>
      <c r="F1653" s="79" t="s">
        <v>8767</v>
      </c>
      <c r="G1653" s="80" t="s">
        <v>96</v>
      </c>
      <c r="H1653" s="90">
        <v>1.91E-4</v>
      </c>
      <c r="I1653" s="45"/>
      <c r="J1653" s="45"/>
      <c r="K1653" s="45"/>
      <c r="L1653" s="45"/>
      <c r="M1653" s="45"/>
      <c r="N1653" s="45"/>
      <c r="O1653" s="45"/>
      <c r="P1653" s="45"/>
      <c r="Q1653" s="45"/>
      <c r="R1653" s="45"/>
      <c r="S1653" s="45"/>
      <c r="T1653" s="45"/>
      <c r="U1653" s="45"/>
    </row>
    <row r="1654">
      <c r="A1654" s="79" t="s">
        <v>18707</v>
      </c>
      <c r="B1654" s="45"/>
      <c r="C1654" s="79" t="s">
        <v>18708</v>
      </c>
      <c r="D1654" s="45"/>
      <c r="E1654" s="79" t="s">
        <v>5431</v>
      </c>
      <c r="F1654" s="79" t="s">
        <v>5425</v>
      </c>
      <c r="G1654" s="80" t="s">
        <v>96</v>
      </c>
      <c r="H1654" s="90">
        <v>1.909E-4</v>
      </c>
      <c r="I1654" s="45"/>
      <c r="J1654" s="45"/>
      <c r="K1654" s="45"/>
      <c r="L1654" s="45"/>
      <c r="M1654" s="45"/>
      <c r="N1654" s="45"/>
      <c r="O1654" s="45"/>
      <c r="P1654" s="45"/>
      <c r="Q1654" s="45"/>
      <c r="R1654" s="45"/>
      <c r="S1654" s="45"/>
      <c r="T1654" s="45"/>
      <c r="U1654" s="45"/>
    </row>
    <row r="1655">
      <c r="A1655" s="79" t="s">
        <v>10919</v>
      </c>
      <c r="B1655" s="45"/>
      <c r="C1655" s="79" t="s">
        <v>10920</v>
      </c>
      <c r="D1655" s="45"/>
      <c r="E1655" s="79" t="s">
        <v>5501</v>
      </c>
      <c r="F1655" s="79" t="s">
        <v>5300</v>
      </c>
      <c r="G1655" s="80" t="s">
        <v>96</v>
      </c>
      <c r="H1655" s="90">
        <v>1.908E-4</v>
      </c>
      <c r="I1655" s="45"/>
      <c r="J1655" s="45"/>
      <c r="K1655" s="45"/>
      <c r="L1655" s="45"/>
      <c r="M1655" s="45"/>
      <c r="N1655" s="45"/>
      <c r="O1655" s="45"/>
      <c r="P1655" s="45"/>
      <c r="Q1655" s="45"/>
      <c r="R1655" s="45"/>
      <c r="S1655" s="45"/>
      <c r="T1655" s="45"/>
      <c r="U1655" s="45"/>
    </row>
    <row r="1656">
      <c r="A1656" s="79" t="s">
        <v>18709</v>
      </c>
      <c r="B1656" s="45"/>
      <c r="C1656" s="79" t="s">
        <v>18710</v>
      </c>
      <c r="D1656" s="45"/>
      <c r="E1656" s="79" t="s">
        <v>5246</v>
      </c>
      <c r="F1656" s="79" t="s">
        <v>8784</v>
      </c>
      <c r="G1656" s="80" t="s">
        <v>96</v>
      </c>
      <c r="H1656" s="90">
        <v>1.906E-4</v>
      </c>
      <c r="I1656" s="45"/>
      <c r="J1656" s="45"/>
      <c r="K1656" s="45"/>
      <c r="L1656" s="45"/>
      <c r="M1656" s="45"/>
      <c r="N1656" s="45"/>
      <c r="O1656" s="45"/>
      <c r="P1656" s="45"/>
      <c r="Q1656" s="45"/>
      <c r="R1656" s="45"/>
      <c r="S1656" s="45"/>
      <c r="T1656" s="45"/>
      <c r="U1656" s="45"/>
    </row>
    <row r="1657">
      <c r="A1657" s="79" t="s">
        <v>18711</v>
      </c>
      <c r="B1657" s="45"/>
      <c r="C1657" s="79" t="s">
        <v>18712</v>
      </c>
      <c r="D1657" s="45"/>
      <c r="E1657" s="79" t="s">
        <v>5478</v>
      </c>
      <c r="F1657" s="79" t="s">
        <v>5425</v>
      </c>
      <c r="G1657" s="80" t="s">
        <v>96</v>
      </c>
      <c r="H1657" s="90">
        <v>1.905E-4</v>
      </c>
      <c r="I1657" s="45"/>
      <c r="J1657" s="45"/>
      <c r="K1657" s="45"/>
      <c r="L1657" s="45"/>
      <c r="M1657" s="45"/>
      <c r="N1657" s="45"/>
      <c r="O1657" s="45"/>
      <c r="P1657" s="45"/>
      <c r="Q1657" s="45"/>
      <c r="R1657" s="45"/>
      <c r="S1657" s="45"/>
      <c r="T1657" s="45"/>
      <c r="U1657" s="45"/>
    </row>
    <row r="1658">
      <c r="A1658" s="79" t="s">
        <v>18713</v>
      </c>
      <c r="B1658" s="45"/>
      <c r="C1658" s="79" t="s">
        <v>18714</v>
      </c>
      <c r="D1658" s="45"/>
      <c r="E1658" s="79" t="s">
        <v>5578</v>
      </c>
      <c r="F1658" s="79" t="s">
        <v>5300</v>
      </c>
      <c r="G1658" s="80" t="s">
        <v>96</v>
      </c>
      <c r="H1658" s="90">
        <v>1.903E-4</v>
      </c>
      <c r="I1658" s="45"/>
      <c r="J1658" s="45"/>
      <c r="K1658" s="45"/>
      <c r="L1658" s="45"/>
      <c r="M1658" s="45"/>
      <c r="N1658" s="45"/>
      <c r="O1658" s="45"/>
      <c r="P1658" s="45"/>
      <c r="Q1658" s="45"/>
      <c r="R1658" s="45"/>
      <c r="S1658" s="45"/>
      <c r="T1658" s="45"/>
      <c r="U1658" s="45"/>
    </row>
    <row r="1659">
      <c r="A1659" s="79" t="s">
        <v>6551</v>
      </c>
      <c r="B1659" s="45"/>
      <c r="C1659" s="79" t="s">
        <v>18715</v>
      </c>
      <c r="D1659" s="45"/>
      <c r="E1659" s="79" t="s">
        <v>5675</v>
      </c>
      <c r="F1659" s="79" t="s">
        <v>8784</v>
      </c>
      <c r="G1659" s="80" t="s">
        <v>96</v>
      </c>
      <c r="H1659" s="90">
        <v>1.902E-4</v>
      </c>
      <c r="I1659" s="45"/>
      <c r="J1659" s="45"/>
      <c r="K1659" s="45"/>
      <c r="L1659" s="45"/>
      <c r="M1659" s="45"/>
      <c r="N1659" s="45"/>
      <c r="O1659" s="45"/>
      <c r="P1659" s="45"/>
      <c r="Q1659" s="45"/>
      <c r="R1659" s="45"/>
      <c r="S1659" s="45"/>
      <c r="T1659" s="45"/>
      <c r="U1659" s="45"/>
    </row>
    <row r="1660">
      <c r="A1660" s="79" t="s">
        <v>18716</v>
      </c>
      <c r="B1660" s="45"/>
      <c r="C1660" s="79" t="s">
        <v>18717</v>
      </c>
      <c r="D1660" s="45"/>
      <c r="E1660" s="79" t="s">
        <v>5742</v>
      </c>
      <c r="F1660" s="79" t="s">
        <v>5300</v>
      </c>
      <c r="G1660" s="80" t="s">
        <v>96</v>
      </c>
      <c r="H1660" s="90">
        <v>1.901E-4</v>
      </c>
      <c r="I1660" s="45"/>
      <c r="J1660" s="45"/>
      <c r="K1660" s="45"/>
      <c r="L1660" s="45"/>
      <c r="M1660" s="45"/>
      <c r="N1660" s="45"/>
      <c r="O1660" s="45"/>
      <c r="P1660" s="45"/>
      <c r="Q1660" s="45"/>
      <c r="R1660" s="45"/>
      <c r="S1660" s="45"/>
      <c r="T1660" s="45"/>
      <c r="U1660" s="45"/>
    </row>
    <row r="1661">
      <c r="A1661" s="79" t="s">
        <v>18718</v>
      </c>
      <c r="B1661" s="45"/>
      <c r="C1661" s="79" t="s">
        <v>18719</v>
      </c>
      <c r="D1661" s="45"/>
      <c r="E1661" s="79" t="s">
        <v>6759</v>
      </c>
      <c r="F1661" s="79" t="s">
        <v>5300</v>
      </c>
      <c r="G1661" s="80" t="s">
        <v>96</v>
      </c>
      <c r="H1661" s="90">
        <v>1.899E-4</v>
      </c>
      <c r="I1661" s="45"/>
      <c r="J1661" s="45"/>
      <c r="K1661" s="45"/>
      <c r="L1661" s="45"/>
      <c r="M1661" s="45"/>
      <c r="N1661" s="45"/>
      <c r="O1661" s="45"/>
      <c r="P1661" s="45"/>
      <c r="Q1661" s="45"/>
      <c r="R1661" s="45"/>
      <c r="S1661" s="45"/>
      <c r="T1661" s="45"/>
      <c r="U1661" s="45"/>
    </row>
    <row r="1662">
      <c r="A1662" s="79" t="s">
        <v>18720</v>
      </c>
      <c r="B1662" s="45"/>
      <c r="C1662" s="79" t="s">
        <v>18721</v>
      </c>
      <c r="D1662" s="45"/>
      <c r="E1662" s="79" t="s">
        <v>5226</v>
      </c>
      <c r="F1662" s="79" t="s">
        <v>5836</v>
      </c>
      <c r="G1662" s="80" t="s">
        <v>96</v>
      </c>
      <c r="H1662" s="90">
        <v>1.898E-4</v>
      </c>
      <c r="I1662" s="45"/>
      <c r="J1662" s="45"/>
      <c r="K1662" s="45"/>
      <c r="L1662" s="45"/>
      <c r="M1662" s="45"/>
      <c r="N1662" s="45"/>
      <c r="O1662" s="45"/>
      <c r="P1662" s="45"/>
      <c r="Q1662" s="45"/>
      <c r="R1662" s="45"/>
      <c r="S1662" s="45"/>
      <c r="T1662" s="45"/>
      <c r="U1662" s="45"/>
    </row>
    <row r="1663">
      <c r="A1663" s="79" t="s">
        <v>18722</v>
      </c>
      <c r="B1663" s="45"/>
      <c r="C1663" s="79" t="s">
        <v>18723</v>
      </c>
      <c r="D1663" s="45"/>
      <c r="E1663" s="79" t="s">
        <v>5249</v>
      </c>
      <c r="F1663" s="79" t="s">
        <v>5300</v>
      </c>
      <c r="G1663" s="80" t="s">
        <v>96</v>
      </c>
      <c r="H1663" s="90">
        <v>1.896E-4</v>
      </c>
      <c r="I1663" s="45"/>
      <c r="J1663" s="45"/>
      <c r="K1663" s="45"/>
      <c r="L1663" s="45"/>
      <c r="M1663" s="45"/>
      <c r="N1663" s="45"/>
      <c r="O1663" s="45"/>
      <c r="P1663" s="45"/>
      <c r="Q1663" s="45"/>
      <c r="R1663" s="45"/>
      <c r="S1663" s="45"/>
      <c r="T1663" s="45"/>
      <c r="U1663" s="45"/>
    </row>
    <row r="1664">
      <c r="A1664" s="79" t="s">
        <v>10814</v>
      </c>
      <c r="B1664" s="45"/>
      <c r="C1664" s="79" t="s">
        <v>10815</v>
      </c>
      <c r="D1664" s="45"/>
      <c r="E1664" s="79" t="s">
        <v>5366</v>
      </c>
      <c r="F1664" s="79" t="s">
        <v>8784</v>
      </c>
      <c r="G1664" s="80" t="s">
        <v>96</v>
      </c>
      <c r="H1664" s="90">
        <v>1.895E-4</v>
      </c>
      <c r="I1664" s="45"/>
      <c r="J1664" s="45"/>
      <c r="K1664" s="45"/>
      <c r="L1664" s="45"/>
      <c r="M1664" s="45"/>
      <c r="N1664" s="45"/>
      <c r="O1664" s="45"/>
      <c r="P1664" s="45"/>
      <c r="Q1664" s="45"/>
      <c r="R1664" s="45"/>
      <c r="S1664" s="45"/>
      <c r="T1664" s="45"/>
      <c r="U1664" s="45"/>
    </row>
    <row r="1665">
      <c r="A1665" s="79" t="s">
        <v>18724</v>
      </c>
      <c r="B1665" s="45"/>
      <c r="C1665" s="79" t="s">
        <v>18725</v>
      </c>
      <c r="D1665" s="45"/>
      <c r="E1665" s="79" t="s">
        <v>5226</v>
      </c>
      <c r="F1665" s="79" t="s">
        <v>5836</v>
      </c>
      <c r="G1665" s="80" t="s">
        <v>96</v>
      </c>
      <c r="H1665" s="90">
        <v>1.893E-4</v>
      </c>
      <c r="I1665" s="45"/>
      <c r="J1665" s="45"/>
      <c r="K1665" s="45"/>
      <c r="L1665" s="45"/>
      <c r="M1665" s="45"/>
      <c r="N1665" s="45"/>
      <c r="O1665" s="45"/>
      <c r="P1665" s="45"/>
      <c r="Q1665" s="45"/>
      <c r="R1665" s="45"/>
      <c r="S1665" s="45"/>
      <c r="T1665" s="45"/>
      <c r="U1665" s="45"/>
    </row>
    <row r="1666">
      <c r="A1666" s="79" t="s">
        <v>18726</v>
      </c>
      <c r="B1666" s="45"/>
      <c r="C1666" s="79" t="s">
        <v>18727</v>
      </c>
      <c r="D1666" s="45"/>
      <c r="E1666" s="79" t="s">
        <v>6115</v>
      </c>
      <c r="F1666" s="79" t="s">
        <v>5836</v>
      </c>
      <c r="G1666" s="80" t="s">
        <v>96</v>
      </c>
      <c r="H1666" s="90">
        <v>1.891E-4</v>
      </c>
      <c r="I1666" s="45"/>
      <c r="J1666" s="45"/>
      <c r="K1666" s="45"/>
      <c r="L1666" s="45"/>
      <c r="M1666" s="45"/>
      <c r="N1666" s="45"/>
      <c r="O1666" s="45"/>
      <c r="P1666" s="45"/>
      <c r="Q1666" s="45"/>
      <c r="R1666" s="45"/>
      <c r="S1666" s="45"/>
      <c r="T1666" s="45"/>
      <c r="U1666" s="45"/>
    </row>
    <row r="1667">
      <c r="A1667" s="79" t="s">
        <v>18728</v>
      </c>
      <c r="B1667" s="45"/>
      <c r="C1667" s="79" t="s">
        <v>18729</v>
      </c>
      <c r="D1667" s="45"/>
      <c r="E1667" s="79" t="s">
        <v>6338</v>
      </c>
      <c r="F1667" s="79" t="s">
        <v>8767</v>
      </c>
      <c r="G1667" s="80" t="s">
        <v>96</v>
      </c>
      <c r="H1667" s="90">
        <v>1.891E-4</v>
      </c>
      <c r="I1667" s="45"/>
      <c r="J1667" s="45"/>
      <c r="K1667" s="45"/>
      <c r="L1667" s="45"/>
      <c r="M1667" s="45"/>
      <c r="N1667" s="45"/>
      <c r="O1667" s="45"/>
      <c r="P1667" s="45"/>
      <c r="Q1667" s="45"/>
      <c r="R1667" s="45"/>
      <c r="S1667" s="45"/>
      <c r="T1667" s="45"/>
      <c r="U1667" s="45"/>
    </row>
    <row r="1668">
      <c r="A1668" s="79" t="s">
        <v>10534</v>
      </c>
      <c r="B1668" s="45"/>
      <c r="C1668" s="79" t="s">
        <v>10535</v>
      </c>
      <c r="D1668" s="45"/>
      <c r="E1668" s="79" t="s">
        <v>5241</v>
      </c>
      <c r="F1668" s="79" t="s">
        <v>8784</v>
      </c>
      <c r="G1668" s="80" t="s">
        <v>96</v>
      </c>
      <c r="H1668" s="90">
        <v>1.889E-4</v>
      </c>
      <c r="I1668" s="45"/>
      <c r="J1668" s="45"/>
      <c r="K1668" s="45"/>
      <c r="L1668" s="45"/>
      <c r="M1668" s="45"/>
      <c r="N1668" s="45"/>
      <c r="O1668" s="45"/>
      <c r="P1668" s="45"/>
      <c r="Q1668" s="45"/>
      <c r="R1668" s="45"/>
      <c r="S1668" s="45"/>
      <c r="T1668" s="45"/>
      <c r="U1668" s="45"/>
    </row>
    <row r="1669">
      <c r="A1669" s="79" t="s">
        <v>18730</v>
      </c>
      <c r="B1669" s="45"/>
      <c r="C1669" s="79" t="s">
        <v>18731</v>
      </c>
      <c r="D1669" s="45"/>
      <c r="E1669" s="79" t="s">
        <v>5296</v>
      </c>
      <c r="F1669" s="79" t="s">
        <v>9299</v>
      </c>
      <c r="G1669" s="80" t="s">
        <v>96</v>
      </c>
      <c r="H1669" s="90">
        <v>1.888E-4</v>
      </c>
      <c r="I1669" s="45"/>
      <c r="J1669" s="45"/>
      <c r="K1669" s="45"/>
      <c r="L1669" s="45"/>
      <c r="M1669" s="45"/>
      <c r="N1669" s="45"/>
      <c r="O1669" s="45"/>
      <c r="P1669" s="45"/>
      <c r="Q1669" s="45"/>
      <c r="R1669" s="45"/>
      <c r="S1669" s="45"/>
      <c r="T1669" s="45"/>
      <c r="U1669" s="45"/>
    </row>
    <row r="1670">
      <c r="A1670" s="79" t="s">
        <v>18732</v>
      </c>
      <c r="B1670" s="45"/>
      <c r="C1670" s="79" t="s">
        <v>18733</v>
      </c>
      <c r="D1670" s="45"/>
      <c r="E1670" s="79" t="s">
        <v>5478</v>
      </c>
      <c r="F1670" s="79" t="s">
        <v>5300</v>
      </c>
      <c r="G1670" s="80" t="s">
        <v>96</v>
      </c>
      <c r="H1670" s="90">
        <v>1.887E-4</v>
      </c>
      <c r="I1670" s="45"/>
      <c r="J1670" s="45"/>
      <c r="K1670" s="45"/>
      <c r="L1670" s="45"/>
      <c r="M1670" s="45"/>
      <c r="N1670" s="45"/>
      <c r="O1670" s="45"/>
      <c r="P1670" s="45"/>
      <c r="Q1670" s="45"/>
      <c r="R1670" s="45"/>
      <c r="S1670" s="45"/>
      <c r="T1670" s="45"/>
      <c r="U1670" s="45"/>
    </row>
    <row r="1671">
      <c r="A1671" s="79" t="s">
        <v>18734</v>
      </c>
      <c r="B1671" s="45"/>
      <c r="C1671" s="79" t="s">
        <v>18735</v>
      </c>
      <c r="D1671" s="45"/>
      <c r="E1671" s="79" t="s">
        <v>5338</v>
      </c>
      <c r="F1671" s="79" t="s">
        <v>8784</v>
      </c>
      <c r="G1671" s="80" t="s">
        <v>96</v>
      </c>
      <c r="H1671" s="90">
        <v>1.886E-4</v>
      </c>
      <c r="I1671" s="45"/>
      <c r="J1671" s="45"/>
      <c r="K1671" s="45"/>
      <c r="L1671" s="45"/>
      <c r="M1671" s="45"/>
      <c r="N1671" s="45"/>
      <c r="O1671" s="45"/>
      <c r="P1671" s="45"/>
      <c r="Q1671" s="45"/>
      <c r="R1671" s="45"/>
      <c r="S1671" s="45"/>
      <c r="T1671" s="45"/>
      <c r="U1671" s="45"/>
    </row>
    <row r="1672">
      <c r="A1672" s="79" t="s">
        <v>17879</v>
      </c>
      <c r="B1672" s="45"/>
      <c r="C1672" s="79" t="s">
        <v>18736</v>
      </c>
      <c r="D1672" s="45"/>
      <c r="E1672" s="79" t="s">
        <v>5348</v>
      </c>
      <c r="F1672" s="79" t="s">
        <v>5425</v>
      </c>
      <c r="G1672" s="80" t="s">
        <v>96</v>
      </c>
      <c r="H1672" s="90">
        <v>1.885E-4</v>
      </c>
      <c r="I1672" s="45"/>
      <c r="J1672" s="45"/>
      <c r="K1672" s="45"/>
      <c r="L1672" s="45"/>
      <c r="M1672" s="45"/>
      <c r="N1672" s="45"/>
      <c r="O1672" s="45"/>
      <c r="P1672" s="45"/>
      <c r="Q1672" s="45"/>
      <c r="R1672" s="45"/>
      <c r="S1672" s="45"/>
      <c r="T1672" s="45"/>
      <c r="U1672" s="45"/>
    </row>
    <row r="1673">
      <c r="A1673" s="79" t="s">
        <v>18737</v>
      </c>
      <c r="B1673" s="45"/>
      <c r="C1673" s="79" t="s">
        <v>18738</v>
      </c>
      <c r="D1673" s="45"/>
      <c r="E1673" s="79" t="s">
        <v>9810</v>
      </c>
      <c r="F1673" s="79" t="s">
        <v>5300</v>
      </c>
      <c r="G1673" s="80" t="s">
        <v>96</v>
      </c>
      <c r="H1673" s="90">
        <v>1.882E-4</v>
      </c>
      <c r="I1673" s="45"/>
      <c r="J1673" s="45"/>
      <c r="K1673" s="45"/>
      <c r="L1673" s="45"/>
      <c r="M1673" s="45"/>
      <c r="N1673" s="45"/>
      <c r="O1673" s="45"/>
      <c r="P1673" s="45"/>
      <c r="Q1673" s="45"/>
      <c r="R1673" s="45"/>
      <c r="S1673" s="45"/>
      <c r="T1673" s="45"/>
      <c r="U1673" s="45"/>
    </row>
    <row r="1674">
      <c r="A1674" s="79" t="s">
        <v>18739</v>
      </c>
      <c r="B1674" s="45"/>
      <c r="C1674" s="79" t="s">
        <v>18740</v>
      </c>
      <c r="D1674" s="45"/>
      <c r="E1674" s="79" t="s">
        <v>5261</v>
      </c>
      <c r="F1674" s="79" t="s">
        <v>5747</v>
      </c>
      <c r="G1674" s="80" t="s">
        <v>96</v>
      </c>
      <c r="H1674" s="90">
        <v>1.882E-4</v>
      </c>
      <c r="I1674" s="45"/>
      <c r="J1674" s="45"/>
      <c r="K1674" s="45"/>
      <c r="L1674" s="45"/>
      <c r="M1674" s="45"/>
      <c r="N1674" s="45"/>
      <c r="O1674" s="45"/>
      <c r="P1674" s="45"/>
      <c r="Q1674" s="45"/>
      <c r="R1674" s="45"/>
      <c r="S1674" s="45"/>
      <c r="T1674" s="45"/>
      <c r="U1674" s="45"/>
    </row>
    <row r="1675">
      <c r="A1675" s="79" t="s">
        <v>18741</v>
      </c>
      <c r="B1675" s="45"/>
      <c r="C1675" s="79" t="s">
        <v>18742</v>
      </c>
      <c r="D1675" s="45"/>
      <c r="E1675" s="79" t="s">
        <v>5478</v>
      </c>
      <c r="F1675" s="79" t="s">
        <v>5300</v>
      </c>
      <c r="G1675" s="80" t="s">
        <v>96</v>
      </c>
      <c r="H1675" s="90">
        <v>1.881E-4</v>
      </c>
      <c r="I1675" s="45"/>
      <c r="J1675" s="45"/>
      <c r="K1675" s="45"/>
      <c r="L1675" s="45"/>
      <c r="M1675" s="45"/>
      <c r="N1675" s="45"/>
      <c r="O1675" s="45"/>
      <c r="P1675" s="45"/>
      <c r="Q1675" s="45"/>
      <c r="R1675" s="45"/>
      <c r="S1675" s="45"/>
      <c r="T1675" s="45"/>
      <c r="U1675" s="45"/>
    </row>
    <row r="1676">
      <c r="A1676" s="79" t="s">
        <v>18743</v>
      </c>
      <c r="B1676" s="45"/>
      <c r="C1676" s="79" t="s">
        <v>18744</v>
      </c>
      <c r="D1676" s="45"/>
      <c r="E1676" s="79" t="s">
        <v>5450</v>
      </c>
      <c r="F1676" s="79" t="s">
        <v>5425</v>
      </c>
      <c r="G1676" s="80" t="s">
        <v>96</v>
      </c>
      <c r="H1676" s="90">
        <v>1.879E-4</v>
      </c>
      <c r="I1676" s="45"/>
      <c r="J1676" s="45"/>
      <c r="K1676" s="45"/>
      <c r="L1676" s="45"/>
      <c r="M1676" s="45"/>
      <c r="N1676" s="45"/>
      <c r="O1676" s="45"/>
      <c r="P1676" s="45"/>
      <c r="Q1676" s="45"/>
      <c r="R1676" s="45"/>
      <c r="S1676" s="45"/>
      <c r="T1676" s="45"/>
      <c r="U1676" s="45"/>
    </row>
    <row r="1677">
      <c r="A1677" s="79" t="s">
        <v>18745</v>
      </c>
      <c r="B1677" s="45"/>
      <c r="C1677" s="79" t="s">
        <v>18746</v>
      </c>
      <c r="D1677" s="45"/>
      <c r="E1677" s="79" t="s">
        <v>5215</v>
      </c>
      <c r="F1677" s="79" t="s">
        <v>5300</v>
      </c>
      <c r="G1677" s="80" t="s">
        <v>96</v>
      </c>
      <c r="H1677" s="90">
        <v>1.879E-4</v>
      </c>
      <c r="I1677" s="45"/>
      <c r="J1677" s="45"/>
      <c r="K1677" s="45"/>
      <c r="L1677" s="45"/>
      <c r="M1677" s="45"/>
      <c r="N1677" s="45"/>
      <c r="O1677" s="45"/>
      <c r="P1677" s="45"/>
      <c r="Q1677" s="45"/>
      <c r="R1677" s="45"/>
      <c r="S1677" s="45"/>
      <c r="T1677" s="45"/>
      <c r="U1677" s="45"/>
    </row>
    <row r="1678">
      <c r="A1678" s="79" t="s">
        <v>18747</v>
      </c>
      <c r="B1678" s="45"/>
      <c r="C1678" s="79" t="s">
        <v>18748</v>
      </c>
      <c r="D1678" s="45"/>
      <c r="E1678" s="79" t="s">
        <v>5215</v>
      </c>
      <c r="F1678" s="79" t="s">
        <v>5425</v>
      </c>
      <c r="G1678" s="80" t="s">
        <v>96</v>
      </c>
      <c r="H1678" s="90">
        <v>1.879E-4</v>
      </c>
      <c r="I1678" s="45"/>
      <c r="J1678" s="45"/>
      <c r="K1678" s="45"/>
      <c r="L1678" s="45"/>
      <c r="M1678" s="45"/>
      <c r="N1678" s="45"/>
      <c r="O1678" s="45"/>
      <c r="P1678" s="45"/>
      <c r="Q1678" s="45"/>
      <c r="R1678" s="45"/>
      <c r="S1678" s="45"/>
      <c r="T1678" s="45"/>
      <c r="U1678" s="45"/>
    </row>
    <row r="1679">
      <c r="A1679" s="79" t="s">
        <v>18749</v>
      </c>
      <c r="B1679" s="45"/>
      <c r="C1679" s="79" t="s">
        <v>18750</v>
      </c>
      <c r="D1679" s="45"/>
      <c r="E1679" s="79" t="s">
        <v>5326</v>
      </c>
      <c r="F1679" s="79" t="s">
        <v>5425</v>
      </c>
      <c r="G1679" s="80" t="s">
        <v>96</v>
      </c>
      <c r="H1679" s="90">
        <v>1.878E-4</v>
      </c>
      <c r="I1679" s="45"/>
      <c r="J1679" s="45"/>
      <c r="K1679" s="45"/>
      <c r="L1679" s="45"/>
      <c r="M1679" s="45"/>
      <c r="N1679" s="45"/>
      <c r="O1679" s="45"/>
      <c r="P1679" s="45"/>
      <c r="Q1679" s="45"/>
      <c r="R1679" s="45"/>
      <c r="S1679" s="45"/>
      <c r="T1679" s="45"/>
      <c r="U1679" s="45"/>
    </row>
    <row r="1680">
      <c r="A1680" s="79" t="s">
        <v>18751</v>
      </c>
      <c r="B1680" s="45"/>
      <c r="C1680" s="79" t="s">
        <v>18752</v>
      </c>
      <c r="D1680" s="45"/>
      <c r="E1680" s="79" t="s">
        <v>5232</v>
      </c>
      <c r="F1680" s="79" t="s">
        <v>5300</v>
      </c>
      <c r="G1680" s="80" t="s">
        <v>96</v>
      </c>
      <c r="H1680" s="90">
        <v>1.877E-4</v>
      </c>
      <c r="I1680" s="45"/>
      <c r="J1680" s="45"/>
      <c r="K1680" s="45"/>
      <c r="L1680" s="45"/>
      <c r="M1680" s="45"/>
      <c r="N1680" s="45"/>
      <c r="O1680" s="45"/>
      <c r="P1680" s="45"/>
      <c r="Q1680" s="45"/>
      <c r="R1680" s="45"/>
      <c r="S1680" s="45"/>
      <c r="T1680" s="45"/>
      <c r="U1680" s="45"/>
    </row>
    <row r="1681">
      <c r="A1681" s="79" t="s">
        <v>18753</v>
      </c>
      <c r="B1681" s="45"/>
      <c r="C1681" s="79" t="s">
        <v>18754</v>
      </c>
      <c r="D1681" s="45"/>
      <c r="E1681" s="79" t="s">
        <v>5348</v>
      </c>
      <c r="F1681" s="79" t="s">
        <v>9021</v>
      </c>
      <c r="G1681" s="80" t="s">
        <v>96</v>
      </c>
      <c r="H1681" s="90">
        <v>1.877E-4</v>
      </c>
      <c r="I1681" s="45"/>
      <c r="J1681" s="45"/>
      <c r="K1681" s="45"/>
      <c r="L1681" s="45"/>
      <c r="M1681" s="45"/>
      <c r="N1681" s="45"/>
      <c r="O1681" s="45"/>
      <c r="P1681" s="45"/>
      <c r="Q1681" s="45"/>
      <c r="R1681" s="45"/>
      <c r="S1681" s="45"/>
      <c r="T1681" s="45"/>
      <c r="U1681" s="45"/>
    </row>
    <row r="1682">
      <c r="A1682" s="79" t="s">
        <v>18755</v>
      </c>
      <c r="B1682" s="45"/>
      <c r="C1682" s="79" t="s">
        <v>18756</v>
      </c>
      <c r="D1682" s="45"/>
      <c r="E1682" s="79" t="s">
        <v>5855</v>
      </c>
      <c r="F1682" s="79" t="s">
        <v>8784</v>
      </c>
      <c r="G1682" s="80" t="s">
        <v>96</v>
      </c>
      <c r="H1682" s="90">
        <v>1.876E-4</v>
      </c>
      <c r="I1682" s="45"/>
      <c r="J1682" s="45"/>
      <c r="K1682" s="45"/>
      <c r="L1682" s="45"/>
      <c r="M1682" s="45"/>
      <c r="N1682" s="45"/>
      <c r="O1682" s="45"/>
      <c r="P1682" s="45"/>
      <c r="Q1682" s="45"/>
      <c r="R1682" s="45"/>
      <c r="S1682" s="45"/>
      <c r="T1682" s="45"/>
      <c r="U1682" s="45"/>
    </row>
    <row r="1683">
      <c r="A1683" s="79" t="s">
        <v>18757</v>
      </c>
      <c r="B1683" s="45"/>
      <c r="C1683" s="79" t="s">
        <v>18758</v>
      </c>
      <c r="D1683" s="45"/>
      <c r="E1683" s="79" t="s">
        <v>5478</v>
      </c>
      <c r="F1683" s="79" t="s">
        <v>16525</v>
      </c>
      <c r="G1683" s="80" t="s">
        <v>96</v>
      </c>
      <c r="H1683" s="90">
        <v>1.874E-4</v>
      </c>
      <c r="I1683" s="45"/>
      <c r="J1683" s="45"/>
      <c r="K1683" s="45"/>
      <c r="L1683" s="45"/>
      <c r="M1683" s="45"/>
      <c r="N1683" s="45"/>
      <c r="O1683" s="45"/>
      <c r="P1683" s="45"/>
      <c r="Q1683" s="45"/>
      <c r="R1683" s="45"/>
      <c r="S1683" s="45"/>
      <c r="T1683" s="45"/>
      <c r="U1683" s="45"/>
    </row>
    <row r="1684">
      <c r="A1684" s="79" t="s">
        <v>18759</v>
      </c>
      <c r="B1684" s="45"/>
      <c r="C1684" s="79" t="s">
        <v>18760</v>
      </c>
      <c r="D1684" s="45"/>
      <c r="E1684" s="79" t="s">
        <v>6389</v>
      </c>
      <c r="F1684" s="79" t="s">
        <v>5425</v>
      </c>
      <c r="G1684" s="80" t="s">
        <v>96</v>
      </c>
      <c r="H1684" s="90">
        <v>1.872E-4</v>
      </c>
      <c r="I1684" s="45"/>
      <c r="J1684" s="45"/>
      <c r="K1684" s="45"/>
      <c r="L1684" s="45"/>
      <c r="M1684" s="45"/>
      <c r="N1684" s="45"/>
      <c r="O1684" s="45"/>
      <c r="P1684" s="45"/>
      <c r="Q1684" s="45"/>
      <c r="R1684" s="45"/>
      <c r="S1684" s="45"/>
      <c r="T1684" s="45"/>
      <c r="U1684" s="45"/>
    </row>
    <row r="1685">
      <c r="A1685" s="79" t="s">
        <v>18761</v>
      </c>
      <c r="B1685" s="45"/>
      <c r="C1685" s="79" t="s">
        <v>18762</v>
      </c>
      <c r="D1685" s="45"/>
      <c r="E1685" s="79" t="s">
        <v>5291</v>
      </c>
      <c r="F1685" s="79" t="s">
        <v>6988</v>
      </c>
      <c r="G1685" s="80" t="s">
        <v>96</v>
      </c>
      <c r="H1685" s="90">
        <v>1.871E-4</v>
      </c>
      <c r="I1685" s="45"/>
      <c r="J1685" s="45"/>
      <c r="K1685" s="45"/>
      <c r="L1685" s="45"/>
      <c r="M1685" s="45"/>
      <c r="N1685" s="45"/>
      <c r="O1685" s="45"/>
      <c r="P1685" s="45"/>
      <c r="Q1685" s="45"/>
      <c r="R1685" s="45"/>
      <c r="S1685" s="45"/>
      <c r="T1685" s="45"/>
      <c r="U1685" s="45"/>
    </row>
    <row r="1686">
      <c r="A1686" s="79" t="s">
        <v>10962</v>
      </c>
      <c r="B1686" s="45"/>
      <c r="C1686" s="79" t="s">
        <v>10963</v>
      </c>
      <c r="D1686" s="45"/>
      <c r="E1686" s="79" t="s">
        <v>6947</v>
      </c>
      <c r="F1686" s="79" t="s">
        <v>6210</v>
      </c>
      <c r="G1686" s="80" t="s">
        <v>96</v>
      </c>
      <c r="H1686" s="90">
        <v>1.87E-4</v>
      </c>
      <c r="I1686" s="45"/>
      <c r="J1686" s="45"/>
      <c r="K1686" s="45"/>
      <c r="L1686" s="45"/>
      <c r="M1686" s="45"/>
      <c r="N1686" s="45"/>
      <c r="O1686" s="45"/>
      <c r="P1686" s="45"/>
      <c r="Q1686" s="45"/>
      <c r="R1686" s="45"/>
      <c r="S1686" s="45"/>
      <c r="T1686" s="45"/>
      <c r="U1686" s="45"/>
    </row>
    <row r="1687">
      <c r="A1687" s="79" t="s">
        <v>18763</v>
      </c>
      <c r="B1687" s="45"/>
      <c r="C1687" s="79" t="s">
        <v>18764</v>
      </c>
      <c r="D1687" s="45"/>
      <c r="E1687" s="79" t="s">
        <v>5258</v>
      </c>
      <c r="F1687" s="79" t="s">
        <v>5836</v>
      </c>
      <c r="G1687" s="80" t="s">
        <v>96</v>
      </c>
      <c r="H1687" s="90">
        <v>1.87E-4</v>
      </c>
      <c r="I1687" s="45"/>
      <c r="J1687" s="45"/>
      <c r="K1687" s="45"/>
      <c r="L1687" s="45"/>
      <c r="M1687" s="45"/>
      <c r="N1687" s="45"/>
      <c r="O1687" s="45"/>
      <c r="P1687" s="45"/>
      <c r="Q1687" s="45"/>
      <c r="R1687" s="45"/>
      <c r="S1687" s="45"/>
      <c r="T1687" s="45"/>
      <c r="U1687" s="45"/>
    </row>
    <row r="1688">
      <c r="A1688" s="79" t="s">
        <v>18765</v>
      </c>
      <c r="B1688" s="45"/>
      <c r="C1688" s="79" t="s">
        <v>18766</v>
      </c>
      <c r="D1688" s="45"/>
      <c r="E1688" s="79" t="s">
        <v>5357</v>
      </c>
      <c r="F1688" s="79" t="s">
        <v>5300</v>
      </c>
      <c r="G1688" s="80" t="s">
        <v>96</v>
      </c>
      <c r="H1688" s="90">
        <v>1.869E-4</v>
      </c>
      <c r="I1688" s="45"/>
      <c r="J1688" s="45"/>
      <c r="K1688" s="45"/>
      <c r="L1688" s="45"/>
      <c r="M1688" s="45"/>
      <c r="N1688" s="45"/>
      <c r="O1688" s="45"/>
      <c r="P1688" s="45"/>
      <c r="Q1688" s="45"/>
      <c r="R1688" s="45"/>
      <c r="S1688" s="45"/>
      <c r="T1688" s="45"/>
      <c r="U1688" s="45"/>
    </row>
    <row r="1689">
      <c r="A1689" s="79" t="s">
        <v>18767</v>
      </c>
      <c r="B1689" s="45"/>
      <c r="C1689" s="79" t="s">
        <v>18768</v>
      </c>
      <c r="D1689" s="45"/>
      <c r="E1689" s="79" t="s">
        <v>5478</v>
      </c>
      <c r="F1689" s="79" t="s">
        <v>5300</v>
      </c>
      <c r="G1689" s="80" t="s">
        <v>96</v>
      </c>
      <c r="H1689" s="90">
        <v>1.867E-4</v>
      </c>
      <c r="I1689" s="45"/>
      <c r="J1689" s="45"/>
      <c r="K1689" s="45"/>
      <c r="L1689" s="45"/>
      <c r="M1689" s="45"/>
      <c r="N1689" s="45"/>
      <c r="O1689" s="45"/>
      <c r="P1689" s="45"/>
      <c r="Q1689" s="45"/>
      <c r="R1689" s="45"/>
      <c r="S1689" s="45"/>
      <c r="T1689" s="45"/>
      <c r="U1689" s="45"/>
    </row>
    <row r="1690">
      <c r="A1690" s="79" t="s">
        <v>18769</v>
      </c>
      <c r="B1690" s="45"/>
      <c r="C1690" s="79" t="s">
        <v>18770</v>
      </c>
      <c r="D1690" s="45"/>
      <c r="E1690" s="79" t="s">
        <v>6012</v>
      </c>
      <c r="F1690" s="79" t="s">
        <v>5300</v>
      </c>
      <c r="G1690" s="80" t="s">
        <v>96</v>
      </c>
      <c r="H1690" s="90">
        <v>1.864E-4</v>
      </c>
      <c r="I1690" s="45"/>
      <c r="J1690" s="45"/>
      <c r="K1690" s="45"/>
      <c r="L1690" s="45"/>
      <c r="M1690" s="45"/>
      <c r="N1690" s="45"/>
      <c r="O1690" s="45"/>
      <c r="P1690" s="45"/>
      <c r="Q1690" s="45"/>
      <c r="R1690" s="45"/>
      <c r="S1690" s="45"/>
      <c r="T1690" s="45"/>
      <c r="U1690" s="45"/>
    </row>
    <row r="1691">
      <c r="A1691" s="79" t="s">
        <v>11118</v>
      </c>
      <c r="B1691" s="45"/>
      <c r="C1691" s="79" t="s">
        <v>11119</v>
      </c>
      <c r="D1691" s="45"/>
      <c r="E1691" s="79" t="s">
        <v>5407</v>
      </c>
      <c r="F1691" s="79" t="s">
        <v>8784</v>
      </c>
      <c r="G1691" s="80" t="s">
        <v>96</v>
      </c>
      <c r="H1691" s="90">
        <v>1.863E-4</v>
      </c>
      <c r="I1691" s="45"/>
      <c r="J1691" s="45"/>
      <c r="K1691" s="45"/>
      <c r="L1691" s="45"/>
      <c r="M1691" s="45"/>
      <c r="N1691" s="45"/>
      <c r="O1691" s="45"/>
      <c r="P1691" s="45"/>
      <c r="Q1691" s="45"/>
      <c r="R1691" s="45"/>
      <c r="S1691" s="45"/>
      <c r="T1691" s="45"/>
      <c r="U1691" s="45"/>
    </row>
    <row r="1692">
      <c r="A1692" s="79" t="s">
        <v>9556</v>
      </c>
      <c r="B1692" s="45"/>
      <c r="C1692" s="79" t="s">
        <v>18771</v>
      </c>
      <c r="D1692" s="45"/>
      <c r="E1692" s="79" t="s">
        <v>5246</v>
      </c>
      <c r="F1692" s="79" t="s">
        <v>5300</v>
      </c>
      <c r="G1692" s="80" t="s">
        <v>96</v>
      </c>
      <c r="H1692" s="90">
        <v>1.862E-4</v>
      </c>
      <c r="I1692" s="45"/>
      <c r="J1692" s="45"/>
      <c r="K1692" s="45"/>
      <c r="L1692" s="45"/>
      <c r="M1692" s="45"/>
      <c r="N1692" s="45"/>
      <c r="O1692" s="45"/>
      <c r="P1692" s="45"/>
      <c r="Q1692" s="45"/>
      <c r="R1692" s="45"/>
      <c r="S1692" s="45"/>
      <c r="T1692" s="45"/>
      <c r="U1692" s="45"/>
    </row>
    <row r="1693">
      <c r="A1693" s="79" t="s">
        <v>18772</v>
      </c>
      <c r="B1693" s="45"/>
      <c r="C1693" s="79" t="s">
        <v>18773</v>
      </c>
      <c r="D1693" s="45"/>
      <c r="E1693" s="79" t="s">
        <v>5316</v>
      </c>
      <c r="F1693" s="79" t="s">
        <v>5300</v>
      </c>
      <c r="G1693" s="80" t="s">
        <v>96</v>
      </c>
      <c r="H1693" s="90">
        <v>1.86E-4</v>
      </c>
      <c r="I1693" s="45"/>
      <c r="J1693" s="45"/>
      <c r="K1693" s="45"/>
      <c r="L1693" s="45"/>
      <c r="M1693" s="45"/>
      <c r="N1693" s="45"/>
      <c r="O1693" s="45"/>
      <c r="P1693" s="45"/>
      <c r="Q1693" s="45"/>
      <c r="R1693" s="45"/>
      <c r="S1693" s="45"/>
      <c r="T1693" s="45"/>
      <c r="U1693" s="45"/>
    </row>
    <row r="1694">
      <c r="A1694" s="79" t="s">
        <v>10841</v>
      </c>
      <c r="B1694" s="45"/>
      <c r="C1694" s="79" t="s">
        <v>10842</v>
      </c>
      <c r="D1694" s="45"/>
      <c r="E1694" s="79" t="s">
        <v>5235</v>
      </c>
      <c r="F1694" s="79" t="s">
        <v>5425</v>
      </c>
      <c r="G1694" s="80" t="s">
        <v>96</v>
      </c>
      <c r="H1694" s="90">
        <v>1.859E-4</v>
      </c>
      <c r="I1694" s="45"/>
      <c r="J1694" s="45"/>
      <c r="K1694" s="45"/>
      <c r="L1694" s="45"/>
      <c r="M1694" s="45"/>
      <c r="N1694" s="45"/>
      <c r="O1694" s="45"/>
      <c r="P1694" s="45"/>
      <c r="Q1694" s="45"/>
      <c r="R1694" s="45"/>
      <c r="S1694" s="45"/>
      <c r="T1694" s="45"/>
      <c r="U1694" s="45"/>
    </row>
    <row r="1695">
      <c r="A1695" s="79" t="s">
        <v>18774</v>
      </c>
      <c r="B1695" s="45"/>
      <c r="C1695" s="79" t="s">
        <v>18775</v>
      </c>
      <c r="D1695" s="45"/>
      <c r="E1695" s="79" t="s">
        <v>5229</v>
      </c>
      <c r="F1695" s="79" t="s">
        <v>5300</v>
      </c>
      <c r="G1695" s="80" t="s">
        <v>96</v>
      </c>
      <c r="H1695" s="90">
        <v>1.858E-4</v>
      </c>
      <c r="I1695" s="45"/>
      <c r="J1695" s="45"/>
      <c r="K1695" s="45"/>
      <c r="L1695" s="45"/>
      <c r="M1695" s="45"/>
      <c r="N1695" s="45"/>
      <c r="O1695" s="45"/>
      <c r="P1695" s="45"/>
      <c r="Q1695" s="45"/>
      <c r="R1695" s="45"/>
      <c r="S1695" s="45"/>
      <c r="T1695" s="45"/>
      <c r="U1695" s="45"/>
    </row>
    <row r="1696">
      <c r="A1696" s="79" t="s">
        <v>18776</v>
      </c>
      <c r="B1696" s="45"/>
      <c r="C1696" s="79" t="s">
        <v>18777</v>
      </c>
      <c r="D1696" s="45"/>
      <c r="E1696" s="79" t="s">
        <v>9553</v>
      </c>
      <c r="F1696" s="79" t="s">
        <v>8784</v>
      </c>
      <c r="G1696" s="80" t="s">
        <v>96</v>
      </c>
      <c r="H1696" s="90">
        <v>1.858E-4</v>
      </c>
      <c r="I1696" s="45"/>
      <c r="J1696" s="45"/>
      <c r="K1696" s="45"/>
      <c r="L1696" s="45"/>
      <c r="M1696" s="45"/>
      <c r="N1696" s="45"/>
      <c r="O1696" s="45"/>
      <c r="P1696" s="45"/>
      <c r="Q1696" s="45"/>
      <c r="R1696" s="45"/>
      <c r="S1696" s="45"/>
      <c r="T1696" s="45"/>
      <c r="U1696" s="45"/>
    </row>
    <row r="1697">
      <c r="A1697" s="79" t="s">
        <v>18778</v>
      </c>
      <c r="B1697" s="45"/>
      <c r="C1697" s="79" t="s">
        <v>18779</v>
      </c>
      <c r="D1697" s="45"/>
      <c r="E1697" s="79" t="s">
        <v>5271</v>
      </c>
      <c r="F1697" s="79" t="s">
        <v>5300</v>
      </c>
      <c r="G1697" s="80" t="s">
        <v>96</v>
      </c>
      <c r="H1697" s="90">
        <v>1.858E-4</v>
      </c>
      <c r="I1697" s="45"/>
      <c r="J1697" s="45"/>
      <c r="K1697" s="45"/>
      <c r="L1697" s="45"/>
      <c r="M1697" s="45"/>
      <c r="N1697" s="45"/>
      <c r="O1697" s="45"/>
      <c r="P1697" s="45"/>
      <c r="Q1697" s="45"/>
      <c r="R1697" s="45"/>
      <c r="S1697" s="45"/>
      <c r="T1697" s="45"/>
      <c r="U1697" s="45"/>
    </row>
    <row r="1698">
      <c r="A1698" s="79" t="s">
        <v>18780</v>
      </c>
      <c r="B1698" s="45"/>
      <c r="C1698" s="79" t="s">
        <v>18781</v>
      </c>
      <c r="D1698" s="45"/>
      <c r="E1698" s="79" t="s">
        <v>6729</v>
      </c>
      <c r="F1698" s="79" t="s">
        <v>8784</v>
      </c>
      <c r="G1698" s="80" t="s">
        <v>96</v>
      </c>
      <c r="H1698" s="90">
        <v>1.857E-4</v>
      </c>
      <c r="I1698" s="45"/>
      <c r="J1698" s="45"/>
      <c r="K1698" s="45"/>
      <c r="L1698" s="45"/>
      <c r="M1698" s="45"/>
      <c r="N1698" s="45"/>
      <c r="O1698" s="45"/>
      <c r="P1698" s="45"/>
      <c r="Q1698" s="45"/>
      <c r="R1698" s="45"/>
      <c r="S1698" s="45"/>
      <c r="T1698" s="45"/>
      <c r="U1698" s="45"/>
    </row>
    <row r="1699">
      <c r="A1699" s="79" t="s">
        <v>18782</v>
      </c>
      <c r="B1699" s="45"/>
      <c r="C1699" s="79" t="s">
        <v>18783</v>
      </c>
      <c r="D1699" s="45"/>
      <c r="E1699" s="79" t="s">
        <v>5742</v>
      </c>
      <c r="F1699" s="79" t="s">
        <v>5300</v>
      </c>
      <c r="G1699" s="80" t="s">
        <v>96</v>
      </c>
      <c r="H1699" s="90">
        <v>1.855E-4</v>
      </c>
      <c r="I1699" s="45"/>
      <c r="J1699" s="45"/>
      <c r="K1699" s="45"/>
      <c r="L1699" s="45"/>
      <c r="M1699" s="45"/>
      <c r="N1699" s="45"/>
      <c r="O1699" s="45"/>
      <c r="P1699" s="45"/>
      <c r="Q1699" s="45"/>
      <c r="R1699" s="45"/>
      <c r="S1699" s="45"/>
      <c r="T1699" s="45"/>
      <c r="U1699" s="45"/>
    </row>
    <row r="1700">
      <c r="A1700" s="79" t="s">
        <v>18784</v>
      </c>
      <c r="B1700" s="45"/>
      <c r="C1700" s="79" t="s">
        <v>18785</v>
      </c>
      <c r="D1700" s="45"/>
      <c r="E1700" s="79" t="s">
        <v>5434</v>
      </c>
      <c r="F1700" s="79" t="s">
        <v>5300</v>
      </c>
      <c r="G1700" s="80" t="s">
        <v>96</v>
      </c>
      <c r="H1700" s="90">
        <v>1.854E-4</v>
      </c>
      <c r="I1700" s="45"/>
      <c r="J1700" s="45"/>
      <c r="K1700" s="45"/>
      <c r="L1700" s="45"/>
      <c r="M1700" s="45"/>
      <c r="N1700" s="45"/>
      <c r="O1700" s="45"/>
      <c r="P1700" s="45"/>
      <c r="Q1700" s="45"/>
      <c r="R1700" s="45"/>
      <c r="S1700" s="45"/>
      <c r="T1700" s="45"/>
      <c r="U1700" s="45"/>
    </row>
    <row r="1701">
      <c r="A1701" s="79" t="s">
        <v>18786</v>
      </c>
      <c r="B1701" s="45"/>
      <c r="C1701" s="79" t="s">
        <v>18787</v>
      </c>
      <c r="D1701" s="45"/>
      <c r="E1701" s="79" t="s">
        <v>7248</v>
      </c>
      <c r="F1701" s="79" t="s">
        <v>5300</v>
      </c>
      <c r="G1701" s="80" t="s">
        <v>96</v>
      </c>
      <c r="H1701" s="90">
        <v>1.854E-4</v>
      </c>
      <c r="I1701" s="45"/>
      <c r="J1701" s="45"/>
      <c r="K1701" s="45"/>
      <c r="L1701" s="45"/>
      <c r="M1701" s="45"/>
      <c r="N1701" s="45"/>
      <c r="O1701" s="45"/>
      <c r="P1701" s="45"/>
      <c r="Q1701" s="45"/>
      <c r="R1701" s="45"/>
      <c r="S1701" s="45"/>
      <c r="T1701" s="45"/>
      <c r="U1701" s="45"/>
    </row>
    <row r="1702">
      <c r="A1702" s="79" t="s">
        <v>18788</v>
      </c>
      <c r="B1702" s="45"/>
      <c r="C1702" s="79" t="s">
        <v>18789</v>
      </c>
      <c r="D1702" s="45"/>
      <c r="E1702" s="79" t="s">
        <v>5296</v>
      </c>
      <c r="F1702" s="79" t="s">
        <v>9021</v>
      </c>
      <c r="G1702" s="80" t="s">
        <v>96</v>
      </c>
      <c r="H1702" s="90">
        <v>1.854E-4</v>
      </c>
      <c r="I1702" s="45"/>
      <c r="J1702" s="45"/>
      <c r="K1702" s="45"/>
      <c r="L1702" s="45"/>
      <c r="M1702" s="45"/>
      <c r="N1702" s="45"/>
      <c r="O1702" s="45"/>
      <c r="P1702" s="45"/>
      <c r="Q1702" s="45"/>
      <c r="R1702" s="45"/>
      <c r="S1702" s="45"/>
      <c r="T1702" s="45"/>
      <c r="U1702" s="45"/>
    </row>
    <row r="1703">
      <c r="A1703" s="79" t="s">
        <v>18790</v>
      </c>
      <c r="B1703" s="45"/>
      <c r="C1703" s="79" t="s">
        <v>18791</v>
      </c>
      <c r="D1703" s="45"/>
      <c r="E1703" s="79" t="s">
        <v>5341</v>
      </c>
      <c r="F1703" s="79" t="s">
        <v>5425</v>
      </c>
      <c r="G1703" s="80" t="s">
        <v>96</v>
      </c>
      <c r="H1703" s="90">
        <v>1.852E-4</v>
      </c>
      <c r="I1703" s="45"/>
      <c r="J1703" s="45"/>
      <c r="K1703" s="45"/>
      <c r="L1703" s="45"/>
      <c r="M1703" s="45"/>
      <c r="N1703" s="45"/>
      <c r="O1703" s="45"/>
      <c r="P1703" s="45"/>
      <c r="Q1703" s="45"/>
      <c r="R1703" s="45"/>
      <c r="S1703" s="45"/>
      <c r="T1703" s="45"/>
      <c r="U1703" s="45"/>
    </row>
    <row r="1704">
      <c r="A1704" s="79" t="s">
        <v>18792</v>
      </c>
      <c r="B1704" s="45"/>
      <c r="C1704" s="79" t="s">
        <v>18793</v>
      </c>
      <c r="D1704" s="45"/>
      <c r="E1704" s="79" t="s">
        <v>5868</v>
      </c>
      <c r="F1704" s="79" t="s">
        <v>8759</v>
      </c>
      <c r="G1704" s="80" t="s">
        <v>96</v>
      </c>
      <c r="H1704" s="90">
        <v>1.852E-4</v>
      </c>
      <c r="I1704" s="45"/>
      <c r="J1704" s="45"/>
      <c r="K1704" s="45"/>
      <c r="L1704" s="45"/>
      <c r="M1704" s="45"/>
      <c r="N1704" s="45"/>
      <c r="O1704" s="45"/>
      <c r="P1704" s="45"/>
      <c r="Q1704" s="45"/>
      <c r="R1704" s="45"/>
      <c r="S1704" s="45"/>
      <c r="T1704" s="45"/>
      <c r="U1704" s="45"/>
    </row>
    <row r="1705">
      <c r="A1705" s="79" t="s">
        <v>10832</v>
      </c>
      <c r="B1705" s="45"/>
      <c r="C1705" s="79" t="s">
        <v>10833</v>
      </c>
      <c r="D1705" s="45"/>
      <c r="E1705" s="79" t="s">
        <v>5561</v>
      </c>
      <c r="F1705" s="79" t="s">
        <v>6220</v>
      </c>
      <c r="G1705" s="80" t="s">
        <v>96</v>
      </c>
      <c r="H1705" s="90">
        <v>1.85E-4</v>
      </c>
      <c r="I1705" s="45"/>
      <c r="J1705" s="45"/>
      <c r="K1705" s="45"/>
      <c r="L1705" s="45"/>
      <c r="M1705" s="45"/>
      <c r="N1705" s="45"/>
      <c r="O1705" s="45"/>
      <c r="P1705" s="45"/>
      <c r="Q1705" s="45"/>
      <c r="R1705" s="45"/>
      <c r="S1705" s="45"/>
      <c r="T1705" s="45"/>
      <c r="U1705" s="45"/>
    </row>
    <row r="1706">
      <c r="A1706" s="79" t="s">
        <v>18794</v>
      </c>
      <c r="B1706" s="45"/>
      <c r="C1706" s="79" t="s">
        <v>18795</v>
      </c>
      <c r="D1706" s="45"/>
      <c r="E1706" s="79" t="s">
        <v>5390</v>
      </c>
      <c r="F1706" s="79" t="s">
        <v>8784</v>
      </c>
      <c r="G1706" s="80" t="s">
        <v>96</v>
      </c>
      <c r="H1706" s="90">
        <v>1.849E-4</v>
      </c>
      <c r="I1706" s="45"/>
      <c r="J1706" s="45"/>
      <c r="K1706" s="45"/>
      <c r="L1706" s="45"/>
      <c r="M1706" s="45"/>
      <c r="N1706" s="45"/>
      <c r="O1706" s="45"/>
      <c r="P1706" s="45"/>
      <c r="Q1706" s="45"/>
      <c r="R1706" s="45"/>
      <c r="S1706" s="45"/>
      <c r="T1706" s="45"/>
      <c r="U1706" s="45"/>
    </row>
    <row r="1707">
      <c r="A1707" s="79" t="s">
        <v>18796</v>
      </c>
      <c r="B1707" s="45"/>
      <c r="C1707" s="79" t="s">
        <v>18797</v>
      </c>
      <c r="D1707" s="45"/>
      <c r="E1707" s="79" t="s">
        <v>5215</v>
      </c>
      <c r="F1707" s="79" t="s">
        <v>5300</v>
      </c>
      <c r="G1707" s="80" t="s">
        <v>96</v>
      </c>
      <c r="H1707" s="90">
        <v>1.848E-4</v>
      </c>
      <c r="I1707" s="45"/>
      <c r="J1707" s="45"/>
      <c r="K1707" s="45"/>
      <c r="L1707" s="45"/>
      <c r="M1707" s="45"/>
      <c r="N1707" s="45"/>
      <c r="O1707" s="45"/>
      <c r="P1707" s="45"/>
      <c r="Q1707" s="45"/>
      <c r="R1707" s="45"/>
      <c r="S1707" s="45"/>
      <c r="T1707" s="45"/>
      <c r="U1707" s="45"/>
    </row>
    <row r="1708">
      <c r="A1708" s="79" t="s">
        <v>16823</v>
      </c>
      <c r="B1708" s="45"/>
      <c r="C1708" s="79" t="s">
        <v>18798</v>
      </c>
      <c r="D1708" s="45"/>
      <c r="E1708" s="79" t="s">
        <v>18799</v>
      </c>
      <c r="F1708" s="79" t="s">
        <v>5425</v>
      </c>
      <c r="G1708" s="80" t="s">
        <v>96</v>
      </c>
      <c r="H1708" s="90">
        <v>1.847E-4</v>
      </c>
      <c r="I1708" s="45"/>
      <c r="J1708" s="45"/>
      <c r="K1708" s="45"/>
      <c r="L1708" s="45"/>
      <c r="M1708" s="45"/>
      <c r="N1708" s="45"/>
      <c r="O1708" s="45"/>
      <c r="P1708" s="45"/>
      <c r="Q1708" s="45"/>
      <c r="R1708" s="45"/>
      <c r="S1708" s="45"/>
      <c r="T1708" s="45"/>
      <c r="U1708" s="45"/>
    </row>
    <row r="1709">
      <c r="A1709" s="79" t="s">
        <v>18800</v>
      </c>
      <c r="B1709" s="45"/>
      <c r="C1709" s="79" t="s">
        <v>18801</v>
      </c>
      <c r="D1709" s="45"/>
      <c r="E1709" s="79" t="s">
        <v>5456</v>
      </c>
      <c r="F1709" s="79" t="s">
        <v>5300</v>
      </c>
      <c r="G1709" s="80" t="s">
        <v>96</v>
      </c>
      <c r="H1709" s="90">
        <v>1.846E-4</v>
      </c>
      <c r="I1709" s="45"/>
      <c r="J1709" s="45"/>
      <c r="K1709" s="45"/>
      <c r="L1709" s="45"/>
      <c r="M1709" s="45"/>
      <c r="N1709" s="45"/>
      <c r="O1709" s="45"/>
      <c r="P1709" s="45"/>
      <c r="Q1709" s="45"/>
      <c r="R1709" s="45"/>
      <c r="S1709" s="45"/>
      <c r="T1709" s="45"/>
      <c r="U1709" s="45"/>
    </row>
    <row r="1710">
      <c r="A1710" s="79" t="s">
        <v>18802</v>
      </c>
      <c r="B1710" s="45"/>
      <c r="C1710" s="79" t="s">
        <v>18803</v>
      </c>
      <c r="D1710" s="45"/>
      <c r="E1710" s="79" t="s">
        <v>5335</v>
      </c>
      <c r="F1710" s="79" t="s">
        <v>8784</v>
      </c>
      <c r="G1710" s="80" t="s">
        <v>96</v>
      </c>
      <c r="H1710" s="90">
        <v>1.846E-4</v>
      </c>
      <c r="I1710" s="45"/>
      <c r="J1710" s="45"/>
      <c r="K1710" s="45"/>
      <c r="L1710" s="45"/>
      <c r="M1710" s="45"/>
      <c r="N1710" s="45"/>
      <c r="O1710" s="45"/>
      <c r="P1710" s="45"/>
      <c r="Q1710" s="45"/>
      <c r="R1710" s="45"/>
      <c r="S1710" s="45"/>
      <c r="T1710" s="45"/>
      <c r="U1710" s="45"/>
    </row>
    <row r="1711">
      <c r="A1711" s="79" t="s">
        <v>18120</v>
      </c>
      <c r="B1711" s="45"/>
      <c r="C1711" s="79" t="s">
        <v>18804</v>
      </c>
      <c r="D1711" s="45"/>
      <c r="E1711" s="79" t="s">
        <v>5374</v>
      </c>
      <c r="F1711" s="79" t="s">
        <v>5300</v>
      </c>
      <c r="G1711" s="80" t="s">
        <v>96</v>
      </c>
      <c r="H1711" s="90">
        <v>1.843E-4</v>
      </c>
      <c r="I1711" s="45"/>
      <c r="J1711" s="45"/>
      <c r="K1711" s="45"/>
      <c r="L1711" s="45"/>
      <c r="M1711" s="45"/>
      <c r="N1711" s="45"/>
      <c r="O1711" s="45"/>
      <c r="P1711" s="45"/>
      <c r="Q1711" s="45"/>
      <c r="R1711" s="45"/>
      <c r="S1711" s="45"/>
      <c r="T1711" s="45"/>
      <c r="U1711" s="45"/>
    </row>
    <row r="1712">
      <c r="A1712" s="79" t="s">
        <v>18805</v>
      </c>
      <c r="B1712" s="45"/>
      <c r="C1712" s="79" t="s">
        <v>18806</v>
      </c>
      <c r="D1712" s="45"/>
      <c r="E1712" s="79" t="s">
        <v>5759</v>
      </c>
      <c r="F1712" s="79" t="s">
        <v>5300</v>
      </c>
      <c r="G1712" s="80" t="s">
        <v>96</v>
      </c>
      <c r="H1712" s="90">
        <v>1.84E-4</v>
      </c>
      <c r="I1712" s="45"/>
      <c r="J1712" s="45"/>
      <c r="K1712" s="45"/>
      <c r="L1712" s="45"/>
      <c r="M1712" s="45"/>
      <c r="N1712" s="45"/>
      <c r="O1712" s="45"/>
      <c r="P1712" s="45"/>
      <c r="Q1712" s="45"/>
      <c r="R1712" s="45"/>
      <c r="S1712" s="45"/>
      <c r="T1712" s="45"/>
      <c r="U1712" s="45"/>
    </row>
    <row r="1713">
      <c r="A1713" s="79" t="s">
        <v>18807</v>
      </c>
      <c r="B1713" s="45"/>
      <c r="C1713" s="79" t="s">
        <v>18808</v>
      </c>
      <c r="D1713" s="45"/>
      <c r="E1713" s="79" t="s">
        <v>5226</v>
      </c>
      <c r="F1713" s="79" t="s">
        <v>5836</v>
      </c>
      <c r="G1713" s="80" t="s">
        <v>96</v>
      </c>
      <c r="H1713" s="90">
        <v>1.839E-4</v>
      </c>
      <c r="I1713" s="45"/>
      <c r="J1713" s="45"/>
      <c r="K1713" s="45"/>
      <c r="L1713" s="45"/>
      <c r="M1713" s="45"/>
      <c r="N1713" s="45"/>
      <c r="O1713" s="45"/>
      <c r="P1713" s="45"/>
      <c r="Q1713" s="45"/>
      <c r="R1713" s="45"/>
      <c r="S1713" s="45"/>
      <c r="T1713" s="45"/>
      <c r="U1713" s="45"/>
    </row>
    <row r="1714">
      <c r="A1714" s="79" t="s">
        <v>18809</v>
      </c>
      <c r="B1714" s="45"/>
      <c r="C1714" s="79" t="s">
        <v>18810</v>
      </c>
      <c r="D1714" s="45"/>
      <c r="E1714" s="79" t="s">
        <v>5283</v>
      </c>
      <c r="F1714" s="79" t="s">
        <v>5300</v>
      </c>
      <c r="G1714" s="80" t="s">
        <v>96</v>
      </c>
      <c r="H1714" s="90">
        <v>1.837E-4</v>
      </c>
      <c r="I1714" s="45"/>
      <c r="J1714" s="45"/>
      <c r="K1714" s="45"/>
      <c r="L1714" s="45"/>
      <c r="M1714" s="45"/>
      <c r="N1714" s="45"/>
      <c r="O1714" s="45"/>
      <c r="P1714" s="45"/>
      <c r="Q1714" s="45"/>
      <c r="R1714" s="45"/>
      <c r="S1714" s="45"/>
      <c r="T1714" s="45"/>
      <c r="U1714" s="45"/>
    </row>
    <row r="1715">
      <c r="A1715" s="79" t="s">
        <v>18811</v>
      </c>
      <c r="B1715" s="45"/>
      <c r="C1715" s="79" t="s">
        <v>18812</v>
      </c>
      <c r="D1715" s="45"/>
      <c r="E1715" s="79" t="s">
        <v>6338</v>
      </c>
      <c r="F1715" s="79" t="s">
        <v>9617</v>
      </c>
      <c r="G1715" s="80" t="s">
        <v>96</v>
      </c>
      <c r="H1715" s="90">
        <v>1.834E-4</v>
      </c>
      <c r="I1715" s="45"/>
      <c r="J1715" s="45"/>
      <c r="K1715" s="45"/>
      <c r="L1715" s="45"/>
      <c r="M1715" s="45"/>
      <c r="N1715" s="45"/>
      <c r="O1715" s="45"/>
      <c r="P1715" s="45"/>
      <c r="Q1715" s="45"/>
      <c r="R1715" s="45"/>
      <c r="S1715" s="45"/>
      <c r="T1715" s="45"/>
      <c r="U1715" s="45"/>
    </row>
    <row r="1716">
      <c r="A1716" s="79" t="s">
        <v>11106</v>
      </c>
      <c r="B1716" s="45"/>
      <c r="C1716" s="79" t="s">
        <v>11107</v>
      </c>
      <c r="D1716" s="45"/>
      <c r="E1716" s="79" t="s">
        <v>5478</v>
      </c>
      <c r="F1716" s="79" t="s">
        <v>8784</v>
      </c>
      <c r="G1716" s="80" t="s">
        <v>96</v>
      </c>
      <c r="H1716" s="90">
        <v>1.833E-4</v>
      </c>
      <c r="I1716" s="45"/>
      <c r="J1716" s="45"/>
      <c r="K1716" s="45"/>
      <c r="L1716" s="45"/>
      <c r="M1716" s="45"/>
      <c r="N1716" s="45"/>
      <c r="O1716" s="45"/>
      <c r="P1716" s="45"/>
      <c r="Q1716" s="45"/>
      <c r="R1716" s="45"/>
      <c r="S1716" s="45"/>
      <c r="T1716" s="45"/>
      <c r="U1716" s="45"/>
    </row>
    <row r="1717">
      <c r="A1717" s="79" t="s">
        <v>18813</v>
      </c>
      <c r="B1717" s="45"/>
      <c r="C1717" s="79" t="s">
        <v>18814</v>
      </c>
      <c r="D1717" s="45"/>
      <c r="E1717" s="79" t="s">
        <v>5341</v>
      </c>
      <c r="F1717" s="79" t="s">
        <v>5300</v>
      </c>
      <c r="G1717" s="80" t="s">
        <v>96</v>
      </c>
      <c r="H1717" s="90">
        <v>1.83E-4</v>
      </c>
      <c r="I1717" s="45"/>
      <c r="J1717" s="45"/>
      <c r="K1717" s="45"/>
      <c r="L1717" s="45"/>
      <c r="M1717" s="45"/>
      <c r="N1717" s="45"/>
      <c r="O1717" s="45"/>
      <c r="P1717" s="45"/>
      <c r="Q1717" s="45"/>
      <c r="R1717" s="45"/>
      <c r="S1717" s="45"/>
      <c r="T1717" s="45"/>
      <c r="U1717" s="45"/>
    </row>
    <row r="1718">
      <c r="A1718" s="79" t="s">
        <v>18815</v>
      </c>
      <c r="B1718" s="45"/>
      <c r="C1718" s="79" t="s">
        <v>18816</v>
      </c>
      <c r="D1718" s="45"/>
      <c r="E1718" s="79" t="s">
        <v>5276</v>
      </c>
      <c r="F1718" s="79" t="s">
        <v>5300</v>
      </c>
      <c r="G1718" s="80" t="s">
        <v>96</v>
      </c>
      <c r="H1718" s="90">
        <v>1.83E-4</v>
      </c>
      <c r="I1718" s="45"/>
      <c r="J1718" s="45"/>
      <c r="K1718" s="45"/>
      <c r="L1718" s="45"/>
      <c r="M1718" s="45"/>
      <c r="N1718" s="45"/>
      <c r="O1718" s="45"/>
      <c r="P1718" s="45"/>
      <c r="Q1718" s="45"/>
      <c r="R1718" s="45"/>
      <c r="S1718" s="45"/>
      <c r="T1718" s="45"/>
      <c r="U1718" s="45"/>
    </row>
    <row r="1719">
      <c r="A1719" s="79" t="s">
        <v>11000</v>
      </c>
      <c r="B1719" s="45"/>
      <c r="C1719" s="79" t="s">
        <v>11001</v>
      </c>
      <c r="D1719" s="45"/>
      <c r="E1719" s="79" t="s">
        <v>6157</v>
      </c>
      <c r="F1719" s="79" t="s">
        <v>8784</v>
      </c>
      <c r="G1719" s="80" t="s">
        <v>96</v>
      </c>
      <c r="H1719" s="90">
        <v>1.83E-4</v>
      </c>
      <c r="I1719" s="45"/>
      <c r="J1719" s="45"/>
      <c r="K1719" s="45"/>
      <c r="L1719" s="45"/>
      <c r="M1719" s="45"/>
      <c r="N1719" s="45"/>
      <c r="O1719" s="45"/>
      <c r="P1719" s="45"/>
      <c r="Q1719" s="45"/>
      <c r="R1719" s="45"/>
      <c r="S1719" s="45"/>
      <c r="T1719" s="45"/>
      <c r="U1719" s="45"/>
    </row>
    <row r="1720">
      <c r="A1720" s="79" t="s">
        <v>18817</v>
      </c>
      <c r="B1720" s="45"/>
      <c r="C1720" s="79" t="s">
        <v>18818</v>
      </c>
      <c r="D1720" s="45"/>
      <c r="E1720" s="79" t="s">
        <v>8154</v>
      </c>
      <c r="F1720" s="79" t="s">
        <v>8784</v>
      </c>
      <c r="G1720" s="80" t="s">
        <v>96</v>
      </c>
      <c r="H1720" s="90">
        <v>1.83E-4</v>
      </c>
      <c r="I1720" s="45"/>
      <c r="J1720" s="45"/>
      <c r="K1720" s="45"/>
      <c r="L1720" s="45"/>
      <c r="M1720" s="45"/>
      <c r="N1720" s="45"/>
      <c r="O1720" s="45"/>
      <c r="P1720" s="45"/>
      <c r="Q1720" s="45"/>
      <c r="R1720" s="45"/>
      <c r="S1720" s="45"/>
      <c r="T1720" s="45"/>
      <c r="U1720" s="45"/>
    </row>
    <row r="1721">
      <c r="A1721" s="79" t="s">
        <v>18819</v>
      </c>
      <c r="B1721" s="45"/>
      <c r="C1721" s="79" t="s">
        <v>18820</v>
      </c>
      <c r="D1721" s="45"/>
      <c r="E1721" s="79" t="s">
        <v>5961</v>
      </c>
      <c r="F1721" s="79" t="s">
        <v>5300</v>
      </c>
      <c r="G1721" s="80" t="s">
        <v>96</v>
      </c>
      <c r="H1721" s="90">
        <v>1.83E-4</v>
      </c>
      <c r="I1721" s="45"/>
      <c r="J1721" s="45"/>
      <c r="K1721" s="45"/>
      <c r="L1721" s="45"/>
      <c r="M1721" s="45"/>
      <c r="N1721" s="45"/>
      <c r="O1721" s="45"/>
      <c r="P1721" s="45"/>
      <c r="Q1721" s="45"/>
      <c r="R1721" s="45"/>
      <c r="S1721" s="45"/>
      <c r="T1721" s="45"/>
      <c r="U1721" s="45"/>
    </row>
    <row r="1722">
      <c r="A1722" s="79" t="s">
        <v>11072</v>
      </c>
      <c r="B1722" s="45"/>
      <c r="C1722" s="79" t="s">
        <v>11073</v>
      </c>
      <c r="D1722" s="45"/>
      <c r="E1722" s="79" t="s">
        <v>8951</v>
      </c>
      <c r="F1722" s="79" t="s">
        <v>8784</v>
      </c>
      <c r="G1722" s="80" t="s">
        <v>96</v>
      </c>
      <c r="H1722" s="90">
        <v>1.83E-4</v>
      </c>
      <c r="I1722" s="45"/>
      <c r="J1722" s="45"/>
      <c r="K1722" s="45"/>
      <c r="L1722" s="45"/>
      <c r="M1722" s="45"/>
      <c r="N1722" s="45"/>
      <c r="O1722" s="45"/>
      <c r="P1722" s="45"/>
      <c r="Q1722" s="45"/>
      <c r="R1722" s="45"/>
      <c r="S1722" s="45"/>
      <c r="T1722" s="45"/>
      <c r="U1722" s="45"/>
    </row>
    <row r="1723">
      <c r="A1723" s="79" t="s">
        <v>18821</v>
      </c>
      <c r="B1723" s="45"/>
      <c r="C1723" s="79" t="s">
        <v>18822</v>
      </c>
      <c r="D1723" s="45"/>
      <c r="E1723" s="79" t="s">
        <v>7098</v>
      </c>
      <c r="F1723" s="79" t="s">
        <v>4153</v>
      </c>
      <c r="G1723" s="80" t="s">
        <v>96</v>
      </c>
      <c r="H1723" s="90">
        <v>1.829E-4</v>
      </c>
      <c r="I1723" s="45"/>
      <c r="J1723" s="45"/>
      <c r="K1723" s="45"/>
      <c r="L1723" s="45"/>
      <c r="M1723" s="45"/>
      <c r="N1723" s="45"/>
      <c r="O1723" s="45"/>
      <c r="P1723" s="45"/>
      <c r="Q1723" s="45"/>
      <c r="R1723" s="45"/>
      <c r="S1723" s="45"/>
      <c r="T1723" s="45"/>
      <c r="U1723" s="45"/>
    </row>
    <row r="1724">
      <c r="A1724" s="79" t="s">
        <v>11142</v>
      </c>
      <c r="B1724" s="45"/>
      <c r="C1724" s="79" t="s">
        <v>11143</v>
      </c>
      <c r="D1724" s="45"/>
      <c r="E1724" s="79" t="s">
        <v>5280</v>
      </c>
      <c r="F1724" s="79" t="s">
        <v>8784</v>
      </c>
      <c r="G1724" s="80" t="s">
        <v>96</v>
      </c>
      <c r="H1724" s="90">
        <v>1.829E-4</v>
      </c>
      <c r="I1724" s="45"/>
      <c r="J1724" s="45"/>
      <c r="K1724" s="45"/>
      <c r="L1724" s="45"/>
      <c r="M1724" s="45"/>
      <c r="N1724" s="45"/>
      <c r="O1724" s="45"/>
      <c r="P1724" s="45"/>
      <c r="Q1724" s="45"/>
      <c r="R1724" s="45"/>
      <c r="S1724" s="45"/>
      <c r="T1724" s="45"/>
      <c r="U1724" s="45"/>
    </row>
    <row r="1725">
      <c r="A1725" s="79" t="s">
        <v>18823</v>
      </c>
      <c r="B1725" s="45"/>
      <c r="C1725" s="79" t="s">
        <v>18824</v>
      </c>
      <c r="D1725" s="45"/>
      <c r="E1725" s="79" t="s">
        <v>5276</v>
      </c>
      <c r="F1725" s="79" t="s">
        <v>5300</v>
      </c>
      <c r="G1725" s="80" t="s">
        <v>96</v>
      </c>
      <c r="H1725" s="90">
        <v>1.827E-4</v>
      </c>
      <c r="I1725" s="45"/>
      <c r="J1725" s="45"/>
      <c r="K1725" s="45"/>
      <c r="L1725" s="45"/>
      <c r="M1725" s="45"/>
      <c r="N1725" s="45"/>
      <c r="O1725" s="45"/>
      <c r="P1725" s="45"/>
      <c r="Q1725" s="45"/>
      <c r="R1725" s="45"/>
      <c r="S1725" s="45"/>
      <c r="T1725" s="45"/>
      <c r="U1725" s="45"/>
    </row>
    <row r="1726">
      <c r="A1726" s="79" t="s">
        <v>18825</v>
      </c>
      <c r="B1726" s="45"/>
      <c r="C1726" s="79" t="s">
        <v>18826</v>
      </c>
      <c r="D1726" s="45"/>
      <c r="E1726" s="79" t="s">
        <v>5296</v>
      </c>
      <c r="F1726" s="79" t="s">
        <v>5836</v>
      </c>
      <c r="G1726" s="80" t="s">
        <v>96</v>
      </c>
      <c r="H1726" s="90">
        <v>1.821E-4</v>
      </c>
      <c r="I1726" s="45"/>
      <c r="J1726" s="45"/>
      <c r="K1726" s="45"/>
      <c r="L1726" s="45"/>
      <c r="M1726" s="45"/>
      <c r="N1726" s="45"/>
      <c r="O1726" s="45"/>
      <c r="P1726" s="45"/>
      <c r="Q1726" s="45"/>
      <c r="R1726" s="45"/>
      <c r="S1726" s="45"/>
      <c r="T1726" s="45"/>
      <c r="U1726" s="45"/>
    </row>
    <row r="1727">
      <c r="A1727" s="79" t="s">
        <v>10964</v>
      </c>
      <c r="B1727" s="45"/>
      <c r="C1727" s="79" t="s">
        <v>10965</v>
      </c>
      <c r="D1727" s="45"/>
      <c r="E1727" s="79" t="s">
        <v>5348</v>
      </c>
      <c r="F1727" s="79" t="s">
        <v>8784</v>
      </c>
      <c r="G1727" s="80" t="s">
        <v>96</v>
      </c>
      <c r="H1727" s="90">
        <v>1.819E-4</v>
      </c>
      <c r="I1727" s="45"/>
      <c r="J1727" s="45"/>
      <c r="K1727" s="45"/>
      <c r="L1727" s="45"/>
      <c r="M1727" s="45"/>
      <c r="N1727" s="45"/>
      <c r="O1727" s="45"/>
      <c r="P1727" s="45"/>
      <c r="Q1727" s="45"/>
      <c r="R1727" s="45"/>
      <c r="S1727" s="45"/>
      <c r="T1727" s="45"/>
      <c r="U1727" s="45"/>
    </row>
    <row r="1728">
      <c r="A1728" s="79" t="s">
        <v>18827</v>
      </c>
      <c r="B1728" s="45"/>
      <c r="C1728" s="79" t="s">
        <v>18828</v>
      </c>
      <c r="D1728" s="45"/>
      <c r="E1728" s="79" t="s">
        <v>5215</v>
      </c>
      <c r="F1728" s="79" t="s">
        <v>8784</v>
      </c>
      <c r="G1728" s="80" t="s">
        <v>96</v>
      </c>
      <c r="H1728" s="90">
        <v>1.816E-4</v>
      </c>
      <c r="I1728" s="45"/>
      <c r="J1728" s="45"/>
      <c r="K1728" s="45"/>
      <c r="L1728" s="45"/>
      <c r="M1728" s="45"/>
      <c r="N1728" s="45"/>
      <c r="O1728" s="45"/>
      <c r="P1728" s="45"/>
      <c r="Q1728" s="45"/>
      <c r="R1728" s="45"/>
      <c r="S1728" s="45"/>
      <c r="T1728" s="45"/>
      <c r="U1728" s="45"/>
    </row>
    <row r="1729">
      <c r="A1729" s="79" t="s">
        <v>18829</v>
      </c>
      <c r="B1729" s="45"/>
      <c r="C1729" s="79" t="s">
        <v>18830</v>
      </c>
      <c r="D1729" s="45"/>
      <c r="E1729" s="79" t="s">
        <v>5456</v>
      </c>
      <c r="F1729" s="79" t="s">
        <v>5300</v>
      </c>
      <c r="G1729" s="80" t="s">
        <v>96</v>
      </c>
      <c r="H1729" s="90">
        <v>1.816E-4</v>
      </c>
      <c r="I1729" s="45"/>
      <c r="J1729" s="45"/>
      <c r="K1729" s="45"/>
      <c r="L1729" s="45"/>
      <c r="M1729" s="45"/>
      <c r="N1729" s="45"/>
      <c r="O1729" s="45"/>
      <c r="P1729" s="45"/>
      <c r="Q1729" s="45"/>
      <c r="R1729" s="45"/>
      <c r="S1729" s="45"/>
      <c r="T1729" s="45"/>
      <c r="U1729" s="45"/>
    </row>
    <row r="1730">
      <c r="A1730" s="79" t="s">
        <v>18831</v>
      </c>
      <c r="B1730" s="45"/>
      <c r="C1730" s="79" t="s">
        <v>18832</v>
      </c>
      <c r="D1730" s="45"/>
      <c r="E1730" s="79" t="s">
        <v>5445</v>
      </c>
      <c r="F1730" s="79" t="s">
        <v>5300</v>
      </c>
      <c r="G1730" s="80" t="s">
        <v>96</v>
      </c>
      <c r="H1730" s="90">
        <v>1.815E-4</v>
      </c>
      <c r="I1730" s="45"/>
      <c r="J1730" s="45"/>
      <c r="K1730" s="45"/>
      <c r="L1730" s="45"/>
      <c r="M1730" s="45"/>
      <c r="N1730" s="45"/>
      <c r="O1730" s="45"/>
      <c r="P1730" s="45"/>
      <c r="Q1730" s="45"/>
      <c r="R1730" s="45"/>
      <c r="S1730" s="45"/>
      <c r="T1730" s="45"/>
      <c r="U1730" s="45"/>
    </row>
    <row r="1731">
      <c r="A1731" s="79" t="s">
        <v>18833</v>
      </c>
      <c r="B1731" s="45"/>
      <c r="C1731" s="79" t="s">
        <v>18834</v>
      </c>
      <c r="D1731" s="45"/>
      <c r="E1731" s="79" t="s">
        <v>6012</v>
      </c>
      <c r="F1731" s="79" t="s">
        <v>6698</v>
      </c>
      <c r="G1731" s="80" t="s">
        <v>96</v>
      </c>
      <c r="H1731" s="90">
        <v>1.815E-4</v>
      </c>
      <c r="I1731" s="45"/>
      <c r="J1731" s="45"/>
      <c r="K1731" s="45"/>
      <c r="L1731" s="45"/>
      <c r="M1731" s="45"/>
      <c r="N1731" s="45"/>
      <c r="O1731" s="45"/>
      <c r="P1731" s="45"/>
      <c r="Q1731" s="45"/>
      <c r="R1731" s="45"/>
      <c r="S1731" s="45"/>
      <c r="T1731" s="45"/>
      <c r="U1731" s="45"/>
    </row>
    <row r="1732">
      <c r="A1732" s="79" t="s">
        <v>18835</v>
      </c>
      <c r="B1732" s="45"/>
      <c r="C1732" s="79" t="s">
        <v>18836</v>
      </c>
      <c r="D1732" s="45"/>
      <c r="E1732" s="79" t="s">
        <v>7248</v>
      </c>
      <c r="F1732" s="79" t="s">
        <v>5300</v>
      </c>
      <c r="G1732" s="80" t="s">
        <v>96</v>
      </c>
      <c r="H1732" s="90">
        <v>1.811E-4</v>
      </c>
      <c r="I1732" s="45"/>
      <c r="J1732" s="45"/>
      <c r="K1732" s="45"/>
      <c r="L1732" s="45"/>
      <c r="M1732" s="45"/>
      <c r="N1732" s="45"/>
      <c r="O1732" s="45"/>
      <c r="P1732" s="45"/>
      <c r="Q1732" s="45"/>
      <c r="R1732" s="45"/>
      <c r="S1732" s="45"/>
      <c r="T1732" s="45"/>
      <c r="U1732" s="45"/>
    </row>
    <row r="1733">
      <c r="A1733" s="79" t="s">
        <v>18837</v>
      </c>
      <c r="B1733" s="45"/>
      <c r="C1733" s="79" t="s">
        <v>18838</v>
      </c>
      <c r="D1733" s="45"/>
      <c r="E1733" s="79" t="s">
        <v>5478</v>
      </c>
      <c r="F1733" s="79" t="s">
        <v>5300</v>
      </c>
      <c r="G1733" s="80" t="s">
        <v>96</v>
      </c>
      <c r="H1733" s="90">
        <v>1.811E-4</v>
      </c>
      <c r="I1733" s="45"/>
      <c r="J1733" s="45"/>
      <c r="K1733" s="45"/>
      <c r="L1733" s="45"/>
      <c r="M1733" s="45"/>
      <c r="N1733" s="45"/>
      <c r="O1733" s="45"/>
      <c r="P1733" s="45"/>
      <c r="Q1733" s="45"/>
      <c r="R1733" s="45"/>
      <c r="S1733" s="45"/>
      <c r="T1733" s="45"/>
      <c r="U1733" s="45"/>
    </row>
    <row r="1734">
      <c r="A1734" s="79" t="s">
        <v>18839</v>
      </c>
      <c r="B1734" s="45"/>
      <c r="C1734" s="79" t="s">
        <v>18840</v>
      </c>
      <c r="D1734" s="45"/>
      <c r="E1734" s="79" t="s">
        <v>5341</v>
      </c>
      <c r="F1734" s="79" t="s">
        <v>5300</v>
      </c>
      <c r="G1734" s="80" t="s">
        <v>96</v>
      </c>
      <c r="H1734" s="90">
        <v>1.81E-4</v>
      </c>
      <c r="I1734" s="45"/>
      <c r="J1734" s="45"/>
      <c r="K1734" s="45"/>
      <c r="L1734" s="45"/>
      <c r="M1734" s="45"/>
      <c r="N1734" s="45"/>
      <c r="O1734" s="45"/>
      <c r="P1734" s="45"/>
      <c r="Q1734" s="45"/>
      <c r="R1734" s="45"/>
      <c r="S1734" s="45"/>
      <c r="T1734" s="45"/>
      <c r="U1734" s="45"/>
    </row>
    <row r="1735">
      <c r="A1735" s="79" t="s">
        <v>18841</v>
      </c>
      <c r="B1735" s="45"/>
      <c r="C1735" s="79" t="s">
        <v>18842</v>
      </c>
      <c r="D1735" s="45"/>
      <c r="E1735" s="79" t="s">
        <v>5215</v>
      </c>
      <c r="F1735" s="79" t="s">
        <v>5300</v>
      </c>
      <c r="G1735" s="80" t="s">
        <v>96</v>
      </c>
      <c r="H1735" s="90">
        <v>1.809E-4</v>
      </c>
      <c r="I1735" s="45"/>
      <c r="J1735" s="45"/>
      <c r="K1735" s="45"/>
      <c r="L1735" s="45"/>
      <c r="M1735" s="45"/>
      <c r="N1735" s="45"/>
      <c r="O1735" s="45"/>
      <c r="P1735" s="45"/>
      <c r="Q1735" s="45"/>
      <c r="R1735" s="45"/>
      <c r="S1735" s="45"/>
      <c r="T1735" s="45"/>
      <c r="U1735" s="45"/>
    </row>
    <row r="1736">
      <c r="A1736" s="79" t="s">
        <v>18843</v>
      </c>
      <c r="B1736" s="45"/>
      <c r="C1736" s="79" t="s">
        <v>18844</v>
      </c>
      <c r="D1736" s="45"/>
      <c r="E1736" s="79" t="s">
        <v>5276</v>
      </c>
      <c r="F1736" s="79" t="s">
        <v>5300</v>
      </c>
      <c r="G1736" s="80" t="s">
        <v>96</v>
      </c>
      <c r="H1736" s="90">
        <v>1.807E-4</v>
      </c>
      <c r="I1736" s="45"/>
      <c r="J1736" s="45"/>
      <c r="K1736" s="45"/>
      <c r="L1736" s="45"/>
      <c r="M1736" s="45"/>
      <c r="N1736" s="45"/>
      <c r="O1736" s="45"/>
      <c r="P1736" s="45"/>
      <c r="Q1736" s="45"/>
      <c r="R1736" s="45"/>
      <c r="S1736" s="45"/>
      <c r="T1736" s="45"/>
      <c r="U1736" s="45"/>
    </row>
    <row r="1737">
      <c r="A1737" s="79" t="s">
        <v>11041</v>
      </c>
      <c r="B1737" s="45"/>
      <c r="C1737" s="79" t="s">
        <v>11042</v>
      </c>
      <c r="D1737" s="45"/>
      <c r="E1737" s="79" t="s">
        <v>5238</v>
      </c>
      <c r="F1737" s="79" t="s">
        <v>9513</v>
      </c>
      <c r="G1737" s="80" t="s">
        <v>96</v>
      </c>
      <c r="H1737" s="90">
        <v>1.807E-4</v>
      </c>
      <c r="I1737" s="45"/>
      <c r="J1737" s="45"/>
      <c r="K1737" s="45"/>
      <c r="L1737" s="45"/>
      <c r="M1737" s="45"/>
      <c r="N1737" s="45"/>
      <c r="O1737" s="45"/>
      <c r="P1737" s="45"/>
      <c r="Q1737" s="45"/>
      <c r="R1737" s="45"/>
      <c r="S1737" s="45"/>
      <c r="T1737" s="45"/>
      <c r="U1737" s="45"/>
    </row>
    <row r="1738">
      <c r="A1738" s="79" t="s">
        <v>10921</v>
      </c>
      <c r="B1738" s="45"/>
      <c r="C1738" s="79" t="s">
        <v>10922</v>
      </c>
      <c r="D1738" s="45"/>
      <c r="E1738" s="79" t="s">
        <v>5407</v>
      </c>
      <c r="F1738" s="79" t="s">
        <v>4095</v>
      </c>
      <c r="G1738" s="80" t="s">
        <v>96</v>
      </c>
      <c r="H1738" s="90">
        <v>1.803E-4</v>
      </c>
      <c r="I1738" s="45"/>
      <c r="J1738" s="45"/>
      <c r="K1738" s="45"/>
      <c r="L1738" s="45"/>
      <c r="M1738" s="45"/>
      <c r="N1738" s="45"/>
      <c r="O1738" s="45"/>
      <c r="P1738" s="45"/>
      <c r="Q1738" s="45"/>
      <c r="R1738" s="45"/>
      <c r="S1738" s="45"/>
      <c r="T1738" s="45"/>
      <c r="U1738" s="45"/>
    </row>
    <row r="1739">
      <c r="A1739" s="79" t="s">
        <v>18845</v>
      </c>
      <c r="B1739" s="45"/>
      <c r="C1739" s="79" t="s">
        <v>18846</v>
      </c>
      <c r="D1739" s="45"/>
      <c r="E1739" s="79" t="s">
        <v>5609</v>
      </c>
      <c r="F1739" s="79" t="s">
        <v>5300</v>
      </c>
      <c r="G1739" s="80" t="s">
        <v>96</v>
      </c>
      <c r="H1739" s="90">
        <v>1.802E-4</v>
      </c>
      <c r="I1739" s="45"/>
      <c r="J1739" s="45"/>
      <c r="K1739" s="45"/>
      <c r="L1739" s="45"/>
      <c r="M1739" s="45"/>
      <c r="N1739" s="45"/>
      <c r="O1739" s="45"/>
      <c r="P1739" s="45"/>
      <c r="Q1739" s="45"/>
      <c r="R1739" s="45"/>
      <c r="S1739" s="45"/>
      <c r="T1739" s="45"/>
      <c r="U1739" s="45"/>
    </row>
    <row r="1740">
      <c r="A1740" s="79" t="s">
        <v>18847</v>
      </c>
      <c r="B1740" s="45"/>
      <c r="C1740" s="79" t="s">
        <v>18848</v>
      </c>
      <c r="D1740" s="45"/>
      <c r="E1740" s="79" t="s">
        <v>5238</v>
      </c>
      <c r="F1740" s="79" t="s">
        <v>5300</v>
      </c>
      <c r="G1740" s="80" t="s">
        <v>96</v>
      </c>
      <c r="H1740" s="90">
        <v>1.799E-4</v>
      </c>
      <c r="I1740" s="45"/>
      <c r="J1740" s="45"/>
      <c r="K1740" s="45"/>
      <c r="L1740" s="45"/>
      <c r="M1740" s="45"/>
      <c r="N1740" s="45"/>
      <c r="O1740" s="45"/>
      <c r="P1740" s="45"/>
      <c r="Q1740" s="45"/>
      <c r="R1740" s="45"/>
      <c r="S1740" s="45"/>
      <c r="T1740" s="45"/>
      <c r="U1740" s="45"/>
    </row>
    <row r="1741">
      <c r="A1741" s="79" t="s">
        <v>18849</v>
      </c>
      <c r="B1741" s="45"/>
      <c r="C1741" s="79" t="s">
        <v>18850</v>
      </c>
      <c r="D1741" s="45"/>
      <c r="E1741" s="79" t="s">
        <v>8230</v>
      </c>
      <c r="F1741" s="79" t="s">
        <v>5300</v>
      </c>
      <c r="G1741" s="80" t="s">
        <v>96</v>
      </c>
      <c r="H1741" s="90">
        <v>1.798E-4</v>
      </c>
      <c r="I1741" s="45"/>
      <c r="J1741" s="45"/>
      <c r="K1741" s="45"/>
      <c r="L1741" s="45"/>
      <c r="M1741" s="45"/>
      <c r="N1741" s="45"/>
      <c r="O1741" s="45"/>
      <c r="P1741" s="45"/>
      <c r="Q1741" s="45"/>
      <c r="R1741" s="45"/>
      <c r="S1741" s="45"/>
      <c r="T1741" s="45"/>
      <c r="U1741" s="45"/>
    </row>
    <row r="1742">
      <c r="A1742" s="79" t="s">
        <v>18264</v>
      </c>
      <c r="B1742" s="45"/>
      <c r="C1742" s="79" t="s">
        <v>18851</v>
      </c>
      <c r="D1742" s="45"/>
      <c r="E1742" s="79" t="s">
        <v>5715</v>
      </c>
      <c r="F1742" s="79" t="s">
        <v>5425</v>
      </c>
      <c r="G1742" s="80" t="s">
        <v>96</v>
      </c>
      <c r="H1742" s="90">
        <v>1.797E-4</v>
      </c>
      <c r="I1742" s="45"/>
      <c r="J1742" s="45"/>
      <c r="K1742" s="45"/>
      <c r="L1742" s="45"/>
      <c r="M1742" s="45"/>
      <c r="N1742" s="45"/>
      <c r="O1742" s="45"/>
      <c r="P1742" s="45"/>
      <c r="Q1742" s="45"/>
      <c r="R1742" s="45"/>
      <c r="S1742" s="45"/>
      <c r="T1742" s="45"/>
      <c r="U1742" s="45"/>
    </row>
    <row r="1743">
      <c r="A1743" s="79" t="s">
        <v>18852</v>
      </c>
      <c r="B1743" s="45"/>
      <c r="C1743" s="79" t="s">
        <v>18853</v>
      </c>
      <c r="D1743" s="45"/>
      <c r="E1743" s="79" t="s">
        <v>5341</v>
      </c>
      <c r="F1743" s="79" t="s">
        <v>8784</v>
      </c>
      <c r="G1743" s="80" t="s">
        <v>96</v>
      </c>
      <c r="H1743" s="90">
        <v>1.795E-4</v>
      </c>
      <c r="I1743" s="45"/>
      <c r="J1743" s="45"/>
      <c r="K1743" s="45"/>
      <c r="L1743" s="45"/>
      <c r="M1743" s="45"/>
      <c r="N1743" s="45"/>
      <c r="O1743" s="45"/>
      <c r="P1743" s="45"/>
      <c r="Q1743" s="45"/>
      <c r="R1743" s="45"/>
      <c r="S1743" s="45"/>
      <c r="T1743" s="45"/>
      <c r="U1743" s="45"/>
    </row>
    <row r="1744">
      <c r="A1744" s="79" t="s">
        <v>18854</v>
      </c>
      <c r="B1744" s="45"/>
      <c r="C1744" s="79" t="s">
        <v>18855</v>
      </c>
      <c r="D1744" s="45"/>
      <c r="E1744" s="79" t="s">
        <v>5401</v>
      </c>
      <c r="F1744" s="79" t="s">
        <v>5300</v>
      </c>
      <c r="G1744" s="80" t="s">
        <v>96</v>
      </c>
      <c r="H1744" s="90">
        <v>1.793E-4</v>
      </c>
      <c r="I1744" s="45"/>
      <c r="J1744" s="45"/>
      <c r="K1744" s="45"/>
      <c r="L1744" s="45"/>
      <c r="M1744" s="45"/>
      <c r="N1744" s="45"/>
      <c r="O1744" s="45"/>
      <c r="P1744" s="45"/>
      <c r="Q1744" s="45"/>
      <c r="R1744" s="45"/>
      <c r="S1744" s="45"/>
      <c r="T1744" s="45"/>
      <c r="U1744" s="45"/>
    </row>
    <row r="1745">
      <c r="A1745" s="79" t="s">
        <v>18856</v>
      </c>
      <c r="B1745" s="45"/>
      <c r="C1745" s="79" t="s">
        <v>18857</v>
      </c>
      <c r="D1745" s="45"/>
      <c r="E1745" s="79" t="s">
        <v>5338</v>
      </c>
      <c r="F1745" s="79" t="s">
        <v>5300</v>
      </c>
      <c r="G1745" s="80" t="s">
        <v>96</v>
      </c>
      <c r="H1745" s="90">
        <v>1.791E-4</v>
      </c>
      <c r="I1745" s="45"/>
      <c r="J1745" s="45"/>
      <c r="K1745" s="45"/>
      <c r="L1745" s="45"/>
      <c r="M1745" s="45"/>
      <c r="N1745" s="45"/>
      <c r="O1745" s="45"/>
      <c r="P1745" s="45"/>
      <c r="Q1745" s="45"/>
      <c r="R1745" s="45"/>
      <c r="S1745" s="45"/>
      <c r="T1745" s="45"/>
      <c r="U1745" s="45"/>
    </row>
    <row r="1746">
      <c r="A1746" s="79" t="s">
        <v>18858</v>
      </c>
      <c r="B1746" s="45"/>
      <c r="C1746" s="79" t="s">
        <v>18859</v>
      </c>
      <c r="D1746" s="45"/>
      <c r="E1746" s="79" t="s">
        <v>6090</v>
      </c>
      <c r="F1746" s="79" t="s">
        <v>5300</v>
      </c>
      <c r="G1746" s="80" t="s">
        <v>96</v>
      </c>
      <c r="H1746" s="90">
        <v>1.791E-4</v>
      </c>
      <c r="I1746" s="45"/>
      <c r="J1746" s="45"/>
      <c r="K1746" s="45"/>
      <c r="L1746" s="45"/>
      <c r="M1746" s="45"/>
      <c r="N1746" s="45"/>
      <c r="O1746" s="45"/>
      <c r="P1746" s="45"/>
      <c r="Q1746" s="45"/>
      <c r="R1746" s="45"/>
      <c r="S1746" s="45"/>
      <c r="T1746" s="45"/>
      <c r="U1746" s="45"/>
    </row>
    <row r="1747">
      <c r="A1747" s="79" t="s">
        <v>18860</v>
      </c>
      <c r="B1747" s="45"/>
      <c r="C1747" s="79" t="s">
        <v>18861</v>
      </c>
      <c r="D1747" s="45"/>
      <c r="E1747" s="79" t="s">
        <v>5395</v>
      </c>
      <c r="F1747" s="79" t="s">
        <v>5300</v>
      </c>
      <c r="G1747" s="80" t="s">
        <v>96</v>
      </c>
      <c r="H1747" s="90">
        <v>1.789E-4</v>
      </c>
      <c r="I1747" s="45"/>
      <c r="J1747" s="45"/>
      <c r="K1747" s="45"/>
      <c r="L1747" s="45"/>
      <c r="M1747" s="45"/>
      <c r="N1747" s="45"/>
      <c r="O1747" s="45"/>
      <c r="P1747" s="45"/>
      <c r="Q1747" s="45"/>
      <c r="R1747" s="45"/>
      <c r="S1747" s="45"/>
      <c r="T1747" s="45"/>
      <c r="U1747" s="45"/>
    </row>
    <row r="1748">
      <c r="A1748" s="79" t="s">
        <v>18862</v>
      </c>
      <c r="B1748" s="45"/>
      <c r="C1748" s="79" t="s">
        <v>18863</v>
      </c>
      <c r="D1748" s="45"/>
      <c r="E1748" s="79" t="s">
        <v>5448</v>
      </c>
      <c r="F1748" s="79" t="s">
        <v>5300</v>
      </c>
      <c r="G1748" s="80" t="s">
        <v>96</v>
      </c>
      <c r="H1748" s="90">
        <v>1.788E-4</v>
      </c>
      <c r="I1748" s="45"/>
      <c r="J1748" s="45"/>
      <c r="K1748" s="45"/>
      <c r="L1748" s="45"/>
      <c r="M1748" s="45"/>
      <c r="N1748" s="45"/>
      <c r="O1748" s="45"/>
      <c r="P1748" s="45"/>
      <c r="Q1748" s="45"/>
      <c r="R1748" s="45"/>
      <c r="S1748" s="45"/>
      <c r="T1748" s="45"/>
      <c r="U1748" s="45"/>
    </row>
    <row r="1749">
      <c r="A1749" s="79" t="s">
        <v>18864</v>
      </c>
      <c r="B1749" s="45"/>
      <c r="C1749" s="79" t="s">
        <v>18865</v>
      </c>
      <c r="D1749" s="45"/>
      <c r="E1749" s="79" t="s">
        <v>6130</v>
      </c>
      <c r="F1749" s="79" t="s">
        <v>5300</v>
      </c>
      <c r="G1749" s="80" t="s">
        <v>96</v>
      </c>
      <c r="H1749" s="90">
        <v>1.788E-4</v>
      </c>
      <c r="I1749" s="45"/>
      <c r="J1749" s="45"/>
      <c r="K1749" s="45"/>
      <c r="L1749" s="45"/>
      <c r="M1749" s="45"/>
      <c r="N1749" s="45"/>
      <c r="O1749" s="45"/>
      <c r="P1749" s="45"/>
      <c r="Q1749" s="45"/>
      <c r="R1749" s="45"/>
      <c r="S1749" s="45"/>
      <c r="T1749" s="45"/>
      <c r="U1749" s="45"/>
    </row>
    <row r="1750">
      <c r="A1750" s="79" t="s">
        <v>18866</v>
      </c>
      <c r="B1750" s="45"/>
      <c r="C1750" s="79" t="s">
        <v>18867</v>
      </c>
      <c r="D1750" s="45"/>
      <c r="E1750" s="79" t="s">
        <v>5291</v>
      </c>
      <c r="F1750" s="79" t="s">
        <v>5425</v>
      </c>
      <c r="G1750" s="80" t="s">
        <v>96</v>
      </c>
      <c r="H1750" s="90">
        <v>1.786E-4</v>
      </c>
      <c r="I1750" s="45"/>
      <c r="J1750" s="45"/>
      <c r="K1750" s="45"/>
      <c r="L1750" s="45"/>
      <c r="M1750" s="45"/>
      <c r="N1750" s="45"/>
      <c r="O1750" s="45"/>
      <c r="P1750" s="45"/>
      <c r="Q1750" s="45"/>
      <c r="R1750" s="45"/>
      <c r="S1750" s="45"/>
      <c r="T1750" s="45"/>
      <c r="U1750" s="45"/>
    </row>
    <row r="1751">
      <c r="A1751" s="79" t="s">
        <v>11038</v>
      </c>
      <c r="B1751" s="45"/>
      <c r="C1751" s="79" t="s">
        <v>11039</v>
      </c>
      <c r="D1751" s="45"/>
      <c r="E1751" s="79" t="s">
        <v>5715</v>
      </c>
      <c r="F1751" s="79" t="s">
        <v>5747</v>
      </c>
      <c r="G1751" s="80" t="s">
        <v>96</v>
      </c>
      <c r="H1751" s="90">
        <v>1.786E-4</v>
      </c>
      <c r="I1751" s="45"/>
      <c r="J1751" s="45"/>
      <c r="K1751" s="45"/>
      <c r="L1751" s="45"/>
      <c r="M1751" s="45"/>
      <c r="N1751" s="45"/>
      <c r="O1751" s="45"/>
      <c r="P1751" s="45"/>
      <c r="Q1751" s="45"/>
      <c r="R1751" s="45"/>
      <c r="S1751" s="45"/>
      <c r="T1751" s="45"/>
      <c r="U1751" s="45"/>
    </row>
    <row r="1752">
      <c r="A1752" s="79" t="s">
        <v>10894</v>
      </c>
      <c r="B1752" s="45"/>
      <c r="C1752" s="79" t="s">
        <v>10895</v>
      </c>
      <c r="D1752" s="45"/>
      <c r="E1752" s="79" t="s">
        <v>5675</v>
      </c>
      <c r="F1752" s="79" t="s">
        <v>5941</v>
      </c>
      <c r="G1752" s="80" t="s">
        <v>96</v>
      </c>
      <c r="H1752" s="90">
        <v>1.785E-4</v>
      </c>
      <c r="I1752" s="45"/>
      <c r="J1752" s="45"/>
      <c r="K1752" s="45"/>
      <c r="L1752" s="45"/>
      <c r="M1752" s="45"/>
      <c r="N1752" s="45"/>
      <c r="O1752" s="45"/>
      <c r="P1752" s="45"/>
      <c r="Q1752" s="45"/>
      <c r="R1752" s="45"/>
      <c r="S1752" s="45"/>
      <c r="T1752" s="45"/>
      <c r="U1752" s="45"/>
    </row>
    <row r="1753">
      <c r="A1753" s="79" t="s">
        <v>18868</v>
      </c>
      <c r="B1753" s="45"/>
      <c r="C1753" s="79" t="s">
        <v>18869</v>
      </c>
      <c r="D1753" s="45"/>
      <c r="E1753" s="79" t="s">
        <v>5650</v>
      </c>
      <c r="F1753" s="79" t="s">
        <v>5300</v>
      </c>
      <c r="G1753" s="80" t="s">
        <v>96</v>
      </c>
      <c r="H1753" s="90">
        <v>1.784E-4</v>
      </c>
      <c r="I1753" s="45"/>
      <c r="J1753" s="45"/>
      <c r="K1753" s="45"/>
      <c r="L1753" s="45"/>
      <c r="M1753" s="45"/>
      <c r="N1753" s="45"/>
      <c r="O1753" s="45"/>
      <c r="P1753" s="45"/>
      <c r="Q1753" s="45"/>
      <c r="R1753" s="45"/>
      <c r="S1753" s="45"/>
      <c r="T1753" s="45"/>
      <c r="U1753" s="45"/>
    </row>
    <row r="1754">
      <c r="A1754" s="79" t="s">
        <v>18870</v>
      </c>
      <c r="B1754" s="45"/>
      <c r="C1754" s="79" t="s">
        <v>18871</v>
      </c>
      <c r="D1754" s="45"/>
      <c r="E1754" s="79" t="s">
        <v>5249</v>
      </c>
      <c r="F1754" s="79" t="s">
        <v>5300</v>
      </c>
      <c r="G1754" s="80" t="s">
        <v>96</v>
      </c>
      <c r="H1754" s="90">
        <v>1.783E-4</v>
      </c>
      <c r="I1754" s="45"/>
      <c r="J1754" s="45"/>
      <c r="K1754" s="45"/>
      <c r="L1754" s="45"/>
      <c r="M1754" s="45"/>
      <c r="N1754" s="45"/>
      <c r="O1754" s="45"/>
      <c r="P1754" s="45"/>
      <c r="Q1754" s="45"/>
      <c r="R1754" s="45"/>
      <c r="S1754" s="45"/>
      <c r="T1754" s="45"/>
      <c r="U1754" s="45"/>
    </row>
    <row r="1755">
      <c r="A1755" s="79" t="s">
        <v>17282</v>
      </c>
      <c r="B1755" s="45"/>
      <c r="C1755" s="79" t="s">
        <v>18872</v>
      </c>
      <c r="D1755" s="45"/>
      <c r="E1755" s="79" t="s">
        <v>5691</v>
      </c>
      <c r="F1755" s="79" t="s">
        <v>5425</v>
      </c>
      <c r="G1755" s="80" t="s">
        <v>96</v>
      </c>
      <c r="H1755" s="90">
        <v>1.781E-4</v>
      </c>
      <c r="I1755" s="45"/>
      <c r="J1755" s="45"/>
      <c r="K1755" s="45"/>
      <c r="L1755" s="45"/>
      <c r="M1755" s="45"/>
      <c r="N1755" s="45"/>
      <c r="O1755" s="45"/>
      <c r="P1755" s="45"/>
      <c r="Q1755" s="45"/>
      <c r="R1755" s="45"/>
      <c r="S1755" s="45"/>
      <c r="T1755" s="45"/>
      <c r="U1755" s="45"/>
    </row>
    <row r="1756">
      <c r="A1756" s="79" t="s">
        <v>11077</v>
      </c>
      <c r="B1756" s="45"/>
      <c r="C1756" s="79" t="s">
        <v>11078</v>
      </c>
      <c r="D1756" s="45"/>
      <c r="E1756" s="79" t="s">
        <v>6801</v>
      </c>
      <c r="F1756" s="79" t="s">
        <v>8784</v>
      </c>
      <c r="G1756" s="80" t="s">
        <v>96</v>
      </c>
      <c r="H1756" s="90">
        <v>1.778E-4</v>
      </c>
      <c r="I1756" s="45"/>
      <c r="J1756" s="45"/>
      <c r="K1756" s="45"/>
      <c r="L1756" s="45"/>
      <c r="M1756" s="45"/>
      <c r="N1756" s="45"/>
      <c r="O1756" s="45"/>
      <c r="P1756" s="45"/>
      <c r="Q1756" s="45"/>
      <c r="R1756" s="45"/>
      <c r="S1756" s="45"/>
      <c r="T1756" s="45"/>
      <c r="U1756" s="45"/>
    </row>
    <row r="1757">
      <c r="A1757" s="79" t="s">
        <v>18873</v>
      </c>
      <c r="B1757" s="45"/>
      <c r="C1757" s="79" t="s">
        <v>18874</v>
      </c>
      <c r="D1757" s="45"/>
      <c r="E1757" s="79" t="s">
        <v>5775</v>
      </c>
      <c r="F1757" s="79" t="s">
        <v>5300</v>
      </c>
      <c r="G1757" s="80" t="s">
        <v>96</v>
      </c>
      <c r="H1757" s="90">
        <v>1.776E-4</v>
      </c>
      <c r="I1757" s="45"/>
      <c r="J1757" s="45"/>
      <c r="K1757" s="45"/>
      <c r="L1757" s="45"/>
      <c r="M1757" s="45"/>
      <c r="N1757" s="45"/>
      <c r="O1757" s="45"/>
      <c r="P1757" s="45"/>
      <c r="Q1757" s="45"/>
      <c r="R1757" s="45"/>
      <c r="S1757" s="45"/>
      <c r="T1757" s="45"/>
      <c r="U1757" s="45"/>
    </row>
    <row r="1758">
      <c r="A1758" s="79" t="s">
        <v>18875</v>
      </c>
      <c r="B1758" s="45"/>
      <c r="C1758" s="79" t="s">
        <v>18876</v>
      </c>
      <c r="D1758" s="45"/>
      <c r="E1758" s="79" t="s">
        <v>5283</v>
      </c>
      <c r="F1758" s="79" t="s">
        <v>9414</v>
      </c>
      <c r="G1758" s="80" t="s">
        <v>96</v>
      </c>
      <c r="H1758" s="90">
        <v>1.775E-4</v>
      </c>
      <c r="I1758" s="45"/>
      <c r="J1758" s="45"/>
      <c r="K1758" s="45"/>
      <c r="L1758" s="45"/>
      <c r="M1758" s="45"/>
      <c r="N1758" s="45"/>
      <c r="O1758" s="45"/>
      <c r="P1758" s="45"/>
      <c r="Q1758" s="45"/>
      <c r="R1758" s="45"/>
      <c r="S1758" s="45"/>
      <c r="T1758" s="45"/>
      <c r="U1758" s="45"/>
    </row>
    <row r="1759">
      <c r="A1759" s="79" t="s">
        <v>18877</v>
      </c>
      <c r="B1759" s="45"/>
      <c r="C1759" s="79" t="s">
        <v>18878</v>
      </c>
      <c r="D1759" s="45"/>
      <c r="E1759" s="79" t="s">
        <v>5215</v>
      </c>
      <c r="F1759" s="79" t="s">
        <v>9513</v>
      </c>
      <c r="G1759" s="80" t="s">
        <v>96</v>
      </c>
      <c r="H1759" s="90">
        <v>1.773E-4</v>
      </c>
      <c r="I1759" s="45"/>
      <c r="J1759" s="45"/>
      <c r="K1759" s="45"/>
      <c r="L1759" s="45"/>
      <c r="M1759" s="45"/>
      <c r="N1759" s="45"/>
      <c r="O1759" s="45"/>
      <c r="P1759" s="45"/>
      <c r="Q1759" s="45"/>
      <c r="R1759" s="45"/>
      <c r="S1759" s="45"/>
      <c r="T1759" s="45"/>
      <c r="U1759" s="45"/>
    </row>
    <row r="1760">
      <c r="A1760" s="79" t="s">
        <v>18879</v>
      </c>
      <c r="B1760" s="45"/>
      <c r="C1760" s="79" t="s">
        <v>18880</v>
      </c>
      <c r="D1760" s="45"/>
      <c r="E1760" s="79" t="s">
        <v>6266</v>
      </c>
      <c r="F1760" s="79" t="s">
        <v>6210</v>
      </c>
      <c r="G1760" s="80" t="s">
        <v>96</v>
      </c>
      <c r="H1760" s="90">
        <v>1.772E-4</v>
      </c>
      <c r="I1760" s="45"/>
      <c r="J1760" s="45"/>
      <c r="K1760" s="45"/>
      <c r="L1760" s="45"/>
      <c r="M1760" s="45"/>
      <c r="N1760" s="45"/>
      <c r="O1760" s="45"/>
      <c r="P1760" s="45"/>
      <c r="Q1760" s="45"/>
      <c r="R1760" s="45"/>
      <c r="S1760" s="45"/>
      <c r="T1760" s="45"/>
      <c r="U1760" s="45"/>
    </row>
    <row r="1761">
      <c r="A1761" s="79" t="s">
        <v>10900</v>
      </c>
      <c r="B1761" s="45"/>
      <c r="C1761" s="79" t="s">
        <v>10901</v>
      </c>
      <c r="D1761" s="45"/>
      <c r="E1761" s="79" t="s">
        <v>5855</v>
      </c>
      <c r="F1761" s="79" t="s">
        <v>8784</v>
      </c>
      <c r="G1761" s="80" t="s">
        <v>96</v>
      </c>
      <c r="H1761" s="90">
        <v>1.771E-4</v>
      </c>
      <c r="I1761" s="45"/>
      <c r="J1761" s="45"/>
      <c r="K1761" s="45"/>
      <c r="L1761" s="45"/>
      <c r="M1761" s="45"/>
      <c r="N1761" s="45"/>
      <c r="O1761" s="45"/>
      <c r="P1761" s="45"/>
      <c r="Q1761" s="45"/>
      <c r="R1761" s="45"/>
      <c r="S1761" s="45"/>
      <c r="T1761" s="45"/>
      <c r="U1761" s="45"/>
    </row>
    <row r="1762">
      <c r="A1762" s="79" t="s">
        <v>18881</v>
      </c>
      <c r="B1762" s="45"/>
      <c r="C1762" s="79" t="s">
        <v>18882</v>
      </c>
      <c r="D1762" s="45"/>
      <c r="E1762" s="79" t="s">
        <v>5215</v>
      </c>
      <c r="F1762" s="79" t="s">
        <v>5300</v>
      </c>
      <c r="G1762" s="80" t="s">
        <v>96</v>
      </c>
      <c r="H1762" s="90">
        <v>1.771E-4</v>
      </c>
      <c r="I1762" s="45"/>
      <c r="J1762" s="45"/>
      <c r="K1762" s="45"/>
      <c r="L1762" s="45"/>
      <c r="M1762" s="45"/>
      <c r="N1762" s="45"/>
      <c r="O1762" s="45"/>
      <c r="P1762" s="45"/>
      <c r="Q1762" s="45"/>
      <c r="R1762" s="45"/>
      <c r="S1762" s="45"/>
      <c r="T1762" s="45"/>
      <c r="U1762" s="45"/>
    </row>
    <row r="1763">
      <c r="A1763" s="79" t="s">
        <v>18883</v>
      </c>
      <c r="B1763" s="45"/>
      <c r="C1763" s="79" t="s">
        <v>18884</v>
      </c>
      <c r="D1763" s="45"/>
      <c r="E1763" s="79" t="s">
        <v>6191</v>
      </c>
      <c r="F1763" s="79" t="s">
        <v>9908</v>
      </c>
      <c r="G1763" s="80" t="s">
        <v>96</v>
      </c>
      <c r="H1763" s="90">
        <v>1.769E-4</v>
      </c>
      <c r="I1763" s="45"/>
      <c r="J1763" s="45"/>
      <c r="K1763" s="45"/>
      <c r="L1763" s="45"/>
      <c r="M1763" s="45"/>
      <c r="N1763" s="45"/>
      <c r="O1763" s="45"/>
      <c r="P1763" s="45"/>
      <c r="Q1763" s="45"/>
      <c r="R1763" s="45"/>
      <c r="S1763" s="45"/>
      <c r="T1763" s="45"/>
      <c r="U1763" s="45"/>
    </row>
    <row r="1764">
      <c r="A1764" s="79" t="s">
        <v>10992</v>
      </c>
      <c r="B1764" s="45"/>
      <c r="C1764" s="79" t="s">
        <v>10993</v>
      </c>
      <c r="D1764" s="45"/>
      <c r="E1764" s="79" t="s">
        <v>6275</v>
      </c>
      <c r="F1764" s="79" t="s">
        <v>8784</v>
      </c>
      <c r="G1764" s="80" t="s">
        <v>96</v>
      </c>
      <c r="H1764" s="90">
        <v>1.769E-4</v>
      </c>
      <c r="I1764" s="45"/>
      <c r="J1764" s="45"/>
      <c r="K1764" s="45"/>
      <c r="L1764" s="45"/>
      <c r="M1764" s="45"/>
      <c r="N1764" s="45"/>
      <c r="O1764" s="45"/>
      <c r="P1764" s="45"/>
      <c r="Q1764" s="45"/>
      <c r="R1764" s="45"/>
      <c r="S1764" s="45"/>
      <c r="T1764" s="45"/>
      <c r="U1764" s="45"/>
    </row>
    <row r="1765">
      <c r="A1765" s="79" t="s">
        <v>18885</v>
      </c>
      <c r="B1765" s="45"/>
      <c r="C1765" s="79" t="s">
        <v>18886</v>
      </c>
      <c r="D1765" s="45"/>
      <c r="E1765" s="79" t="s">
        <v>5961</v>
      </c>
      <c r="F1765" s="79" t="s">
        <v>8784</v>
      </c>
      <c r="G1765" s="80" t="s">
        <v>96</v>
      </c>
      <c r="H1765" s="90">
        <v>1.768E-4</v>
      </c>
      <c r="I1765" s="45"/>
      <c r="J1765" s="45"/>
      <c r="K1765" s="45"/>
      <c r="L1765" s="45"/>
      <c r="M1765" s="45"/>
      <c r="N1765" s="45"/>
      <c r="O1765" s="45"/>
      <c r="P1765" s="45"/>
      <c r="Q1765" s="45"/>
      <c r="R1765" s="45"/>
      <c r="S1765" s="45"/>
      <c r="T1765" s="45"/>
      <c r="U1765" s="45"/>
    </row>
    <row r="1766">
      <c r="A1766" s="79" t="s">
        <v>18887</v>
      </c>
      <c r="B1766" s="45"/>
      <c r="C1766" s="79" t="s">
        <v>18888</v>
      </c>
      <c r="D1766" s="45"/>
      <c r="E1766" s="79" t="s">
        <v>5215</v>
      </c>
      <c r="F1766" s="79" t="s">
        <v>5300</v>
      </c>
      <c r="G1766" s="80" t="s">
        <v>96</v>
      </c>
      <c r="H1766" s="90">
        <v>1.767E-4</v>
      </c>
      <c r="I1766" s="45"/>
      <c r="J1766" s="45"/>
      <c r="K1766" s="45"/>
      <c r="L1766" s="45"/>
      <c r="M1766" s="45"/>
      <c r="N1766" s="45"/>
      <c r="O1766" s="45"/>
      <c r="P1766" s="45"/>
      <c r="Q1766" s="45"/>
      <c r="R1766" s="45"/>
      <c r="S1766" s="45"/>
      <c r="T1766" s="45"/>
      <c r="U1766" s="45"/>
    </row>
    <row r="1767">
      <c r="A1767" s="79" t="s">
        <v>11062</v>
      </c>
      <c r="B1767" s="45"/>
      <c r="C1767" s="79" t="s">
        <v>11063</v>
      </c>
      <c r="D1767" s="45"/>
      <c r="E1767" s="79" t="s">
        <v>5241</v>
      </c>
      <c r="F1767" s="79" t="s">
        <v>5941</v>
      </c>
      <c r="G1767" s="80" t="s">
        <v>96</v>
      </c>
      <c r="H1767" s="90">
        <v>1.766E-4</v>
      </c>
      <c r="I1767" s="45"/>
      <c r="J1767" s="45"/>
      <c r="K1767" s="45"/>
      <c r="L1767" s="45"/>
      <c r="M1767" s="45"/>
      <c r="N1767" s="45"/>
      <c r="O1767" s="45"/>
      <c r="P1767" s="45"/>
      <c r="Q1767" s="45"/>
      <c r="R1767" s="45"/>
      <c r="S1767" s="45"/>
      <c r="T1767" s="45"/>
      <c r="U1767" s="45"/>
    </row>
    <row r="1768">
      <c r="A1768" s="79" t="s">
        <v>18889</v>
      </c>
      <c r="B1768" s="45"/>
      <c r="C1768" s="79" t="s">
        <v>18890</v>
      </c>
      <c r="D1768" s="45"/>
      <c r="E1768" s="79" t="s">
        <v>5855</v>
      </c>
      <c r="F1768" s="79" t="s">
        <v>8784</v>
      </c>
      <c r="G1768" s="80" t="s">
        <v>96</v>
      </c>
      <c r="H1768" s="90">
        <v>1.765E-4</v>
      </c>
      <c r="I1768" s="45"/>
      <c r="J1768" s="45"/>
      <c r="K1768" s="45"/>
      <c r="L1768" s="45"/>
      <c r="M1768" s="45"/>
      <c r="N1768" s="45"/>
      <c r="O1768" s="45"/>
      <c r="P1768" s="45"/>
      <c r="Q1768" s="45"/>
      <c r="R1768" s="45"/>
      <c r="S1768" s="45"/>
      <c r="T1768" s="45"/>
      <c r="U1768" s="45"/>
    </row>
    <row r="1769">
      <c r="A1769" s="79" t="s">
        <v>18891</v>
      </c>
      <c r="B1769" s="45"/>
      <c r="C1769" s="79" t="s">
        <v>18892</v>
      </c>
      <c r="D1769" s="45"/>
      <c r="E1769" s="79" t="s">
        <v>7248</v>
      </c>
      <c r="F1769" s="79" t="s">
        <v>6210</v>
      </c>
      <c r="G1769" s="80" t="s">
        <v>96</v>
      </c>
      <c r="H1769" s="90">
        <v>1.763E-4</v>
      </c>
      <c r="I1769" s="45"/>
      <c r="J1769" s="45"/>
      <c r="K1769" s="45"/>
      <c r="L1769" s="45"/>
      <c r="M1769" s="45"/>
      <c r="N1769" s="45"/>
      <c r="O1769" s="45"/>
      <c r="P1769" s="45"/>
      <c r="Q1769" s="45"/>
      <c r="R1769" s="45"/>
      <c r="S1769" s="45"/>
      <c r="T1769" s="45"/>
      <c r="U1769" s="45"/>
    </row>
    <row r="1770">
      <c r="A1770" s="79" t="s">
        <v>18893</v>
      </c>
      <c r="B1770" s="45"/>
      <c r="C1770" s="79" t="s">
        <v>18894</v>
      </c>
      <c r="D1770" s="45"/>
      <c r="E1770" s="79" t="s">
        <v>5291</v>
      </c>
      <c r="F1770" s="79" t="s">
        <v>5747</v>
      </c>
      <c r="G1770" s="80" t="s">
        <v>96</v>
      </c>
      <c r="H1770" s="90">
        <v>1.763E-4</v>
      </c>
      <c r="I1770" s="45"/>
      <c r="J1770" s="45"/>
      <c r="K1770" s="45"/>
      <c r="L1770" s="45"/>
      <c r="M1770" s="45"/>
      <c r="N1770" s="45"/>
      <c r="O1770" s="45"/>
      <c r="P1770" s="45"/>
      <c r="Q1770" s="45"/>
      <c r="R1770" s="45"/>
      <c r="S1770" s="45"/>
      <c r="T1770" s="45"/>
      <c r="U1770" s="45"/>
    </row>
    <row r="1771">
      <c r="A1771" s="79" t="s">
        <v>18895</v>
      </c>
      <c r="B1771" s="45"/>
      <c r="C1771" s="79" t="s">
        <v>18896</v>
      </c>
      <c r="D1771" s="45"/>
      <c r="E1771" s="79" t="s">
        <v>5478</v>
      </c>
      <c r="F1771" s="79" t="s">
        <v>5300</v>
      </c>
      <c r="G1771" s="80" t="s">
        <v>96</v>
      </c>
      <c r="H1771" s="90">
        <v>1.762E-4</v>
      </c>
      <c r="I1771" s="45"/>
      <c r="J1771" s="45"/>
      <c r="K1771" s="45"/>
      <c r="L1771" s="45"/>
      <c r="M1771" s="45"/>
      <c r="N1771" s="45"/>
      <c r="O1771" s="45"/>
      <c r="P1771" s="45"/>
      <c r="Q1771" s="45"/>
      <c r="R1771" s="45"/>
      <c r="S1771" s="45"/>
      <c r="T1771" s="45"/>
      <c r="U1771" s="45"/>
    </row>
    <row r="1772">
      <c r="A1772" s="79" t="s">
        <v>11036</v>
      </c>
      <c r="B1772" s="45"/>
      <c r="C1772" s="79" t="s">
        <v>11037</v>
      </c>
      <c r="D1772" s="45"/>
      <c r="E1772" s="79" t="s">
        <v>5501</v>
      </c>
      <c r="F1772" s="79" t="s">
        <v>8784</v>
      </c>
      <c r="G1772" s="80" t="s">
        <v>96</v>
      </c>
      <c r="H1772" s="90">
        <v>1.762E-4</v>
      </c>
      <c r="I1772" s="45"/>
      <c r="J1772" s="45"/>
      <c r="K1772" s="45"/>
      <c r="L1772" s="45"/>
      <c r="M1772" s="45"/>
      <c r="N1772" s="45"/>
      <c r="O1772" s="45"/>
      <c r="P1772" s="45"/>
      <c r="Q1772" s="45"/>
      <c r="R1772" s="45"/>
      <c r="S1772" s="45"/>
      <c r="T1772" s="45"/>
      <c r="U1772" s="45"/>
    </row>
    <row r="1773">
      <c r="A1773" s="79" t="s">
        <v>18897</v>
      </c>
      <c r="B1773" s="45"/>
      <c r="C1773" s="79" t="s">
        <v>18898</v>
      </c>
      <c r="D1773" s="45"/>
      <c r="E1773" s="79" t="s">
        <v>5276</v>
      </c>
      <c r="F1773" s="79" t="s">
        <v>5300</v>
      </c>
      <c r="G1773" s="80" t="s">
        <v>96</v>
      </c>
      <c r="H1773" s="90">
        <v>1.762E-4</v>
      </c>
      <c r="I1773" s="45"/>
      <c r="J1773" s="45"/>
      <c r="K1773" s="45"/>
      <c r="L1773" s="45"/>
      <c r="M1773" s="45"/>
      <c r="N1773" s="45"/>
      <c r="O1773" s="45"/>
      <c r="P1773" s="45"/>
      <c r="Q1773" s="45"/>
      <c r="R1773" s="45"/>
      <c r="S1773" s="45"/>
      <c r="T1773" s="45"/>
      <c r="U1773" s="45"/>
    </row>
    <row r="1774">
      <c r="A1774" s="79" t="s">
        <v>18899</v>
      </c>
      <c r="B1774" s="45"/>
      <c r="C1774" s="79" t="s">
        <v>18900</v>
      </c>
      <c r="D1774" s="45"/>
      <c r="E1774" s="79" t="s">
        <v>18901</v>
      </c>
      <c r="F1774" s="79" t="s">
        <v>9021</v>
      </c>
      <c r="G1774" s="80" t="s">
        <v>96</v>
      </c>
      <c r="H1774" s="90">
        <v>1.76E-4</v>
      </c>
      <c r="I1774" s="45"/>
      <c r="J1774" s="45"/>
      <c r="K1774" s="45"/>
      <c r="L1774" s="45"/>
      <c r="M1774" s="45"/>
      <c r="N1774" s="45"/>
      <c r="O1774" s="45"/>
      <c r="P1774" s="45"/>
      <c r="Q1774" s="45"/>
      <c r="R1774" s="45"/>
      <c r="S1774" s="45"/>
      <c r="T1774" s="45"/>
      <c r="U1774" s="45"/>
    </row>
    <row r="1775">
      <c r="A1775" s="79" t="s">
        <v>18902</v>
      </c>
      <c r="B1775" s="45"/>
      <c r="C1775" s="79" t="s">
        <v>18052</v>
      </c>
      <c r="D1775" s="45"/>
      <c r="E1775" s="79" t="s">
        <v>6238</v>
      </c>
      <c r="F1775" s="79" t="s">
        <v>5300</v>
      </c>
      <c r="G1775" s="80" t="s">
        <v>96</v>
      </c>
      <c r="H1775" s="90">
        <v>1.759E-4</v>
      </c>
      <c r="I1775" s="45"/>
      <c r="J1775" s="45"/>
      <c r="K1775" s="45"/>
      <c r="L1775" s="45"/>
      <c r="M1775" s="45"/>
      <c r="N1775" s="45"/>
      <c r="O1775" s="45"/>
      <c r="P1775" s="45"/>
      <c r="Q1775" s="45"/>
      <c r="R1775" s="45"/>
      <c r="S1775" s="45"/>
      <c r="T1775" s="45"/>
      <c r="U1775" s="45"/>
    </row>
    <row r="1776">
      <c r="A1776" s="79" t="s">
        <v>18903</v>
      </c>
      <c r="B1776" s="45"/>
      <c r="C1776" s="79" t="s">
        <v>18904</v>
      </c>
      <c r="D1776" s="45"/>
      <c r="E1776" s="79" t="s">
        <v>5450</v>
      </c>
      <c r="F1776" s="79" t="s">
        <v>5425</v>
      </c>
      <c r="G1776" s="80" t="s">
        <v>96</v>
      </c>
      <c r="H1776" s="90">
        <v>1.759E-4</v>
      </c>
      <c r="I1776" s="45"/>
      <c r="J1776" s="45"/>
      <c r="K1776" s="45"/>
      <c r="L1776" s="45"/>
      <c r="M1776" s="45"/>
      <c r="N1776" s="45"/>
      <c r="O1776" s="45"/>
      <c r="P1776" s="45"/>
      <c r="Q1776" s="45"/>
      <c r="R1776" s="45"/>
      <c r="S1776" s="45"/>
      <c r="T1776" s="45"/>
      <c r="U1776" s="45"/>
    </row>
    <row r="1777">
      <c r="A1777" s="79" t="s">
        <v>18905</v>
      </c>
      <c r="B1777" s="45"/>
      <c r="C1777" s="79" t="s">
        <v>18906</v>
      </c>
      <c r="D1777" s="45"/>
      <c r="E1777" s="79" t="s">
        <v>5215</v>
      </c>
      <c r="F1777" s="79" t="s">
        <v>5300</v>
      </c>
      <c r="G1777" s="80" t="s">
        <v>96</v>
      </c>
      <c r="H1777" s="90">
        <v>1.759E-4</v>
      </c>
      <c r="I1777" s="45"/>
      <c r="J1777" s="45"/>
      <c r="K1777" s="45"/>
      <c r="L1777" s="45"/>
      <c r="M1777" s="45"/>
      <c r="N1777" s="45"/>
      <c r="O1777" s="45"/>
      <c r="P1777" s="45"/>
      <c r="Q1777" s="45"/>
      <c r="R1777" s="45"/>
      <c r="S1777" s="45"/>
      <c r="T1777" s="45"/>
      <c r="U1777" s="45"/>
    </row>
    <row r="1778">
      <c r="A1778" s="79" t="s">
        <v>18907</v>
      </c>
      <c r="B1778" s="45"/>
      <c r="C1778" s="79" t="s">
        <v>18908</v>
      </c>
      <c r="D1778" s="45"/>
      <c r="E1778" s="79" t="s">
        <v>5215</v>
      </c>
      <c r="F1778" s="79" t="s">
        <v>5300</v>
      </c>
      <c r="G1778" s="80" t="s">
        <v>96</v>
      </c>
      <c r="H1778" s="90">
        <v>1.759E-4</v>
      </c>
      <c r="I1778" s="45"/>
      <c r="J1778" s="45"/>
      <c r="K1778" s="45"/>
      <c r="L1778" s="45"/>
      <c r="M1778" s="45"/>
      <c r="N1778" s="45"/>
      <c r="O1778" s="45"/>
      <c r="P1778" s="45"/>
      <c r="Q1778" s="45"/>
      <c r="R1778" s="45"/>
      <c r="S1778" s="45"/>
      <c r="T1778" s="45"/>
      <c r="U1778" s="45"/>
    </row>
    <row r="1779">
      <c r="A1779" s="79" t="s">
        <v>18909</v>
      </c>
      <c r="B1779" s="45"/>
      <c r="C1779" s="79" t="s">
        <v>18910</v>
      </c>
      <c r="D1779" s="45"/>
      <c r="E1779" s="79" t="s">
        <v>5450</v>
      </c>
      <c r="F1779" s="79" t="s">
        <v>5300</v>
      </c>
      <c r="G1779" s="80" t="s">
        <v>96</v>
      </c>
      <c r="H1779" s="90">
        <v>1.758E-4</v>
      </c>
      <c r="I1779" s="45"/>
      <c r="J1779" s="45"/>
      <c r="K1779" s="45"/>
      <c r="L1779" s="45"/>
      <c r="M1779" s="45"/>
      <c r="N1779" s="45"/>
      <c r="O1779" s="45"/>
      <c r="P1779" s="45"/>
      <c r="Q1779" s="45"/>
      <c r="R1779" s="45"/>
      <c r="S1779" s="45"/>
      <c r="T1779" s="45"/>
      <c r="U1779" s="45"/>
    </row>
    <row r="1780">
      <c r="A1780" s="79" t="s">
        <v>18911</v>
      </c>
      <c r="B1780" s="45"/>
      <c r="C1780" s="79" t="s">
        <v>18912</v>
      </c>
      <c r="D1780" s="45"/>
      <c r="E1780" s="79" t="s">
        <v>6475</v>
      </c>
      <c r="F1780" s="79" t="s">
        <v>5300</v>
      </c>
      <c r="G1780" s="80" t="s">
        <v>96</v>
      </c>
      <c r="H1780" s="90">
        <v>1.756E-4</v>
      </c>
      <c r="I1780" s="45"/>
      <c r="J1780" s="45"/>
      <c r="K1780" s="45"/>
      <c r="L1780" s="45"/>
      <c r="M1780" s="45"/>
      <c r="N1780" s="45"/>
      <c r="O1780" s="45"/>
      <c r="P1780" s="45"/>
      <c r="Q1780" s="45"/>
      <c r="R1780" s="45"/>
      <c r="S1780" s="45"/>
      <c r="T1780" s="45"/>
      <c r="U1780" s="45"/>
    </row>
    <row r="1781">
      <c r="A1781" s="79" t="s">
        <v>18913</v>
      </c>
      <c r="B1781" s="45"/>
      <c r="C1781" s="79" t="s">
        <v>18914</v>
      </c>
      <c r="D1781" s="45"/>
      <c r="E1781" s="79" t="s">
        <v>5291</v>
      </c>
      <c r="F1781" s="79" t="s">
        <v>5300</v>
      </c>
      <c r="G1781" s="80" t="s">
        <v>96</v>
      </c>
      <c r="H1781" s="90">
        <v>1.756E-4</v>
      </c>
      <c r="I1781" s="45"/>
      <c r="J1781" s="45"/>
      <c r="K1781" s="45"/>
      <c r="L1781" s="45"/>
      <c r="M1781" s="45"/>
      <c r="N1781" s="45"/>
      <c r="O1781" s="45"/>
      <c r="P1781" s="45"/>
      <c r="Q1781" s="45"/>
      <c r="R1781" s="45"/>
      <c r="S1781" s="45"/>
      <c r="T1781" s="45"/>
      <c r="U1781" s="45"/>
    </row>
    <row r="1782">
      <c r="A1782" s="79" t="s">
        <v>18915</v>
      </c>
      <c r="B1782" s="45"/>
      <c r="C1782" s="79" t="s">
        <v>18916</v>
      </c>
      <c r="D1782" s="45"/>
      <c r="E1782" s="79" t="s">
        <v>18917</v>
      </c>
      <c r="F1782" s="79" t="s">
        <v>4095</v>
      </c>
      <c r="G1782" s="80" t="s">
        <v>96</v>
      </c>
      <c r="H1782" s="90">
        <v>1.756E-4</v>
      </c>
      <c r="I1782" s="45"/>
      <c r="J1782" s="45"/>
      <c r="K1782" s="45"/>
      <c r="L1782" s="45"/>
      <c r="M1782" s="45"/>
      <c r="N1782" s="45"/>
      <c r="O1782" s="45"/>
      <c r="P1782" s="45"/>
      <c r="Q1782" s="45"/>
      <c r="R1782" s="45"/>
      <c r="S1782" s="45"/>
      <c r="T1782" s="45"/>
      <c r="U1782" s="45"/>
    </row>
    <row r="1783">
      <c r="A1783" s="79" t="s">
        <v>18918</v>
      </c>
      <c r="B1783" s="45"/>
      <c r="C1783" s="79" t="s">
        <v>18919</v>
      </c>
      <c r="D1783" s="45"/>
      <c r="E1783" s="79" t="s">
        <v>5401</v>
      </c>
      <c r="F1783" s="79" t="s">
        <v>5300</v>
      </c>
      <c r="G1783" s="80" t="s">
        <v>96</v>
      </c>
      <c r="H1783" s="90">
        <v>1.754E-4</v>
      </c>
      <c r="I1783" s="45"/>
      <c r="J1783" s="45"/>
      <c r="K1783" s="45"/>
      <c r="L1783" s="45"/>
      <c r="M1783" s="45"/>
      <c r="N1783" s="45"/>
      <c r="O1783" s="45"/>
      <c r="P1783" s="45"/>
      <c r="Q1783" s="45"/>
      <c r="R1783" s="45"/>
      <c r="S1783" s="45"/>
      <c r="T1783" s="45"/>
      <c r="U1783" s="45"/>
    </row>
    <row r="1784">
      <c r="A1784" s="79" t="s">
        <v>18920</v>
      </c>
      <c r="B1784" s="45"/>
      <c r="C1784" s="79" t="s">
        <v>18921</v>
      </c>
      <c r="D1784" s="45"/>
      <c r="E1784" s="79" t="s">
        <v>8851</v>
      </c>
      <c r="F1784" s="79" t="s">
        <v>5300</v>
      </c>
      <c r="G1784" s="80" t="s">
        <v>96</v>
      </c>
      <c r="H1784" s="90">
        <v>1.753E-4</v>
      </c>
      <c r="I1784" s="45"/>
      <c r="J1784" s="45"/>
      <c r="K1784" s="45"/>
      <c r="L1784" s="45"/>
      <c r="M1784" s="45"/>
      <c r="N1784" s="45"/>
      <c r="O1784" s="45"/>
      <c r="P1784" s="45"/>
      <c r="Q1784" s="45"/>
      <c r="R1784" s="45"/>
      <c r="S1784" s="45"/>
      <c r="T1784" s="45"/>
      <c r="U1784" s="45"/>
    </row>
    <row r="1785">
      <c r="A1785" s="79" t="s">
        <v>18922</v>
      </c>
      <c r="B1785" s="45"/>
      <c r="C1785" s="79" t="s">
        <v>18923</v>
      </c>
      <c r="D1785" s="45"/>
      <c r="E1785" s="79" t="s">
        <v>5226</v>
      </c>
      <c r="F1785" s="79" t="s">
        <v>5836</v>
      </c>
      <c r="G1785" s="80" t="s">
        <v>96</v>
      </c>
      <c r="H1785" s="90">
        <v>1.751E-4</v>
      </c>
      <c r="I1785" s="45"/>
      <c r="J1785" s="45"/>
      <c r="K1785" s="45"/>
      <c r="L1785" s="45"/>
      <c r="M1785" s="45"/>
      <c r="N1785" s="45"/>
      <c r="O1785" s="45"/>
      <c r="P1785" s="45"/>
      <c r="Q1785" s="45"/>
      <c r="R1785" s="45"/>
      <c r="S1785" s="45"/>
      <c r="T1785" s="45"/>
      <c r="U1785" s="45"/>
    </row>
    <row r="1786">
      <c r="A1786" s="79" t="s">
        <v>11019</v>
      </c>
      <c r="B1786" s="45"/>
      <c r="C1786" s="79" t="s">
        <v>11020</v>
      </c>
      <c r="D1786" s="45"/>
      <c r="E1786" s="79" t="s">
        <v>5341</v>
      </c>
      <c r="F1786" s="79" t="s">
        <v>5747</v>
      </c>
      <c r="G1786" s="80" t="s">
        <v>96</v>
      </c>
      <c r="H1786" s="90">
        <v>1.749E-4</v>
      </c>
      <c r="I1786" s="45"/>
      <c r="J1786" s="45"/>
      <c r="K1786" s="45"/>
      <c r="L1786" s="45"/>
      <c r="M1786" s="45"/>
      <c r="N1786" s="45"/>
      <c r="O1786" s="45"/>
      <c r="P1786" s="45"/>
      <c r="Q1786" s="45"/>
      <c r="R1786" s="45"/>
      <c r="S1786" s="45"/>
      <c r="T1786" s="45"/>
      <c r="U1786" s="45"/>
    </row>
    <row r="1787">
      <c r="A1787" s="79" t="s">
        <v>18924</v>
      </c>
      <c r="B1787" s="45"/>
      <c r="C1787" s="79" t="s">
        <v>18925</v>
      </c>
      <c r="D1787" s="45"/>
      <c r="E1787" s="79" t="s">
        <v>5989</v>
      </c>
      <c r="F1787" s="79" t="s">
        <v>9513</v>
      </c>
      <c r="G1787" s="80" t="s">
        <v>96</v>
      </c>
      <c r="H1787" s="90">
        <v>1.748E-4</v>
      </c>
      <c r="I1787" s="45"/>
      <c r="J1787" s="45"/>
      <c r="K1787" s="45"/>
      <c r="L1787" s="45"/>
      <c r="M1787" s="45"/>
      <c r="N1787" s="45"/>
      <c r="O1787" s="45"/>
      <c r="P1787" s="45"/>
      <c r="Q1787" s="45"/>
      <c r="R1787" s="45"/>
      <c r="S1787" s="45"/>
      <c r="T1787" s="45"/>
      <c r="U1787" s="45"/>
    </row>
    <row r="1788">
      <c r="A1788" s="79" t="s">
        <v>10506</v>
      </c>
      <c r="B1788" s="45"/>
      <c r="C1788" s="79" t="s">
        <v>18926</v>
      </c>
      <c r="D1788" s="45"/>
      <c r="E1788" s="79" t="s">
        <v>5261</v>
      </c>
      <c r="F1788" s="79" t="s">
        <v>5300</v>
      </c>
      <c r="G1788" s="80" t="s">
        <v>96</v>
      </c>
      <c r="H1788" s="90">
        <v>1.744E-4</v>
      </c>
      <c r="I1788" s="45"/>
      <c r="J1788" s="45"/>
      <c r="K1788" s="45"/>
      <c r="L1788" s="45"/>
      <c r="M1788" s="45"/>
      <c r="N1788" s="45"/>
      <c r="O1788" s="45"/>
      <c r="P1788" s="45"/>
      <c r="Q1788" s="45"/>
      <c r="R1788" s="45"/>
      <c r="S1788" s="45"/>
      <c r="T1788" s="45"/>
      <c r="U1788" s="45"/>
    </row>
    <row r="1789">
      <c r="A1789" s="79" t="s">
        <v>18927</v>
      </c>
      <c r="B1789" s="45"/>
      <c r="C1789" s="79" t="s">
        <v>18928</v>
      </c>
      <c r="D1789" s="45"/>
      <c r="E1789" s="79" t="s">
        <v>5390</v>
      </c>
      <c r="F1789" s="79" t="s">
        <v>4436</v>
      </c>
      <c r="G1789" s="80" t="s">
        <v>96</v>
      </c>
      <c r="H1789" s="90">
        <v>1.744E-4</v>
      </c>
      <c r="I1789" s="45"/>
      <c r="J1789" s="45"/>
      <c r="K1789" s="45"/>
      <c r="L1789" s="45"/>
      <c r="M1789" s="45"/>
      <c r="N1789" s="45"/>
      <c r="O1789" s="45"/>
      <c r="P1789" s="45"/>
      <c r="Q1789" s="45"/>
      <c r="R1789" s="45"/>
      <c r="S1789" s="45"/>
      <c r="T1789" s="45"/>
      <c r="U1789" s="45"/>
    </row>
    <row r="1790">
      <c r="A1790" s="79" t="s">
        <v>18929</v>
      </c>
      <c r="B1790" s="45"/>
      <c r="C1790" s="79" t="s">
        <v>18930</v>
      </c>
      <c r="D1790" s="45"/>
      <c r="E1790" s="79" t="s">
        <v>6130</v>
      </c>
      <c r="F1790" s="79" t="s">
        <v>8784</v>
      </c>
      <c r="G1790" s="80" t="s">
        <v>96</v>
      </c>
      <c r="H1790" s="90">
        <v>1.744E-4</v>
      </c>
      <c r="I1790" s="45"/>
      <c r="J1790" s="45"/>
      <c r="K1790" s="45"/>
      <c r="L1790" s="45"/>
      <c r="M1790" s="45"/>
      <c r="N1790" s="45"/>
      <c r="O1790" s="45"/>
      <c r="P1790" s="45"/>
      <c r="Q1790" s="45"/>
      <c r="R1790" s="45"/>
      <c r="S1790" s="45"/>
      <c r="T1790" s="45"/>
      <c r="U1790" s="45"/>
    </row>
    <row r="1791">
      <c r="A1791" s="79" t="s">
        <v>18931</v>
      </c>
      <c r="B1791" s="45"/>
      <c r="C1791" s="79" t="s">
        <v>18932</v>
      </c>
      <c r="D1791" s="45"/>
      <c r="E1791" s="79" t="s">
        <v>7248</v>
      </c>
      <c r="F1791" s="79" t="s">
        <v>5300</v>
      </c>
      <c r="G1791" s="80" t="s">
        <v>96</v>
      </c>
      <c r="H1791" s="90">
        <v>1.744E-4</v>
      </c>
      <c r="I1791" s="45"/>
      <c r="J1791" s="45"/>
      <c r="K1791" s="45"/>
      <c r="L1791" s="45"/>
      <c r="M1791" s="45"/>
      <c r="N1791" s="45"/>
      <c r="O1791" s="45"/>
      <c r="P1791" s="45"/>
      <c r="Q1791" s="45"/>
      <c r="R1791" s="45"/>
      <c r="S1791" s="45"/>
      <c r="T1791" s="45"/>
      <c r="U1791" s="45"/>
    </row>
    <row r="1792">
      <c r="A1792" s="79" t="s">
        <v>18933</v>
      </c>
      <c r="B1792" s="45"/>
      <c r="C1792" s="79" t="s">
        <v>18934</v>
      </c>
      <c r="D1792" s="45"/>
      <c r="E1792" s="79" t="s">
        <v>5276</v>
      </c>
      <c r="F1792" s="79" t="s">
        <v>6260</v>
      </c>
      <c r="G1792" s="80" t="s">
        <v>96</v>
      </c>
      <c r="H1792" s="90">
        <v>1.743E-4</v>
      </c>
      <c r="I1792" s="45"/>
      <c r="J1792" s="45"/>
      <c r="K1792" s="45"/>
      <c r="L1792" s="45"/>
      <c r="M1792" s="45"/>
      <c r="N1792" s="45"/>
      <c r="O1792" s="45"/>
      <c r="P1792" s="45"/>
      <c r="Q1792" s="45"/>
      <c r="R1792" s="45"/>
      <c r="S1792" s="45"/>
      <c r="T1792" s="45"/>
      <c r="U1792" s="45"/>
    </row>
    <row r="1793">
      <c r="A1793" s="79" t="s">
        <v>10675</v>
      </c>
      <c r="B1793" s="45"/>
      <c r="C1793" s="79" t="s">
        <v>10676</v>
      </c>
      <c r="D1793" s="45"/>
      <c r="E1793" s="79" t="s">
        <v>5264</v>
      </c>
      <c r="F1793" s="79" t="s">
        <v>8784</v>
      </c>
      <c r="G1793" s="80" t="s">
        <v>96</v>
      </c>
      <c r="H1793" s="90">
        <v>1.741E-4</v>
      </c>
      <c r="I1793" s="45"/>
      <c r="J1793" s="45"/>
      <c r="K1793" s="45"/>
      <c r="L1793" s="45"/>
      <c r="M1793" s="45"/>
      <c r="N1793" s="45"/>
      <c r="O1793" s="45"/>
      <c r="P1793" s="45"/>
      <c r="Q1793" s="45"/>
      <c r="R1793" s="45"/>
      <c r="S1793" s="45"/>
      <c r="T1793" s="45"/>
      <c r="U1793" s="45"/>
    </row>
    <row r="1794">
      <c r="A1794" s="79" t="s">
        <v>18935</v>
      </c>
      <c r="B1794" s="45"/>
      <c r="C1794" s="79" t="s">
        <v>18936</v>
      </c>
      <c r="D1794" s="45"/>
      <c r="E1794" s="79" t="s">
        <v>5390</v>
      </c>
      <c r="F1794" s="79" t="s">
        <v>8784</v>
      </c>
      <c r="G1794" s="80" t="s">
        <v>96</v>
      </c>
      <c r="H1794" s="90">
        <v>1.741E-4</v>
      </c>
      <c r="I1794" s="45"/>
      <c r="J1794" s="45"/>
      <c r="K1794" s="45"/>
      <c r="L1794" s="45"/>
      <c r="M1794" s="45"/>
      <c r="N1794" s="45"/>
      <c r="O1794" s="45"/>
      <c r="P1794" s="45"/>
      <c r="Q1794" s="45"/>
      <c r="R1794" s="45"/>
      <c r="S1794" s="45"/>
      <c r="T1794" s="45"/>
      <c r="U1794" s="45"/>
    </row>
    <row r="1795">
      <c r="A1795" s="79" t="s">
        <v>18937</v>
      </c>
      <c r="B1795" s="45"/>
      <c r="C1795" s="79" t="s">
        <v>18938</v>
      </c>
      <c r="D1795" s="45"/>
      <c r="E1795" s="79" t="s">
        <v>5276</v>
      </c>
      <c r="F1795" s="79" t="s">
        <v>9513</v>
      </c>
      <c r="G1795" s="80" t="s">
        <v>96</v>
      </c>
      <c r="H1795" s="90">
        <v>1.74E-4</v>
      </c>
      <c r="I1795" s="45"/>
      <c r="J1795" s="45"/>
      <c r="K1795" s="45"/>
      <c r="L1795" s="45"/>
      <c r="M1795" s="45"/>
      <c r="N1795" s="45"/>
      <c r="O1795" s="45"/>
      <c r="P1795" s="45"/>
      <c r="Q1795" s="45"/>
      <c r="R1795" s="45"/>
      <c r="S1795" s="45"/>
      <c r="T1795" s="45"/>
      <c r="U1795" s="45"/>
    </row>
    <row r="1796">
      <c r="A1796" s="79" t="s">
        <v>18939</v>
      </c>
      <c r="B1796" s="45"/>
      <c r="C1796" s="79" t="s">
        <v>18940</v>
      </c>
      <c r="D1796" s="45"/>
      <c r="E1796" s="79" t="s">
        <v>5467</v>
      </c>
      <c r="F1796" s="79" t="s">
        <v>5300</v>
      </c>
      <c r="G1796" s="80" t="s">
        <v>96</v>
      </c>
      <c r="H1796" s="90">
        <v>1.74E-4</v>
      </c>
      <c r="I1796" s="45"/>
      <c r="J1796" s="45"/>
      <c r="K1796" s="45"/>
      <c r="L1796" s="45"/>
      <c r="M1796" s="45"/>
      <c r="N1796" s="45"/>
      <c r="O1796" s="45"/>
      <c r="P1796" s="45"/>
      <c r="Q1796" s="45"/>
      <c r="R1796" s="45"/>
      <c r="S1796" s="45"/>
      <c r="T1796" s="45"/>
      <c r="U1796" s="45"/>
    </row>
    <row r="1797">
      <c r="A1797" s="79" t="s">
        <v>11703</v>
      </c>
      <c r="B1797" s="45"/>
      <c r="C1797" s="79" t="s">
        <v>18941</v>
      </c>
      <c r="D1797" s="45"/>
      <c r="E1797" s="79" t="s">
        <v>5258</v>
      </c>
      <c r="F1797" s="79" t="s">
        <v>5836</v>
      </c>
      <c r="G1797" s="80" t="s">
        <v>96</v>
      </c>
      <c r="H1797" s="90">
        <v>1.734E-4</v>
      </c>
      <c r="I1797" s="45"/>
      <c r="J1797" s="45"/>
      <c r="K1797" s="45"/>
      <c r="L1797" s="45"/>
      <c r="M1797" s="45"/>
      <c r="N1797" s="45"/>
      <c r="O1797" s="45"/>
      <c r="P1797" s="45"/>
      <c r="Q1797" s="45"/>
      <c r="R1797" s="45"/>
      <c r="S1797" s="45"/>
      <c r="T1797" s="45"/>
      <c r="U1797" s="45"/>
    </row>
    <row r="1798">
      <c r="A1798" s="79" t="s">
        <v>18942</v>
      </c>
      <c r="B1798" s="45"/>
      <c r="C1798" s="79" t="s">
        <v>18943</v>
      </c>
      <c r="D1798" s="45"/>
      <c r="E1798" s="79" t="s">
        <v>5478</v>
      </c>
      <c r="F1798" s="79" t="s">
        <v>5300</v>
      </c>
      <c r="G1798" s="80" t="s">
        <v>96</v>
      </c>
      <c r="H1798" s="90">
        <v>1.734E-4</v>
      </c>
      <c r="I1798" s="45"/>
      <c r="J1798" s="45"/>
      <c r="K1798" s="45"/>
      <c r="L1798" s="45"/>
      <c r="M1798" s="45"/>
      <c r="N1798" s="45"/>
      <c r="O1798" s="45"/>
      <c r="P1798" s="45"/>
      <c r="Q1798" s="45"/>
      <c r="R1798" s="45"/>
      <c r="S1798" s="45"/>
      <c r="T1798" s="45"/>
      <c r="U1798" s="45"/>
    </row>
    <row r="1799">
      <c r="A1799" s="79" t="s">
        <v>18944</v>
      </c>
      <c r="B1799" s="45"/>
      <c r="C1799" s="79" t="s">
        <v>18945</v>
      </c>
      <c r="D1799" s="45"/>
      <c r="E1799" s="79" t="s">
        <v>5309</v>
      </c>
      <c r="F1799" s="79" t="s">
        <v>5300</v>
      </c>
      <c r="G1799" s="80" t="s">
        <v>96</v>
      </c>
      <c r="H1799" s="90">
        <v>1.731E-4</v>
      </c>
      <c r="I1799" s="45"/>
      <c r="J1799" s="45"/>
      <c r="K1799" s="45"/>
      <c r="L1799" s="45"/>
      <c r="M1799" s="45"/>
      <c r="N1799" s="45"/>
      <c r="O1799" s="45"/>
      <c r="P1799" s="45"/>
      <c r="Q1799" s="45"/>
      <c r="R1799" s="45"/>
      <c r="S1799" s="45"/>
      <c r="T1799" s="45"/>
      <c r="U1799" s="45"/>
    </row>
    <row r="1800">
      <c r="A1800" s="79" t="s">
        <v>6430</v>
      </c>
      <c r="B1800" s="45"/>
      <c r="C1800" s="79" t="s">
        <v>18946</v>
      </c>
      <c r="D1800" s="45"/>
      <c r="E1800" s="79" t="s">
        <v>5335</v>
      </c>
      <c r="F1800" s="79" t="s">
        <v>8784</v>
      </c>
      <c r="G1800" s="80" t="s">
        <v>96</v>
      </c>
      <c r="H1800" s="90">
        <v>1.729E-4</v>
      </c>
      <c r="I1800" s="45"/>
      <c r="J1800" s="45"/>
      <c r="K1800" s="45"/>
      <c r="L1800" s="45"/>
      <c r="M1800" s="45"/>
      <c r="N1800" s="45"/>
      <c r="O1800" s="45"/>
      <c r="P1800" s="45"/>
      <c r="Q1800" s="45"/>
      <c r="R1800" s="45"/>
      <c r="S1800" s="45"/>
      <c r="T1800" s="45"/>
      <c r="U1800" s="45"/>
    </row>
    <row r="1801">
      <c r="A1801" s="79" t="s">
        <v>18947</v>
      </c>
      <c r="B1801" s="45"/>
      <c r="C1801" s="79" t="s">
        <v>18948</v>
      </c>
      <c r="D1801" s="45"/>
      <c r="E1801" s="79" t="s">
        <v>5249</v>
      </c>
      <c r="F1801" s="79" t="s">
        <v>8784</v>
      </c>
      <c r="G1801" s="80" t="s">
        <v>96</v>
      </c>
      <c r="H1801" s="90">
        <v>1.727E-4</v>
      </c>
      <c r="I1801" s="45"/>
      <c r="J1801" s="45"/>
      <c r="K1801" s="45"/>
      <c r="L1801" s="45"/>
      <c r="M1801" s="45"/>
      <c r="N1801" s="45"/>
      <c r="O1801" s="45"/>
      <c r="P1801" s="45"/>
      <c r="Q1801" s="45"/>
      <c r="R1801" s="45"/>
      <c r="S1801" s="45"/>
      <c r="T1801" s="45"/>
      <c r="U1801" s="45"/>
    </row>
    <row r="1802">
      <c r="A1802" s="79" t="s">
        <v>18949</v>
      </c>
      <c r="B1802" s="45"/>
      <c r="C1802" s="79" t="s">
        <v>18950</v>
      </c>
      <c r="D1802" s="45"/>
      <c r="E1802" s="79" t="s">
        <v>5516</v>
      </c>
      <c r="F1802" s="79" t="s">
        <v>5300</v>
      </c>
      <c r="G1802" s="80" t="s">
        <v>96</v>
      </c>
      <c r="H1802" s="90">
        <v>1.723E-4</v>
      </c>
      <c r="I1802" s="45"/>
      <c r="J1802" s="45"/>
      <c r="K1802" s="45"/>
      <c r="L1802" s="45"/>
      <c r="M1802" s="45"/>
      <c r="N1802" s="45"/>
      <c r="O1802" s="45"/>
      <c r="P1802" s="45"/>
      <c r="Q1802" s="45"/>
      <c r="R1802" s="45"/>
      <c r="S1802" s="45"/>
      <c r="T1802" s="45"/>
      <c r="U1802" s="45"/>
    </row>
    <row r="1803">
      <c r="A1803" s="79" t="s">
        <v>18951</v>
      </c>
      <c r="B1803" s="45"/>
      <c r="C1803" s="79" t="s">
        <v>18952</v>
      </c>
      <c r="D1803" s="45"/>
      <c r="E1803" s="79" t="s">
        <v>16994</v>
      </c>
      <c r="F1803" s="79" t="s">
        <v>5300</v>
      </c>
      <c r="G1803" s="80" t="s">
        <v>96</v>
      </c>
      <c r="H1803" s="90">
        <v>1.722E-4</v>
      </c>
      <c r="I1803" s="45"/>
      <c r="J1803" s="45"/>
      <c r="K1803" s="45"/>
      <c r="L1803" s="45"/>
      <c r="M1803" s="45"/>
      <c r="N1803" s="45"/>
      <c r="O1803" s="45"/>
      <c r="P1803" s="45"/>
      <c r="Q1803" s="45"/>
      <c r="R1803" s="45"/>
      <c r="S1803" s="45"/>
      <c r="T1803" s="45"/>
      <c r="U1803" s="45"/>
    </row>
    <row r="1804">
      <c r="A1804" s="79" t="s">
        <v>18953</v>
      </c>
      <c r="B1804" s="45"/>
      <c r="C1804" s="79" t="s">
        <v>18954</v>
      </c>
      <c r="D1804" s="45"/>
      <c r="E1804" s="79" t="s">
        <v>7611</v>
      </c>
      <c r="F1804" s="79" t="s">
        <v>8784</v>
      </c>
      <c r="G1804" s="80" t="s">
        <v>96</v>
      </c>
      <c r="H1804" s="90">
        <v>1.721E-4</v>
      </c>
      <c r="I1804" s="45"/>
      <c r="J1804" s="45"/>
      <c r="K1804" s="45"/>
      <c r="L1804" s="45"/>
      <c r="M1804" s="45"/>
      <c r="N1804" s="45"/>
      <c r="O1804" s="45"/>
      <c r="P1804" s="45"/>
      <c r="Q1804" s="45"/>
      <c r="R1804" s="45"/>
      <c r="S1804" s="45"/>
      <c r="T1804" s="45"/>
      <c r="U1804" s="45"/>
    </row>
    <row r="1805">
      <c r="A1805" s="79" t="s">
        <v>18955</v>
      </c>
      <c r="B1805" s="45"/>
      <c r="C1805" s="79" t="s">
        <v>18956</v>
      </c>
      <c r="D1805" s="45"/>
      <c r="E1805" s="79" t="s">
        <v>8154</v>
      </c>
      <c r="F1805" s="79" t="s">
        <v>8759</v>
      </c>
      <c r="G1805" s="80" t="s">
        <v>96</v>
      </c>
      <c r="H1805" s="90">
        <v>1.719E-4</v>
      </c>
      <c r="I1805" s="45"/>
      <c r="J1805" s="45"/>
      <c r="K1805" s="45"/>
      <c r="L1805" s="45"/>
      <c r="M1805" s="45"/>
      <c r="N1805" s="45"/>
      <c r="O1805" s="45"/>
      <c r="P1805" s="45"/>
      <c r="Q1805" s="45"/>
      <c r="R1805" s="45"/>
      <c r="S1805" s="45"/>
      <c r="T1805" s="45"/>
      <c r="U1805" s="45"/>
    </row>
    <row r="1806">
      <c r="A1806" s="79" t="s">
        <v>18957</v>
      </c>
      <c r="B1806" s="45"/>
      <c r="C1806" s="79" t="s">
        <v>18958</v>
      </c>
      <c r="D1806" s="45"/>
      <c r="E1806" s="79" t="s">
        <v>5450</v>
      </c>
      <c r="F1806" s="79" t="s">
        <v>5329</v>
      </c>
      <c r="G1806" s="80" t="s">
        <v>96</v>
      </c>
      <c r="H1806" s="90">
        <v>1.718E-4</v>
      </c>
      <c r="I1806" s="45"/>
      <c r="J1806" s="45"/>
      <c r="K1806" s="45"/>
      <c r="L1806" s="45"/>
      <c r="M1806" s="45"/>
      <c r="N1806" s="45"/>
      <c r="O1806" s="45"/>
      <c r="P1806" s="45"/>
      <c r="Q1806" s="45"/>
      <c r="R1806" s="45"/>
      <c r="S1806" s="45"/>
      <c r="T1806" s="45"/>
      <c r="U1806" s="45"/>
    </row>
    <row r="1807">
      <c r="A1807" s="79" t="s">
        <v>18959</v>
      </c>
      <c r="B1807" s="45"/>
      <c r="C1807" s="79" t="s">
        <v>18960</v>
      </c>
      <c r="D1807" s="45"/>
      <c r="E1807" s="79" t="s">
        <v>5578</v>
      </c>
      <c r="F1807" s="79" t="s">
        <v>5300</v>
      </c>
      <c r="G1807" s="80" t="s">
        <v>96</v>
      </c>
      <c r="H1807" s="90">
        <v>1.718E-4</v>
      </c>
      <c r="I1807" s="45"/>
      <c r="J1807" s="45"/>
      <c r="K1807" s="45"/>
      <c r="L1807" s="45"/>
      <c r="M1807" s="45"/>
      <c r="N1807" s="45"/>
      <c r="O1807" s="45"/>
      <c r="P1807" s="45"/>
      <c r="Q1807" s="45"/>
      <c r="R1807" s="45"/>
      <c r="S1807" s="45"/>
      <c r="T1807" s="45"/>
      <c r="U1807" s="45"/>
    </row>
    <row r="1808">
      <c r="A1808" s="79" t="s">
        <v>18961</v>
      </c>
      <c r="B1808" s="45"/>
      <c r="C1808" s="79" t="s">
        <v>18962</v>
      </c>
      <c r="D1808" s="45"/>
      <c r="E1808" s="79" t="s">
        <v>5341</v>
      </c>
      <c r="F1808" s="79" t="s">
        <v>8784</v>
      </c>
      <c r="G1808" s="80" t="s">
        <v>96</v>
      </c>
      <c r="H1808" s="90">
        <v>1.718E-4</v>
      </c>
      <c r="I1808" s="45"/>
      <c r="J1808" s="45"/>
      <c r="K1808" s="45"/>
      <c r="L1808" s="45"/>
      <c r="M1808" s="45"/>
      <c r="N1808" s="45"/>
      <c r="O1808" s="45"/>
      <c r="P1808" s="45"/>
      <c r="Q1808" s="45"/>
      <c r="R1808" s="45"/>
      <c r="S1808" s="45"/>
      <c r="T1808" s="45"/>
      <c r="U1808" s="45"/>
    </row>
    <row r="1809">
      <c r="A1809" s="79" t="s">
        <v>18963</v>
      </c>
      <c r="B1809" s="45"/>
      <c r="C1809" s="79" t="s">
        <v>18964</v>
      </c>
      <c r="D1809" s="45"/>
      <c r="E1809" s="79" t="s">
        <v>5296</v>
      </c>
      <c r="F1809" s="79" t="s">
        <v>5300</v>
      </c>
      <c r="G1809" s="80" t="s">
        <v>96</v>
      </c>
      <c r="H1809" s="90">
        <v>1.715E-4</v>
      </c>
      <c r="I1809" s="45"/>
      <c r="J1809" s="45"/>
      <c r="K1809" s="45"/>
      <c r="L1809" s="45"/>
      <c r="M1809" s="45"/>
      <c r="N1809" s="45"/>
      <c r="O1809" s="45"/>
      <c r="P1809" s="45"/>
      <c r="Q1809" s="45"/>
      <c r="R1809" s="45"/>
      <c r="S1809" s="45"/>
      <c r="T1809" s="45"/>
      <c r="U1809" s="45"/>
    </row>
    <row r="1810">
      <c r="A1810" s="79" t="s">
        <v>18965</v>
      </c>
      <c r="B1810" s="45"/>
      <c r="C1810" s="79" t="s">
        <v>18966</v>
      </c>
      <c r="D1810" s="45"/>
      <c r="E1810" s="79" t="s">
        <v>5335</v>
      </c>
      <c r="F1810" s="79" t="s">
        <v>5300</v>
      </c>
      <c r="G1810" s="80" t="s">
        <v>96</v>
      </c>
      <c r="H1810" s="90">
        <v>1.712E-4</v>
      </c>
      <c r="I1810" s="45"/>
      <c r="J1810" s="45"/>
      <c r="K1810" s="45"/>
      <c r="L1810" s="45"/>
      <c r="M1810" s="45"/>
      <c r="N1810" s="45"/>
      <c r="O1810" s="45"/>
      <c r="P1810" s="45"/>
      <c r="Q1810" s="45"/>
      <c r="R1810" s="45"/>
      <c r="S1810" s="45"/>
      <c r="T1810" s="45"/>
      <c r="U1810" s="45"/>
    </row>
    <row r="1811">
      <c r="A1811" s="79" t="s">
        <v>18967</v>
      </c>
      <c r="B1811" s="45"/>
      <c r="C1811" s="79" t="s">
        <v>18968</v>
      </c>
      <c r="D1811" s="45"/>
      <c r="E1811" s="79" t="s">
        <v>6040</v>
      </c>
      <c r="F1811" s="79" t="s">
        <v>5300</v>
      </c>
      <c r="G1811" s="80" t="s">
        <v>96</v>
      </c>
      <c r="H1811" s="90">
        <v>1.712E-4</v>
      </c>
      <c r="I1811" s="45"/>
      <c r="J1811" s="45"/>
      <c r="K1811" s="45"/>
      <c r="L1811" s="45"/>
      <c r="M1811" s="45"/>
      <c r="N1811" s="45"/>
      <c r="O1811" s="45"/>
      <c r="P1811" s="45"/>
      <c r="Q1811" s="45"/>
      <c r="R1811" s="45"/>
      <c r="S1811" s="45"/>
      <c r="T1811" s="45"/>
      <c r="U1811" s="45"/>
    </row>
    <row r="1812">
      <c r="A1812" s="79" t="s">
        <v>11205</v>
      </c>
      <c r="B1812" s="45"/>
      <c r="C1812" s="79" t="s">
        <v>11206</v>
      </c>
      <c r="D1812" s="45"/>
      <c r="E1812" s="79" t="s">
        <v>5390</v>
      </c>
      <c r="F1812" s="79" t="s">
        <v>8784</v>
      </c>
      <c r="G1812" s="80" t="s">
        <v>96</v>
      </c>
      <c r="H1812" s="90">
        <v>1.71E-4</v>
      </c>
      <c r="I1812" s="45"/>
      <c r="J1812" s="45"/>
      <c r="K1812" s="45"/>
      <c r="L1812" s="45"/>
      <c r="M1812" s="45"/>
      <c r="N1812" s="45"/>
      <c r="O1812" s="45"/>
      <c r="P1812" s="45"/>
      <c r="Q1812" s="45"/>
      <c r="R1812" s="45"/>
      <c r="S1812" s="45"/>
      <c r="T1812" s="45"/>
      <c r="U1812" s="45"/>
    </row>
    <row r="1813">
      <c r="A1813" s="79" t="s">
        <v>18969</v>
      </c>
      <c r="B1813" s="45"/>
      <c r="C1813" s="79" t="s">
        <v>18970</v>
      </c>
      <c r="D1813" s="45"/>
      <c r="E1813" s="79" t="s">
        <v>5456</v>
      </c>
      <c r="F1813" s="79" t="s">
        <v>8784</v>
      </c>
      <c r="G1813" s="80" t="s">
        <v>96</v>
      </c>
      <c r="H1813" s="90">
        <v>1.71E-4</v>
      </c>
      <c r="I1813" s="45"/>
      <c r="J1813" s="45"/>
      <c r="K1813" s="45"/>
      <c r="L1813" s="45"/>
      <c r="M1813" s="45"/>
      <c r="N1813" s="45"/>
      <c r="O1813" s="45"/>
      <c r="P1813" s="45"/>
      <c r="Q1813" s="45"/>
      <c r="R1813" s="45"/>
      <c r="S1813" s="45"/>
      <c r="T1813" s="45"/>
      <c r="U1813" s="45"/>
    </row>
    <row r="1814">
      <c r="A1814" s="79" t="s">
        <v>11136</v>
      </c>
      <c r="B1814" s="45"/>
      <c r="C1814" s="79" t="s">
        <v>11137</v>
      </c>
      <c r="D1814" s="45"/>
      <c r="E1814" s="79" t="s">
        <v>5218</v>
      </c>
      <c r="F1814" s="79" t="s">
        <v>8784</v>
      </c>
      <c r="G1814" s="80" t="s">
        <v>96</v>
      </c>
      <c r="H1814" s="90">
        <v>1.709E-4</v>
      </c>
      <c r="I1814" s="45"/>
      <c r="J1814" s="45"/>
      <c r="K1814" s="45"/>
      <c r="L1814" s="45"/>
      <c r="M1814" s="45"/>
      <c r="N1814" s="45"/>
      <c r="O1814" s="45"/>
      <c r="P1814" s="45"/>
      <c r="Q1814" s="45"/>
      <c r="R1814" s="45"/>
      <c r="S1814" s="45"/>
      <c r="T1814" s="45"/>
      <c r="U1814" s="45"/>
    </row>
    <row r="1815">
      <c r="A1815" s="79" t="s">
        <v>10623</v>
      </c>
      <c r="B1815" s="45"/>
      <c r="C1815" s="79" t="s">
        <v>10624</v>
      </c>
      <c r="D1815" s="45"/>
      <c r="E1815" s="79" t="s">
        <v>5434</v>
      </c>
      <c r="F1815" s="79" t="s">
        <v>8784</v>
      </c>
      <c r="G1815" s="80" t="s">
        <v>96</v>
      </c>
      <c r="H1815" s="90">
        <v>1.708E-4</v>
      </c>
      <c r="I1815" s="45"/>
      <c r="J1815" s="45"/>
      <c r="K1815" s="45"/>
      <c r="L1815" s="45"/>
      <c r="M1815" s="45"/>
      <c r="N1815" s="45"/>
      <c r="O1815" s="45"/>
      <c r="P1815" s="45"/>
      <c r="Q1815" s="45"/>
      <c r="R1815" s="45"/>
      <c r="S1815" s="45"/>
      <c r="T1815" s="45"/>
      <c r="U1815" s="45"/>
    </row>
    <row r="1816">
      <c r="A1816" s="79" t="s">
        <v>18971</v>
      </c>
      <c r="B1816" s="45"/>
      <c r="C1816" s="79" t="s">
        <v>18972</v>
      </c>
      <c r="D1816" s="45"/>
      <c r="E1816" s="79" t="s">
        <v>5253</v>
      </c>
      <c r="F1816" s="79" t="s">
        <v>5300</v>
      </c>
      <c r="G1816" s="80" t="s">
        <v>96</v>
      </c>
      <c r="H1816" s="90">
        <v>1.706E-4</v>
      </c>
      <c r="I1816" s="45"/>
      <c r="J1816" s="45"/>
      <c r="K1816" s="45"/>
      <c r="L1816" s="45"/>
      <c r="M1816" s="45"/>
      <c r="N1816" s="45"/>
      <c r="O1816" s="45"/>
      <c r="P1816" s="45"/>
      <c r="Q1816" s="45"/>
      <c r="R1816" s="45"/>
      <c r="S1816" s="45"/>
      <c r="T1816" s="45"/>
      <c r="U1816" s="45"/>
    </row>
    <row r="1817">
      <c r="A1817" s="79" t="s">
        <v>18973</v>
      </c>
      <c r="B1817" s="45"/>
      <c r="C1817" s="79" t="s">
        <v>18974</v>
      </c>
      <c r="D1817" s="45"/>
      <c r="E1817" s="79" t="s">
        <v>5366</v>
      </c>
      <c r="F1817" s="79" t="s">
        <v>5300</v>
      </c>
      <c r="G1817" s="80" t="s">
        <v>96</v>
      </c>
      <c r="H1817" s="90">
        <v>1.705E-4</v>
      </c>
      <c r="I1817" s="45"/>
      <c r="J1817" s="45"/>
      <c r="K1817" s="45"/>
      <c r="L1817" s="45"/>
      <c r="M1817" s="45"/>
      <c r="N1817" s="45"/>
      <c r="O1817" s="45"/>
      <c r="P1817" s="45"/>
      <c r="Q1817" s="45"/>
      <c r="R1817" s="45"/>
      <c r="S1817" s="45"/>
      <c r="T1817" s="45"/>
      <c r="U1817" s="45"/>
    </row>
    <row r="1818">
      <c r="A1818" s="79" t="s">
        <v>18975</v>
      </c>
      <c r="B1818" s="45"/>
      <c r="C1818" s="79" t="s">
        <v>18976</v>
      </c>
      <c r="D1818" s="45"/>
      <c r="E1818" s="79" t="s">
        <v>5715</v>
      </c>
      <c r="F1818" s="79" t="s">
        <v>5425</v>
      </c>
      <c r="G1818" s="80" t="s">
        <v>96</v>
      </c>
      <c r="H1818" s="90">
        <v>1.704E-4</v>
      </c>
      <c r="I1818" s="45"/>
      <c r="J1818" s="45"/>
      <c r="K1818" s="45"/>
      <c r="L1818" s="45"/>
      <c r="M1818" s="45"/>
      <c r="N1818" s="45"/>
      <c r="O1818" s="45"/>
      <c r="P1818" s="45"/>
      <c r="Q1818" s="45"/>
      <c r="R1818" s="45"/>
      <c r="S1818" s="45"/>
      <c r="T1818" s="45"/>
      <c r="U1818" s="45"/>
    </row>
    <row r="1819">
      <c r="A1819" s="79" t="s">
        <v>18977</v>
      </c>
      <c r="B1819" s="45"/>
      <c r="C1819" s="79" t="s">
        <v>18978</v>
      </c>
      <c r="D1819" s="45"/>
      <c r="E1819" s="79" t="s">
        <v>5390</v>
      </c>
      <c r="F1819" s="79" t="s">
        <v>5300</v>
      </c>
      <c r="G1819" s="80" t="s">
        <v>96</v>
      </c>
      <c r="H1819" s="90">
        <v>1.701E-4</v>
      </c>
      <c r="I1819" s="45"/>
      <c r="J1819" s="45"/>
      <c r="K1819" s="45"/>
      <c r="L1819" s="45"/>
      <c r="M1819" s="45"/>
      <c r="N1819" s="45"/>
      <c r="O1819" s="45"/>
      <c r="P1819" s="45"/>
      <c r="Q1819" s="45"/>
      <c r="R1819" s="45"/>
      <c r="S1819" s="45"/>
      <c r="T1819" s="45"/>
      <c r="U1819" s="45"/>
    </row>
    <row r="1820">
      <c r="A1820" s="79" t="s">
        <v>11159</v>
      </c>
      <c r="B1820" s="45"/>
      <c r="C1820" s="79" t="s">
        <v>11160</v>
      </c>
      <c r="D1820" s="45"/>
      <c r="E1820" s="79" t="s">
        <v>5434</v>
      </c>
      <c r="F1820" s="79" t="s">
        <v>8784</v>
      </c>
      <c r="G1820" s="80" t="s">
        <v>96</v>
      </c>
      <c r="H1820" s="90">
        <v>1.7E-4</v>
      </c>
      <c r="I1820" s="45"/>
      <c r="J1820" s="45"/>
      <c r="K1820" s="45"/>
      <c r="L1820" s="45"/>
      <c r="M1820" s="45"/>
      <c r="N1820" s="45"/>
      <c r="O1820" s="45"/>
      <c r="P1820" s="45"/>
      <c r="Q1820" s="45"/>
      <c r="R1820" s="45"/>
      <c r="S1820" s="45"/>
      <c r="T1820" s="45"/>
      <c r="U1820" s="45"/>
    </row>
    <row r="1821">
      <c r="A1821" s="79" t="s">
        <v>18979</v>
      </c>
      <c r="B1821" s="45"/>
      <c r="C1821" s="79" t="s">
        <v>18980</v>
      </c>
      <c r="D1821" s="45"/>
      <c r="E1821" s="79" t="s">
        <v>5291</v>
      </c>
      <c r="F1821" s="79" t="s">
        <v>5300</v>
      </c>
      <c r="G1821" s="80" t="s">
        <v>96</v>
      </c>
      <c r="H1821" s="90">
        <v>1.698E-4</v>
      </c>
      <c r="I1821" s="45"/>
      <c r="J1821" s="45"/>
      <c r="K1821" s="45"/>
      <c r="L1821" s="45"/>
      <c r="M1821" s="45"/>
      <c r="N1821" s="45"/>
      <c r="O1821" s="45"/>
      <c r="P1821" s="45"/>
      <c r="Q1821" s="45"/>
      <c r="R1821" s="45"/>
      <c r="S1821" s="45"/>
      <c r="T1821" s="45"/>
      <c r="U1821" s="45"/>
    </row>
    <row r="1822">
      <c r="A1822" s="79" t="s">
        <v>18981</v>
      </c>
      <c r="B1822" s="45"/>
      <c r="C1822" s="79" t="s">
        <v>18982</v>
      </c>
      <c r="D1822" s="45"/>
      <c r="E1822" s="79" t="s">
        <v>5478</v>
      </c>
      <c r="F1822" s="79" t="s">
        <v>5300</v>
      </c>
      <c r="G1822" s="80" t="s">
        <v>96</v>
      </c>
      <c r="H1822" s="90">
        <v>1.696E-4</v>
      </c>
      <c r="I1822" s="45"/>
      <c r="J1822" s="45"/>
      <c r="K1822" s="45"/>
      <c r="L1822" s="45"/>
      <c r="M1822" s="45"/>
      <c r="N1822" s="45"/>
      <c r="O1822" s="45"/>
      <c r="P1822" s="45"/>
      <c r="Q1822" s="45"/>
      <c r="R1822" s="45"/>
      <c r="S1822" s="45"/>
      <c r="T1822" s="45"/>
      <c r="U1822" s="45"/>
    </row>
    <row r="1823">
      <c r="A1823" s="79" t="s">
        <v>18983</v>
      </c>
      <c r="B1823" s="45"/>
      <c r="C1823" s="79" t="s">
        <v>18984</v>
      </c>
      <c r="D1823" s="45"/>
      <c r="E1823" s="79" t="s">
        <v>5407</v>
      </c>
      <c r="F1823" s="79" t="s">
        <v>5300</v>
      </c>
      <c r="G1823" s="80" t="s">
        <v>96</v>
      </c>
      <c r="H1823" s="90">
        <v>1.695E-4</v>
      </c>
      <c r="I1823" s="45"/>
      <c r="J1823" s="45"/>
      <c r="K1823" s="45"/>
      <c r="L1823" s="45"/>
      <c r="M1823" s="45"/>
      <c r="N1823" s="45"/>
      <c r="O1823" s="45"/>
      <c r="P1823" s="45"/>
      <c r="Q1823" s="45"/>
      <c r="R1823" s="45"/>
      <c r="S1823" s="45"/>
      <c r="T1823" s="45"/>
      <c r="U1823" s="45"/>
    </row>
    <row r="1824">
      <c r="A1824" s="79" t="s">
        <v>18985</v>
      </c>
      <c r="B1824" s="45"/>
      <c r="C1824" s="79" t="s">
        <v>18986</v>
      </c>
      <c r="D1824" s="45"/>
      <c r="E1824" s="79" t="s">
        <v>6416</v>
      </c>
      <c r="F1824" s="79" t="s">
        <v>5836</v>
      </c>
      <c r="G1824" s="80" t="s">
        <v>96</v>
      </c>
      <c r="H1824" s="90">
        <v>1.694E-4</v>
      </c>
      <c r="I1824" s="45"/>
      <c r="J1824" s="45"/>
      <c r="K1824" s="45"/>
      <c r="L1824" s="45"/>
      <c r="M1824" s="45"/>
      <c r="N1824" s="45"/>
      <c r="O1824" s="45"/>
      <c r="P1824" s="45"/>
      <c r="Q1824" s="45"/>
      <c r="R1824" s="45"/>
      <c r="S1824" s="45"/>
      <c r="T1824" s="45"/>
      <c r="U1824" s="45"/>
    </row>
    <row r="1825">
      <c r="A1825" s="79" t="s">
        <v>18987</v>
      </c>
      <c r="B1825" s="45"/>
      <c r="C1825" s="79" t="s">
        <v>18988</v>
      </c>
      <c r="D1825" s="45"/>
      <c r="E1825" s="79" t="s">
        <v>5215</v>
      </c>
      <c r="F1825" s="79" t="s">
        <v>8784</v>
      </c>
      <c r="G1825" s="80" t="s">
        <v>96</v>
      </c>
      <c r="H1825" s="90">
        <v>1.693E-4</v>
      </c>
      <c r="I1825" s="45"/>
      <c r="J1825" s="45"/>
      <c r="K1825" s="45"/>
      <c r="L1825" s="45"/>
      <c r="M1825" s="45"/>
      <c r="N1825" s="45"/>
      <c r="O1825" s="45"/>
      <c r="P1825" s="45"/>
      <c r="Q1825" s="45"/>
      <c r="R1825" s="45"/>
      <c r="S1825" s="45"/>
      <c r="T1825" s="45"/>
      <c r="U1825" s="45"/>
    </row>
    <row r="1826">
      <c r="A1826" s="79" t="s">
        <v>18989</v>
      </c>
      <c r="B1826" s="45"/>
      <c r="C1826" s="79" t="s">
        <v>18990</v>
      </c>
      <c r="D1826" s="45"/>
      <c r="E1826" s="79" t="s">
        <v>5811</v>
      </c>
      <c r="F1826" s="79" t="s">
        <v>5300</v>
      </c>
      <c r="G1826" s="80" t="s">
        <v>96</v>
      </c>
      <c r="H1826" s="90">
        <v>1.693E-4</v>
      </c>
      <c r="I1826" s="45"/>
      <c r="J1826" s="45"/>
      <c r="K1826" s="45"/>
      <c r="L1826" s="45"/>
      <c r="M1826" s="45"/>
      <c r="N1826" s="45"/>
      <c r="O1826" s="45"/>
      <c r="P1826" s="45"/>
      <c r="Q1826" s="45"/>
      <c r="R1826" s="45"/>
      <c r="S1826" s="45"/>
      <c r="T1826" s="45"/>
      <c r="U1826" s="45"/>
    </row>
    <row r="1827">
      <c r="A1827" s="79" t="s">
        <v>18991</v>
      </c>
      <c r="B1827" s="45"/>
      <c r="C1827" s="79" t="s">
        <v>18992</v>
      </c>
      <c r="D1827" s="45"/>
      <c r="E1827" s="79" t="s">
        <v>5267</v>
      </c>
      <c r="F1827" s="79" t="s">
        <v>5300</v>
      </c>
      <c r="G1827" s="80" t="s">
        <v>96</v>
      </c>
      <c r="H1827" s="90">
        <v>1.692E-4</v>
      </c>
      <c r="I1827" s="45"/>
      <c r="J1827" s="45"/>
      <c r="K1827" s="45"/>
      <c r="L1827" s="45"/>
      <c r="M1827" s="45"/>
      <c r="N1827" s="45"/>
      <c r="O1827" s="45"/>
      <c r="P1827" s="45"/>
      <c r="Q1827" s="45"/>
      <c r="R1827" s="45"/>
      <c r="S1827" s="45"/>
      <c r="T1827" s="45"/>
      <c r="U1827" s="45"/>
    </row>
    <row r="1828">
      <c r="A1828" s="79" t="s">
        <v>10984</v>
      </c>
      <c r="B1828" s="45"/>
      <c r="C1828" s="79" t="s">
        <v>10985</v>
      </c>
      <c r="D1828" s="45"/>
      <c r="E1828" s="79" t="s">
        <v>6223</v>
      </c>
      <c r="F1828" s="79" t="s">
        <v>8784</v>
      </c>
      <c r="G1828" s="80" t="s">
        <v>96</v>
      </c>
      <c r="H1828" s="90">
        <v>1.689E-4</v>
      </c>
      <c r="I1828" s="45"/>
      <c r="J1828" s="45"/>
      <c r="K1828" s="45"/>
      <c r="L1828" s="45"/>
      <c r="M1828" s="45"/>
      <c r="N1828" s="45"/>
      <c r="O1828" s="45"/>
      <c r="P1828" s="45"/>
      <c r="Q1828" s="45"/>
      <c r="R1828" s="45"/>
      <c r="S1828" s="45"/>
      <c r="T1828" s="45"/>
      <c r="U1828" s="45"/>
    </row>
    <row r="1829">
      <c r="A1829" s="79" t="s">
        <v>18993</v>
      </c>
      <c r="B1829" s="45"/>
      <c r="C1829" s="79" t="s">
        <v>18994</v>
      </c>
      <c r="D1829" s="45"/>
      <c r="E1829" s="79" t="s">
        <v>5478</v>
      </c>
      <c r="F1829" s="79" t="s">
        <v>5300</v>
      </c>
      <c r="G1829" s="80" t="s">
        <v>96</v>
      </c>
      <c r="H1829" s="90">
        <v>1.688E-4</v>
      </c>
      <c r="I1829" s="45"/>
      <c r="J1829" s="45"/>
      <c r="K1829" s="45"/>
      <c r="L1829" s="45"/>
      <c r="M1829" s="45"/>
      <c r="N1829" s="45"/>
      <c r="O1829" s="45"/>
      <c r="P1829" s="45"/>
      <c r="Q1829" s="45"/>
      <c r="R1829" s="45"/>
      <c r="S1829" s="45"/>
      <c r="T1829" s="45"/>
      <c r="U1829" s="45"/>
    </row>
    <row r="1830">
      <c r="A1830" s="79" t="s">
        <v>18995</v>
      </c>
      <c r="B1830" s="45"/>
      <c r="C1830" s="79" t="s">
        <v>18996</v>
      </c>
      <c r="D1830" s="45"/>
      <c r="E1830" s="79" t="s">
        <v>8154</v>
      </c>
      <c r="F1830" s="79" t="s">
        <v>5300</v>
      </c>
      <c r="G1830" s="80" t="s">
        <v>96</v>
      </c>
      <c r="H1830" s="90">
        <v>1.688E-4</v>
      </c>
      <c r="I1830" s="45"/>
      <c r="J1830" s="45"/>
      <c r="K1830" s="45"/>
      <c r="L1830" s="45"/>
      <c r="M1830" s="45"/>
      <c r="N1830" s="45"/>
      <c r="O1830" s="45"/>
      <c r="P1830" s="45"/>
      <c r="Q1830" s="45"/>
      <c r="R1830" s="45"/>
      <c r="S1830" s="45"/>
      <c r="T1830" s="45"/>
      <c r="U1830" s="45"/>
    </row>
    <row r="1831">
      <c r="A1831" s="79" t="s">
        <v>5705</v>
      </c>
      <c r="B1831" s="45"/>
      <c r="C1831" s="79" t="s">
        <v>18997</v>
      </c>
      <c r="D1831" s="45"/>
      <c r="E1831" s="79" t="s">
        <v>6238</v>
      </c>
      <c r="F1831" s="79" t="s">
        <v>4436</v>
      </c>
      <c r="G1831" s="80" t="s">
        <v>96</v>
      </c>
      <c r="H1831" s="90">
        <v>1.687E-4</v>
      </c>
      <c r="I1831" s="45"/>
      <c r="J1831" s="45"/>
      <c r="K1831" s="45"/>
      <c r="L1831" s="45"/>
      <c r="M1831" s="45"/>
      <c r="N1831" s="45"/>
      <c r="O1831" s="45"/>
      <c r="P1831" s="45"/>
      <c r="Q1831" s="45"/>
      <c r="R1831" s="45"/>
      <c r="S1831" s="45"/>
      <c r="T1831" s="45"/>
      <c r="U1831" s="45"/>
    </row>
    <row r="1832">
      <c r="A1832" s="79" t="s">
        <v>18998</v>
      </c>
      <c r="B1832" s="45"/>
      <c r="C1832" s="79" t="s">
        <v>18999</v>
      </c>
      <c r="D1832" s="45"/>
      <c r="E1832" s="79" t="s">
        <v>5348</v>
      </c>
      <c r="F1832" s="79" t="s">
        <v>5300</v>
      </c>
      <c r="G1832" s="80" t="s">
        <v>96</v>
      </c>
      <c r="H1832" s="90">
        <v>1.684E-4</v>
      </c>
      <c r="I1832" s="45"/>
      <c r="J1832" s="45"/>
      <c r="K1832" s="45"/>
      <c r="L1832" s="45"/>
      <c r="M1832" s="45"/>
      <c r="N1832" s="45"/>
      <c r="O1832" s="45"/>
      <c r="P1832" s="45"/>
      <c r="Q1832" s="45"/>
      <c r="R1832" s="45"/>
      <c r="S1832" s="45"/>
      <c r="T1832" s="45"/>
      <c r="U1832" s="45"/>
    </row>
    <row r="1833">
      <c r="A1833" s="79" t="s">
        <v>19000</v>
      </c>
      <c r="B1833" s="45"/>
      <c r="C1833" s="79" t="s">
        <v>19001</v>
      </c>
      <c r="D1833" s="45"/>
      <c r="E1833" s="79" t="s">
        <v>5450</v>
      </c>
      <c r="F1833" s="79" t="s">
        <v>5300</v>
      </c>
      <c r="G1833" s="80" t="s">
        <v>96</v>
      </c>
      <c r="H1833" s="90">
        <v>1.682E-4</v>
      </c>
      <c r="I1833" s="45"/>
      <c r="J1833" s="45"/>
      <c r="K1833" s="45"/>
      <c r="L1833" s="45"/>
      <c r="M1833" s="45"/>
      <c r="N1833" s="45"/>
      <c r="O1833" s="45"/>
      <c r="P1833" s="45"/>
      <c r="Q1833" s="45"/>
      <c r="R1833" s="45"/>
      <c r="S1833" s="45"/>
      <c r="T1833" s="45"/>
      <c r="U1833" s="45"/>
    </row>
    <row r="1834">
      <c r="A1834" s="79" t="s">
        <v>19002</v>
      </c>
      <c r="B1834" s="45"/>
      <c r="C1834" s="79" t="s">
        <v>19003</v>
      </c>
      <c r="D1834" s="45"/>
      <c r="E1834" s="79" t="s">
        <v>5215</v>
      </c>
      <c r="F1834" s="79" t="s">
        <v>5300</v>
      </c>
      <c r="G1834" s="80" t="s">
        <v>96</v>
      </c>
      <c r="H1834" s="90">
        <v>1.679E-4</v>
      </c>
      <c r="I1834" s="45"/>
      <c r="J1834" s="45"/>
      <c r="K1834" s="45"/>
      <c r="L1834" s="45"/>
      <c r="M1834" s="45"/>
      <c r="N1834" s="45"/>
      <c r="O1834" s="45"/>
      <c r="P1834" s="45"/>
      <c r="Q1834" s="45"/>
      <c r="R1834" s="45"/>
      <c r="S1834" s="45"/>
      <c r="T1834" s="45"/>
      <c r="U1834" s="45"/>
    </row>
    <row r="1835">
      <c r="A1835" s="79" t="s">
        <v>19004</v>
      </c>
      <c r="B1835" s="45"/>
      <c r="C1835" s="79" t="s">
        <v>19005</v>
      </c>
      <c r="D1835" s="45"/>
      <c r="E1835" s="79" t="s">
        <v>5276</v>
      </c>
      <c r="F1835" s="79" t="s">
        <v>5425</v>
      </c>
      <c r="G1835" s="80" t="s">
        <v>96</v>
      </c>
      <c r="H1835" s="90">
        <v>1.679E-4</v>
      </c>
      <c r="I1835" s="45"/>
      <c r="J1835" s="45"/>
      <c r="K1835" s="45"/>
      <c r="L1835" s="45"/>
      <c r="M1835" s="45"/>
      <c r="N1835" s="45"/>
      <c r="O1835" s="45"/>
      <c r="P1835" s="45"/>
      <c r="Q1835" s="45"/>
      <c r="R1835" s="45"/>
      <c r="S1835" s="45"/>
      <c r="T1835" s="45"/>
      <c r="U1835" s="45"/>
    </row>
    <row r="1836">
      <c r="A1836" s="79" t="s">
        <v>10744</v>
      </c>
      <c r="B1836" s="45"/>
      <c r="C1836" s="79" t="s">
        <v>10745</v>
      </c>
      <c r="D1836" s="45"/>
      <c r="E1836" s="79" t="s">
        <v>5501</v>
      </c>
      <c r="F1836" s="79" t="s">
        <v>8784</v>
      </c>
      <c r="G1836" s="80" t="s">
        <v>96</v>
      </c>
      <c r="H1836" s="90">
        <v>1.678E-4</v>
      </c>
      <c r="I1836" s="45"/>
      <c r="J1836" s="45"/>
      <c r="K1836" s="45"/>
      <c r="L1836" s="45"/>
      <c r="M1836" s="45"/>
      <c r="N1836" s="45"/>
      <c r="O1836" s="45"/>
      <c r="P1836" s="45"/>
      <c r="Q1836" s="45"/>
      <c r="R1836" s="45"/>
      <c r="S1836" s="45"/>
      <c r="T1836" s="45"/>
      <c r="U1836" s="45"/>
    </row>
    <row r="1837">
      <c r="A1837" s="79" t="s">
        <v>10898</v>
      </c>
      <c r="B1837" s="45"/>
      <c r="C1837" s="79" t="s">
        <v>10899</v>
      </c>
      <c r="D1837" s="45"/>
      <c r="E1837" s="79" t="s">
        <v>5650</v>
      </c>
      <c r="F1837" s="79" t="s">
        <v>8784</v>
      </c>
      <c r="G1837" s="80" t="s">
        <v>96</v>
      </c>
      <c r="H1837" s="90">
        <v>1.678E-4</v>
      </c>
      <c r="I1837" s="45"/>
      <c r="J1837" s="45"/>
      <c r="K1837" s="45"/>
      <c r="L1837" s="45"/>
      <c r="M1837" s="45"/>
      <c r="N1837" s="45"/>
      <c r="O1837" s="45"/>
      <c r="P1837" s="45"/>
      <c r="Q1837" s="45"/>
      <c r="R1837" s="45"/>
      <c r="S1837" s="45"/>
      <c r="T1837" s="45"/>
      <c r="U1837" s="45"/>
    </row>
    <row r="1838">
      <c r="A1838" s="79" t="s">
        <v>19006</v>
      </c>
      <c r="B1838" s="45"/>
      <c r="C1838" s="79" t="s">
        <v>19007</v>
      </c>
      <c r="D1838" s="45"/>
      <c r="E1838" s="79" t="s">
        <v>5450</v>
      </c>
      <c r="F1838" s="79" t="s">
        <v>5425</v>
      </c>
      <c r="G1838" s="80" t="s">
        <v>96</v>
      </c>
      <c r="H1838" s="90">
        <v>1.678E-4</v>
      </c>
      <c r="I1838" s="45"/>
      <c r="J1838" s="45"/>
      <c r="K1838" s="45"/>
      <c r="L1838" s="45"/>
      <c r="M1838" s="45"/>
      <c r="N1838" s="45"/>
      <c r="O1838" s="45"/>
      <c r="P1838" s="45"/>
      <c r="Q1838" s="45"/>
      <c r="R1838" s="45"/>
      <c r="S1838" s="45"/>
      <c r="T1838" s="45"/>
      <c r="U1838" s="45"/>
    </row>
    <row r="1839">
      <c r="A1839" s="79" t="s">
        <v>11191</v>
      </c>
      <c r="B1839" s="45"/>
      <c r="C1839" s="79" t="s">
        <v>11192</v>
      </c>
      <c r="D1839" s="45"/>
      <c r="E1839" s="79" t="s">
        <v>5215</v>
      </c>
      <c r="F1839" s="79" t="s">
        <v>8784</v>
      </c>
      <c r="G1839" s="80" t="s">
        <v>96</v>
      </c>
      <c r="H1839" s="90">
        <v>1.678E-4</v>
      </c>
      <c r="I1839" s="45"/>
      <c r="J1839" s="45"/>
      <c r="K1839" s="45"/>
      <c r="L1839" s="45"/>
      <c r="M1839" s="45"/>
      <c r="N1839" s="45"/>
      <c r="O1839" s="45"/>
      <c r="P1839" s="45"/>
      <c r="Q1839" s="45"/>
      <c r="R1839" s="45"/>
      <c r="S1839" s="45"/>
      <c r="T1839" s="45"/>
      <c r="U1839" s="45"/>
    </row>
    <row r="1840">
      <c r="A1840" s="79" t="s">
        <v>19008</v>
      </c>
      <c r="B1840" s="45"/>
      <c r="C1840" s="79" t="s">
        <v>19009</v>
      </c>
      <c r="D1840" s="45"/>
      <c r="E1840" s="79" t="s">
        <v>5348</v>
      </c>
      <c r="F1840" s="79" t="s">
        <v>5300</v>
      </c>
      <c r="G1840" s="80" t="s">
        <v>96</v>
      </c>
      <c r="H1840" s="90">
        <v>1.673E-4</v>
      </c>
      <c r="I1840" s="45"/>
      <c r="J1840" s="45"/>
      <c r="K1840" s="45"/>
      <c r="L1840" s="45"/>
      <c r="M1840" s="45"/>
      <c r="N1840" s="45"/>
      <c r="O1840" s="45"/>
      <c r="P1840" s="45"/>
      <c r="Q1840" s="45"/>
      <c r="R1840" s="45"/>
      <c r="S1840" s="45"/>
      <c r="T1840" s="45"/>
      <c r="U1840" s="45"/>
    </row>
    <row r="1841">
      <c r="A1841" s="79" t="s">
        <v>7206</v>
      </c>
      <c r="B1841" s="45"/>
      <c r="C1841" s="79" t="s">
        <v>19010</v>
      </c>
      <c r="D1841" s="45"/>
      <c r="E1841" s="79" t="s">
        <v>5589</v>
      </c>
      <c r="F1841" s="79" t="s">
        <v>5300</v>
      </c>
      <c r="G1841" s="80" t="s">
        <v>96</v>
      </c>
      <c r="H1841" s="90">
        <v>1.673E-4</v>
      </c>
      <c r="I1841" s="45"/>
      <c r="J1841" s="45"/>
      <c r="K1841" s="45"/>
      <c r="L1841" s="45"/>
      <c r="M1841" s="45"/>
      <c r="N1841" s="45"/>
      <c r="O1841" s="45"/>
      <c r="P1841" s="45"/>
      <c r="Q1841" s="45"/>
      <c r="R1841" s="45"/>
      <c r="S1841" s="45"/>
      <c r="T1841" s="45"/>
      <c r="U1841" s="45"/>
    </row>
    <row r="1842">
      <c r="A1842" s="79" t="s">
        <v>19011</v>
      </c>
      <c r="B1842" s="45"/>
      <c r="C1842" s="79" t="s">
        <v>19012</v>
      </c>
      <c r="D1842" s="45"/>
      <c r="E1842" s="79" t="s">
        <v>5232</v>
      </c>
      <c r="F1842" s="79" t="s">
        <v>5836</v>
      </c>
      <c r="G1842" s="80" t="s">
        <v>96</v>
      </c>
      <c r="H1842" s="90">
        <v>1.673E-4</v>
      </c>
      <c r="I1842" s="45"/>
      <c r="J1842" s="45"/>
      <c r="K1842" s="45"/>
      <c r="L1842" s="45"/>
      <c r="M1842" s="45"/>
      <c r="N1842" s="45"/>
      <c r="O1842" s="45"/>
      <c r="P1842" s="45"/>
      <c r="Q1842" s="45"/>
      <c r="R1842" s="45"/>
      <c r="S1842" s="45"/>
      <c r="T1842" s="45"/>
      <c r="U1842" s="45"/>
    </row>
    <row r="1843">
      <c r="A1843" s="79" t="s">
        <v>19013</v>
      </c>
      <c r="B1843" s="45"/>
      <c r="C1843" s="79" t="s">
        <v>19014</v>
      </c>
      <c r="D1843" s="45"/>
      <c r="E1843" s="79" t="s">
        <v>5271</v>
      </c>
      <c r="F1843" s="79" t="s">
        <v>5300</v>
      </c>
      <c r="G1843" s="80" t="s">
        <v>96</v>
      </c>
      <c r="H1843" s="90">
        <v>1.671E-4</v>
      </c>
      <c r="I1843" s="45"/>
      <c r="J1843" s="45"/>
      <c r="K1843" s="45"/>
      <c r="L1843" s="45"/>
      <c r="M1843" s="45"/>
      <c r="N1843" s="45"/>
      <c r="O1843" s="45"/>
      <c r="P1843" s="45"/>
      <c r="Q1843" s="45"/>
      <c r="R1843" s="45"/>
      <c r="S1843" s="45"/>
      <c r="T1843" s="45"/>
      <c r="U1843" s="45"/>
    </row>
    <row r="1844">
      <c r="A1844" s="79" t="s">
        <v>17233</v>
      </c>
      <c r="B1844" s="45"/>
      <c r="C1844" s="79" t="s">
        <v>19015</v>
      </c>
      <c r="D1844" s="45"/>
      <c r="E1844" s="79" t="s">
        <v>6249</v>
      </c>
      <c r="F1844" s="79" t="s">
        <v>5836</v>
      </c>
      <c r="G1844" s="80" t="s">
        <v>96</v>
      </c>
      <c r="H1844" s="90">
        <v>1.67E-4</v>
      </c>
      <c r="I1844" s="45"/>
      <c r="J1844" s="45"/>
      <c r="K1844" s="45"/>
      <c r="L1844" s="45"/>
      <c r="M1844" s="45"/>
      <c r="N1844" s="45"/>
      <c r="O1844" s="45"/>
      <c r="P1844" s="45"/>
      <c r="Q1844" s="45"/>
      <c r="R1844" s="45"/>
      <c r="S1844" s="45"/>
      <c r="T1844" s="45"/>
      <c r="U1844" s="45"/>
    </row>
    <row r="1845">
      <c r="A1845" s="79" t="s">
        <v>4235</v>
      </c>
      <c r="B1845" s="45"/>
      <c r="C1845" s="79" t="s">
        <v>19016</v>
      </c>
      <c r="D1845" s="45"/>
      <c r="E1845" s="79" t="s">
        <v>5341</v>
      </c>
      <c r="F1845" s="79" t="s">
        <v>9698</v>
      </c>
      <c r="G1845" s="80" t="s">
        <v>96</v>
      </c>
      <c r="H1845" s="90">
        <v>1.67E-4</v>
      </c>
      <c r="I1845" s="45"/>
      <c r="J1845" s="45"/>
      <c r="K1845" s="45"/>
      <c r="L1845" s="45"/>
      <c r="M1845" s="45"/>
      <c r="N1845" s="45"/>
      <c r="O1845" s="45"/>
      <c r="P1845" s="45"/>
      <c r="Q1845" s="45"/>
      <c r="R1845" s="45"/>
      <c r="S1845" s="45"/>
      <c r="T1845" s="45"/>
      <c r="U1845" s="45"/>
    </row>
    <row r="1846">
      <c r="A1846" s="79" t="s">
        <v>5700</v>
      </c>
      <c r="B1846" s="45"/>
      <c r="C1846" s="79" t="s">
        <v>19017</v>
      </c>
      <c r="D1846" s="45"/>
      <c r="E1846" s="79" t="s">
        <v>8648</v>
      </c>
      <c r="F1846" s="79" t="s">
        <v>5300</v>
      </c>
      <c r="G1846" s="80" t="s">
        <v>96</v>
      </c>
      <c r="H1846" s="90">
        <v>1.67E-4</v>
      </c>
      <c r="I1846" s="45"/>
      <c r="J1846" s="45"/>
      <c r="K1846" s="45"/>
      <c r="L1846" s="45"/>
      <c r="M1846" s="45"/>
      <c r="N1846" s="45"/>
      <c r="O1846" s="45"/>
      <c r="P1846" s="45"/>
      <c r="Q1846" s="45"/>
      <c r="R1846" s="45"/>
      <c r="S1846" s="45"/>
      <c r="T1846" s="45"/>
      <c r="U1846" s="45"/>
    </row>
    <row r="1847">
      <c r="A1847" s="79" t="s">
        <v>19018</v>
      </c>
      <c r="B1847" s="45"/>
      <c r="C1847" s="79" t="s">
        <v>19019</v>
      </c>
      <c r="D1847" s="45"/>
      <c r="E1847" s="79" t="s">
        <v>5226</v>
      </c>
      <c r="F1847" s="79" t="s">
        <v>5836</v>
      </c>
      <c r="G1847" s="80" t="s">
        <v>96</v>
      </c>
      <c r="H1847" s="90">
        <v>1.668E-4</v>
      </c>
      <c r="I1847" s="45"/>
      <c r="J1847" s="45"/>
      <c r="K1847" s="45"/>
      <c r="L1847" s="45"/>
      <c r="M1847" s="45"/>
      <c r="N1847" s="45"/>
      <c r="O1847" s="45"/>
      <c r="P1847" s="45"/>
      <c r="Q1847" s="45"/>
      <c r="R1847" s="45"/>
      <c r="S1847" s="45"/>
      <c r="T1847" s="45"/>
      <c r="U1847" s="45"/>
    </row>
    <row r="1848">
      <c r="A1848" s="79" t="s">
        <v>19020</v>
      </c>
      <c r="B1848" s="45"/>
      <c r="C1848" s="79" t="s">
        <v>19021</v>
      </c>
      <c r="D1848" s="45"/>
      <c r="E1848" s="79" t="s">
        <v>10454</v>
      </c>
      <c r="F1848" s="79" t="s">
        <v>5300</v>
      </c>
      <c r="G1848" s="80" t="s">
        <v>96</v>
      </c>
      <c r="H1848" s="90">
        <v>1.667E-4</v>
      </c>
      <c r="I1848" s="45"/>
      <c r="J1848" s="45"/>
      <c r="K1848" s="45"/>
      <c r="L1848" s="45"/>
      <c r="M1848" s="45"/>
      <c r="N1848" s="45"/>
      <c r="O1848" s="45"/>
      <c r="P1848" s="45"/>
      <c r="Q1848" s="45"/>
      <c r="R1848" s="45"/>
      <c r="S1848" s="45"/>
      <c r="T1848" s="45"/>
      <c r="U1848" s="45"/>
    </row>
    <row r="1849">
      <c r="A1849" s="79" t="s">
        <v>19022</v>
      </c>
      <c r="B1849" s="45"/>
      <c r="C1849" s="79" t="s">
        <v>19023</v>
      </c>
      <c r="D1849" s="45"/>
      <c r="E1849" s="79" t="s">
        <v>5341</v>
      </c>
      <c r="F1849" s="79" t="s">
        <v>8784</v>
      </c>
      <c r="G1849" s="80" t="s">
        <v>96</v>
      </c>
      <c r="H1849" s="90">
        <v>1.666E-4</v>
      </c>
      <c r="I1849" s="45"/>
      <c r="J1849" s="45"/>
      <c r="K1849" s="45"/>
      <c r="L1849" s="45"/>
      <c r="M1849" s="45"/>
      <c r="N1849" s="45"/>
      <c r="O1849" s="45"/>
      <c r="P1849" s="45"/>
      <c r="Q1849" s="45"/>
      <c r="R1849" s="45"/>
      <c r="S1849" s="45"/>
      <c r="T1849" s="45"/>
      <c r="U1849" s="45"/>
    </row>
    <row r="1850">
      <c r="A1850" s="79" t="s">
        <v>19024</v>
      </c>
      <c r="B1850" s="45"/>
      <c r="C1850" s="79" t="s">
        <v>19025</v>
      </c>
      <c r="D1850" s="45"/>
      <c r="E1850" s="79" t="s">
        <v>6389</v>
      </c>
      <c r="F1850" s="79" t="s">
        <v>8767</v>
      </c>
      <c r="G1850" s="80" t="s">
        <v>96</v>
      </c>
      <c r="H1850" s="90">
        <v>1.666E-4</v>
      </c>
      <c r="I1850" s="45"/>
      <c r="J1850" s="45"/>
      <c r="K1850" s="45"/>
      <c r="L1850" s="45"/>
      <c r="M1850" s="45"/>
      <c r="N1850" s="45"/>
      <c r="O1850" s="45"/>
      <c r="P1850" s="45"/>
      <c r="Q1850" s="45"/>
      <c r="R1850" s="45"/>
      <c r="S1850" s="45"/>
      <c r="T1850" s="45"/>
      <c r="U1850" s="45"/>
    </row>
    <row r="1851">
      <c r="A1851" s="79" t="s">
        <v>19026</v>
      </c>
      <c r="B1851" s="45"/>
      <c r="C1851" s="79" t="s">
        <v>19027</v>
      </c>
      <c r="D1851" s="45"/>
      <c r="E1851" s="79" t="s">
        <v>5215</v>
      </c>
      <c r="F1851" s="79" t="s">
        <v>5300</v>
      </c>
      <c r="G1851" s="80" t="s">
        <v>96</v>
      </c>
      <c r="H1851" s="90">
        <v>1.665E-4</v>
      </c>
      <c r="I1851" s="45"/>
      <c r="J1851" s="45"/>
      <c r="K1851" s="45"/>
      <c r="L1851" s="45"/>
      <c r="M1851" s="45"/>
      <c r="N1851" s="45"/>
      <c r="O1851" s="45"/>
      <c r="P1851" s="45"/>
      <c r="Q1851" s="45"/>
      <c r="R1851" s="45"/>
      <c r="S1851" s="45"/>
      <c r="T1851" s="45"/>
      <c r="U1851" s="45"/>
    </row>
    <row r="1852">
      <c r="A1852" s="79" t="s">
        <v>6061</v>
      </c>
      <c r="B1852" s="45"/>
      <c r="C1852" s="79" t="s">
        <v>19028</v>
      </c>
      <c r="D1852" s="45"/>
      <c r="E1852" s="79" t="s">
        <v>5978</v>
      </c>
      <c r="F1852" s="79" t="s">
        <v>5300</v>
      </c>
      <c r="G1852" s="80" t="s">
        <v>96</v>
      </c>
      <c r="H1852" s="90">
        <v>1.664E-4</v>
      </c>
      <c r="I1852" s="45"/>
      <c r="J1852" s="45"/>
      <c r="K1852" s="45"/>
      <c r="L1852" s="45"/>
      <c r="M1852" s="45"/>
      <c r="N1852" s="45"/>
      <c r="O1852" s="45"/>
      <c r="P1852" s="45"/>
      <c r="Q1852" s="45"/>
      <c r="R1852" s="45"/>
      <c r="S1852" s="45"/>
      <c r="T1852" s="45"/>
      <c r="U1852" s="45"/>
    </row>
    <row r="1853">
      <c r="A1853" s="79" t="s">
        <v>9288</v>
      </c>
      <c r="B1853" s="45"/>
      <c r="C1853" s="79" t="s">
        <v>19029</v>
      </c>
      <c r="D1853" s="45"/>
      <c r="E1853" s="79" t="s">
        <v>7251</v>
      </c>
      <c r="F1853" s="79" t="s">
        <v>5747</v>
      </c>
      <c r="G1853" s="80" t="s">
        <v>96</v>
      </c>
      <c r="H1853" s="90">
        <v>1.664E-4</v>
      </c>
      <c r="I1853" s="45"/>
      <c r="J1853" s="45"/>
      <c r="K1853" s="45"/>
      <c r="L1853" s="45"/>
      <c r="M1853" s="45"/>
      <c r="N1853" s="45"/>
      <c r="O1853" s="45"/>
      <c r="P1853" s="45"/>
      <c r="Q1853" s="45"/>
      <c r="R1853" s="45"/>
      <c r="S1853" s="45"/>
      <c r="T1853" s="45"/>
      <c r="U1853" s="45"/>
    </row>
    <row r="1854">
      <c r="A1854" s="79" t="s">
        <v>16606</v>
      </c>
      <c r="B1854" s="45"/>
      <c r="C1854" s="79" t="s">
        <v>19030</v>
      </c>
      <c r="D1854" s="45"/>
      <c r="E1854" s="79" t="s">
        <v>6172</v>
      </c>
      <c r="F1854" s="79" t="s">
        <v>9617</v>
      </c>
      <c r="G1854" s="80" t="s">
        <v>96</v>
      </c>
      <c r="H1854" s="90">
        <v>1.663E-4</v>
      </c>
      <c r="I1854" s="45"/>
      <c r="J1854" s="45"/>
      <c r="K1854" s="45"/>
      <c r="L1854" s="45"/>
      <c r="M1854" s="45"/>
      <c r="N1854" s="45"/>
      <c r="O1854" s="45"/>
      <c r="P1854" s="45"/>
      <c r="Q1854" s="45"/>
      <c r="R1854" s="45"/>
      <c r="S1854" s="45"/>
      <c r="T1854" s="45"/>
      <c r="U1854" s="45"/>
    </row>
    <row r="1855">
      <c r="A1855" s="79" t="s">
        <v>8942</v>
      </c>
      <c r="B1855" s="45"/>
      <c r="C1855" s="79" t="s">
        <v>19031</v>
      </c>
      <c r="D1855" s="45"/>
      <c r="E1855" s="79" t="s">
        <v>5641</v>
      </c>
      <c r="F1855" s="79" t="s">
        <v>5300</v>
      </c>
      <c r="G1855" s="80" t="s">
        <v>96</v>
      </c>
      <c r="H1855" s="90">
        <v>1.663E-4</v>
      </c>
      <c r="I1855" s="45"/>
      <c r="J1855" s="45"/>
      <c r="K1855" s="45"/>
      <c r="L1855" s="45"/>
      <c r="M1855" s="45"/>
      <c r="N1855" s="45"/>
      <c r="O1855" s="45"/>
      <c r="P1855" s="45"/>
      <c r="Q1855" s="45"/>
      <c r="R1855" s="45"/>
      <c r="S1855" s="45"/>
      <c r="T1855" s="45"/>
      <c r="U1855" s="45"/>
    </row>
    <row r="1856">
      <c r="A1856" s="79" t="s">
        <v>19032</v>
      </c>
      <c r="B1856" s="45"/>
      <c r="C1856" s="79" t="s">
        <v>19033</v>
      </c>
      <c r="D1856" s="45"/>
      <c r="E1856" s="79" t="s">
        <v>5341</v>
      </c>
      <c r="F1856" s="79" t="s">
        <v>5300</v>
      </c>
      <c r="G1856" s="80" t="s">
        <v>96</v>
      </c>
      <c r="H1856" s="90">
        <v>1.663E-4</v>
      </c>
      <c r="I1856" s="45"/>
      <c r="J1856" s="45"/>
      <c r="K1856" s="45"/>
      <c r="L1856" s="45"/>
      <c r="M1856" s="45"/>
      <c r="N1856" s="45"/>
      <c r="O1856" s="45"/>
      <c r="P1856" s="45"/>
      <c r="Q1856" s="45"/>
      <c r="R1856" s="45"/>
      <c r="S1856" s="45"/>
      <c r="T1856" s="45"/>
      <c r="U1856" s="45"/>
    </row>
    <row r="1857">
      <c r="A1857" s="79" t="s">
        <v>19034</v>
      </c>
      <c r="B1857" s="45"/>
      <c r="C1857" s="79" t="s">
        <v>19035</v>
      </c>
      <c r="D1857" s="45"/>
      <c r="E1857" s="79" t="s">
        <v>7251</v>
      </c>
      <c r="F1857" s="79" t="s">
        <v>9021</v>
      </c>
      <c r="G1857" s="80" t="s">
        <v>96</v>
      </c>
      <c r="H1857" s="90">
        <v>1.663E-4</v>
      </c>
      <c r="I1857" s="45"/>
      <c r="J1857" s="45"/>
      <c r="K1857" s="45"/>
      <c r="L1857" s="45"/>
      <c r="M1857" s="45"/>
      <c r="N1857" s="45"/>
      <c r="O1857" s="45"/>
      <c r="P1857" s="45"/>
      <c r="Q1857" s="45"/>
      <c r="R1857" s="45"/>
      <c r="S1857" s="45"/>
      <c r="T1857" s="45"/>
      <c r="U1857" s="45"/>
    </row>
    <row r="1858">
      <c r="A1858" s="79" t="s">
        <v>19036</v>
      </c>
      <c r="B1858" s="45"/>
      <c r="C1858" s="79" t="s">
        <v>19037</v>
      </c>
      <c r="D1858" s="45"/>
      <c r="E1858" s="79" t="s">
        <v>5450</v>
      </c>
      <c r="F1858" s="79" t="s">
        <v>5300</v>
      </c>
      <c r="G1858" s="80" t="s">
        <v>96</v>
      </c>
      <c r="H1858" s="90">
        <v>1.662E-4</v>
      </c>
      <c r="I1858" s="45"/>
      <c r="J1858" s="45"/>
      <c r="K1858" s="45"/>
      <c r="L1858" s="45"/>
      <c r="M1858" s="45"/>
      <c r="N1858" s="45"/>
      <c r="O1858" s="45"/>
      <c r="P1858" s="45"/>
      <c r="Q1858" s="45"/>
      <c r="R1858" s="45"/>
      <c r="S1858" s="45"/>
      <c r="T1858" s="45"/>
      <c r="U1858" s="45"/>
    </row>
    <row r="1859">
      <c r="A1859" s="79" t="s">
        <v>19038</v>
      </c>
      <c r="B1859" s="45"/>
      <c r="C1859" s="79" t="s">
        <v>19039</v>
      </c>
      <c r="D1859" s="45"/>
      <c r="E1859" s="79" t="s">
        <v>5267</v>
      </c>
      <c r="F1859" s="79" t="s">
        <v>8784</v>
      </c>
      <c r="G1859" s="80" t="s">
        <v>96</v>
      </c>
      <c r="H1859" s="90">
        <v>1.66E-4</v>
      </c>
      <c r="I1859" s="45"/>
      <c r="J1859" s="45"/>
      <c r="K1859" s="45"/>
      <c r="L1859" s="45"/>
      <c r="M1859" s="45"/>
      <c r="N1859" s="45"/>
      <c r="O1859" s="45"/>
      <c r="P1859" s="45"/>
      <c r="Q1859" s="45"/>
      <c r="R1859" s="45"/>
      <c r="S1859" s="45"/>
      <c r="T1859" s="45"/>
      <c r="U1859" s="45"/>
    </row>
    <row r="1860">
      <c r="A1860" s="79" t="s">
        <v>19040</v>
      </c>
      <c r="B1860" s="45"/>
      <c r="C1860" s="79" t="s">
        <v>19041</v>
      </c>
      <c r="D1860" s="45"/>
      <c r="E1860" s="79" t="s">
        <v>5395</v>
      </c>
      <c r="F1860" s="79" t="s">
        <v>8784</v>
      </c>
      <c r="G1860" s="80" t="s">
        <v>96</v>
      </c>
      <c r="H1860" s="90">
        <v>1.659E-4</v>
      </c>
      <c r="I1860" s="45"/>
      <c r="J1860" s="45"/>
      <c r="K1860" s="45"/>
      <c r="L1860" s="45"/>
      <c r="M1860" s="45"/>
      <c r="N1860" s="45"/>
      <c r="O1860" s="45"/>
      <c r="P1860" s="45"/>
      <c r="Q1860" s="45"/>
      <c r="R1860" s="45"/>
      <c r="S1860" s="45"/>
      <c r="T1860" s="45"/>
      <c r="U1860" s="45"/>
    </row>
    <row r="1861">
      <c r="A1861" s="79" t="s">
        <v>19042</v>
      </c>
      <c r="B1861" s="45"/>
      <c r="C1861" s="79" t="s">
        <v>19043</v>
      </c>
      <c r="D1861" s="45"/>
      <c r="E1861" s="79" t="s">
        <v>5215</v>
      </c>
      <c r="F1861" s="79" t="s">
        <v>5300</v>
      </c>
      <c r="G1861" s="80" t="s">
        <v>96</v>
      </c>
      <c r="H1861" s="90">
        <v>1.656E-4</v>
      </c>
      <c r="I1861" s="45"/>
      <c r="J1861" s="45"/>
      <c r="K1861" s="45"/>
      <c r="L1861" s="45"/>
      <c r="M1861" s="45"/>
      <c r="N1861" s="45"/>
      <c r="O1861" s="45"/>
      <c r="P1861" s="45"/>
      <c r="Q1861" s="45"/>
      <c r="R1861" s="45"/>
      <c r="S1861" s="45"/>
      <c r="T1861" s="45"/>
      <c r="U1861" s="45"/>
    </row>
    <row r="1862">
      <c r="A1862" s="79" t="s">
        <v>10878</v>
      </c>
      <c r="B1862" s="45"/>
      <c r="C1862" s="79" t="s">
        <v>10879</v>
      </c>
      <c r="D1862" s="45"/>
      <c r="E1862" s="79" t="s">
        <v>5366</v>
      </c>
      <c r="F1862" s="79" t="s">
        <v>8784</v>
      </c>
      <c r="G1862" s="80" t="s">
        <v>96</v>
      </c>
      <c r="H1862" s="90">
        <v>1.655E-4</v>
      </c>
      <c r="I1862" s="45"/>
      <c r="J1862" s="45"/>
      <c r="K1862" s="45"/>
      <c r="L1862" s="45"/>
      <c r="M1862" s="45"/>
      <c r="N1862" s="45"/>
      <c r="O1862" s="45"/>
      <c r="P1862" s="45"/>
      <c r="Q1862" s="45"/>
      <c r="R1862" s="45"/>
      <c r="S1862" s="45"/>
      <c r="T1862" s="45"/>
      <c r="U1862" s="45"/>
    </row>
    <row r="1863">
      <c r="A1863" s="79" t="s">
        <v>19044</v>
      </c>
      <c r="B1863" s="45"/>
      <c r="C1863" s="79" t="s">
        <v>19045</v>
      </c>
      <c r="D1863" s="45"/>
      <c r="E1863" s="79" t="s">
        <v>5478</v>
      </c>
      <c r="F1863" s="79" t="s">
        <v>5300</v>
      </c>
      <c r="G1863" s="80" t="s">
        <v>96</v>
      </c>
      <c r="H1863" s="90">
        <v>1.654E-4</v>
      </c>
      <c r="I1863" s="45"/>
      <c r="J1863" s="45"/>
      <c r="K1863" s="45"/>
      <c r="L1863" s="45"/>
      <c r="M1863" s="45"/>
      <c r="N1863" s="45"/>
      <c r="O1863" s="45"/>
      <c r="P1863" s="45"/>
      <c r="Q1863" s="45"/>
      <c r="R1863" s="45"/>
      <c r="S1863" s="45"/>
      <c r="T1863" s="45"/>
      <c r="U1863" s="45"/>
    </row>
    <row r="1864">
      <c r="A1864" s="79" t="s">
        <v>19046</v>
      </c>
      <c r="B1864" s="45"/>
      <c r="C1864" s="79" t="s">
        <v>19047</v>
      </c>
      <c r="D1864" s="45"/>
      <c r="E1864" s="79" t="s">
        <v>5291</v>
      </c>
      <c r="F1864" s="79" t="s">
        <v>5836</v>
      </c>
      <c r="G1864" s="80" t="s">
        <v>96</v>
      </c>
      <c r="H1864" s="90">
        <v>1.651E-4</v>
      </c>
      <c r="I1864" s="45"/>
      <c r="J1864" s="45"/>
      <c r="K1864" s="45"/>
      <c r="L1864" s="45"/>
      <c r="M1864" s="45"/>
      <c r="N1864" s="45"/>
      <c r="O1864" s="45"/>
      <c r="P1864" s="45"/>
      <c r="Q1864" s="45"/>
      <c r="R1864" s="45"/>
      <c r="S1864" s="45"/>
      <c r="T1864" s="45"/>
      <c r="U1864" s="45"/>
    </row>
    <row r="1865">
      <c r="A1865" s="79" t="s">
        <v>19048</v>
      </c>
      <c r="B1865" s="45"/>
      <c r="C1865" s="79" t="s">
        <v>19049</v>
      </c>
      <c r="D1865" s="45"/>
      <c r="E1865" s="79" t="s">
        <v>5238</v>
      </c>
      <c r="F1865" s="79" t="s">
        <v>5300</v>
      </c>
      <c r="G1865" s="80" t="s">
        <v>96</v>
      </c>
      <c r="H1865" s="90">
        <v>1.651E-4</v>
      </c>
      <c r="I1865" s="45"/>
      <c r="J1865" s="45"/>
      <c r="K1865" s="45"/>
      <c r="L1865" s="45"/>
      <c r="M1865" s="45"/>
      <c r="N1865" s="45"/>
      <c r="O1865" s="45"/>
      <c r="P1865" s="45"/>
      <c r="Q1865" s="45"/>
      <c r="R1865" s="45"/>
      <c r="S1865" s="45"/>
      <c r="T1865" s="45"/>
      <c r="U1865" s="45"/>
    </row>
    <row r="1866">
      <c r="A1866" s="79" t="s">
        <v>11044</v>
      </c>
      <c r="B1866" s="45"/>
      <c r="C1866" s="79" t="s">
        <v>11045</v>
      </c>
      <c r="D1866" s="45"/>
      <c r="E1866" s="79" t="s">
        <v>5561</v>
      </c>
      <c r="F1866" s="79" t="s">
        <v>8784</v>
      </c>
      <c r="G1866" s="80" t="s">
        <v>96</v>
      </c>
      <c r="H1866" s="90">
        <v>1.65E-4</v>
      </c>
      <c r="I1866" s="45"/>
      <c r="J1866" s="45"/>
      <c r="K1866" s="45"/>
      <c r="L1866" s="45"/>
      <c r="M1866" s="45"/>
      <c r="N1866" s="45"/>
      <c r="O1866" s="45"/>
      <c r="P1866" s="45"/>
      <c r="Q1866" s="45"/>
      <c r="R1866" s="45"/>
      <c r="S1866" s="45"/>
      <c r="T1866" s="45"/>
      <c r="U1866" s="45"/>
    </row>
    <row r="1867">
      <c r="A1867" s="79" t="s">
        <v>11134</v>
      </c>
      <c r="B1867" s="45"/>
      <c r="C1867" s="79" t="s">
        <v>11135</v>
      </c>
      <c r="D1867" s="45"/>
      <c r="E1867" s="79" t="s">
        <v>5578</v>
      </c>
      <c r="F1867" s="79" t="s">
        <v>8784</v>
      </c>
      <c r="G1867" s="80" t="s">
        <v>96</v>
      </c>
      <c r="H1867" s="90">
        <v>1.649E-4</v>
      </c>
      <c r="I1867" s="45"/>
      <c r="J1867" s="45"/>
      <c r="K1867" s="45"/>
      <c r="L1867" s="45"/>
      <c r="M1867" s="45"/>
      <c r="N1867" s="45"/>
      <c r="O1867" s="45"/>
      <c r="P1867" s="45"/>
      <c r="Q1867" s="45"/>
      <c r="R1867" s="45"/>
      <c r="S1867" s="45"/>
      <c r="T1867" s="45"/>
      <c r="U1867" s="45"/>
    </row>
    <row r="1868">
      <c r="A1868" s="79" t="s">
        <v>19050</v>
      </c>
      <c r="B1868" s="45"/>
      <c r="C1868" s="79" t="s">
        <v>19051</v>
      </c>
      <c r="D1868" s="45"/>
      <c r="E1868" s="79" t="s">
        <v>5478</v>
      </c>
      <c r="F1868" s="79" t="s">
        <v>5300</v>
      </c>
      <c r="G1868" s="80" t="s">
        <v>96</v>
      </c>
      <c r="H1868" s="90">
        <v>1.648E-4</v>
      </c>
      <c r="I1868" s="45"/>
      <c r="J1868" s="45"/>
      <c r="K1868" s="45"/>
      <c r="L1868" s="45"/>
      <c r="M1868" s="45"/>
      <c r="N1868" s="45"/>
      <c r="O1868" s="45"/>
      <c r="P1868" s="45"/>
      <c r="Q1868" s="45"/>
      <c r="R1868" s="45"/>
      <c r="S1868" s="45"/>
      <c r="T1868" s="45"/>
      <c r="U1868" s="45"/>
    </row>
    <row r="1869">
      <c r="A1869" s="79" t="s">
        <v>19052</v>
      </c>
      <c r="B1869" s="45"/>
      <c r="C1869" s="79" t="s">
        <v>19053</v>
      </c>
      <c r="D1869" s="45"/>
      <c r="E1869" s="79" t="s">
        <v>5691</v>
      </c>
      <c r="F1869" s="79" t="s">
        <v>9021</v>
      </c>
      <c r="G1869" s="80" t="s">
        <v>96</v>
      </c>
      <c r="H1869" s="90">
        <v>1.646E-4</v>
      </c>
      <c r="I1869" s="45"/>
      <c r="J1869" s="45"/>
      <c r="K1869" s="45"/>
      <c r="L1869" s="45"/>
      <c r="M1869" s="45"/>
      <c r="N1869" s="45"/>
      <c r="O1869" s="45"/>
      <c r="P1869" s="45"/>
      <c r="Q1869" s="45"/>
      <c r="R1869" s="45"/>
      <c r="S1869" s="45"/>
      <c r="T1869" s="45"/>
      <c r="U1869" s="45"/>
    </row>
    <row r="1870">
      <c r="A1870" s="79" t="s">
        <v>19054</v>
      </c>
      <c r="B1870" s="45"/>
      <c r="C1870" s="79" t="s">
        <v>19055</v>
      </c>
      <c r="D1870" s="45"/>
      <c r="E1870" s="79" t="s">
        <v>5450</v>
      </c>
      <c r="F1870" s="79" t="s">
        <v>5300</v>
      </c>
      <c r="G1870" s="80" t="s">
        <v>96</v>
      </c>
      <c r="H1870" s="90">
        <v>1.644E-4</v>
      </c>
      <c r="I1870" s="45"/>
      <c r="J1870" s="45"/>
      <c r="K1870" s="45"/>
      <c r="L1870" s="45"/>
      <c r="M1870" s="45"/>
      <c r="N1870" s="45"/>
      <c r="O1870" s="45"/>
      <c r="P1870" s="45"/>
      <c r="Q1870" s="45"/>
      <c r="R1870" s="45"/>
      <c r="S1870" s="45"/>
      <c r="T1870" s="45"/>
      <c r="U1870" s="45"/>
    </row>
    <row r="1871">
      <c r="A1871" s="79" t="s">
        <v>16406</v>
      </c>
      <c r="B1871" s="45"/>
      <c r="C1871" s="79" t="s">
        <v>19056</v>
      </c>
      <c r="D1871" s="45"/>
      <c r="E1871" s="79" t="s">
        <v>6130</v>
      </c>
      <c r="F1871" s="79" t="s">
        <v>6988</v>
      </c>
      <c r="G1871" s="80" t="s">
        <v>96</v>
      </c>
      <c r="H1871" s="90">
        <v>1.642E-4</v>
      </c>
      <c r="I1871" s="45"/>
      <c r="J1871" s="45"/>
      <c r="K1871" s="45"/>
      <c r="L1871" s="45"/>
      <c r="M1871" s="45"/>
      <c r="N1871" s="45"/>
      <c r="O1871" s="45"/>
      <c r="P1871" s="45"/>
      <c r="Q1871" s="45"/>
      <c r="R1871" s="45"/>
      <c r="S1871" s="45"/>
      <c r="T1871" s="45"/>
      <c r="U1871" s="45"/>
    </row>
    <row r="1872">
      <c r="A1872" s="79" t="s">
        <v>19057</v>
      </c>
      <c r="B1872" s="45"/>
      <c r="C1872" s="79" t="s">
        <v>19058</v>
      </c>
      <c r="D1872" s="45"/>
      <c r="E1872" s="79" t="s">
        <v>5276</v>
      </c>
      <c r="F1872" s="79" t="s">
        <v>9299</v>
      </c>
      <c r="G1872" s="80" t="s">
        <v>96</v>
      </c>
      <c r="H1872" s="90">
        <v>1.642E-4</v>
      </c>
      <c r="I1872" s="45"/>
      <c r="J1872" s="45"/>
      <c r="K1872" s="45"/>
      <c r="L1872" s="45"/>
      <c r="M1872" s="45"/>
      <c r="N1872" s="45"/>
      <c r="O1872" s="45"/>
      <c r="P1872" s="45"/>
      <c r="Q1872" s="45"/>
      <c r="R1872" s="45"/>
      <c r="S1872" s="45"/>
      <c r="T1872" s="45"/>
      <c r="U1872" s="45"/>
    </row>
    <row r="1873">
      <c r="A1873" s="79" t="s">
        <v>19059</v>
      </c>
      <c r="B1873" s="45"/>
      <c r="C1873" s="79" t="s">
        <v>19060</v>
      </c>
      <c r="D1873" s="45"/>
      <c r="E1873" s="79" t="s">
        <v>5267</v>
      </c>
      <c r="F1873" s="79" t="s">
        <v>5425</v>
      </c>
      <c r="G1873" s="80" t="s">
        <v>96</v>
      </c>
      <c r="H1873" s="90">
        <v>1.641E-4</v>
      </c>
      <c r="I1873" s="45"/>
      <c r="J1873" s="45"/>
      <c r="K1873" s="45"/>
      <c r="L1873" s="45"/>
      <c r="M1873" s="45"/>
      <c r="N1873" s="45"/>
      <c r="O1873" s="45"/>
      <c r="P1873" s="45"/>
      <c r="Q1873" s="45"/>
      <c r="R1873" s="45"/>
      <c r="S1873" s="45"/>
      <c r="T1873" s="45"/>
      <c r="U1873" s="45"/>
    </row>
    <row r="1874">
      <c r="A1874" s="79" t="s">
        <v>19061</v>
      </c>
      <c r="B1874" s="45"/>
      <c r="C1874" s="79" t="s">
        <v>19062</v>
      </c>
      <c r="D1874" s="45"/>
      <c r="E1874" s="79" t="s">
        <v>5215</v>
      </c>
      <c r="F1874" s="79" t="s">
        <v>5300</v>
      </c>
      <c r="G1874" s="80" t="s">
        <v>96</v>
      </c>
      <c r="H1874" s="90">
        <v>1.64E-4</v>
      </c>
      <c r="I1874" s="45"/>
      <c r="J1874" s="45"/>
      <c r="K1874" s="45"/>
      <c r="L1874" s="45"/>
      <c r="M1874" s="45"/>
      <c r="N1874" s="45"/>
      <c r="O1874" s="45"/>
      <c r="P1874" s="45"/>
      <c r="Q1874" s="45"/>
      <c r="R1874" s="45"/>
      <c r="S1874" s="45"/>
      <c r="T1874" s="45"/>
      <c r="U1874" s="45"/>
    </row>
    <row r="1875">
      <c r="A1875" s="79" t="s">
        <v>11023</v>
      </c>
      <c r="B1875" s="45"/>
      <c r="C1875" s="79" t="s">
        <v>11024</v>
      </c>
      <c r="D1875" s="45"/>
      <c r="E1875" s="79" t="s">
        <v>5691</v>
      </c>
      <c r="F1875" s="79" t="s">
        <v>6210</v>
      </c>
      <c r="G1875" s="80" t="s">
        <v>96</v>
      </c>
      <c r="H1875" s="90">
        <v>1.639E-4</v>
      </c>
      <c r="I1875" s="45"/>
      <c r="J1875" s="45"/>
      <c r="K1875" s="45"/>
      <c r="L1875" s="45"/>
      <c r="M1875" s="45"/>
      <c r="N1875" s="45"/>
      <c r="O1875" s="45"/>
      <c r="P1875" s="45"/>
      <c r="Q1875" s="45"/>
      <c r="R1875" s="45"/>
      <c r="S1875" s="45"/>
      <c r="T1875" s="45"/>
      <c r="U1875" s="45"/>
    </row>
    <row r="1876">
      <c r="A1876" s="79" t="s">
        <v>19063</v>
      </c>
      <c r="B1876" s="45"/>
      <c r="C1876" s="79" t="s">
        <v>19064</v>
      </c>
      <c r="D1876" s="45"/>
      <c r="E1876" s="79" t="s">
        <v>5589</v>
      </c>
      <c r="F1876" s="79" t="s">
        <v>4149</v>
      </c>
      <c r="G1876" s="80" t="s">
        <v>96</v>
      </c>
      <c r="H1876" s="90">
        <v>1.638E-4</v>
      </c>
      <c r="I1876" s="45"/>
      <c r="J1876" s="45"/>
      <c r="K1876" s="45"/>
      <c r="L1876" s="45"/>
      <c r="M1876" s="45"/>
      <c r="N1876" s="45"/>
      <c r="O1876" s="45"/>
      <c r="P1876" s="45"/>
      <c r="Q1876" s="45"/>
      <c r="R1876" s="45"/>
      <c r="S1876" s="45"/>
      <c r="T1876" s="45"/>
      <c r="U1876" s="45"/>
    </row>
    <row r="1877">
      <c r="A1877" s="79" t="s">
        <v>17704</v>
      </c>
      <c r="B1877" s="45"/>
      <c r="C1877" s="79" t="s">
        <v>19065</v>
      </c>
      <c r="D1877" s="45"/>
      <c r="E1877" s="79" t="s">
        <v>5249</v>
      </c>
      <c r="F1877" s="79" t="s">
        <v>5300</v>
      </c>
      <c r="G1877" s="80" t="s">
        <v>96</v>
      </c>
      <c r="H1877" s="90">
        <v>1.638E-4</v>
      </c>
      <c r="I1877" s="45"/>
      <c r="J1877" s="45"/>
      <c r="K1877" s="45"/>
      <c r="L1877" s="45"/>
      <c r="M1877" s="45"/>
      <c r="N1877" s="45"/>
      <c r="O1877" s="45"/>
      <c r="P1877" s="45"/>
      <c r="Q1877" s="45"/>
      <c r="R1877" s="45"/>
      <c r="S1877" s="45"/>
      <c r="T1877" s="45"/>
      <c r="U1877" s="45"/>
    </row>
    <row r="1878">
      <c r="A1878" s="79" t="s">
        <v>10629</v>
      </c>
      <c r="B1878" s="45"/>
      <c r="C1878" s="79" t="s">
        <v>10630</v>
      </c>
      <c r="D1878" s="45"/>
      <c r="E1878" s="79" t="s">
        <v>5238</v>
      </c>
      <c r="F1878" s="79" t="s">
        <v>8784</v>
      </c>
      <c r="G1878" s="80" t="s">
        <v>96</v>
      </c>
      <c r="H1878" s="90">
        <v>1.637E-4</v>
      </c>
      <c r="I1878" s="45"/>
      <c r="J1878" s="45"/>
      <c r="K1878" s="45"/>
      <c r="L1878" s="45"/>
      <c r="M1878" s="45"/>
      <c r="N1878" s="45"/>
      <c r="O1878" s="45"/>
      <c r="P1878" s="45"/>
      <c r="Q1878" s="45"/>
      <c r="R1878" s="45"/>
      <c r="S1878" s="45"/>
      <c r="T1878" s="45"/>
      <c r="U1878" s="45"/>
    </row>
    <row r="1879">
      <c r="A1879" s="79" t="s">
        <v>19066</v>
      </c>
      <c r="B1879" s="45"/>
      <c r="C1879" s="79" t="s">
        <v>19067</v>
      </c>
      <c r="D1879" s="45"/>
      <c r="E1879" s="79" t="s">
        <v>6191</v>
      </c>
      <c r="F1879" s="79" t="s">
        <v>8784</v>
      </c>
      <c r="G1879" s="80" t="s">
        <v>96</v>
      </c>
      <c r="H1879" s="90">
        <v>1.634E-4</v>
      </c>
      <c r="I1879" s="45"/>
      <c r="J1879" s="45"/>
      <c r="K1879" s="45"/>
      <c r="L1879" s="45"/>
      <c r="M1879" s="45"/>
      <c r="N1879" s="45"/>
      <c r="O1879" s="45"/>
      <c r="P1879" s="45"/>
      <c r="Q1879" s="45"/>
      <c r="R1879" s="45"/>
      <c r="S1879" s="45"/>
      <c r="T1879" s="45"/>
      <c r="U1879" s="45"/>
    </row>
    <row r="1880">
      <c r="A1880" s="79" t="s">
        <v>11070</v>
      </c>
      <c r="B1880" s="45"/>
      <c r="C1880" s="79" t="s">
        <v>11071</v>
      </c>
      <c r="D1880" s="45"/>
      <c r="E1880" s="79" t="s">
        <v>5467</v>
      </c>
      <c r="F1880" s="79" t="s">
        <v>8784</v>
      </c>
      <c r="G1880" s="80" t="s">
        <v>96</v>
      </c>
      <c r="H1880" s="90">
        <v>1.633E-4</v>
      </c>
      <c r="I1880" s="45"/>
      <c r="J1880" s="45"/>
      <c r="K1880" s="45"/>
      <c r="L1880" s="45"/>
      <c r="M1880" s="45"/>
      <c r="N1880" s="45"/>
      <c r="O1880" s="45"/>
      <c r="P1880" s="45"/>
      <c r="Q1880" s="45"/>
      <c r="R1880" s="45"/>
      <c r="S1880" s="45"/>
      <c r="T1880" s="45"/>
      <c r="U1880" s="45"/>
    </row>
    <row r="1881">
      <c r="A1881" s="79" t="s">
        <v>19068</v>
      </c>
      <c r="B1881" s="45"/>
      <c r="C1881" s="79" t="s">
        <v>19069</v>
      </c>
      <c r="D1881" s="45"/>
      <c r="E1881" s="79" t="s">
        <v>6472</v>
      </c>
      <c r="F1881" s="79" t="s">
        <v>5425</v>
      </c>
      <c r="G1881" s="80" t="s">
        <v>96</v>
      </c>
      <c r="H1881" s="90">
        <v>1.633E-4</v>
      </c>
      <c r="I1881" s="45"/>
      <c r="J1881" s="45"/>
      <c r="K1881" s="45"/>
      <c r="L1881" s="45"/>
      <c r="M1881" s="45"/>
      <c r="N1881" s="45"/>
      <c r="O1881" s="45"/>
      <c r="P1881" s="45"/>
      <c r="Q1881" s="45"/>
      <c r="R1881" s="45"/>
      <c r="S1881" s="45"/>
      <c r="T1881" s="45"/>
      <c r="U1881" s="45"/>
    </row>
    <row r="1882">
      <c r="A1882" s="79" t="s">
        <v>19070</v>
      </c>
      <c r="B1882" s="45"/>
      <c r="C1882" s="79" t="s">
        <v>19071</v>
      </c>
      <c r="D1882" s="45"/>
      <c r="E1882" s="79" t="s">
        <v>5267</v>
      </c>
      <c r="F1882" s="79" t="s">
        <v>8784</v>
      </c>
      <c r="G1882" s="80" t="s">
        <v>96</v>
      </c>
      <c r="H1882" s="90">
        <v>1.632E-4</v>
      </c>
      <c r="I1882" s="45"/>
      <c r="J1882" s="45"/>
      <c r="K1882" s="45"/>
      <c r="L1882" s="45"/>
      <c r="M1882" s="45"/>
      <c r="N1882" s="45"/>
      <c r="O1882" s="45"/>
      <c r="P1882" s="45"/>
      <c r="Q1882" s="45"/>
      <c r="R1882" s="45"/>
      <c r="S1882" s="45"/>
      <c r="T1882" s="45"/>
      <c r="U1882" s="45"/>
    </row>
    <row r="1883">
      <c r="A1883" s="79" t="s">
        <v>10750</v>
      </c>
      <c r="B1883" s="45"/>
      <c r="C1883" s="79" t="s">
        <v>10751</v>
      </c>
      <c r="D1883" s="45"/>
      <c r="E1883" s="79" t="s">
        <v>6157</v>
      </c>
      <c r="F1883" s="79" t="s">
        <v>8784</v>
      </c>
      <c r="G1883" s="80" t="s">
        <v>96</v>
      </c>
      <c r="H1883" s="90">
        <v>1.631E-4</v>
      </c>
      <c r="I1883" s="45"/>
      <c r="J1883" s="45"/>
      <c r="K1883" s="45"/>
      <c r="L1883" s="45"/>
      <c r="M1883" s="45"/>
      <c r="N1883" s="45"/>
      <c r="O1883" s="45"/>
      <c r="P1883" s="45"/>
      <c r="Q1883" s="45"/>
      <c r="R1883" s="45"/>
      <c r="S1883" s="45"/>
      <c r="T1883" s="45"/>
      <c r="U1883" s="45"/>
    </row>
    <row r="1884">
      <c r="A1884" s="79" t="s">
        <v>19072</v>
      </c>
      <c r="B1884" s="45"/>
      <c r="C1884" s="79" t="s">
        <v>19073</v>
      </c>
      <c r="D1884" s="45"/>
      <c r="E1884" s="79" t="s">
        <v>5218</v>
      </c>
      <c r="F1884" s="79" t="s">
        <v>6988</v>
      </c>
      <c r="G1884" s="80" t="s">
        <v>96</v>
      </c>
      <c r="H1884" s="90">
        <v>1.628E-4</v>
      </c>
      <c r="I1884" s="45"/>
      <c r="J1884" s="45"/>
      <c r="K1884" s="45"/>
      <c r="L1884" s="45"/>
      <c r="M1884" s="45"/>
      <c r="N1884" s="45"/>
      <c r="O1884" s="45"/>
      <c r="P1884" s="45"/>
      <c r="Q1884" s="45"/>
      <c r="R1884" s="45"/>
      <c r="S1884" s="45"/>
      <c r="T1884" s="45"/>
      <c r="U1884" s="45"/>
    </row>
    <row r="1885">
      <c r="A1885" s="79" t="s">
        <v>19074</v>
      </c>
      <c r="B1885" s="45"/>
      <c r="C1885" s="79" t="s">
        <v>19075</v>
      </c>
      <c r="D1885" s="45"/>
      <c r="E1885" s="79" t="s">
        <v>5478</v>
      </c>
      <c r="F1885" s="79" t="s">
        <v>5300</v>
      </c>
      <c r="G1885" s="80" t="s">
        <v>96</v>
      </c>
      <c r="H1885" s="90">
        <v>1.627E-4</v>
      </c>
      <c r="I1885" s="45"/>
      <c r="J1885" s="45"/>
      <c r="K1885" s="45"/>
      <c r="L1885" s="45"/>
      <c r="M1885" s="45"/>
      <c r="N1885" s="45"/>
      <c r="O1885" s="45"/>
      <c r="P1885" s="45"/>
      <c r="Q1885" s="45"/>
      <c r="R1885" s="45"/>
      <c r="S1885" s="45"/>
      <c r="T1885" s="45"/>
      <c r="U1885" s="45"/>
    </row>
    <row r="1886">
      <c r="A1886" s="79" t="s">
        <v>19076</v>
      </c>
      <c r="B1886" s="45"/>
      <c r="C1886" s="79" t="s">
        <v>19077</v>
      </c>
      <c r="D1886" s="45"/>
      <c r="E1886" s="79" t="s">
        <v>6472</v>
      </c>
      <c r="F1886" s="79" t="s">
        <v>5300</v>
      </c>
      <c r="G1886" s="80" t="s">
        <v>96</v>
      </c>
      <c r="H1886" s="90">
        <v>1.624E-4</v>
      </c>
      <c r="I1886" s="45"/>
      <c r="J1886" s="45"/>
      <c r="K1886" s="45"/>
      <c r="L1886" s="45"/>
      <c r="M1886" s="45"/>
      <c r="N1886" s="45"/>
      <c r="O1886" s="45"/>
      <c r="P1886" s="45"/>
      <c r="Q1886" s="45"/>
      <c r="R1886" s="45"/>
      <c r="S1886" s="45"/>
      <c r="T1886" s="45"/>
      <c r="U1886" s="45"/>
    </row>
    <row r="1887">
      <c r="A1887" s="79" t="s">
        <v>11146</v>
      </c>
      <c r="B1887" s="45"/>
      <c r="C1887" s="79" t="s">
        <v>11147</v>
      </c>
      <c r="D1887" s="45"/>
      <c r="E1887" s="79" t="s">
        <v>6012</v>
      </c>
      <c r="F1887" s="79" t="s">
        <v>8784</v>
      </c>
      <c r="G1887" s="80" t="s">
        <v>96</v>
      </c>
      <c r="H1887" s="90">
        <v>1.624E-4</v>
      </c>
      <c r="I1887" s="45"/>
      <c r="J1887" s="45"/>
      <c r="K1887" s="45"/>
      <c r="L1887" s="45"/>
      <c r="M1887" s="45"/>
      <c r="N1887" s="45"/>
      <c r="O1887" s="45"/>
      <c r="P1887" s="45"/>
      <c r="Q1887" s="45"/>
      <c r="R1887" s="45"/>
      <c r="S1887" s="45"/>
      <c r="T1887" s="45"/>
      <c r="U1887" s="45"/>
    </row>
    <row r="1888">
      <c r="A1888" s="79" t="s">
        <v>19078</v>
      </c>
      <c r="B1888" s="45"/>
      <c r="C1888" s="79" t="s">
        <v>19079</v>
      </c>
      <c r="D1888" s="45"/>
      <c r="E1888" s="79" t="s">
        <v>5377</v>
      </c>
      <c r="F1888" s="79" t="s">
        <v>5836</v>
      </c>
      <c r="G1888" s="80" t="s">
        <v>96</v>
      </c>
      <c r="H1888" s="90">
        <v>1.622E-4</v>
      </c>
      <c r="I1888" s="45"/>
      <c r="J1888" s="45"/>
      <c r="K1888" s="45"/>
      <c r="L1888" s="45"/>
      <c r="M1888" s="45"/>
      <c r="N1888" s="45"/>
      <c r="O1888" s="45"/>
      <c r="P1888" s="45"/>
      <c r="Q1888" s="45"/>
      <c r="R1888" s="45"/>
      <c r="S1888" s="45"/>
      <c r="T1888" s="45"/>
      <c r="U1888" s="45"/>
    </row>
    <row r="1889">
      <c r="A1889" s="79" t="s">
        <v>19080</v>
      </c>
      <c r="B1889" s="45"/>
      <c r="C1889" s="79" t="s">
        <v>19081</v>
      </c>
      <c r="D1889" s="45"/>
      <c r="E1889" s="79" t="s">
        <v>16994</v>
      </c>
      <c r="F1889" s="79" t="s">
        <v>5300</v>
      </c>
      <c r="G1889" s="80" t="s">
        <v>96</v>
      </c>
      <c r="H1889" s="90">
        <v>1.621E-4</v>
      </c>
      <c r="I1889" s="45"/>
      <c r="J1889" s="45"/>
      <c r="K1889" s="45"/>
      <c r="L1889" s="45"/>
      <c r="M1889" s="45"/>
      <c r="N1889" s="45"/>
      <c r="O1889" s="45"/>
      <c r="P1889" s="45"/>
      <c r="Q1889" s="45"/>
      <c r="R1889" s="45"/>
      <c r="S1889" s="45"/>
      <c r="T1889" s="45"/>
      <c r="U1889" s="45"/>
    </row>
    <row r="1890">
      <c r="A1890" s="79" t="s">
        <v>11002</v>
      </c>
      <c r="B1890" s="45"/>
      <c r="C1890" s="79" t="s">
        <v>11003</v>
      </c>
      <c r="D1890" s="45"/>
      <c r="E1890" s="79" t="s">
        <v>5374</v>
      </c>
      <c r="F1890" s="79" t="s">
        <v>8784</v>
      </c>
      <c r="G1890" s="80" t="s">
        <v>96</v>
      </c>
      <c r="H1890" s="90">
        <v>1.621E-4</v>
      </c>
      <c r="I1890" s="45"/>
      <c r="J1890" s="45"/>
      <c r="K1890" s="45"/>
      <c r="L1890" s="45"/>
      <c r="M1890" s="45"/>
      <c r="N1890" s="45"/>
      <c r="O1890" s="45"/>
      <c r="P1890" s="45"/>
      <c r="Q1890" s="45"/>
      <c r="R1890" s="45"/>
      <c r="S1890" s="45"/>
      <c r="T1890" s="45"/>
      <c r="U1890" s="45"/>
    </row>
    <row r="1891">
      <c r="A1891" s="79" t="s">
        <v>19082</v>
      </c>
      <c r="B1891" s="45"/>
      <c r="C1891" s="79" t="s">
        <v>19083</v>
      </c>
      <c r="D1891" s="45"/>
      <c r="E1891" s="79" t="s">
        <v>5357</v>
      </c>
      <c r="F1891" s="79" t="s">
        <v>5300</v>
      </c>
      <c r="G1891" s="80" t="s">
        <v>96</v>
      </c>
      <c r="H1891" s="90">
        <v>1.621E-4</v>
      </c>
      <c r="I1891" s="45"/>
      <c r="J1891" s="45"/>
      <c r="K1891" s="45"/>
      <c r="L1891" s="45"/>
      <c r="M1891" s="45"/>
      <c r="N1891" s="45"/>
      <c r="O1891" s="45"/>
      <c r="P1891" s="45"/>
      <c r="Q1891" s="45"/>
      <c r="R1891" s="45"/>
      <c r="S1891" s="45"/>
      <c r="T1891" s="45"/>
      <c r="U1891" s="45"/>
    </row>
    <row r="1892">
      <c r="A1892" s="79" t="s">
        <v>19084</v>
      </c>
      <c r="B1892" s="45"/>
      <c r="C1892" s="79" t="s">
        <v>19085</v>
      </c>
      <c r="D1892" s="45"/>
      <c r="E1892" s="79" t="s">
        <v>5246</v>
      </c>
      <c r="F1892" s="79" t="s">
        <v>8784</v>
      </c>
      <c r="G1892" s="80" t="s">
        <v>96</v>
      </c>
      <c r="H1892" s="90">
        <v>1.617E-4</v>
      </c>
      <c r="I1892" s="45"/>
      <c r="J1892" s="45"/>
      <c r="K1892" s="45"/>
      <c r="L1892" s="45"/>
      <c r="M1892" s="45"/>
      <c r="N1892" s="45"/>
      <c r="O1892" s="45"/>
      <c r="P1892" s="45"/>
      <c r="Q1892" s="45"/>
      <c r="R1892" s="45"/>
      <c r="S1892" s="45"/>
      <c r="T1892" s="45"/>
      <c r="U1892" s="45"/>
    </row>
    <row r="1893">
      <c r="A1893" s="79" t="s">
        <v>19086</v>
      </c>
      <c r="B1893" s="45"/>
      <c r="C1893" s="79" t="s">
        <v>19087</v>
      </c>
      <c r="D1893" s="45"/>
      <c r="E1893" s="79" t="s">
        <v>5561</v>
      </c>
      <c r="F1893" s="79" t="s">
        <v>9414</v>
      </c>
      <c r="G1893" s="80" t="s">
        <v>96</v>
      </c>
      <c r="H1893" s="90">
        <v>1.616E-4</v>
      </c>
      <c r="I1893" s="45"/>
      <c r="J1893" s="45"/>
      <c r="K1893" s="45"/>
      <c r="L1893" s="45"/>
      <c r="M1893" s="45"/>
      <c r="N1893" s="45"/>
      <c r="O1893" s="45"/>
      <c r="P1893" s="45"/>
      <c r="Q1893" s="45"/>
      <c r="R1893" s="45"/>
      <c r="S1893" s="45"/>
      <c r="T1893" s="45"/>
      <c r="U1893" s="45"/>
    </row>
    <row r="1894">
      <c r="A1894" s="79" t="s">
        <v>19088</v>
      </c>
      <c r="B1894" s="45"/>
      <c r="C1894" s="79" t="s">
        <v>19089</v>
      </c>
      <c r="D1894" s="45"/>
      <c r="E1894" s="79" t="s">
        <v>5478</v>
      </c>
      <c r="F1894" s="79" t="s">
        <v>9021</v>
      </c>
      <c r="G1894" s="80" t="s">
        <v>96</v>
      </c>
      <c r="H1894" s="90">
        <v>1.612E-4</v>
      </c>
      <c r="I1894" s="45"/>
      <c r="J1894" s="45"/>
      <c r="K1894" s="45"/>
      <c r="L1894" s="45"/>
      <c r="M1894" s="45"/>
      <c r="N1894" s="45"/>
      <c r="O1894" s="45"/>
      <c r="P1894" s="45"/>
      <c r="Q1894" s="45"/>
      <c r="R1894" s="45"/>
      <c r="S1894" s="45"/>
      <c r="T1894" s="45"/>
      <c r="U1894" s="45"/>
    </row>
    <row r="1895">
      <c r="A1895" s="79" t="s">
        <v>11116</v>
      </c>
      <c r="B1895" s="45"/>
      <c r="C1895" s="79" t="s">
        <v>11117</v>
      </c>
      <c r="D1895" s="45"/>
      <c r="E1895" s="79" t="s">
        <v>6040</v>
      </c>
      <c r="F1895" s="79" t="s">
        <v>6220</v>
      </c>
      <c r="G1895" s="80" t="s">
        <v>96</v>
      </c>
      <c r="H1895" s="90">
        <v>1.611E-4</v>
      </c>
      <c r="I1895" s="45"/>
      <c r="J1895" s="45"/>
      <c r="K1895" s="45"/>
      <c r="L1895" s="45"/>
      <c r="M1895" s="45"/>
      <c r="N1895" s="45"/>
      <c r="O1895" s="45"/>
      <c r="P1895" s="45"/>
      <c r="Q1895" s="45"/>
      <c r="R1895" s="45"/>
      <c r="S1895" s="45"/>
      <c r="T1895" s="45"/>
      <c r="U1895" s="45"/>
    </row>
    <row r="1896">
      <c r="A1896" s="79" t="s">
        <v>19090</v>
      </c>
      <c r="B1896" s="45"/>
      <c r="C1896" s="79" t="s">
        <v>19091</v>
      </c>
      <c r="D1896" s="45"/>
      <c r="E1896" s="79" t="s">
        <v>5276</v>
      </c>
      <c r="F1896" s="79" t="s">
        <v>5300</v>
      </c>
      <c r="G1896" s="80" t="s">
        <v>96</v>
      </c>
      <c r="H1896" s="90">
        <v>1.61E-4</v>
      </c>
      <c r="I1896" s="45"/>
      <c r="J1896" s="45"/>
      <c r="K1896" s="45"/>
      <c r="L1896" s="45"/>
      <c r="M1896" s="45"/>
      <c r="N1896" s="45"/>
      <c r="O1896" s="45"/>
      <c r="P1896" s="45"/>
      <c r="Q1896" s="45"/>
      <c r="R1896" s="45"/>
      <c r="S1896" s="45"/>
      <c r="T1896" s="45"/>
      <c r="U1896" s="45"/>
    </row>
    <row r="1897">
      <c r="A1897" s="79" t="s">
        <v>19092</v>
      </c>
      <c r="B1897" s="45"/>
      <c r="C1897" s="79" t="s">
        <v>19093</v>
      </c>
      <c r="D1897" s="45"/>
      <c r="E1897" s="79" t="s">
        <v>5624</v>
      </c>
      <c r="F1897" s="79" t="s">
        <v>5836</v>
      </c>
      <c r="G1897" s="80" t="s">
        <v>96</v>
      </c>
      <c r="H1897" s="90">
        <v>1.61E-4</v>
      </c>
      <c r="I1897" s="45"/>
      <c r="J1897" s="45"/>
      <c r="K1897" s="45"/>
      <c r="L1897" s="45"/>
      <c r="M1897" s="45"/>
      <c r="N1897" s="45"/>
      <c r="O1897" s="45"/>
      <c r="P1897" s="45"/>
      <c r="Q1897" s="45"/>
      <c r="R1897" s="45"/>
      <c r="S1897" s="45"/>
      <c r="T1897" s="45"/>
      <c r="U1897" s="45"/>
    </row>
    <row r="1898">
      <c r="A1898" s="79" t="s">
        <v>19094</v>
      </c>
      <c r="B1898" s="45"/>
      <c r="C1898" s="79" t="s">
        <v>19095</v>
      </c>
      <c r="D1898" s="45"/>
      <c r="E1898" s="79" t="s">
        <v>5478</v>
      </c>
      <c r="F1898" s="79" t="s">
        <v>5300</v>
      </c>
      <c r="G1898" s="80" t="s">
        <v>96</v>
      </c>
      <c r="H1898" s="90">
        <v>1.609E-4</v>
      </c>
      <c r="I1898" s="45"/>
      <c r="J1898" s="45"/>
      <c r="K1898" s="45"/>
      <c r="L1898" s="45"/>
      <c r="M1898" s="45"/>
      <c r="N1898" s="45"/>
      <c r="O1898" s="45"/>
      <c r="P1898" s="45"/>
      <c r="Q1898" s="45"/>
      <c r="R1898" s="45"/>
      <c r="S1898" s="45"/>
      <c r="T1898" s="45"/>
      <c r="U1898" s="45"/>
    </row>
    <row r="1899">
      <c r="A1899" s="79" t="s">
        <v>19096</v>
      </c>
      <c r="B1899" s="45"/>
      <c r="C1899" s="79" t="s">
        <v>19097</v>
      </c>
      <c r="D1899" s="45"/>
      <c r="E1899" s="79" t="s">
        <v>5756</v>
      </c>
      <c r="F1899" s="79" t="s">
        <v>5300</v>
      </c>
      <c r="G1899" s="80" t="s">
        <v>96</v>
      </c>
      <c r="H1899" s="90">
        <v>1.608E-4</v>
      </c>
      <c r="I1899" s="45"/>
      <c r="J1899" s="45"/>
      <c r="K1899" s="45"/>
      <c r="L1899" s="45"/>
      <c r="M1899" s="45"/>
      <c r="N1899" s="45"/>
      <c r="O1899" s="45"/>
      <c r="P1899" s="45"/>
      <c r="Q1899" s="45"/>
      <c r="R1899" s="45"/>
      <c r="S1899" s="45"/>
      <c r="T1899" s="45"/>
      <c r="U1899" s="45"/>
    </row>
    <row r="1900">
      <c r="A1900" s="79" t="s">
        <v>11185</v>
      </c>
      <c r="B1900" s="45"/>
      <c r="C1900" s="79" t="s">
        <v>11186</v>
      </c>
      <c r="D1900" s="45"/>
      <c r="E1900" s="79" t="s">
        <v>5434</v>
      </c>
      <c r="F1900" s="79" t="s">
        <v>8784</v>
      </c>
      <c r="G1900" s="80" t="s">
        <v>96</v>
      </c>
      <c r="H1900" s="90">
        <v>1.607E-4</v>
      </c>
      <c r="I1900" s="45"/>
      <c r="J1900" s="45"/>
      <c r="K1900" s="45"/>
      <c r="L1900" s="45"/>
      <c r="M1900" s="45"/>
      <c r="N1900" s="45"/>
      <c r="O1900" s="45"/>
      <c r="P1900" s="45"/>
      <c r="Q1900" s="45"/>
      <c r="R1900" s="45"/>
      <c r="S1900" s="45"/>
      <c r="T1900" s="45"/>
      <c r="U1900" s="45"/>
    </row>
    <row r="1901">
      <c r="A1901" s="79" t="s">
        <v>19098</v>
      </c>
      <c r="B1901" s="45"/>
      <c r="C1901" s="79" t="s">
        <v>19099</v>
      </c>
      <c r="D1901" s="45"/>
      <c r="E1901" s="79" t="s">
        <v>5390</v>
      </c>
      <c r="F1901" s="79" t="s">
        <v>9299</v>
      </c>
      <c r="G1901" s="80" t="s">
        <v>96</v>
      </c>
      <c r="H1901" s="90">
        <v>1.607E-4</v>
      </c>
      <c r="I1901" s="45"/>
      <c r="J1901" s="45"/>
      <c r="K1901" s="45"/>
      <c r="L1901" s="45"/>
      <c r="M1901" s="45"/>
      <c r="N1901" s="45"/>
      <c r="O1901" s="45"/>
      <c r="P1901" s="45"/>
      <c r="Q1901" s="45"/>
      <c r="R1901" s="45"/>
      <c r="S1901" s="45"/>
      <c r="T1901" s="45"/>
      <c r="U1901" s="45"/>
    </row>
    <row r="1902">
      <c r="A1902" s="79" t="s">
        <v>19100</v>
      </c>
      <c r="B1902" s="45"/>
      <c r="C1902" s="79" t="s">
        <v>19101</v>
      </c>
      <c r="D1902" s="45"/>
      <c r="E1902" s="79" t="s">
        <v>5291</v>
      </c>
      <c r="F1902" s="79" t="s">
        <v>8784</v>
      </c>
      <c r="G1902" s="80" t="s">
        <v>96</v>
      </c>
      <c r="H1902" s="90">
        <v>1.605E-4</v>
      </c>
      <c r="I1902" s="45"/>
      <c r="J1902" s="45"/>
      <c r="K1902" s="45"/>
      <c r="L1902" s="45"/>
      <c r="M1902" s="45"/>
      <c r="N1902" s="45"/>
      <c r="O1902" s="45"/>
      <c r="P1902" s="45"/>
      <c r="Q1902" s="45"/>
      <c r="R1902" s="45"/>
      <c r="S1902" s="45"/>
      <c r="T1902" s="45"/>
      <c r="U1902" s="45"/>
    </row>
    <row r="1903">
      <c r="A1903" s="79" t="s">
        <v>19102</v>
      </c>
      <c r="B1903" s="45"/>
      <c r="C1903" s="79" t="s">
        <v>19103</v>
      </c>
      <c r="D1903" s="45"/>
      <c r="E1903" s="79" t="s">
        <v>5855</v>
      </c>
      <c r="F1903" s="79" t="s">
        <v>8784</v>
      </c>
      <c r="G1903" s="80" t="s">
        <v>96</v>
      </c>
      <c r="H1903" s="90">
        <v>1.604E-4</v>
      </c>
      <c r="I1903" s="45"/>
      <c r="J1903" s="45"/>
      <c r="K1903" s="45"/>
      <c r="L1903" s="45"/>
      <c r="M1903" s="45"/>
      <c r="N1903" s="45"/>
      <c r="O1903" s="45"/>
      <c r="P1903" s="45"/>
      <c r="Q1903" s="45"/>
      <c r="R1903" s="45"/>
      <c r="S1903" s="45"/>
      <c r="T1903" s="45"/>
      <c r="U1903" s="45"/>
    </row>
    <row r="1904">
      <c r="A1904" s="79" t="s">
        <v>19104</v>
      </c>
      <c r="B1904" s="45"/>
      <c r="C1904" s="79" t="s">
        <v>19105</v>
      </c>
      <c r="D1904" s="45"/>
      <c r="E1904" s="79" t="s">
        <v>5215</v>
      </c>
      <c r="F1904" s="79" t="s">
        <v>5300</v>
      </c>
      <c r="G1904" s="80" t="s">
        <v>96</v>
      </c>
      <c r="H1904" s="90">
        <v>1.604E-4</v>
      </c>
      <c r="I1904" s="45"/>
      <c r="J1904" s="45"/>
      <c r="K1904" s="45"/>
      <c r="L1904" s="45"/>
      <c r="M1904" s="45"/>
      <c r="N1904" s="45"/>
      <c r="O1904" s="45"/>
      <c r="P1904" s="45"/>
      <c r="Q1904" s="45"/>
      <c r="R1904" s="45"/>
      <c r="S1904" s="45"/>
      <c r="T1904" s="45"/>
      <c r="U1904" s="45"/>
    </row>
    <row r="1905">
      <c r="A1905" s="79" t="s">
        <v>19106</v>
      </c>
      <c r="B1905" s="45"/>
      <c r="C1905" s="79" t="s">
        <v>19107</v>
      </c>
      <c r="D1905" s="45"/>
      <c r="E1905" s="79" t="s">
        <v>5434</v>
      </c>
      <c r="F1905" s="79" t="s">
        <v>5425</v>
      </c>
      <c r="G1905" s="80" t="s">
        <v>96</v>
      </c>
      <c r="H1905" s="90">
        <v>1.602E-4</v>
      </c>
      <c r="I1905" s="45"/>
      <c r="J1905" s="45"/>
      <c r="K1905" s="45"/>
      <c r="L1905" s="45"/>
      <c r="M1905" s="45"/>
      <c r="N1905" s="45"/>
      <c r="O1905" s="45"/>
      <c r="P1905" s="45"/>
      <c r="Q1905" s="45"/>
      <c r="R1905" s="45"/>
      <c r="S1905" s="45"/>
      <c r="T1905" s="45"/>
      <c r="U1905" s="45"/>
    </row>
    <row r="1906">
      <c r="A1906" s="79" t="s">
        <v>19108</v>
      </c>
      <c r="B1906" s="45"/>
      <c r="C1906" s="79" t="s">
        <v>19109</v>
      </c>
      <c r="D1906" s="45"/>
      <c r="E1906" s="79" t="s">
        <v>5742</v>
      </c>
      <c r="F1906" s="79" t="s">
        <v>5927</v>
      </c>
      <c r="G1906" s="80" t="s">
        <v>96</v>
      </c>
      <c r="H1906" s="90">
        <v>1.601E-4</v>
      </c>
      <c r="I1906" s="45"/>
      <c r="J1906" s="45"/>
      <c r="K1906" s="45"/>
      <c r="L1906" s="45"/>
      <c r="M1906" s="45"/>
      <c r="N1906" s="45"/>
      <c r="O1906" s="45"/>
      <c r="P1906" s="45"/>
      <c r="Q1906" s="45"/>
      <c r="R1906" s="45"/>
      <c r="S1906" s="45"/>
      <c r="T1906" s="45"/>
      <c r="U1906" s="45"/>
    </row>
    <row r="1907">
      <c r="A1907" s="79" t="s">
        <v>19110</v>
      </c>
      <c r="B1907" s="45"/>
      <c r="C1907" s="79" t="s">
        <v>19111</v>
      </c>
      <c r="D1907" s="45"/>
      <c r="E1907" s="79" t="s">
        <v>5215</v>
      </c>
      <c r="F1907" s="79" t="s">
        <v>4095</v>
      </c>
      <c r="G1907" s="80" t="s">
        <v>96</v>
      </c>
      <c r="H1907" s="90">
        <v>1.6E-4</v>
      </c>
      <c r="I1907" s="45"/>
      <c r="J1907" s="45"/>
      <c r="K1907" s="45"/>
      <c r="L1907" s="45"/>
      <c r="M1907" s="45"/>
      <c r="N1907" s="45"/>
      <c r="O1907" s="45"/>
      <c r="P1907" s="45"/>
      <c r="Q1907" s="45"/>
      <c r="R1907" s="45"/>
      <c r="S1907" s="45"/>
      <c r="T1907" s="45"/>
      <c r="U1907" s="45"/>
    </row>
    <row r="1908">
      <c r="A1908" s="79" t="s">
        <v>19112</v>
      </c>
      <c r="B1908" s="45"/>
      <c r="C1908" s="79" t="s">
        <v>19113</v>
      </c>
      <c r="D1908" s="45"/>
      <c r="E1908" s="79" t="s">
        <v>5670</v>
      </c>
      <c r="F1908" s="79" t="s">
        <v>5300</v>
      </c>
      <c r="G1908" s="80" t="s">
        <v>96</v>
      </c>
      <c r="H1908" s="90">
        <v>1.599E-4</v>
      </c>
      <c r="I1908" s="45"/>
      <c r="J1908" s="45"/>
      <c r="K1908" s="45"/>
      <c r="L1908" s="45"/>
      <c r="M1908" s="45"/>
      <c r="N1908" s="45"/>
      <c r="O1908" s="45"/>
      <c r="P1908" s="45"/>
      <c r="Q1908" s="45"/>
      <c r="R1908" s="45"/>
      <c r="S1908" s="45"/>
      <c r="T1908" s="45"/>
      <c r="U1908" s="45"/>
    </row>
    <row r="1909">
      <c r="A1909" s="79" t="s">
        <v>10996</v>
      </c>
      <c r="B1909" s="45"/>
      <c r="C1909" s="79" t="s">
        <v>10997</v>
      </c>
      <c r="D1909" s="45"/>
      <c r="E1909" s="79" t="s">
        <v>5434</v>
      </c>
      <c r="F1909" s="79" t="s">
        <v>8784</v>
      </c>
      <c r="G1909" s="80" t="s">
        <v>96</v>
      </c>
      <c r="H1909" s="90">
        <v>1.598E-4</v>
      </c>
      <c r="I1909" s="45"/>
      <c r="J1909" s="45"/>
      <c r="K1909" s="45"/>
      <c r="L1909" s="45"/>
      <c r="M1909" s="45"/>
      <c r="N1909" s="45"/>
      <c r="O1909" s="45"/>
      <c r="P1909" s="45"/>
      <c r="Q1909" s="45"/>
      <c r="R1909" s="45"/>
      <c r="S1909" s="45"/>
      <c r="T1909" s="45"/>
      <c r="U1909" s="45"/>
    </row>
    <row r="1910">
      <c r="A1910" s="79" t="s">
        <v>19114</v>
      </c>
      <c r="B1910" s="45"/>
      <c r="C1910" s="79" t="s">
        <v>19115</v>
      </c>
      <c r="D1910" s="45"/>
      <c r="E1910" s="79" t="s">
        <v>5478</v>
      </c>
      <c r="F1910" s="79" t="s">
        <v>8784</v>
      </c>
      <c r="G1910" s="80" t="s">
        <v>96</v>
      </c>
      <c r="H1910" s="90">
        <v>1.596E-4</v>
      </c>
      <c r="I1910" s="45"/>
      <c r="J1910" s="45"/>
      <c r="K1910" s="45"/>
      <c r="L1910" s="45"/>
      <c r="M1910" s="45"/>
      <c r="N1910" s="45"/>
      <c r="O1910" s="45"/>
      <c r="P1910" s="45"/>
      <c r="Q1910" s="45"/>
      <c r="R1910" s="45"/>
      <c r="S1910" s="45"/>
      <c r="T1910" s="45"/>
      <c r="U1910" s="45"/>
    </row>
    <row r="1911">
      <c r="A1911" s="79" t="s">
        <v>11038</v>
      </c>
      <c r="B1911" s="45"/>
      <c r="C1911" s="79" t="s">
        <v>19116</v>
      </c>
      <c r="D1911" s="45"/>
      <c r="E1911" s="79" t="s">
        <v>5226</v>
      </c>
      <c r="F1911" s="79" t="s">
        <v>5425</v>
      </c>
      <c r="G1911" s="80" t="s">
        <v>96</v>
      </c>
      <c r="H1911" s="90">
        <v>1.596E-4</v>
      </c>
      <c r="I1911" s="45"/>
      <c r="J1911" s="45"/>
      <c r="K1911" s="45"/>
      <c r="L1911" s="45"/>
      <c r="M1911" s="45"/>
      <c r="N1911" s="45"/>
      <c r="O1911" s="45"/>
      <c r="P1911" s="45"/>
      <c r="Q1911" s="45"/>
      <c r="R1911" s="45"/>
      <c r="S1911" s="45"/>
      <c r="T1911" s="45"/>
      <c r="U1911" s="45"/>
    </row>
    <row r="1912">
      <c r="A1912" s="79" t="s">
        <v>19117</v>
      </c>
      <c r="B1912" s="45"/>
      <c r="C1912" s="79" t="s">
        <v>19118</v>
      </c>
      <c r="D1912" s="45"/>
      <c r="E1912" s="79" t="s">
        <v>5249</v>
      </c>
      <c r="F1912" s="79" t="s">
        <v>5836</v>
      </c>
      <c r="G1912" s="80" t="s">
        <v>96</v>
      </c>
      <c r="H1912" s="90">
        <v>1.595E-4</v>
      </c>
      <c r="I1912" s="45"/>
      <c r="J1912" s="45"/>
      <c r="K1912" s="45"/>
      <c r="L1912" s="45"/>
      <c r="M1912" s="45"/>
      <c r="N1912" s="45"/>
      <c r="O1912" s="45"/>
      <c r="P1912" s="45"/>
      <c r="Q1912" s="45"/>
      <c r="R1912" s="45"/>
      <c r="S1912" s="45"/>
      <c r="T1912" s="45"/>
      <c r="U1912" s="45"/>
    </row>
    <row r="1913">
      <c r="A1913" s="79" t="s">
        <v>19119</v>
      </c>
      <c r="B1913" s="45"/>
      <c r="C1913" s="79" t="s">
        <v>19120</v>
      </c>
      <c r="D1913" s="45"/>
      <c r="E1913" s="79" t="s">
        <v>5226</v>
      </c>
      <c r="F1913" s="79" t="s">
        <v>5300</v>
      </c>
      <c r="G1913" s="80" t="s">
        <v>96</v>
      </c>
      <c r="H1913" s="90">
        <v>1.595E-4</v>
      </c>
      <c r="I1913" s="45"/>
      <c r="J1913" s="45"/>
      <c r="K1913" s="45"/>
      <c r="L1913" s="45"/>
      <c r="M1913" s="45"/>
      <c r="N1913" s="45"/>
      <c r="O1913" s="45"/>
      <c r="P1913" s="45"/>
      <c r="Q1913" s="45"/>
      <c r="R1913" s="45"/>
      <c r="S1913" s="45"/>
      <c r="T1913" s="45"/>
      <c r="U1913" s="45"/>
    </row>
    <row r="1914">
      <c r="A1914" s="79" t="s">
        <v>19121</v>
      </c>
      <c r="B1914" s="45"/>
      <c r="C1914" s="79" t="s">
        <v>19122</v>
      </c>
      <c r="D1914" s="45"/>
      <c r="E1914" s="79" t="s">
        <v>5390</v>
      </c>
      <c r="F1914" s="79" t="s">
        <v>8784</v>
      </c>
      <c r="G1914" s="80" t="s">
        <v>96</v>
      </c>
      <c r="H1914" s="90">
        <v>1.591E-4</v>
      </c>
      <c r="I1914" s="45"/>
      <c r="J1914" s="45"/>
      <c r="K1914" s="45"/>
      <c r="L1914" s="45"/>
      <c r="M1914" s="45"/>
      <c r="N1914" s="45"/>
      <c r="O1914" s="45"/>
      <c r="P1914" s="45"/>
      <c r="Q1914" s="45"/>
      <c r="R1914" s="45"/>
      <c r="S1914" s="45"/>
      <c r="T1914" s="45"/>
      <c r="U1914" s="45"/>
    </row>
    <row r="1915">
      <c r="A1915" s="79" t="s">
        <v>19123</v>
      </c>
      <c r="B1915" s="45"/>
      <c r="C1915" s="79" t="s">
        <v>19124</v>
      </c>
      <c r="D1915" s="45"/>
      <c r="E1915" s="79" t="s">
        <v>5550</v>
      </c>
      <c r="F1915" s="79" t="s">
        <v>4436</v>
      </c>
      <c r="G1915" s="80" t="s">
        <v>96</v>
      </c>
      <c r="H1915" s="90">
        <v>1.591E-4</v>
      </c>
      <c r="I1915" s="45"/>
      <c r="J1915" s="45"/>
      <c r="K1915" s="45"/>
      <c r="L1915" s="45"/>
      <c r="M1915" s="45"/>
      <c r="N1915" s="45"/>
      <c r="O1915" s="45"/>
      <c r="P1915" s="45"/>
      <c r="Q1915" s="45"/>
      <c r="R1915" s="45"/>
      <c r="S1915" s="45"/>
      <c r="T1915" s="45"/>
      <c r="U1915" s="45"/>
    </row>
    <row r="1916">
      <c r="A1916" s="79" t="s">
        <v>19125</v>
      </c>
      <c r="B1916" s="45"/>
      <c r="C1916" s="79" t="s">
        <v>19126</v>
      </c>
      <c r="D1916" s="45"/>
      <c r="E1916" s="79" t="s">
        <v>5326</v>
      </c>
      <c r="F1916" s="79" t="s">
        <v>5300</v>
      </c>
      <c r="G1916" s="80" t="s">
        <v>96</v>
      </c>
      <c r="H1916" s="90">
        <v>1.59E-4</v>
      </c>
      <c r="I1916" s="45"/>
      <c r="J1916" s="45"/>
      <c r="K1916" s="45"/>
      <c r="L1916" s="45"/>
      <c r="M1916" s="45"/>
      <c r="N1916" s="45"/>
      <c r="O1916" s="45"/>
      <c r="P1916" s="45"/>
      <c r="Q1916" s="45"/>
      <c r="R1916" s="45"/>
      <c r="S1916" s="45"/>
      <c r="T1916" s="45"/>
      <c r="U1916" s="45"/>
    </row>
    <row r="1917">
      <c r="A1917" s="79" t="s">
        <v>19127</v>
      </c>
      <c r="B1917" s="45"/>
      <c r="C1917" s="79" t="s">
        <v>19128</v>
      </c>
      <c r="D1917" s="45"/>
      <c r="E1917" s="79" t="s">
        <v>5811</v>
      </c>
      <c r="F1917" s="79" t="s">
        <v>5300</v>
      </c>
      <c r="G1917" s="80" t="s">
        <v>96</v>
      </c>
      <c r="H1917" s="90">
        <v>1.589E-4</v>
      </c>
      <c r="I1917" s="45"/>
      <c r="J1917" s="45"/>
      <c r="K1917" s="45"/>
      <c r="L1917" s="45"/>
      <c r="M1917" s="45"/>
      <c r="N1917" s="45"/>
      <c r="O1917" s="45"/>
      <c r="P1917" s="45"/>
      <c r="Q1917" s="45"/>
      <c r="R1917" s="45"/>
      <c r="S1917" s="45"/>
      <c r="T1917" s="45"/>
      <c r="U1917" s="45"/>
    </row>
    <row r="1918">
      <c r="A1918" s="79" t="s">
        <v>19129</v>
      </c>
      <c r="B1918" s="45"/>
      <c r="C1918" s="79" t="s">
        <v>19130</v>
      </c>
      <c r="D1918" s="45"/>
      <c r="E1918" s="79" t="s">
        <v>6191</v>
      </c>
      <c r="F1918" s="79" t="s">
        <v>8784</v>
      </c>
      <c r="G1918" s="80" t="s">
        <v>96</v>
      </c>
      <c r="H1918" s="90">
        <v>1.588E-4</v>
      </c>
      <c r="I1918" s="45"/>
      <c r="J1918" s="45"/>
      <c r="K1918" s="45"/>
      <c r="L1918" s="45"/>
      <c r="M1918" s="45"/>
      <c r="N1918" s="45"/>
      <c r="O1918" s="45"/>
      <c r="P1918" s="45"/>
      <c r="Q1918" s="45"/>
      <c r="R1918" s="45"/>
      <c r="S1918" s="45"/>
      <c r="T1918" s="45"/>
      <c r="U1918" s="45"/>
    </row>
    <row r="1919">
      <c r="A1919" s="79" t="s">
        <v>19131</v>
      </c>
      <c r="B1919" s="45"/>
      <c r="C1919" s="79" t="s">
        <v>19132</v>
      </c>
      <c r="D1919" s="45"/>
      <c r="E1919" s="79" t="s">
        <v>5253</v>
      </c>
      <c r="F1919" s="79" t="s">
        <v>9021</v>
      </c>
      <c r="G1919" s="80" t="s">
        <v>96</v>
      </c>
      <c r="H1919" s="90">
        <v>1.588E-4</v>
      </c>
      <c r="I1919" s="45"/>
      <c r="J1919" s="45"/>
      <c r="K1919" s="45"/>
      <c r="L1919" s="45"/>
      <c r="M1919" s="45"/>
      <c r="N1919" s="45"/>
      <c r="O1919" s="45"/>
      <c r="P1919" s="45"/>
      <c r="Q1919" s="45"/>
      <c r="R1919" s="45"/>
      <c r="S1919" s="45"/>
      <c r="T1919" s="45"/>
      <c r="U1919" s="45"/>
    </row>
    <row r="1920">
      <c r="A1920" s="79" t="s">
        <v>19133</v>
      </c>
      <c r="B1920" s="45"/>
      <c r="C1920" s="79" t="s">
        <v>19134</v>
      </c>
      <c r="D1920" s="45"/>
      <c r="E1920" s="79" t="s">
        <v>7611</v>
      </c>
      <c r="F1920" s="79" t="s">
        <v>5300</v>
      </c>
      <c r="G1920" s="80" t="s">
        <v>96</v>
      </c>
      <c r="H1920" s="90">
        <v>1.588E-4</v>
      </c>
      <c r="I1920" s="45"/>
      <c r="J1920" s="45"/>
      <c r="K1920" s="45"/>
      <c r="L1920" s="45"/>
      <c r="M1920" s="45"/>
      <c r="N1920" s="45"/>
      <c r="O1920" s="45"/>
      <c r="P1920" s="45"/>
      <c r="Q1920" s="45"/>
      <c r="R1920" s="45"/>
      <c r="S1920" s="45"/>
      <c r="T1920" s="45"/>
      <c r="U1920" s="45"/>
    </row>
    <row r="1921">
      <c r="A1921" s="79" t="s">
        <v>19135</v>
      </c>
      <c r="B1921" s="45"/>
      <c r="C1921" s="79" t="s">
        <v>19136</v>
      </c>
      <c r="D1921" s="45"/>
      <c r="E1921" s="79" t="s">
        <v>5431</v>
      </c>
      <c r="F1921" s="79" t="s">
        <v>5300</v>
      </c>
      <c r="G1921" s="80" t="s">
        <v>96</v>
      </c>
      <c r="H1921" s="90">
        <v>1.585E-4</v>
      </c>
      <c r="I1921" s="45"/>
      <c r="J1921" s="45"/>
      <c r="K1921" s="45"/>
      <c r="L1921" s="45"/>
      <c r="M1921" s="45"/>
      <c r="N1921" s="45"/>
      <c r="O1921" s="45"/>
      <c r="P1921" s="45"/>
      <c r="Q1921" s="45"/>
      <c r="R1921" s="45"/>
      <c r="S1921" s="45"/>
      <c r="T1921" s="45"/>
      <c r="U1921" s="45"/>
    </row>
    <row r="1922">
      <c r="A1922" s="79" t="s">
        <v>19137</v>
      </c>
      <c r="B1922" s="45"/>
      <c r="C1922" s="79" t="s">
        <v>19138</v>
      </c>
      <c r="D1922" s="45"/>
      <c r="E1922" s="79" t="s">
        <v>5291</v>
      </c>
      <c r="F1922" s="79" t="s">
        <v>5941</v>
      </c>
      <c r="G1922" s="80" t="s">
        <v>96</v>
      </c>
      <c r="H1922" s="90">
        <v>1.585E-4</v>
      </c>
      <c r="I1922" s="45"/>
      <c r="J1922" s="45"/>
      <c r="K1922" s="45"/>
      <c r="L1922" s="45"/>
      <c r="M1922" s="45"/>
      <c r="N1922" s="45"/>
      <c r="O1922" s="45"/>
      <c r="P1922" s="45"/>
      <c r="Q1922" s="45"/>
      <c r="R1922" s="45"/>
      <c r="S1922" s="45"/>
      <c r="T1922" s="45"/>
      <c r="U1922" s="45"/>
    </row>
    <row r="1923">
      <c r="A1923" s="79" t="s">
        <v>19139</v>
      </c>
      <c r="B1923" s="45"/>
      <c r="C1923" s="79" t="s">
        <v>19140</v>
      </c>
      <c r="D1923" s="45"/>
      <c r="E1923" s="79" t="s">
        <v>5261</v>
      </c>
      <c r="F1923" s="79" t="s">
        <v>5300</v>
      </c>
      <c r="G1923" s="80" t="s">
        <v>96</v>
      </c>
      <c r="H1923" s="90">
        <v>1.582E-4</v>
      </c>
      <c r="I1923" s="45"/>
      <c r="J1923" s="45"/>
      <c r="K1923" s="45"/>
      <c r="L1923" s="45"/>
      <c r="M1923" s="45"/>
      <c r="N1923" s="45"/>
      <c r="O1923" s="45"/>
      <c r="P1923" s="45"/>
      <c r="Q1923" s="45"/>
      <c r="R1923" s="45"/>
      <c r="S1923" s="45"/>
      <c r="T1923" s="45"/>
      <c r="U1923" s="45"/>
    </row>
    <row r="1924">
      <c r="A1924" s="79" t="s">
        <v>19141</v>
      </c>
      <c r="B1924" s="45"/>
      <c r="C1924" s="79" t="s">
        <v>19142</v>
      </c>
      <c r="D1924" s="45"/>
      <c r="E1924" s="79" t="s">
        <v>5374</v>
      </c>
      <c r="F1924" s="79" t="s">
        <v>9299</v>
      </c>
      <c r="G1924" s="80" t="s">
        <v>96</v>
      </c>
      <c r="H1924" s="90">
        <v>1.582E-4</v>
      </c>
      <c r="I1924" s="45"/>
      <c r="J1924" s="45"/>
      <c r="K1924" s="45"/>
      <c r="L1924" s="45"/>
      <c r="M1924" s="45"/>
      <c r="N1924" s="45"/>
      <c r="O1924" s="45"/>
      <c r="P1924" s="45"/>
      <c r="Q1924" s="45"/>
      <c r="R1924" s="45"/>
      <c r="S1924" s="45"/>
      <c r="T1924" s="45"/>
      <c r="U1924" s="45"/>
    </row>
    <row r="1925">
      <c r="A1925" s="79" t="s">
        <v>19143</v>
      </c>
      <c r="B1925" s="45"/>
      <c r="C1925" s="79" t="s">
        <v>19144</v>
      </c>
      <c r="D1925" s="45"/>
      <c r="E1925" s="79" t="s">
        <v>5226</v>
      </c>
      <c r="F1925" s="79" t="s">
        <v>5300</v>
      </c>
      <c r="G1925" s="80" t="s">
        <v>96</v>
      </c>
      <c r="H1925" s="90">
        <v>1.58E-4</v>
      </c>
      <c r="I1925" s="45"/>
      <c r="J1925" s="45"/>
      <c r="K1925" s="45"/>
      <c r="L1925" s="45"/>
      <c r="M1925" s="45"/>
      <c r="N1925" s="45"/>
      <c r="O1925" s="45"/>
      <c r="P1925" s="45"/>
      <c r="Q1925" s="45"/>
      <c r="R1925" s="45"/>
      <c r="S1925" s="45"/>
      <c r="T1925" s="45"/>
      <c r="U1925" s="45"/>
    </row>
    <row r="1926">
      <c r="A1926" s="79" t="s">
        <v>19145</v>
      </c>
      <c r="B1926" s="45"/>
      <c r="C1926" s="79" t="s">
        <v>19146</v>
      </c>
      <c r="D1926" s="45"/>
      <c r="E1926" s="79" t="s">
        <v>5211</v>
      </c>
      <c r="F1926" s="79" t="s">
        <v>5300</v>
      </c>
      <c r="G1926" s="80" t="s">
        <v>96</v>
      </c>
      <c r="H1926" s="90">
        <v>1.58E-4</v>
      </c>
      <c r="I1926" s="45"/>
      <c r="J1926" s="45"/>
      <c r="K1926" s="45"/>
      <c r="L1926" s="45"/>
      <c r="M1926" s="45"/>
      <c r="N1926" s="45"/>
      <c r="O1926" s="45"/>
      <c r="P1926" s="45"/>
      <c r="Q1926" s="45"/>
      <c r="R1926" s="45"/>
      <c r="S1926" s="45"/>
      <c r="T1926" s="45"/>
      <c r="U1926" s="45"/>
    </row>
    <row r="1927">
      <c r="A1927" s="79" t="s">
        <v>19147</v>
      </c>
      <c r="B1927" s="45"/>
      <c r="C1927" s="79" t="s">
        <v>19148</v>
      </c>
      <c r="D1927" s="45"/>
      <c r="E1927" s="79" t="s">
        <v>5589</v>
      </c>
      <c r="F1927" s="79" t="s">
        <v>5300</v>
      </c>
      <c r="G1927" s="80" t="s">
        <v>96</v>
      </c>
      <c r="H1927" s="90">
        <v>1.579E-4</v>
      </c>
      <c r="I1927" s="45"/>
      <c r="J1927" s="45"/>
      <c r="K1927" s="45"/>
      <c r="L1927" s="45"/>
      <c r="M1927" s="45"/>
      <c r="N1927" s="45"/>
      <c r="O1927" s="45"/>
      <c r="P1927" s="45"/>
      <c r="Q1927" s="45"/>
      <c r="R1927" s="45"/>
      <c r="S1927" s="45"/>
      <c r="T1927" s="45"/>
      <c r="U1927" s="45"/>
    </row>
    <row r="1928">
      <c r="A1928" s="79" t="s">
        <v>19149</v>
      </c>
      <c r="B1928" s="45"/>
      <c r="C1928" s="79" t="s">
        <v>19150</v>
      </c>
      <c r="D1928" s="45"/>
      <c r="E1928" s="79" t="s">
        <v>5211</v>
      </c>
      <c r="F1928" s="79" t="s">
        <v>5300</v>
      </c>
      <c r="G1928" s="80" t="s">
        <v>96</v>
      </c>
      <c r="H1928" s="90">
        <v>1.578E-4</v>
      </c>
      <c r="I1928" s="45"/>
      <c r="J1928" s="45"/>
      <c r="K1928" s="45"/>
      <c r="L1928" s="45"/>
      <c r="M1928" s="45"/>
      <c r="N1928" s="45"/>
      <c r="O1928" s="45"/>
      <c r="P1928" s="45"/>
      <c r="Q1928" s="45"/>
      <c r="R1928" s="45"/>
      <c r="S1928" s="45"/>
      <c r="T1928" s="45"/>
      <c r="U1928" s="45"/>
    </row>
    <row r="1929">
      <c r="A1929" s="79" t="s">
        <v>19151</v>
      </c>
      <c r="B1929" s="45"/>
      <c r="C1929" s="79" t="s">
        <v>19152</v>
      </c>
      <c r="D1929" s="45"/>
      <c r="E1929" s="79" t="s">
        <v>8230</v>
      </c>
      <c r="F1929" s="79" t="s">
        <v>5300</v>
      </c>
      <c r="G1929" s="80" t="s">
        <v>96</v>
      </c>
      <c r="H1929" s="90">
        <v>1.578E-4</v>
      </c>
      <c r="I1929" s="45"/>
      <c r="J1929" s="45"/>
      <c r="K1929" s="45"/>
      <c r="L1929" s="45"/>
      <c r="M1929" s="45"/>
      <c r="N1929" s="45"/>
      <c r="O1929" s="45"/>
      <c r="P1929" s="45"/>
      <c r="Q1929" s="45"/>
      <c r="R1929" s="45"/>
      <c r="S1929" s="45"/>
      <c r="T1929" s="45"/>
      <c r="U1929" s="45"/>
    </row>
    <row r="1930">
      <c r="A1930" s="79" t="s">
        <v>19153</v>
      </c>
      <c r="B1930" s="45"/>
      <c r="C1930" s="79" t="s">
        <v>19154</v>
      </c>
      <c r="D1930" s="45"/>
      <c r="E1930" s="79" t="s">
        <v>7260</v>
      </c>
      <c r="F1930" s="79" t="s">
        <v>5300</v>
      </c>
      <c r="G1930" s="80" t="s">
        <v>96</v>
      </c>
      <c r="H1930" s="90">
        <v>1.577E-4</v>
      </c>
      <c r="I1930" s="45"/>
      <c r="J1930" s="45"/>
      <c r="K1930" s="45"/>
      <c r="L1930" s="45"/>
      <c r="M1930" s="45"/>
      <c r="N1930" s="45"/>
      <c r="O1930" s="45"/>
      <c r="P1930" s="45"/>
      <c r="Q1930" s="45"/>
      <c r="R1930" s="45"/>
      <c r="S1930" s="45"/>
      <c r="T1930" s="45"/>
      <c r="U1930" s="45"/>
    </row>
    <row r="1931">
      <c r="A1931" s="79" t="s">
        <v>19155</v>
      </c>
      <c r="B1931" s="45"/>
      <c r="C1931" s="79" t="s">
        <v>19156</v>
      </c>
      <c r="D1931" s="45"/>
      <c r="E1931" s="79" t="s">
        <v>5215</v>
      </c>
      <c r="F1931" s="79" t="s">
        <v>5300</v>
      </c>
      <c r="G1931" s="80" t="s">
        <v>96</v>
      </c>
      <c r="H1931" s="90">
        <v>1.571E-4</v>
      </c>
      <c r="I1931" s="45"/>
      <c r="J1931" s="45"/>
      <c r="K1931" s="45"/>
      <c r="L1931" s="45"/>
      <c r="M1931" s="45"/>
      <c r="N1931" s="45"/>
      <c r="O1931" s="45"/>
      <c r="P1931" s="45"/>
      <c r="Q1931" s="45"/>
      <c r="R1931" s="45"/>
      <c r="S1931" s="45"/>
      <c r="T1931" s="45"/>
      <c r="U1931" s="45"/>
    </row>
    <row r="1932">
      <c r="A1932" s="79" t="s">
        <v>19157</v>
      </c>
      <c r="B1932" s="45"/>
      <c r="C1932" s="79" t="s">
        <v>19158</v>
      </c>
      <c r="D1932" s="45"/>
      <c r="E1932" s="79" t="s">
        <v>5261</v>
      </c>
      <c r="F1932" s="79" t="s">
        <v>5300</v>
      </c>
      <c r="G1932" s="80" t="s">
        <v>96</v>
      </c>
      <c r="H1932" s="90">
        <v>1.57E-4</v>
      </c>
      <c r="I1932" s="45"/>
      <c r="J1932" s="45"/>
      <c r="K1932" s="45"/>
      <c r="L1932" s="45"/>
      <c r="M1932" s="45"/>
      <c r="N1932" s="45"/>
      <c r="O1932" s="45"/>
      <c r="P1932" s="45"/>
      <c r="Q1932" s="45"/>
      <c r="R1932" s="45"/>
      <c r="S1932" s="45"/>
      <c r="T1932" s="45"/>
      <c r="U1932" s="45"/>
    </row>
    <row r="1933">
      <c r="A1933" s="79" t="s">
        <v>19159</v>
      </c>
      <c r="B1933" s="45"/>
      <c r="C1933" s="79" t="s">
        <v>19160</v>
      </c>
      <c r="D1933" s="45"/>
      <c r="E1933" s="79" t="s">
        <v>5434</v>
      </c>
      <c r="F1933" s="79" t="s">
        <v>5300</v>
      </c>
      <c r="G1933" s="80" t="s">
        <v>96</v>
      </c>
      <c r="H1933" s="90">
        <v>1.569E-4</v>
      </c>
      <c r="I1933" s="45"/>
      <c r="J1933" s="45"/>
      <c r="K1933" s="45"/>
      <c r="L1933" s="45"/>
      <c r="M1933" s="45"/>
      <c r="N1933" s="45"/>
      <c r="O1933" s="45"/>
      <c r="P1933" s="45"/>
      <c r="Q1933" s="45"/>
      <c r="R1933" s="45"/>
      <c r="S1933" s="45"/>
      <c r="T1933" s="45"/>
      <c r="U1933" s="45"/>
    </row>
    <row r="1934">
      <c r="A1934" s="79" t="s">
        <v>19161</v>
      </c>
      <c r="B1934" s="45"/>
      <c r="C1934" s="79" t="s">
        <v>19162</v>
      </c>
      <c r="D1934" s="45"/>
      <c r="E1934" s="79" t="s">
        <v>5407</v>
      </c>
      <c r="F1934" s="79" t="s">
        <v>5300</v>
      </c>
      <c r="G1934" s="80" t="s">
        <v>96</v>
      </c>
      <c r="H1934" s="90">
        <v>1.568E-4</v>
      </c>
      <c r="I1934" s="45"/>
      <c r="J1934" s="45"/>
      <c r="K1934" s="45"/>
      <c r="L1934" s="45"/>
      <c r="M1934" s="45"/>
      <c r="N1934" s="45"/>
      <c r="O1934" s="45"/>
      <c r="P1934" s="45"/>
      <c r="Q1934" s="45"/>
      <c r="R1934" s="45"/>
      <c r="S1934" s="45"/>
      <c r="T1934" s="45"/>
      <c r="U1934" s="45"/>
    </row>
    <row r="1935">
      <c r="A1935" s="79" t="s">
        <v>19163</v>
      </c>
      <c r="B1935" s="45"/>
      <c r="C1935" s="79" t="s">
        <v>19164</v>
      </c>
      <c r="D1935" s="45"/>
      <c r="E1935" s="79" t="s">
        <v>5395</v>
      </c>
      <c r="F1935" s="79" t="s">
        <v>5300</v>
      </c>
      <c r="G1935" s="80" t="s">
        <v>96</v>
      </c>
      <c r="H1935" s="90">
        <v>1.567E-4</v>
      </c>
      <c r="I1935" s="45"/>
      <c r="J1935" s="45"/>
      <c r="K1935" s="45"/>
      <c r="L1935" s="45"/>
      <c r="M1935" s="45"/>
      <c r="N1935" s="45"/>
      <c r="O1935" s="45"/>
      <c r="P1935" s="45"/>
      <c r="Q1935" s="45"/>
      <c r="R1935" s="45"/>
      <c r="S1935" s="45"/>
      <c r="T1935" s="45"/>
      <c r="U1935" s="45"/>
    </row>
    <row r="1936">
      <c r="A1936" s="79" t="s">
        <v>19165</v>
      </c>
      <c r="B1936" s="45"/>
      <c r="C1936" s="79" t="s">
        <v>19166</v>
      </c>
      <c r="D1936" s="45"/>
      <c r="E1936" s="79" t="s">
        <v>5215</v>
      </c>
      <c r="F1936" s="79" t="s">
        <v>5300</v>
      </c>
      <c r="G1936" s="80" t="s">
        <v>96</v>
      </c>
      <c r="H1936" s="90">
        <v>1.565E-4</v>
      </c>
      <c r="I1936" s="45"/>
      <c r="J1936" s="45"/>
      <c r="K1936" s="45"/>
      <c r="L1936" s="45"/>
      <c r="M1936" s="45"/>
      <c r="N1936" s="45"/>
      <c r="O1936" s="45"/>
      <c r="P1936" s="45"/>
      <c r="Q1936" s="45"/>
      <c r="R1936" s="45"/>
      <c r="S1936" s="45"/>
      <c r="T1936" s="45"/>
      <c r="U1936" s="45"/>
    </row>
    <row r="1937">
      <c r="A1937" s="79" t="s">
        <v>19167</v>
      </c>
      <c r="B1937" s="45"/>
      <c r="C1937" s="79" t="s">
        <v>19168</v>
      </c>
      <c r="D1937" s="45"/>
      <c r="E1937" s="79" t="s">
        <v>5267</v>
      </c>
      <c r="F1937" s="79" t="s">
        <v>5300</v>
      </c>
      <c r="G1937" s="80" t="s">
        <v>96</v>
      </c>
      <c r="H1937" s="90">
        <v>1.564E-4</v>
      </c>
      <c r="I1937" s="45"/>
      <c r="J1937" s="45"/>
      <c r="K1937" s="45"/>
      <c r="L1937" s="45"/>
      <c r="M1937" s="45"/>
      <c r="N1937" s="45"/>
      <c r="O1937" s="45"/>
      <c r="P1937" s="45"/>
      <c r="Q1937" s="45"/>
      <c r="R1937" s="45"/>
      <c r="S1937" s="45"/>
      <c r="T1937" s="45"/>
      <c r="U1937" s="45"/>
    </row>
    <row r="1938">
      <c r="A1938" s="79" t="s">
        <v>16589</v>
      </c>
      <c r="B1938" s="45"/>
      <c r="C1938" s="79" t="s">
        <v>19169</v>
      </c>
      <c r="D1938" s="45"/>
      <c r="E1938" s="79" t="s">
        <v>5395</v>
      </c>
      <c r="F1938" s="79" t="s">
        <v>5300</v>
      </c>
      <c r="G1938" s="80" t="s">
        <v>96</v>
      </c>
      <c r="H1938" s="90">
        <v>1.562E-4</v>
      </c>
      <c r="I1938" s="45"/>
      <c r="J1938" s="45"/>
      <c r="K1938" s="45"/>
      <c r="L1938" s="45"/>
      <c r="M1938" s="45"/>
      <c r="N1938" s="45"/>
      <c r="O1938" s="45"/>
      <c r="P1938" s="45"/>
      <c r="Q1938" s="45"/>
      <c r="R1938" s="45"/>
      <c r="S1938" s="45"/>
      <c r="T1938" s="45"/>
      <c r="U1938" s="45"/>
    </row>
    <row r="1939">
      <c r="A1939" s="79" t="s">
        <v>4625</v>
      </c>
      <c r="B1939" s="45"/>
      <c r="C1939" s="79" t="s">
        <v>19170</v>
      </c>
      <c r="D1939" s="45"/>
      <c r="E1939" s="79" t="s">
        <v>8951</v>
      </c>
      <c r="F1939" s="79" t="s">
        <v>4357</v>
      </c>
      <c r="G1939" s="80" t="s">
        <v>96</v>
      </c>
      <c r="H1939" s="90">
        <v>1.56E-4</v>
      </c>
      <c r="I1939" s="45"/>
      <c r="J1939" s="45"/>
      <c r="K1939" s="45"/>
      <c r="L1939" s="45"/>
      <c r="M1939" s="45"/>
      <c r="N1939" s="45"/>
      <c r="O1939" s="45"/>
      <c r="P1939" s="45"/>
      <c r="Q1939" s="45"/>
      <c r="R1939" s="45"/>
      <c r="S1939" s="45"/>
      <c r="T1939" s="45"/>
      <c r="U1939" s="45"/>
    </row>
    <row r="1940">
      <c r="A1940" s="79" t="s">
        <v>19171</v>
      </c>
      <c r="B1940" s="45"/>
      <c r="C1940" s="79" t="s">
        <v>19172</v>
      </c>
      <c r="D1940" s="45"/>
      <c r="E1940" s="79" t="s">
        <v>5868</v>
      </c>
      <c r="F1940" s="79" t="s">
        <v>5300</v>
      </c>
      <c r="G1940" s="80" t="s">
        <v>96</v>
      </c>
      <c r="H1940" s="90">
        <v>1.56E-4</v>
      </c>
      <c r="I1940" s="45"/>
      <c r="J1940" s="45"/>
      <c r="K1940" s="45"/>
      <c r="L1940" s="45"/>
      <c r="M1940" s="45"/>
      <c r="N1940" s="45"/>
      <c r="O1940" s="45"/>
      <c r="P1940" s="45"/>
      <c r="Q1940" s="45"/>
      <c r="R1940" s="45"/>
      <c r="S1940" s="45"/>
      <c r="T1940" s="45"/>
      <c r="U1940" s="45"/>
    </row>
    <row r="1941">
      <c r="A1941" s="79" t="s">
        <v>19173</v>
      </c>
      <c r="B1941" s="45"/>
      <c r="C1941" s="79" t="s">
        <v>19174</v>
      </c>
      <c r="D1941" s="45"/>
      <c r="E1941" s="79" t="s">
        <v>5961</v>
      </c>
      <c r="F1941" s="79" t="s">
        <v>5300</v>
      </c>
      <c r="G1941" s="80" t="s">
        <v>96</v>
      </c>
      <c r="H1941" s="90">
        <v>1.559E-4</v>
      </c>
      <c r="I1941" s="45"/>
      <c r="J1941" s="45"/>
      <c r="K1941" s="45"/>
      <c r="L1941" s="45"/>
      <c r="M1941" s="45"/>
      <c r="N1941" s="45"/>
      <c r="O1941" s="45"/>
      <c r="P1941" s="45"/>
      <c r="Q1941" s="45"/>
      <c r="R1941" s="45"/>
      <c r="S1941" s="45"/>
      <c r="T1941" s="45"/>
      <c r="U1941" s="45"/>
    </row>
    <row r="1942">
      <c r="A1942" s="79" t="s">
        <v>11114</v>
      </c>
      <c r="B1942" s="45"/>
      <c r="C1942" s="79" t="s">
        <v>11115</v>
      </c>
      <c r="D1942" s="45"/>
      <c r="E1942" s="79" t="s">
        <v>5561</v>
      </c>
      <c r="F1942" s="79" t="s">
        <v>9513</v>
      </c>
      <c r="G1942" s="80" t="s">
        <v>96</v>
      </c>
      <c r="H1942" s="90">
        <v>1.557E-4</v>
      </c>
      <c r="I1942" s="45"/>
      <c r="J1942" s="45"/>
      <c r="K1942" s="45"/>
      <c r="L1942" s="45"/>
      <c r="M1942" s="45"/>
      <c r="N1942" s="45"/>
      <c r="O1942" s="45"/>
      <c r="P1942" s="45"/>
      <c r="Q1942" s="45"/>
      <c r="R1942" s="45"/>
      <c r="S1942" s="45"/>
      <c r="T1942" s="45"/>
      <c r="U1942" s="45"/>
    </row>
    <row r="1943">
      <c r="A1943" s="79" t="s">
        <v>19175</v>
      </c>
      <c r="B1943" s="45"/>
      <c r="C1943" s="79" t="s">
        <v>19176</v>
      </c>
      <c r="D1943" s="45"/>
      <c r="E1943" s="79" t="s">
        <v>5258</v>
      </c>
      <c r="F1943" s="79" t="s">
        <v>5836</v>
      </c>
      <c r="G1943" s="80" t="s">
        <v>96</v>
      </c>
      <c r="H1943" s="90">
        <v>1.554E-4</v>
      </c>
      <c r="I1943" s="45"/>
      <c r="J1943" s="45"/>
      <c r="K1943" s="45"/>
      <c r="L1943" s="45"/>
      <c r="M1943" s="45"/>
      <c r="N1943" s="45"/>
      <c r="O1943" s="45"/>
      <c r="P1943" s="45"/>
      <c r="Q1943" s="45"/>
      <c r="R1943" s="45"/>
      <c r="S1943" s="45"/>
      <c r="T1943" s="45"/>
      <c r="U1943" s="45"/>
    </row>
    <row r="1944">
      <c r="A1944" s="79" t="s">
        <v>19177</v>
      </c>
      <c r="B1944" s="45"/>
      <c r="C1944" s="79" t="s">
        <v>19178</v>
      </c>
      <c r="D1944" s="45"/>
      <c r="E1944" s="79" t="s">
        <v>7471</v>
      </c>
      <c r="F1944" s="79" t="s">
        <v>5425</v>
      </c>
      <c r="G1944" s="80" t="s">
        <v>96</v>
      </c>
      <c r="H1944" s="90">
        <v>1.553E-4</v>
      </c>
      <c r="I1944" s="45"/>
      <c r="J1944" s="45"/>
      <c r="K1944" s="45"/>
      <c r="L1944" s="45"/>
      <c r="M1944" s="45"/>
      <c r="N1944" s="45"/>
      <c r="O1944" s="45"/>
      <c r="P1944" s="45"/>
      <c r="Q1944" s="45"/>
      <c r="R1944" s="45"/>
      <c r="S1944" s="45"/>
      <c r="T1944" s="45"/>
      <c r="U1944" s="45"/>
    </row>
    <row r="1945">
      <c r="A1945" s="79" t="s">
        <v>19179</v>
      </c>
      <c r="B1945" s="45"/>
      <c r="C1945" s="79" t="s">
        <v>19180</v>
      </c>
      <c r="D1945" s="45"/>
      <c r="E1945" s="79" t="s">
        <v>6130</v>
      </c>
      <c r="F1945" s="79" t="s">
        <v>8759</v>
      </c>
      <c r="G1945" s="80" t="s">
        <v>96</v>
      </c>
      <c r="H1945" s="90">
        <v>1.553E-4</v>
      </c>
      <c r="I1945" s="45"/>
      <c r="J1945" s="45"/>
      <c r="K1945" s="45"/>
      <c r="L1945" s="45"/>
      <c r="M1945" s="45"/>
      <c r="N1945" s="45"/>
      <c r="O1945" s="45"/>
      <c r="P1945" s="45"/>
      <c r="Q1945" s="45"/>
      <c r="R1945" s="45"/>
      <c r="S1945" s="45"/>
      <c r="T1945" s="45"/>
      <c r="U1945" s="45"/>
    </row>
    <row r="1946">
      <c r="A1946" s="79" t="s">
        <v>7545</v>
      </c>
      <c r="B1946" s="45"/>
      <c r="C1946" s="79" t="s">
        <v>19181</v>
      </c>
      <c r="D1946" s="45"/>
      <c r="E1946" s="79" t="s">
        <v>6389</v>
      </c>
      <c r="F1946" s="79" t="s">
        <v>8784</v>
      </c>
      <c r="G1946" s="80" t="s">
        <v>96</v>
      </c>
      <c r="H1946" s="90">
        <v>1.553E-4</v>
      </c>
      <c r="I1946" s="45"/>
      <c r="J1946" s="45"/>
      <c r="K1946" s="45"/>
      <c r="L1946" s="45"/>
      <c r="M1946" s="45"/>
      <c r="N1946" s="45"/>
      <c r="O1946" s="45"/>
      <c r="P1946" s="45"/>
      <c r="Q1946" s="45"/>
      <c r="R1946" s="45"/>
      <c r="S1946" s="45"/>
      <c r="T1946" s="45"/>
      <c r="U1946" s="45"/>
    </row>
    <row r="1947">
      <c r="A1947" s="79" t="s">
        <v>19182</v>
      </c>
      <c r="B1947" s="45"/>
      <c r="C1947" s="79" t="s">
        <v>19183</v>
      </c>
      <c r="D1947" s="45"/>
      <c r="E1947" s="79" t="s">
        <v>5561</v>
      </c>
      <c r="F1947" s="79" t="s">
        <v>9021</v>
      </c>
      <c r="G1947" s="80" t="s">
        <v>96</v>
      </c>
      <c r="H1947" s="90">
        <v>1.553E-4</v>
      </c>
      <c r="I1947" s="45"/>
      <c r="J1947" s="45"/>
      <c r="K1947" s="45"/>
      <c r="L1947" s="45"/>
      <c r="M1947" s="45"/>
      <c r="N1947" s="45"/>
      <c r="O1947" s="45"/>
      <c r="P1947" s="45"/>
      <c r="Q1947" s="45"/>
      <c r="R1947" s="45"/>
      <c r="S1947" s="45"/>
      <c r="T1947" s="45"/>
      <c r="U1947" s="45"/>
    </row>
    <row r="1948">
      <c r="A1948" s="79" t="s">
        <v>19184</v>
      </c>
      <c r="B1948" s="45"/>
      <c r="C1948" s="79" t="s">
        <v>19185</v>
      </c>
      <c r="D1948" s="45"/>
      <c r="E1948" s="79" t="s">
        <v>5258</v>
      </c>
      <c r="F1948" s="79" t="s">
        <v>5836</v>
      </c>
      <c r="G1948" s="80" t="s">
        <v>96</v>
      </c>
      <c r="H1948" s="90">
        <v>1.552E-4</v>
      </c>
      <c r="I1948" s="45"/>
      <c r="J1948" s="45"/>
      <c r="K1948" s="45"/>
      <c r="L1948" s="45"/>
      <c r="M1948" s="45"/>
      <c r="N1948" s="45"/>
      <c r="O1948" s="45"/>
      <c r="P1948" s="45"/>
      <c r="Q1948" s="45"/>
      <c r="R1948" s="45"/>
      <c r="S1948" s="45"/>
      <c r="T1948" s="45"/>
      <c r="U1948" s="45"/>
    </row>
    <row r="1949">
      <c r="A1949" s="79" t="s">
        <v>19186</v>
      </c>
      <c r="B1949" s="45"/>
      <c r="C1949" s="79" t="s">
        <v>19187</v>
      </c>
      <c r="D1949" s="45"/>
      <c r="E1949" s="79" t="s">
        <v>5682</v>
      </c>
      <c r="F1949" s="79" t="s">
        <v>6988</v>
      </c>
      <c r="G1949" s="80" t="s">
        <v>96</v>
      </c>
      <c r="H1949" s="90">
        <v>1.551E-4</v>
      </c>
      <c r="I1949" s="45"/>
      <c r="J1949" s="45"/>
      <c r="K1949" s="45"/>
      <c r="L1949" s="45"/>
      <c r="M1949" s="45"/>
      <c r="N1949" s="45"/>
      <c r="O1949" s="45"/>
      <c r="P1949" s="45"/>
      <c r="Q1949" s="45"/>
      <c r="R1949" s="45"/>
      <c r="S1949" s="45"/>
      <c r="T1949" s="45"/>
      <c r="U1949" s="45"/>
    </row>
    <row r="1950">
      <c r="A1950" s="79" t="s">
        <v>19188</v>
      </c>
      <c r="B1950" s="45"/>
      <c r="C1950" s="79" t="s">
        <v>19189</v>
      </c>
      <c r="D1950" s="45"/>
      <c r="E1950" s="79" t="s">
        <v>5961</v>
      </c>
      <c r="F1950" s="79" t="s">
        <v>5300</v>
      </c>
      <c r="G1950" s="80" t="s">
        <v>96</v>
      </c>
      <c r="H1950" s="90">
        <v>1.548E-4</v>
      </c>
      <c r="I1950" s="45"/>
      <c r="J1950" s="45"/>
      <c r="K1950" s="45"/>
      <c r="L1950" s="45"/>
      <c r="M1950" s="45"/>
      <c r="N1950" s="45"/>
      <c r="O1950" s="45"/>
      <c r="P1950" s="45"/>
      <c r="Q1950" s="45"/>
      <c r="R1950" s="45"/>
      <c r="S1950" s="45"/>
      <c r="T1950" s="45"/>
      <c r="U1950" s="45"/>
    </row>
    <row r="1951">
      <c r="A1951" s="79" t="s">
        <v>19190</v>
      </c>
      <c r="B1951" s="45"/>
      <c r="C1951" s="79" t="s">
        <v>19191</v>
      </c>
      <c r="D1951" s="45"/>
      <c r="E1951" s="79" t="s">
        <v>5808</v>
      </c>
      <c r="F1951" s="79" t="s">
        <v>5836</v>
      </c>
      <c r="G1951" s="80" t="s">
        <v>96</v>
      </c>
      <c r="H1951" s="90">
        <v>1.547E-4</v>
      </c>
      <c r="I1951" s="45"/>
      <c r="J1951" s="45"/>
      <c r="K1951" s="45"/>
      <c r="L1951" s="45"/>
      <c r="M1951" s="45"/>
      <c r="N1951" s="45"/>
      <c r="O1951" s="45"/>
      <c r="P1951" s="45"/>
      <c r="Q1951" s="45"/>
      <c r="R1951" s="45"/>
      <c r="S1951" s="45"/>
      <c r="T1951" s="45"/>
      <c r="U1951" s="45"/>
    </row>
    <row r="1952">
      <c r="A1952" s="79" t="s">
        <v>19192</v>
      </c>
      <c r="B1952" s="45"/>
      <c r="C1952" s="79" t="s">
        <v>19193</v>
      </c>
      <c r="D1952" s="45"/>
      <c r="E1952" s="79" t="s">
        <v>7236</v>
      </c>
      <c r="F1952" s="79" t="s">
        <v>9617</v>
      </c>
      <c r="G1952" s="80" t="s">
        <v>96</v>
      </c>
      <c r="H1952" s="90">
        <v>1.546E-4</v>
      </c>
      <c r="I1952" s="45"/>
      <c r="J1952" s="45"/>
      <c r="K1952" s="45"/>
      <c r="L1952" s="45"/>
      <c r="M1952" s="45"/>
      <c r="N1952" s="45"/>
      <c r="O1952" s="45"/>
      <c r="P1952" s="45"/>
      <c r="Q1952" s="45"/>
      <c r="R1952" s="45"/>
      <c r="S1952" s="45"/>
      <c r="T1952" s="45"/>
      <c r="U1952" s="45"/>
    </row>
    <row r="1953">
      <c r="A1953" s="79" t="s">
        <v>19194</v>
      </c>
      <c r="B1953" s="45"/>
      <c r="C1953" s="79" t="s">
        <v>19195</v>
      </c>
      <c r="D1953" s="45"/>
      <c r="E1953" s="79" t="s">
        <v>5516</v>
      </c>
      <c r="F1953" s="79" t="s">
        <v>5300</v>
      </c>
      <c r="G1953" s="80" t="s">
        <v>96</v>
      </c>
      <c r="H1953" s="90">
        <v>1.545E-4</v>
      </c>
      <c r="I1953" s="45"/>
      <c r="J1953" s="45"/>
      <c r="K1953" s="45"/>
      <c r="L1953" s="45"/>
      <c r="M1953" s="45"/>
      <c r="N1953" s="45"/>
      <c r="O1953" s="45"/>
      <c r="P1953" s="45"/>
      <c r="Q1953" s="45"/>
      <c r="R1953" s="45"/>
      <c r="S1953" s="45"/>
      <c r="T1953" s="45"/>
      <c r="U1953" s="45"/>
    </row>
    <row r="1954">
      <c r="A1954" s="79" t="s">
        <v>19196</v>
      </c>
      <c r="B1954" s="45"/>
      <c r="C1954" s="79" t="s">
        <v>19197</v>
      </c>
      <c r="D1954" s="45"/>
      <c r="E1954" s="79" t="s">
        <v>6191</v>
      </c>
      <c r="F1954" s="79" t="s">
        <v>5277</v>
      </c>
      <c r="G1954" s="80" t="s">
        <v>96</v>
      </c>
      <c r="H1954" s="90">
        <v>1.545E-4</v>
      </c>
      <c r="I1954" s="45"/>
      <c r="J1954" s="45"/>
      <c r="K1954" s="45"/>
      <c r="L1954" s="45"/>
      <c r="M1954" s="45"/>
      <c r="N1954" s="45"/>
      <c r="O1954" s="45"/>
      <c r="P1954" s="45"/>
      <c r="Q1954" s="45"/>
      <c r="R1954" s="45"/>
      <c r="S1954" s="45"/>
      <c r="T1954" s="45"/>
      <c r="U1954" s="45"/>
    </row>
    <row r="1955">
      <c r="A1955" s="79" t="s">
        <v>11169</v>
      </c>
      <c r="B1955" s="45"/>
      <c r="C1955" s="79" t="s">
        <v>11170</v>
      </c>
      <c r="D1955" s="45"/>
      <c r="E1955" s="79" t="s">
        <v>5238</v>
      </c>
      <c r="F1955" s="79" t="s">
        <v>4095</v>
      </c>
      <c r="G1955" s="80" t="s">
        <v>96</v>
      </c>
      <c r="H1955" s="90">
        <v>1.544E-4</v>
      </c>
      <c r="I1955" s="45"/>
      <c r="J1955" s="45"/>
      <c r="K1955" s="45"/>
      <c r="L1955" s="45"/>
      <c r="M1955" s="45"/>
      <c r="N1955" s="45"/>
      <c r="O1955" s="45"/>
      <c r="P1955" s="45"/>
      <c r="Q1955" s="45"/>
      <c r="R1955" s="45"/>
      <c r="S1955" s="45"/>
      <c r="T1955" s="45"/>
      <c r="U1955" s="45"/>
    </row>
    <row r="1956">
      <c r="A1956" s="79" t="s">
        <v>19198</v>
      </c>
      <c r="B1956" s="45"/>
      <c r="C1956" s="79" t="s">
        <v>19199</v>
      </c>
      <c r="D1956" s="45"/>
      <c r="E1956" s="79" t="s">
        <v>5321</v>
      </c>
      <c r="F1956" s="79" t="s">
        <v>5300</v>
      </c>
      <c r="G1956" s="80" t="s">
        <v>96</v>
      </c>
      <c r="H1956" s="90">
        <v>1.543E-4</v>
      </c>
      <c r="I1956" s="45"/>
      <c r="J1956" s="45"/>
      <c r="K1956" s="45"/>
      <c r="L1956" s="45"/>
      <c r="M1956" s="45"/>
      <c r="N1956" s="45"/>
      <c r="O1956" s="45"/>
      <c r="P1956" s="45"/>
      <c r="Q1956" s="45"/>
      <c r="R1956" s="45"/>
      <c r="S1956" s="45"/>
      <c r="T1956" s="45"/>
      <c r="U1956" s="45"/>
    </row>
    <row r="1957">
      <c r="A1957" s="79" t="s">
        <v>10904</v>
      </c>
      <c r="B1957" s="45"/>
      <c r="C1957" s="79" t="s">
        <v>10905</v>
      </c>
      <c r="D1957" s="45"/>
      <c r="E1957" s="79" t="s">
        <v>5366</v>
      </c>
      <c r="F1957" s="79" t="s">
        <v>9513</v>
      </c>
      <c r="G1957" s="80" t="s">
        <v>96</v>
      </c>
      <c r="H1957" s="90">
        <v>1.541E-4</v>
      </c>
      <c r="I1957" s="45"/>
      <c r="J1957" s="45"/>
      <c r="K1957" s="45"/>
      <c r="L1957" s="45"/>
      <c r="M1957" s="45"/>
      <c r="N1957" s="45"/>
      <c r="O1957" s="45"/>
      <c r="P1957" s="45"/>
      <c r="Q1957" s="45"/>
      <c r="R1957" s="45"/>
      <c r="S1957" s="45"/>
      <c r="T1957" s="45"/>
      <c r="U1957" s="45"/>
    </row>
    <row r="1958">
      <c r="A1958" s="79" t="s">
        <v>19200</v>
      </c>
      <c r="B1958" s="45"/>
      <c r="C1958" s="79" t="s">
        <v>19201</v>
      </c>
      <c r="D1958" s="45"/>
      <c r="E1958" s="79" t="s">
        <v>5756</v>
      </c>
      <c r="F1958" s="79" t="s">
        <v>18084</v>
      </c>
      <c r="G1958" s="80" t="s">
        <v>96</v>
      </c>
      <c r="H1958" s="90">
        <v>1.537E-4</v>
      </c>
      <c r="I1958" s="45"/>
      <c r="J1958" s="45"/>
      <c r="K1958" s="45"/>
      <c r="L1958" s="45"/>
      <c r="M1958" s="45"/>
      <c r="N1958" s="45"/>
      <c r="O1958" s="45"/>
      <c r="P1958" s="45"/>
      <c r="Q1958" s="45"/>
      <c r="R1958" s="45"/>
      <c r="S1958" s="45"/>
      <c r="T1958" s="45"/>
      <c r="U1958" s="45"/>
    </row>
    <row r="1959">
      <c r="A1959" s="79" t="s">
        <v>19202</v>
      </c>
      <c r="B1959" s="45"/>
      <c r="C1959" s="79" t="s">
        <v>19203</v>
      </c>
      <c r="D1959" s="45"/>
      <c r="E1959" s="79" t="s">
        <v>5276</v>
      </c>
      <c r="F1959" s="79" t="s">
        <v>5300</v>
      </c>
      <c r="G1959" s="80" t="s">
        <v>96</v>
      </c>
      <c r="H1959" s="90">
        <v>1.535E-4</v>
      </c>
      <c r="I1959" s="45"/>
      <c r="J1959" s="45"/>
      <c r="K1959" s="45"/>
      <c r="L1959" s="45"/>
      <c r="M1959" s="45"/>
      <c r="N1959" s="45"/>
      <c r="O1959" s="45"/>
      <c r="P1959" s="45"/>
      <c r="Q1959" s="45"/>
      <c r="R1959" s="45"/>
      <c r="S1959" s="45"/>
      <c r="T1959" s="45"/>
      <c r="U1959" s="45"/>
    </row>
    <row r="1960">
      <c r="A1960" s="79" t="s">
        <v>19204</v>
      </c>
      <c r="B1960" s="45"/>
      <c r="C1960" s="79" t="s">
        <v>19205</v>
      </c>
      <c r="D1960" s="45"/>
      <c r="E1960" s="79" t="s">
        <v>5218</v>
      </c>
      <c r="F1960" s="79" t="s">
        <v>4436</v>
      </c>
      <c r="G1960" s="80" t="s">
        <v>96</v>
      </c>
      <c r="H1960" s="90">
        <v>1.535E-4</v>
      </c>
      <c r="I1960" s="45"/>
      <c r="J1960" s="45"/>
      <c r="K1960" s="45"/>
      <c r="L1960" s="45"/>
      <c r="M1960" s="45"/>
      <c r="N1960" s="45"/>
      <c r="O1960" s="45"/>
      <c r="P1960" s="45"/>
      <c r="Q1960" s="45"/>
      <c r="R1960" s="45"/>
      <c r="S1960" s="45"/>
      <c r="T1960" s="45"/>
      <c r="U1960" s="45"/>
    </row>
    <row r="1961">
      <c r="A1961" s="79" t="s">
        <v>19206</v>
      </c>
      <c r="B1961" s="45"/>
      <c r="C1961" s="79" t="s">
        <v>18030</v>
      </c>
      <c r="D1961" s="45"/>
      <c r="E1961" s="79" t="s">
        <v>5407</v>
      </c>
      <c r="F1961" s="79" t="s">
        <v>5300</v>
      </c>
      <c r="G1961" s="80" t="s">
        <v>96</v>
      </c>
      <c r="H1961" s="90">
        <v>1.534E-4</v>
      </c>
      <c r="I1961" s="45"/>
      <c r="J1961" s="45"/>
      <c r="K1961" s="45"/>
      <c r="L1961" s="45"/>
      <c r="M1961" s="45"/>
      <c r="N1961" s="45"/>
      <c r="O1961" s="45"/>
      <c r="P1961" s="45"/>
      <c r="Q1961" s="45"/>
      <c r="R1961" s="45"/>
      <c r="S1961" s="45"/>
      <c r="T1961" s="45"/>
      <c r="U1961" s="45"/>
    </row>
    <row r="1962">
      <c r="A1962" s="79" t="s">
        <v>19207</v>
      </c>
      <c r="B1962" s="45"/>
      <c r="C1962" s="79" t="s">
        <v>19208</v>
      </c>
      <c r="D1962" s="45"/>
      <c r="E1962" s="79" t="s">
        <v>6729</v>
      </c>
      <c r="F1962" s="79" t="s">
        <v>8784</v>
      </c>
      <c r="G1962" s="80" t="s">
        <v>96</v>
      </c>
      <c r="H1962" s="90">
        <v>1.53E-4</v>
      </c>
      <c r="I1962" s="45"/>
      <c r="J1962" s="45"/>
      <c r="K1962" s="45"/>
      <c r="L1962" s="45"/>
      <c r="M1962" s="45"/>
      <c r="N1962" s="45"/>
      <c r="O1962" s="45"/>
      <c r="P1962" s="45"/>
      <c r="Q1962" s="45"/>
      <c r="R1962" s="45"/>
      <c r="S1962" s="45"/>
      <c r="T1962" s="45"/>
      <c r="U1962" s="45"/>
    </row>
    <row r="1963">
      <c r="A1963" s="79" t="s">
        <v>19209</v>
      </c>
      <c r="B1963" s="45"/>
      <c r="C1963" s="79" t="s">
        <v>19210</v>
      </c>
      <c r="D1963" s="45"/>
      <c r="E1963" s="79" t="s">
        <v>5280</v>
      </c>
      <c r="F1963" s="79" t="s">
        <v>5300</v>
      </c>
      <c r="G1963" s="80" t="s">
        <v>96</v>
      </c>
      <c r="H1963" s="90">
        <v>1.53E-4</v>
      </c>
      <c r="I1963" s="45"/>
      <c r="J1963" s="45"/>
      <c r="K1963" s="45"/>
      <c r="L1963" s="45"/>
      <c r="M1963" s="45"/>
      <c r="N1963" s="45"/>
      <c r="O1963" s="45"/>
      <c r="P1963" s="45"/>
      <c r="Q1963" s="45"/>
      <c r="R1963" s="45"/>
      <c r="S1963" s="45"/>
      <c r="T1963" s="45"/>
      <c r="U1963" s="45"/>
    </row>
    <row r="1964">
      <c r="A1964" s="79" t="s">
        <v>19211</v>
      </c>
      <c r="B1964" s="45"/>
      <c r="C1964" s="79" t="s">
        <v>19212</v>
      </c>
      <c r="D1964" s="45"/>
      <c r="E1964" s="79" t="s">
        <v>6130</v>
      </c>
      <c r="F1964" s="79" t="s">
        <v>8784</v>
      </c>
      <c r="G1964" s="80" t="s">
        <v>96</v>
      </c>
      <c r="H1964" s="90">
        <v>1.523E-4</v>
      </c>
      <c r="I1964" s="45"/>
      <c r="J1964" s="45"/>
      <c r="K1964" s="45"/>
      <c r="L1964" s="45"/>
      <c r="M1964" s="45"/>
      <c r="N1964" s="45"/>
      <c r="O1964" s="45"/>
      <c r="P1964" s="45"/>
      <c r="Q1964" s="45"/>
      <c r="R1964" s="45"/>
      <c r="S1964" s="45"/>
      <c r="T1964" s="45"/>
      <c r="U1964" s="45"/>
    </row>
    <row r="1965">
      <c r="A1965" s="79" t="s">
        <v>5941</v>
      </c>
      <c r="B1965" s="45"/>
      <c r="C1965" s="79" t="s">
        <v>19213</v>
      </c>
      <c r="D1965" s="45"/>
      <c r="E1965" s="79" t="s">
        <v>5456</v>
      </c>
      <c r="F1965" s="79" t="s">
        <v>5300</v>
      </c>
      <c r="G1965" s="80" t="s">
        <v>96</v>
      </c>
      <c r="H1965" s="90">
        <v>1.522E-4</v>
      </c>
      <c r="I1965" s="45"/>
      <c r="J1965" s="45"/>
      <c r="K1965" s="45"/>
      <c r="L1965" s="45"/>
      <c r="M1965" s="45"/>
      <c r="N1965" s="45"/>
      <c r="O1965" s="45"/>
      <c r="P1965" s="45"/>
      <c r="Q1965" s="45"/>
      <c r="R1965" s="45"/>
      <c r="S1965" s="45"/>
      <c r="T1965" s="45"/>
      <c r="U1965" s="45"/>
    </row>
    <row r="1966">
      <c r="A1966" s="79" t="s">
        <v>19214</v>
      </c>
      <c r="B1966" s="45"/>
      <c r="C1966" s="79" t="s">
        <v>19215</v>
      </c>
      <c r="D1966" s="45"/>
      <c r="E1966" s="79" t="s">
        <v>5478</v>
      </c>
      <c r="F1966" s="79" t="s">
        <v>5300</v>
      </c>
      <c r="G1966" s="80" t="s">
        <v>96</v>
      </c>
      <c r="H1966" s="90">
        <v>1.521E-4</v>
      </c>
      <c r="I1966" s="45"/>
      <c r="J1966" s="45"/>
      <c r="K1966" s="45"/>
      <c r="L1966" s="45"/>
      <c r="M1966" s="45"/>
      <c r="N1966" s="45"/>
      <c r="O1966" s="45"/>
      <c r="P1966" s="45"/>
      <c r="Q1966" s="45"/>
      <c r="R1966" s="45"/>
      <c r="S1966" s="45"/>
      <c r="T1966" s="45"/>
      <c r="U1966" s="45"/>
    </row>
    <row r="1967">
      <c r="A1967" s="79" t="s">
        <v>19216</v>
      </c>
      <c r="B1967" s="45"/>
      <c r="C1967" s="79" t="s">
        <v>19217</v>
      </c>
      <c r="D1967" s="45"/>
      <c r="E1967" s="79" t="s">
        <v>5961</v>
      </c>
      <c r="F1967" s="79" t="s">
        <v>8784</v>
      </c>
      <c r="G1967" s="80" t="s">
        <v>96</v>
      </c>
      <c r="H1967" s="90">
        <v>1.521E-4</v>
      </c>
      <c r="I1967" s="45"/>
      <c r="J1967" s="45"/>
      <c r="K1967" s="45"/>
      <c r="L1967" s="45"/>
      <c r="M1967" s="45"/>
      <c r="N1967" s="45"/>
      <c r="O1967" s="45"/>
      <c r="P1967" s="45"/>
      <c r="Q1967" s="45"/>
      <c r="R1967" s="45"/>
      <c r="S1967" s="45"/>
      <c r="T1967" s="45"/>
      <c r="U1967" s="45"/>
    </row>
    <row r="1968">
      <c r="A1968" s="79" t="s">
        <v>19218</v>
      </c>
      <c r="B1968" s="45"/>
      <c r="C1968" s="79" t="s">
        <v>19219</v>
      </c>
      <c r="D1968" s="45"/>
      <c r="E1968" s="79" t="s">
        <v>5215</v>
      </c>
      <c r="F1968" s="79" t="s">
        <v>5300</v>
      </c>
      <c r="G1968" s="80" t="s">
        <v>96</v>
      </c>
      <c r="H1968" s="90">
        <v>1.52E-4</v>
      </c>
      <c r="I1968" s="45"/>
      <c r="J1968" s="45"/>
      <c r="K1968" s="45"/>
      <c r="L1968" s="45"/>
      <c r="M1968" s="45"/>
      <c r="N1968" s="45"/>
      <c r="O1968" s="45"/>
      <c r="P1968" s="45"/>
      <c r="Q1968" s="45"/>
      <c r="R1968" s="45"/>
      <c r="S1968" s="45"/>
      <c r="T1968" s="45"/>
      <c r="U1968" s="45"/>
    </row>
    <row r="1969">
      <c r="A1969" s="79" t="s">
        <v>19220</v>
      </c>
      <c r="B1969" s="45"/>
      <c r="C1969" s="79" t="s">
        <v>19221</v>
      </c>
      <c r="D1969" s="45"/>
      <c r="E1969" s="79" t="s">
        <v>8230</v>
      </c>
      <c r="F1969" s="79" t="s">
        <v>5300</v>
      </c>
      <c r="G1969" s="80" t="s">
        <v>96</v>
      </c>
      <c r="H1969" s="90">
        <v>1.519E-4</v>
      </c>
      <c r="I1969" s="45"/>
      <c r="J1969" s="45"/>
      <c r="K1969" s="45"/>
      <c r="L1969" s="45"/>
      <c r="M1969" s="45"/>
      <c r="N1969" s="45"/>
      <c r="O1969" s="45"/>
      <c r="P1969" s="45"/>
      <c r="Q1969" s="45"/>
      <c r="R1969" s="45"/>
      <c r="S1969" s="45"/>
      <c r="T1969" s="45"/>
      <c r="U1969" s="45"/>
    </row>
    <row r="1970">
      <c r="A1970" s="79" t="s">
        <v>19222</v>
      </c>
      <c r="B1970" s="45"/>
      <c r="C1970" s="79" t="s">
        <v>19223</v>
      </c>
      <c r="D1970" s="45"/>
      <c r="E1970" s="79" t="s">
        <v>5338</v>
      </c>
      <c r="F1970" s="79" t="s">
        <v>5836</v>
      </c>
      <c r="G1970" s="80" t="s">
        <v>96</v>
      </c>
      <c r="H1970" s="90">
        <v>1.518E-4</v>
      </c>
      <c r="I1970" s="45"/>
      <c r="J1970" s="45"/>
      <c r="K1970" s="45"/>
      <c r="L1970" s="45"/>
      <c r="M1970" s="45"/>
      <c r="N1970" s="45"/>
      <c r="O1970" s="45"/>
      <c r="P1970" s="45"/>
      <c r="Q1970" s="45"/>
      <c r="R1970" s="45"/>
      <c r="S1970" s="45"/>
      <c r="T1970" s="45"/>
      <c r="U1970" s="45"/>
    </row>
    <row r="1971">
      <c r="A1971" s="79" t="s">
        <v>19224</v>
      </c>
      <c r="B1971" s="45"/>
      <c r="C1971" s="79" t="s">
        <v>19225</v>
      </c>
      <c r="D1971" s="45"/>
      <c r="E1971" s="79" t="s">
        <v>5271</v>
      </c>
      <c r="F1971" s="79" t="s">
        <v>5425</v>
      </c>
      <c r="G1971" s="80" t="s">
        <v>96</v>
      </c>
      <c r="H1971" s="90">
        <v>1.518E-4</v>
      </c>
      <c r="I1971" s="45"/>
      <c r="J1971" s="45"/>
      <c r="K1971" s="45"/>
      <c r="L1971" s="45"/>
      <c r="M1971" s="45"/>
      <c r="N1971" s="45"/>
      <c r="O1971" s="45"/>
      <c r="P1971" s="45"/>
      <c r="Q1971" s="45"/>
      <c r="R1971" s="45"/>
      <c r="S1971" s="45"/>
      <c r="T1971" s="45"/>
      <c r="U1971" s="45"/>
    </row>
    <row r="1972">
      <c r="A1972" s="79" t="s">
        <v>11126</v>
      </c>
      <c r="B1972" s="45"/>
      <c r="C1972" s="79" t="s">
        <v>11127</v>
      </c>
      <c r="D1972" s="45"/>
      <c r="E1972" s="79" t="s">
        <v>5283</v>
      </c>
      <c r="F1972" s="79" t="s">
        <v>8784</v>
      </c>
      <c r="G1972" s="80" t="s">
        <v>96</v>
      </c>
      <c r="H1972" s="90">
        <v>1.516E-4</v>
      </c>
      <c r="I1972" s="45"/>
      <c r="J1972" s="45"/>
      <c r="K1972" s="45"/>
      <c r="L1972" s="45"/>
      <c r="M1972" s="45"/>
      <c r="N1972" s="45"/>
      <c r="O1972" s="45"/>
      <c r="P1972" s="45"/>
      <c r="Q1972" s="45"/>
      <c r="R1972" s="45"/>
      <c r="S1972" s="45"/>
      <c r="T1972" s="45"/>
      <c r="U1972" s="45"/>
    </row>
    <row r="1973">
      <c r="A1973" s="79" t="s">
        <v>11029</v>
      </c>
      <c r="B1973" s="45"/>
      <c r="C1973" s="79" t="s">
        <v>11030</v>
      </c>
      <c r="D1973" s="45"/>
      <c r="E1973" s="79" t="s">
        <v>5390</v>
      </c>
      <c r="F1973" s="79" t="s">
        <v>9513</v>
      </c>
      <c r="G1973" s="80" t="s">
        <v>96</v>
      </c>
      <c r="H1973" s="90">
        <v>1.512E-4</v>
      </c>
      <c r="I1973" s="45"/>
      <c r="J1973" s="45"/>
      <c r="K1973" s="45"/>
      <c r="L1973" s="45"/>
      <c r="M1973" s="45"/>
      <c r="N1973" s="45"/>
      <c r="O1973" s="45"/>
      <c r="P1973" s="45"/>
      <c r="Q1973" s="45"/>
      <c r="R1973" s="45"/>
      <c r="S1973" s="45"/>
      <c r="T1973" s="45"/>
      <c r="U1973" s="45"/>
    </row>
    <row r="1974">
      <c r="A1974" s="79" t="s">
        <v>19226</v>
      </c>
      <c r="B1974" s="45"/>
      <c r="C1974" s="79" t="s">
        <v>19227</v>
      </c>
      <c r="D1974" s="45"/>
      <c r="E1974" s="79" t="s">
        <v>5341</v>
      </c>
      <c r="F1974" s="79" t="s">
        <v>5300</v>
      </c>
      <c r="G1974" s="80" t="s">
        <v>96</v>
      </c>
      <c r="H1974" s="90">
        <v>1.51E-4</v>
      </c>
      <c r="I1974" s="45"/>
      <c r="J1974" s="45"/>
      <c r="K1974" s="45"/>
      <c r="L1974" s="45"/>
      <c r="M1974" s="45"/>
      <c r="N1974" s="45"/>
      <c r="O1974" s="45"/>
      <c r="P1974" s="45"/>
      <c r="Q1974" s="45"/>
      <c r="R1974" s="45"/>
      <c r="S1974" s="45"/>
      <c r="T1974" s="45"/>
      <c r="U1974" s="45"/>
    </row>
    <row r="1975">
      <c r="A1975" s="79" t="s">
        <v>19228</v>
      </c>
      <c r="B1975" s="45"/>
      <c r="C1975" s="79" t="s">
        <v>19229</v>
      </c>
      <c r="D1975" s="45"/>
      <c r="E1975" s="79" t="s">
        <v>5855</v>
      </c>
      <c r="F1975" s="79" t="s">
        <v>5425</v>
      </c>
      <c r="G1975" s="80" t="s">
        <v>96</v>
      </c>
      <c r="H1975" s="90">
        <v>1.51E-4</v>
      </c>
      <c r="I1975" s="45"/>
      <c r="J1975" s="45"/>
      <c r="K1975" s="45"/>
      <c r="L1975" s="45"/>
      <c r="M1975" s="45"/>
      <c r="N1975" s="45"/>
      <c r="O1975" s="45"/>
      <c r="P1975" s="45"/>
      <c r="Q1975" s="45"/>
      <c r="R1975" s="45"/>
      <c r="S1975" s="45"/>
      <c r="T1975" s="45"/>
      <c r="U1975" s="45"/>
    </row>
    <row r="1976">
      <c r="A1976" s="79" t="s">
        <v>19230</v>
      </c>
      <c r="B1976" s="45"/>
      <c r="C1976" s="79" t="s">
        <v>19231</v>
      </c>
      <c r="D1976" s="45"/>
      <c r="E1976" s="79" t="s">
        <v>8154</v>
      </c>
      <c r="F1976" s="79" t="s">
        <v>8784</v>
      </c>
      <c r="G1976" s="80" t="s">
        <v>96</v>
      </c>
      <c r="H1976" s="90">
        <v>1.508E-4</v>
      </c>
      <c r="I1976" s="45"/>
      <c r="J1976" s="45"/>
      <c r="K1976" s="45"/>
      <c r="L1976" s="45"/>
      <c r="M1976" s="45"/>
      <c r="N1976" s="45"/>
      <c r="O1976" s="45"/>
      <c r="P1976" s="45"/>
      <c r="Q1976" s="45"/>
      <c r="R1976" s="45"/>
      <c r="S1976" s="45"/>
      <c r="T1976" s="45"/>
      <c r="U1976" s="45"/>
    </row>
    <row r="1977">
      <c r="A1977" s="79" t="s">
        <v>19232</v>
      </c>
      <c r="B1977" s="45"/>
      <c r="C1977" s="79" t="s">
        <v>19233</v>
      </c>
      <c r="D1977" s="45"/>
      <c r="E1977" s="79" t="s">
        <v>5215</v>
      </c>
      <c r="F1977" s="79" t="s">
        <v>5300</v>
      </c>
      <c r="G1977" s="80" t="s">
        <v>96</v>
      </c>
      <c r="H1977" s="90">
        <v>1.507E-4</v>
      </c>
      <c r="I1977" s="45"/>
      <c r="J1977" s="45"/>
      <c r="K1977" s="45"/>
      <c r="L1977" s="45"/>
      <c r="M1977" s="45"/>
      <c r="N1977" s="45"/>
      <c r="O1977" s="45"/>
      <c r="P1977" s="45"/>
      <c r="Q1977" s="45"/>
      <c r="R1977" s="45"/>
      <c r="S1977" s="45"/>
      <c r="T1977" s="45"/>
      <c r="U1977" s="45"/>
    </row>
    <row r="1978">
      <c r="A1978" s="79" t="s">
        <v>18522</v>
      </c>
      <c r="B1978" s="45"/>
      <c r="C1978" s="79" t="s">
        <v>19234</v>
      </c>
      <c r="D1978" s="45"/>
      <c r="E1978" s="79" t="s">
        <v>5276</v>
      </c>
      <c r="F1978" s="79" t="s">
        <v>5300</v>
      </c>
      <c r="G1978" s="80" t="s">
        <v>96</v>
      </c>
      <c r="H1978" s="90">
        <v>1.506E-4</v>
      </c>
      <c r="I1978" s="45"/>
      <c r="J1978" s="45"/>
      <c r="K1978" s="45"/>
      <c r="L1978" s="45"/>
      <c r="M1978" s="45"/>
      <c r="N1978" s="45"/>
      <c r="O1978" s="45"/>
      <c r="P1978" s="45"/>
      <c r="Q1978" s="45"/>
      <c r="R1978" s="45"/>
      <c r="S1978" s="45"/>
      <c r="T1978" s="45"/>
      <c r="U1978" s="45"/>
    </row>
    <row r="1979">
      <c r="A1979" s="79" t="s">
        <v>10718</v>
      </c>
      <c r="B1979" s="45"/>
      <c r="C1979" s="79" t="s">
        <v>10719</v>
      </c>
      <c r="D1979" s="45"/>
      <c r="E1979" s="79" t="s">
        <v>5369</v>
      </c>
      <c r="F1979" s="79" t="s">
        <v>8784</v>
      </c>
      <c r="G1979" s="80" t="s">
        <v>96</v>
      </c>
      <c r="H1979" s="90">
        <v>1.506E-4</v>
      </c>
      <c r="I1979" s="45"/>
      <c r="J1979" s="45"/>
      <c r="K1979" s="45"/>
      <c r="L1979" s="45"/>
      <c r="M1979" s="45"/>
      <c r="N1979" s="45"/>
      <c r="O1979" s="45"/>
      <c r="P1979" s="45"/>
      <c r="Q1979" s="45"/>
      <c r="R1979" s="45"/>
      <c r="S1979" s="45"/>
      <c r="T1979" s="45"/>
      <c r="U1979" s="45"/>
    </row>
    <row r="1980">
      <c r="A1980" s="79" t="s">
        <v>19235</v>
      </c>
      <c r="B1980" s="45"/>
      <c r="C1980" s="79" t="s">
        <v>19236</v>
      </c>
      <c r="D1980" s="45"/>
      <c r="E1980" s="79" t="s">
        <v>5357</v>
      </c>
      <c r="F1980" s="79" t="s">
        <v>9513</v>
      </c>
      <c r="G1980" s="80" t="s">
        <v>96</v>
      </c>
      <c r="H1980" s="90">
        <v>1.505E-4</v>
      </c>
      <c r="I1980" s="45"/>
      <c r="J1980" s="45"/>
      <c r="K1980" s="45"/>
      <c r="L1980" s="45"/>
      <c r="M1980" s="45"/>
      <c r="N1980" s="45"/>
      <c r="O1980" s="45"/>
      <c r="P1980" s="45"/>
      <c r="Q1980" s="45"/>
      <c r="R1980" s="45"/>
      <c r="S1980" s="45"/>
      <c r="T1980" s="45"/>
      <c r="U1980" s="45"/>
    </row>
    <row r="1981">
      <c r="A1981" s="79" t="s">
        <v>19237</v>
      </c>
      <c r="B1981" s="45"/>
      <c r="C1981" s="79" t="s">
        <v>19238</v>
      </c>
      <c r="D1981" s="45"/>
      <c r="E1981" s="79" t="s">
        <v>5377</v>
      </c>
      <c r="F1981" s="79" t="s">
        <v>9021</v>
      </c>
      <c r="G1981" s="80" t="s">
        <v>96</v>
      </c>
      <c r="H1981" s="90">
        <v>1.505E-4</v>
      </c>
      <c r="I1981" s="45"/>
      <c r="J1981" s="45"/>
      <c r="K1981" s="45"/>
      <c r="L1981" s="45"/>
      <c r="M1981" s="45"/>
      <c r="N1981" s="45"/>
      <c r="O1981" s="45"/>
      <c r="P1981" s="45"/>
      <c r="Q1981" s="45"/>
      <c r="R1981" s="45"/>
      <c r="S1981" s="45"/>
      <c r="T1981" s="45"/>
      <c r="U1981" s="45"/>
    </row>
    <row r="1982">
      <c r="A1982" s="79" t="s">
        <v>19239</v>
      </c>
      <c r="B1982" s="45"/>
      <c r="C1982" s="79" t="s">
        <v>19240</v>
      </c>
      <c r="D1982" s="45"/>
      <c r="E1982" s="79" t="s">
        <v>6514</v>
      </c>
      <c r="F1982" s="79" t="s">
        <v>9299</v>
      </c>
      <c r="G1982" s="80" t="s">
        <v>96</v>
      </c>
      <c r="H1982" s="90">
        <v>1.504E-4</v>
      </c>
      <c r="I1982" s="45"/>
      <c r="J1982" s="45"/>
      <c r="K1982" s="45"/>
      <c r="L1982" s="45"/>
      <c r="M1982" s="45"/>
      <c r="N1982" s="45"/>
      <c r="O1982" s="45"/>
      <c r="P1982" s="45"/>
      <c r="Q1982" s="45"/>
      <c r="R1982" s="45"/>
      <c r="S1982" s="45"/>
      <c r="T1982" s="45"/>
      <c r="U1982" s="45"/>
    </row>
    <row r="1983">
      <c r="A1983" s="79" t="s">
        <v>19241</v>
      </c>
      <c r="B1983" s="45"/>
      <c r="C1983" s="79" t="s">
        <v>19242</v>
      </c>
      <c r="D1983" s="45"/>
      <c r="E1983" s="79" t="s">
        <v>5261</v>
      </c>
      <c r="F1983" s="79" t="s">
        <v>5300</v>
      </c>
      <c r="G1983" s="80" t="s">
        <v>96</v>
      </c>
      <c r="H1983" s="90">
        <v>1.504E-4</v>
      </c>
      <c r="I1983" s="45"/>
      <c r="J1983" s="45"/>
      <c r="K1983" s="45"/>
      <c r="L1983" s="45"/>
      <c r="M1983" s="45"/>
      <c r="N1983" s="45"/>
      <c r="O1983" s="45"/>
      <c r="P1983" s="45"/>
      <c r="Q1983" s="45"/>
      <c r="R1983" s="45"/>
      <c r="S1983" s="45"/>
      <c r="T1983" s="45"/>
      <c r="U1983" s="45"/>
    </row>
    <row r="1984">
      <c r="A1984" s="79" t="s">
        <v>19243</v>
      </c>
      <c r="B1984" s="45"/>
      <c r="C1984" s="79" t="s">
        <v>19244</v>
      </c>
      <c r="D1984" s="45"/>
      <c r="E1984" s="79" t="s">
        <v>5478</v>
      </c>
      <c r="F1984" s="79" t="s">
        <v>5300</v>
      </c>
      <c r="G1984" s="80" t="s">
        <v>96</v>
      </c>
      <c r="H1984" s="90">
        <v>1.504E-4</v>
      </c>
      <c r="I1984" s="45"/>
      <c r="J1984" s="45"/>
      <c r="K1984" s="45"/>
      <c r="L1984" s="45"/>
      <c r="M1984" s="45"/>
      <c r="N1984" s="45"/>
      <c r="O1984" s="45"/>
      <c r="P1984" s="45"/>
      <c r="Q1984" s="45"/>
      <c r="R1984" s="45"/>
      <c r="S1984" s="45"/>
      <c r="T1984" s="45"/>
      <c r="U1984" s="45"/>
    </row>
    <row r="1985">
      <c r="A1985" s="79" t="s">
        <v>19245</v>
      </c>
      <c r="B1985" s="45"/>
      <c r="C1985" s="79" t="s">
        <v>19246</v>
      </c>
      <c r="D1985" s="45"/>
      <c r="E1985" s="79" t="s">
        <v>6475</v>
      </c>
      <c r="F1985" s="79" t="s">
        <v>5300</v>
      </c>
      <c r="G1985" s="80" t="s">
        <v>96</v>
      </c>
      <c r="H1985" s="90">
        <v>1.504E-4</v>
      </c>
      <c r="I1985" s="45"/>
      <c r="J1985" s="45"/>
      <c r="K1985" s="45"/>
      <c r="L1985" s="45"/>
      <c r="M1985" s="45"/>
      <c r="N1985" s="45"/>
      <c r="O1985" s="45"/>
      <c r="P1985" s="45"/>
      <c r="Q1985" s="45"/>
      <c r="R1985" s="45"/>
      <c r="S1985" s="45"/>
      <c r="T1985" s="45"/>
      <c r="U1985" s="45"/>
    </row>
    <row r="1986">
      <c r="A1986" s="79" t="s">
        <v>19247</v>
      </c>
      <c r="B1986" s="45"/>
      <c r="C1986" s="79" t="s">
        <v>16683</v>
      </c>
      <c r="D1986" s="45"/>
      <c r="E1986" s="79" t="s">
        <v>11325</v>
      </c>
      <c r="F1986" s="79" t="s">
        <v>5425</v>
      </c>
      <c r="G1986" s="80" t="s">
        <v>96</v>
      </c>
      <c r="H1986" s="90">
        <v>1.502E-4</v>
      </c>
      <c r="I1986" s="45"/>
      <c r="J1986" s="45"/>
      <c r="K1986" s="45"/>
      <c r="L1986" s="45"/>
      <c r="M1986" s="45"/>
      <c r="N1986" s="45"/>
      <c r="O1986" s="45"/>
      <c r="P1986" s="45"/>
      <c r="Q1986" s="45"/>
      <c r="R1986" s="45"/>
      <c r="S1986" s="45"/>
      <c r="T1986" s="45"/>
      <c r="U1986" s="45"/>
    </row>
    <row r="1987">
      <c r="A1987" s="79" t="s">
        <v>19248</v>
      </c>
      <c r="B1987" s="45"/>
      <c r="C1987" s="79" t="s">
        <v>19249</v>
      </c>
      <c r="D1987" s="45"/>
      <c r="E1987" s="79" t="s">
        <v>5395</v>
      </c>
      <c r="F1987" s="79" t="s">
        <v>5425</v>
      </c>
      <c r="G1987" s="80" t="s">
        <v>96</v>
      </c>
      <c r="H1987" s="90">
        <v>1.501E-4</v>
      </c>
      <c r="I1987" s="45"/>
      <c r="J1987" s="45"/>
      <c r="K1987" s="45"/>
      <c r="L1987" s="45"/>
      <c r="M1987" s="45"/>
      <c r="N1987" s="45"/>
      <c r="O1987" s="45"/>
      <c r="P1987" s="45"/>
      <c r="Q1987" s="45"/>
      <c r="R1987" s="45"/>
      <c r="S1987" s="45"/>
      <c r="T1987" s="45"/>
      <c r="U1987" s="45"/>
    </row>
    <row r="1988">
      <c r="A1988" s="79" t="s">
        <v>19250</v>
      </c>
      <c r="B1988" s="45"/>
      <c r="C1988" s="79" t="s">
        <v>19251</v>
      </c>
      <c r="D1988" s="45"/>
      <c r="E1988" s="79" t="s">
        <v>5264</v>
      </c>
      <c r="F1988" s="79" t="s">
        <v>5300</v>
      </c>
      <c r="G1988" s="80" t="s">
        <v>96</v>
      </c>
      <c r="H1988" s="90">
        <v>1.5E-4</v>
      </c>
      <c r="I1988" s="45"/>
      <c r="J1988" s="45"/>
      <c r="K1988" s="45"/>
      <c r="L1988" s="45"/>
      <c r="M1988" s="45"/>
      <c r="N1988" s="45"/>
      <c r="O1988" s="45"/>
      <c r="P1988" s="45"/>
      <c r="Q1988" s="45"/>
      <c r="R1988" s="45"/>
      <c r="S1988" s="45"/>
      <c r="T1988" s="45"/>
      <c r="U1988" s="45"/>
    </row>
    <row r="1989">
      <c r="A1989" s="79" t="s">
        <v>19252</v>
      </c>
      <c r="B1989" s="45"/>
      <c r="C1989" s="79" t="s">
        <v>19253</v>
      </c>
      <c r="D1989" s="45"/>
      <c r="E1989" s="79" t="s">
        <v>5478</v>
      </c>
      <c r="F1989" s="79" t="s">
        <v>5300</v>
      </c>
      <c r="G1989" s="80" t="s">
        <v>96</v>
      </c>
      <c r="H1989" s="90">
        <v>1.499E-4</v>
      </c>
      <c r="I1989" s="45"/>
      <c r="J1989" s="45"/>
      <c r="K1989" s="45"/>
      <c r="L1989" s="45"/>
      <c r="M1989" s="45"/>
      <c r="N1989" s="45"/>
      <c r="O1989" s="45"/>
      <c r="P1989" s="45"/>
      <c r="Q1989" s="45"/>
      <c r="R1989" s="45"/>
      <c r="S1989" s="45"/>
      <c r="T1989" s="45"/>
      <c r="U1989" s="45"/>
    </row>
    <row r="1990">
      <c r="A1990" s="79" t="s">
        <v>17741</v>
      </c>
      <c r="B1990" s="45"/>
      <c r="C1990" s="79" t="s">
        <v>17742</v>
      </c>
      <c r="D1990" s="45"/>
      <c r="E1990" s="79" t="s">
        <v>5561</v>
      </c>
      <c r="F1990" s="79" t="s">
        <v>5836</v>
      </c>
      <c r="G1990" s="80" t="s">
        <v>96</v>
      </c>
      <c r="H1990" s="90">
        <v>1.499E-4</v>
      </c>
      <c r="I1990" s="45"/>
      <c r="J1990" s="45"/>
      <c r="K1990" s="45"/>
      <c r="L1990" s="45"/>
      <c r="M1990" s="45"/>
      <c r="N1990" s="45"/>
      <c r="O1990" s="45"/>
      <c r="P1990" s="45"/>
      <c r="Q1990" s="45"/>
      <c r="R1990" s="45"/>
      <c r="S1990" s="45"/>
      <c r="T1990" s="45"/>
      <c r="U1990" s="45"/>
    </row>
    <row r="1991">
      <c r="A1991" s="79" t="s">
        <v>19254</v>
      </c>
      <c r="B1991" s="45"/>
      <c r="C1991" s="79" t="s">
        <v>19255</v>
      </c>
      <c r="D1991" s="45"/>
      <c r="E1991" s="79" t="s">
        <v>6416</v>
      </c>
      <c r="F1991" s="79" t="s">
        <v>8784</v>
      </c>
      <c r="G1991" s="80" t="s">
        <v>96</v>
      </c>
      <c r="H1991" s="90">
        <v>1.499E-4</v>
      </c>
      <c r="I1991" s="45"/>
      <c r="J1991" s="45"/>
      <c r="K1991" s="45"/>
      <c r="L1991" s="45"/>
      <c r="M1991" s="45"/>
      <c r="N1991" s="45"/>
      <c r="O1991" s="45"/>
      <c r="P1991" s="45"/>
      <c r="Q1991" s="45"/>
      <c r="R1991" s="45"/>
      <c r="S1991" s="45"/>
      <c r="T1991" s="45"/>
      <c r="U1991" s="45"/>
    </row>
    <row r="1992">
      <c r="A1992" s="79" t="s">
        <v>19256</v>
      </c>
      <c r="B1992" s="45"/>
      <c r="C1992" s="79" t="s">
        <v>19257</v>
      </c>
      <c r="D1992" s="45"/>
      <c r="E1992" s="79" t="s">
        <v>5742</v>
      </c>
      <c r="F1992" s="79" t="s">
        <v>8784</v>
      </c>
      <c r="G1992" s="80" t="s">
        <v>96</v>
      </c>
      <c r="H1992" s="90">
        <v>1.498E-4</v>
      </c>
      <c r="I1992" s="45"/>
      <c r="J1992" s="45"/>
      <c r="K1992" s="45"/>
      <c r="L1992" s="45"/>
      <c r="M1992" s="45"/>
      <c r="N1992" s="45"/>
      <c r="O1992" s="45"/>
      <c r="P1992" s="45"/>
      <c r="Q1992" s="45"/>
      <c r="R1992" s="45"/>
      <c r="S1992" s="45"/>
      <c r="T1992" s="45"/>
      <c r="U1992" s="45"/>
    </row>
    <row r="1993">
      <c r="A1993" s="79" t="s">
        <v>11201</v>
      </c>
      <c r="B1993" s="45"/>
      <c r="C1993" s="79" t="s">
        <v>11202</v>
      </c>
      <c r="D1993" s="45"/>
      <c r="E1993" s="79" t="s">
        <v>5478</v>
      </c>
      <c r="F1993" s="79" t="s">
        <v>8784</v>
      </c>
      <c r="G1993" s="80" t="s">
        <v>96</v>
      </c>
      <c r="H1993" s="90">
        <v>1.498E-4</v>
      </c>
      <c r="I1993" s="45"/>
      <c r="J1993" s="45"/>
      <c r="K1993" s="45"/>
      <c r="L1993" s="45"/>
      <c r="M1993" s="45"/>
      <c r="N1993" s="45"/>
      <c r="O1993" s="45"/>
      <c r="P1993" s="45"/>
      <c r="Q1993" s="45"/>
      <c r="R1993" s="45"/>
      <c r="S1993" s="45"/>
      <c r="T1993" s="45"/>
      <c r="U1993" s="45"/>
    </row>
    <row r="1994">
      <c r="A1994" s="79" t="s">
        <v>19258</v>
      </c>
      <c r="B1994" s="45"/>
      <c r="C1994" s="79" t="s">
        <v>19259</v>
      </c>
      <c r="D1994" s="45"/>
      <c r="E1994" s="79" t="s">
        <v>5215</v>
      </c>
      <c r="F1994" s="79" t="s">
        <v>5300</v>
      </c>
      <c r="G1994" s="80" t="s">
        <v>96</v>
      </c>
      <c r="H1994" s="90">
        <v>1.498E-4</v>
      </c>
      <c r="I1994" s="45"/>
      <c r="J1994" s="45"/>
      <c r="K1994" s="45"/>
      <c r="L1994" s="45"/>
      <c r="M1994" s="45"/>
      <c r="N1994" s="45"/>
      <c r="O1994" s="45"/>
      <c r="P1994" s="45"/>
      <c r="Q1994" s="45"/>
      <c r="R1994" s="45"/>
      <c r="S1994" s="45"/>
      <c r="T1994" s="45"/>
      <c r="U1994" s="45"/>
    </row>
    <row r="1995">
      <c r="A1995" s="79" t="s">
        <v>19260</v>
      </c>
      <c r="B1995" s="45"/>
      <c r="C1995" s="79" t="s">
        <v>19261</v>
      </c>
      <c r="D1995" s="45"/>
      <c r="E1995" s="79" t="s">
        <v>5246</v>
      </c>
      <c r="F1995" s="79" t="s">
        <v>4095</v>
      </c>
      <c r="G1995" s="80" t="s">
        <v>96</v>
      </c>
      <c r="H1995" s="90">
        <v>1.497E-4</v>
      </c>
      <c r="I1995" s="45"/>
      <c r="J1995" s="45"/>
      <c r="K1995" s="45"/>
      <c r="L1995" s="45"/>
      <c r="M1995" s="45"/>
      <c r="N1995" s="45"/>
      <c r="O1995" s="45"/>
      <c r="P1995" s="45"/>
      <c r="Q1995" s="45"/>
      <c r="R1995" s="45"/>
      <c r="S1995" s="45"/>
      <c r="T1995" s="45"/>
      <c r="U1995" s="45"/>
    </row>
    <row r="1996">
      <c r="A1996" s="79" t="s">
        <v>19262</v>
      </c>
      <c r="B1996" s="45"/>
      <c r="C1996" s="79" t="s">
        <v>19263</v>
      </c>
      <c r="D1996" s="45"/>
      <c r="E1996" s="79" t="s">
        <v>5404</v>
      </c>
      <c r="F1996" s="79" t="s">
        <v>4095</v>
      </c>
      <c r="G1996" s="80" t="s">
        <v>96</v>
      </c>
      <c r="H1996" s="90">
        <v>1.497E-4</v>
      </c>
      <c r="I1996" s="45"/>
      <c r="J1996" s="45"/>
      <c r="K1996" s="45"/>
      <c r="L1996" s="45"/>
      <c r="M1996" s="45"/>
      <c r="N1996" s="45"/>
      <c r="O1996" s="45"/>
      <c r="P1996" s="45"/>
      <c r="Q1996" s="45"/>
      <c r="R1996" s="45"/>
      <c r="S1996" s="45"/>
      <c r="T1996" s="45"/>
      <c r="U1996" s="45"/>
    </row>
    <row r="1997">
      <c r="A1997" s="79" t="s">
        <v>19264</v>
      </c>
      <c r="B1997" s="45"/>
      <c r="C1997" s="79" t="s">
        <v>19265</v>
      </c>
      <c r="D1997" s="45"/>
      <c r="E1997" s="79" t="s">
        <v>5377</v>
      </c>
      <c r="F1997" s="79" t="s">
        <v>8784</v>
      </c>
      <c r="G1997" s="80" t="s">
        <v>96</v>
      </c>
      <c r="H1997" s="90">
        <v>1.497E-4</v>
      </c>
      <c r="I1997" s="45"/>
      <c r="J1997" s="45"/>
      <c r="K1997" s="45"/>
      <c r="L1997" s="45"/>
      <c r="M1997" s="45"/>
      <c r="N1997" s="45"/>
      <c r="O1997" s="45"/>
      <c r="P1997" s="45"/>
      <c r="Q1997" s="45"/>
      <c r="R1997" s="45"/>
      <c r="S1997" s="45"/>
      <c r="T1997" s="45"/>
      <c r="U1997" s="45"/>
    </row>
    <row r="1998">
      <c r="A1998" s="79" t="s">
        <v>19266</v>
      </c>
      <c r="B1998" s="45"/>
      <c r="C1998" s="79" t="s">
        <v>19267</v>
      </c>
      <c r="D1998" s="45"/>
      <c r="E1998" s="79" t="s">
        <v>5395</v>
      </c>
      <c r="F1998" s="79" t="s">
        <v>5300</v>
      </c>
      <c r="G1998" s="80" t="s">
        <v>96</v>
      </c>
      <c r="H1998" s="90">
        <v>1.497E-4</v>
      </c>
      <c r="I1998" s="45"/>
      <c r="J1998" s="45"/>
      <c r="K1998" s="45"/>
      <c r="L1998" s="45"/>
      <c r="M1998" s="45"/>
      <c r="N1998" s="45"/>
      <c r="O1998" s="45"/>
      <c r="P1998" s="45"/>
      <c r="Q1998" s="45"/>
      <c r="R1998" s="45"/>
      <c r="S1998" s="45"/>
      <c r="T1998" s="45"/>
      <c r="U1998" s="45"/>
    </row>
    <row r="1999">
      <c r="A1999" s="79" t="s">
        <v>19268</v>
      </c>
      <c r="B1999" s="45"/>
      <c r="C1999" s="79" t="s">
        <v>19269</v>
      </c>
      <c r="D1999" s="45"/>
      <c r="E1999" s="79" t="s">
        <v>5326</v>
      </c>
      <c r="F1999" s="79" t="s">
        <v>5300</v>
      </c>
      <c r="G1999" s="80" t="s">
        <v>96</v>
      </c>
      <c r="H1999" s="90">
        <v>1.494E-4</v>
      </c>
      <c r="I1999" s="45"/>
      <c r="J1999" s="45"/>
      <c r="K1999" s="45"/>
      <c r="L1999" s="45"/>
      <c r="M1999" s="45"/>
      <c r="N1999" s="45"/>
      <c r="O1999" s="45"/>
      <c r="P1999" s="45"/>
      <c r="Q1999" s="45"/>
      <c r="R1999" s="45"/>
      <c r="S1999" s="45"/>
      <c r="T1999" s="45"/>
      <c r="U1999" s="45"/>
    </row>
    <row r="2000">
      <c r="A2000" s="79" t="s">
        <v>10297</v>
      </c>
      <c r="B2000" s="45"/>
      <c r="C2000" s="79" t="s">
        <v>19270</v>
      </c>
      <c r="D2000" s="45"/>
      <c r="E2000" s="79" t="s">
        <v>6266</v>
      </c>
      <c r="F2000" s="79" t="s">
        <v>4436</v>
      </c>
      <c r="G2000" s="80" t="s">
        <v>96</v>
      </c>
      <c r="H2000" s="90">
        <v>1.492E-4</v>
      </c>
      <c r="I2000" s="45"/>
      <c r="J2000" s="45"/>
      <c r="K2000" s="45"/>
      <c r="L2000" s="45"/>
      <c r="M2000" s="45"/>
      <c r="N2000" s="45"/>
      <c r="O2000" s="45"/>
      <c r="P2000" s="45"/>
      <c r="Q2000" s="45"/>
      <c r="R2000" s="45"/>
      <c r="S2000" s="45"/>
      <c r="T2000" s="45"/>
      <c r="U2000" s="45"/>
    </row>
    <row r="2001">
      <c r="A2001" s="79" t="s">
        <v>19271</v>
      </c>
      <c r="B2001" s="45"/>
      <c r="C2001" s="79" t="s">
        <v>19272</v>
      </c>
      <c r="D2001" s="45"/>
      <c r="E2001" s="79" t="s">
        <v>5258</v>
      </c>
      <c r="F2001" s="79" t="s">
        <v>5300</v>
      </c>
      <c r="G2001" s="80" t="s">
        <v>96</v>
      </c>
      <c r="H2001" s="90">
        <v>1.491E-4</v>
      </c>
      <c r="I2001" s="45"/>
      <c r="J2001" s="45"/>
      <c r="K2001" s="45"/>
      <c r="L2001" s="45"/>
      <c r="M2001" s="45"/>
      <c r="N2001" s="45"/>
      <c r="O2001" s="45"/>
      <c r="P2001" s="45"/>
      <c r="Q2001" s="45"/>
      <c r="R2001" s="45"/>
      <c r="S2001" s="45"/>
      <c r="T2001" s="45"/>
      <c r="U2001" s="45"/>
    </row>
    <row r="2002">
      <c r="A2002" s="79" t="s">
        <v>19273</v>
      </c>
      <c r="B2002" s="45"/>
      <c r="C2002" s="79" t="s">
        <v>19274</v>
      </c>
      <c r="D2002" s="45"/>
      <c r="E2002" s="79" t="s">
        <v>9810</v>
      </c>
      <c r="F2002" s="79" t="s">
        <v>5300</v>
      </c>
      <c r="G2002" s="80" t="s">
        <v>96</v>
      </c>
      <c r="H2002" s="90">
        <v>1.49E-4</v>
      </c>
      <c r="I2002" s="45"/>
      <c r="J2002" s="45"/>
      <c r="K2002" s="45"/>
      <c r="L2002" s="45"/>
      <c r="M2002" s="45"/>
      <c r="N2002" s="45"/>
      <c r="O2002" s="45"/>
      <c r="P2002" s="45"/>
      <c r="Q2002" s="45"/>
      <c r="R2002" s="45"/>
      <c r="S2002" s="45"/>
      <c r="T2002" s="45"/>
      <c r="U2002" s="45"/>
    </row>
    <row r="2003">
      <c r="A2003" s="79" t="s">
        <v>5370</v>
      </c>
      <c r="B2003" s="45"/>
      <c r="C2003" s="79" t="s">
        <v>19275</v>
      </c>
      <c r="D2003" s="45"/>
      <c r="E2003" s="79" t="s">
        <v>5288</v>
      </c>
      <c r="F2003" s="79" t="s">
        <v>9617</v>
      </c>
      <c r="G2003" s="80" t="s">
        <v>96</v>
      </c>
      <c r="H2003" s="90">
        <v>1.489E-4</v>
      </c>
      <c r="I2003" s="45"/>
      <c r="J2003" s="45"/>
      <c r="K2003" s="45"/>
      <c r="L2003" s="45"/>
      <c r="M2003" s="45"/>
      <c r="N2003" s="45"/>
      <c r="O2003" s="45"/>
      <c r="P2003" s="45"/>
      <c r="Q2003" s="45"/>
      <c r="R2003" s="45"/>
      <c r="S2003" s="45"/>
      <c r="T2003" s="45"/>
      <c r="U2003" s="45"/>
    </row>
    <row r="2004">
      <c r="A2004" s="79" t="s">
        <v>19276</v>
      </c>
      <c r="B2004" s="45"/>
      <c r="C2004" s="79" t="s">
        <v>19277</v>
      </c>
      <c r="D2004" s="45"/>
      <c r="E2004" s="79" t="s">
        <v>5513</v>
      </c>
      <c r="F2004" s="79" t="s">
        <v>5300</v>
      </c>
      <c r="G2004" s="80" t="s">
        <v>96</v>
      </c>
      <c r="H2004" s="90">
        <v>1.489E-4</v>
      </c>
      <c r="I2004" s="45"/>
      <c r="J2004" s="45"/>
      <c r="K2004" s="45"/>
      <c r="L2004" s="45"/>
      <c r="M2004" s="45"/>
      <c r="N2004" s="45"/>
      <c r="O2004" s="45"/>
      <c r="P2004" s="45"/>
      <c r="Q2004" s="45"/>
      <c r="R2004" s="45"/>
      <c r="S2004" s="45"/>
      <c r="T2004" s="45"/>
      <c r="U2004" s="45"/>
    </row>
    <row r="2005">
      <c r="A2005" s="79" t="s">
        <v>19278</v>
      </c>
      <c r="B2005" s="45"/>
      <c r="C2005" s="79" t="s">
        <v>19279</v>
      </c>
      <c r="D2005" s="45"/>
      <c r="E2005" s="79" t="s">
        <v>7169</v>
      </c>
      <c r="F2005" s="79" t="s">
        <v>5300</v>
      </c>
      <c r="G2005" s="80" t="s">
        <v>96</v>
      </c>
      <c r="H2005" s="90">
        <v>1.488E-4</v>
      </c>
      <c r="I2005" s="45"/>
      <c r="J2005" s="45"/>
      <c r="K2005" s="45"/>
      <c r="L2005" s="45"/>
      <c r="M2005" s="45"/>
      <c r="N2005" s="45"/>
      <c r="O2005" s="45"/>
      <c r="P2005" s="45"/>
      <c r="Q2005" s="45"/>
      <c r="R2005" s="45"/>
      <c r="S2005" s="45"/>
      <c r="T2005" s="45"/>
      <c r="U2005" s="45"/>
    </row>
    <row r="2006">
      <c r="A2006" s="79" t="s">
        <v>19280</v>
      </c>
      <c r="B2006" s="45"/>
      <c r="C2006" s="79" t="s">
        <v>19281</v>
      </c>
      <c r="D2006" s="45"/>
      <c r="E2006" s="79" t="s">
        <v>5374</v>
      </c>
      <c r="F2006" s="79" t="s">
        <v>5425</v>
      </c>
      <c r="G2006" s="80" t="s">
        <v>96</v>
      </c>
      <c r="H2006" s="90">
        <v>1.488E-4</v>
      </c>
      <c r="I2006" s="45"/>
      <c r="J2006" s="45"/>
      <c r="K2006" s="45"/>
      <c r="L2006" s="45"/>
      <c r="M2006" s="45"/>
      <c r="N2006" s="45"/>
      <c r="O2006" s="45"/>
      <c r="P2006" s="45"/>
      <c r="Q2006" s="45"/>
      <c r="R2006" s="45"/>
      <c r="S2006" s="45"/>
      <c r="T2006" s="45"/>
      <c r="U2006" s="45"/>
    </row>
    <row r="2007">
      <c r="A2007" s="79" t="s">
        <v>19282</v>
      </c>
      <c r="B2007" s="45"/>
      <c r="C2007" s="79" t="s">
        <v>19283</v>
      </c>
      <c r="D2007" s="45"/>
      <c r="E2007" s="79" t="s">
        <v>5321</v>
      </c>
      <c r="F2007" s="79" t="s">
        <v>5425</v>
      </c>
      <c r="G2007" s="80" t="s">
        <v>96</v>
      </c>
      <c r="H2007" s="90">
        <v>1.487E-4</v>
      </c>
      <c r="I2007" s="45"/>
      <c r="J2007" s="45"/>
      <c r="K2007" s="45"/>
      <c r="L2007" s="45"/>
      <c r="M2007" s="45"/>
      <c r="N2007" s="45"/>
      <c r="O2007" s="45"/>
      <c r="P2007" s="45"/>
      <c r="Q2007" s="45"/>
      <c r="R2007" s="45"/>
      <c r="S2007" s="45"/>
      <c r="T2007" s="45"/>
      <c r="U2007" s="45"/>
    </row>
    <row r="2008">
      <c r="A2008" s="79" t="s">
        <v>19284</v>
      </c>
      <c r="B2008" s="45"/>
      <c r="C2008" s="79" t="s">
        <v>19285</v>
      </c>
      <c r="D2008" s="45"/>
      <c r="E2008" s="79" t="s">
        <v>9221</v>
      </c>
      <c r="F2008" s="79" t="s">
        <v>5747</v>
      </c>
      <c r="G2008" s="80" t="s">
        <v>96</v>
      </c>
      <c r="H2008" s="90">
        <v>1.487E-4</v>
      </c>
      <c r="I2008" s="45"/>
      <c r="J2008" s="45"/>
      <c r="K2008" s="45"/>
      <c r="L2008" s="45"/>
      <c r="M2008" s="45"/>
      <c r="N2008" s="45"/>
      <c r="O2008" s="45"/>
      <c r="P2008" s="45"/>
      <c r="Q2008" s="45"/>
      <c r="R2008" s="45"/>
      <c r="S2008" s="45"/>
      <c r="T2008" s="45"/>
      <c r="U2008" s="45"/>
    </row>
    <row r="2009">
      <c r="A2009" s="79" t="s">
        <v>19286</v>
      </c>
      <c r="B2009" s="45"/>
      <c r="C2009" s="79" t="s">
        <v>19287</v>
      </c>
      <c r="D2009" s="45"/>
      <c r="E2009" s="79" t="s">
        <v>5450</v>
      </c>
      <c r="F2009" s="79" t="s">
        <v>5747</v>
      </c>
      <c r="G2009" s="80" t="s">
        <v>96</v>
      </c>
      <c r="H2009" s="90">
        <v>1.486E-4</v>
      </c>
      <c r="I2009" s="45"/>
      <c r="J2009" s="45"/>
      <c r="K2009" s="45"/>
      <c r="L2009" s="45"/>
      <c r="M2009" s="45"/>
      <c r="N2009" s="45"/>
      <c r="O2009" s="45"/>
      <c r="P2009" s="45"/>
      <c r="Q2009" s="45"/>
      <c r="R2009" s="45"/>
      <c r="S2009" s="45"/>
      <c r="T2009" s="45"/>
      <c r="U2009" s="45"/>
    </row>
    <row r="2010">
      <c r="A2010" s="79" t="s">
        <v>16386</v>
      </c>
      <c r="B2010" s="45"/>
      <c r="C2010" s="79" t="s">
        <v>19288</v>
      </c>
      <c r="D2010" s="45"/>
      <c r="E2010" s="79" t="s">
        <v>5238</v>
      </c>
      <c r="F2010" s="79" t="s">
        <v>9908</v>
      </c>
      <c r="G2010" s="80" t="s">
        <v>96</v>
      </c>
      <c r="H2010" s="90">
        <v>1.486E-4</v>
      </c>
      <c r="I2010" s="45"/>
      <c r="J2010" s="45"/>
      <c r="K2010" s="45"/>
      <c r="L2010" s="45"/>
      <c r="M2010" s="45"/>
      <c r="N2010" s="45"/>
      <c r="O2010" s="45"/>
      <c r="P2010" s="45"/>
      <c r="Q2010" s="45"/>
      <c r="R2010" s="45"/>
      <c r="S2010" s="45"/>
      <c r="T2010" s="45"/>
      <c r="U2010" s="45"/>
    </row>
    <row r="2011">
      <c r="A2011" s="79" t="s">
        <v>16837</v>
      </c>
      <c r="B2011" s="45"/>
      <c r="C2011" s="79" t="s">
        <v>19289</v>
      </c>
      <c r="D2011" s="45"/>
      <c r="E2011" s="79" t="s">
        <v>6947</v>
      </c>
      <c r="F2011" s="79" t="s">
        <v>5425</v>
      </c>
      <c r="G2011" s="80" t="s">
        <v>96</v>
      </c>
      <c r="H2011" s="90">
        <v>1.485E-4</v>
      </c>
      <c r="I2011" s="45"/>
      <c r="J2011" s="45"/>
      <c r="K2011" s="45"/>
      <c r="L2011" s="45"/>
      <c r="M2011" s="45"/>
      <c r="N2011" s="45"/>
      <c r="O2011" s="45"/>
      <c r="P2011" s="45"/>
      <c r="Q2011" s="45"/>
      <c r="R2011" s="45"/>
      <c r="S2011" s="45"/>
      <c r="T2011" s="45"/>
      <c r="U2011" s="45"/>
    </row>
    <row r="2012">
      <c r="A2012" s="79" t="s">
        <v>19290</v>
      </c>
      <c r="B2012" s="45"/>
      <c r="C2012" s="79" t="s">
        <v>19291</v>
      </c>
      <c r="D2012" s="45"/>
      <c r="E2012" s="79" t="s">
        <v>5366</v>
      </c>
      <c r="F2012" s="79" t="s">
        <v>8784</v>
      </c>
      <c r="G2012" s="80" t="s">
        <v>96</v>
      </c>
      <c r="H2012" s="90">
        <v>1.485E-4</v>
      </c>
      <c r="I2012" s="45"/>
      <c r="J2012" s="45"/>
      <c r="K2012" s="45"/>
      <c r="L2012" s="45"/>
      <c r="M2012" s="45"/>
      <c r="N2012" s="45"/>
      <c r="O2012" s="45"/>
      <c r="P2012" s="45"/>
      <c r="Q2012" s="45"/>
      <c r="R2012" s="45"/>
      <c r="S2012" s="45"/>
      <c r="T2012" s="45"/>
      <c r="U2012" s="45"/>
    </row>
    <row r="2013">
      <c r="A2013" s="79" t="s">
        <v>19292</v>
      </c>
      <c r="B2013" s="45"/>
      <c r="C2013" s="79" t="s">
        <v>19293</v>
      </c>
      <c r="D2013" s="45"/>
      <c r="E2013" s="79" t="s">
        <v>7169</v>
      </c>
      <c r="F2013" s="79" t="s">
        <v>5300</v>
      </c>
      <c r="G2013" s="80" t="s">
        <v>96</v>
      </c>
      <c r="H2013" s="90">
        <v>1.485E-4</v>
      </c>
      <c r="I2013" s="45"/>
      <c r="J2013" s="45"/>
      <c r="K2013" s="45"/>
      <c r="L2013" s="45"/>
      <c r="M2013" s="45"/>
      <c r="N2013" s="45"/>
      <c r="O2013" s="45"/>
      <c r="P2013" s="45"/>
      <c r="Q2013" s="45"/>
      <c r="R2013" s="45"/>
      <c r="S2013" s="45"/>
      <c r="T2013" s="45"/>
      <c r="U2013" s="45"/>
    </row>
    <row r="2014">
      <c r="A2014" s="79" t="s">
        <v>19294</v>
      </c>
      <c r="B2014" s="45"/>
      <c r="C2014" s="79" t="s">
        <v>19295</v>
      </c>
      <c r="D2014" s="45"/>
      <c r="E2014" s="79" t="s">
        <v>7248</v>
      </c>
      <c r="F2014" s="79" t="s">
        <v>5300</v>
      </c>
      <c r="G2014" s="80" t="s">
        <v>96</v>
      </c>
      <c r="H2014" s="90">
        <v>1.485E-4</v>
      </c>
      <c r="I2014" s="45"/>
      <c r="J2014" s="45"/>
      <c r="K2014" s="45"/>
      <c r="L2014" s="45"/>
      <c r="M2014" s="45"/>
      <c r="N2014" s="45"/>
      <c r="O2014" s="45"/>
      <c r="P2014" s="45"/>
      <c r="Q2014" s="45"/>
      <c r="R2014" s="45"/>
      <c r="S2014" s="45"/>
      <c r="T2014" s="45"/>
      <c r="U2014" s="45"/>
    </row>
    <row r="2015">
      <c r="A2015" s="79" t="s">
        <v>19296</v>
      </c>
      <c r="B2015" s="45"/>
      <c r="C2015" s="79" t="s">
        <v>19297</v>
      </c>
      <c r="D2015" s="45"/>
      <c r="E2015" s="79" t="s">
        <v>6338</v>
      </c>
      <c r="F2015" s="79" t="s">
        <v>5836</v>
      </c>
      <c r="G2015" s="80" t="s">
        <v>96</v>
      </c>
      <c r="H2015" s="90">
        <v>1.484E-4</v>
      </c>
      <c r="I2015" s="45"/>
      <c r="J2015" s="45"/>
      <c r="K2015" s="45"/>
      <c r="L2015" s="45"/>
      <c r="M2015" s="45"/>
      <c r="N2015" s="45"/>
      <c r="O2015" s="45"/>
      <c r="P2015" s="45"/>
      <c r="Q2015" s="45"/>
      <c r="R2015" s="45"/>
      <c r="S2015" s="45"/>
      <c r="T2015" s="45"/>
      <c r="U2015" s="45"/>
    </row>
    <row r="2016">
      <c r="A2016" s="79" t="s">
        <v>19298</v>
      </c>
      <c r="B2016" s="45"/>
      <c r="C2016" s="79" t="s">
        <v>19299</v>
      </c>
      <c r="D2016" s="45"/>
      <c r="E2016" s="79" t="s">
        <v>5456</v>
      </c>
      <c r="F2016" s="79" t="s">
        <v>8784</v>
      </c>
      <c r="G2016" s="80" t="s">
        <v>96</v>
      </c>
      <c r="H2016" s="90">
        <v>1.483E-4</v>
      </c>
      <c r="I2016" s="45"/>
      <c r="J2016" s="45"/>
      <c r="K2016" s="45"/>
      <c r="L2016" s="45"/>
      <c r="M2016" s="45"/>
      <c r="N2016" s="45"/>
      <c r="O2016" s="45"/>
      <c r="P2016" s="45"/>
      <c r="Q2016" s="45"/>
      <c r="R2016" s="45"/>
      <c r="S2016" s="45"/>
      <c r="T2016" s="45"/>
      <c r="U2016" s="45"/>
    </row>
    <row r="2017">
      <c r="A2017" s="79" t="s">
        <v>19300</v>
      </c>
      <c r="B2017" s="45"/>
      <c r="C2017" s="79" t="s">
        <v>19301</v>
      </c>
      <c r="D2017" s="45"/>
      <c r="E2017" s="79" t="s">
        <v>5561</v>
      </c>
      <c r="F2017" s="79" t="s">
        <v>5300</v>
      </c>
      <c r="G2017" s="80" t="s">
        <v>96</v>
      </c>
      <c r="H2017" s="90">
        <v>1.483E-4</v>
      </c>
      <c r="I2017" s="45"/>
      <c r="J2017" s="45"/>
      <c r="K2017" s="45"/>
      <c r="L2017" s="45"/>
      <c r="M2017" s="45"/>
      <c r="N2017" s="45"/>
      <c r="O2017" s="45"/>
      <c r="P2017" s="45"/>
      <c r="Q2017" s="45"/>
      <c r="R2017" s="45"/>
      <c r="S2017" s="45"/>
      <c r="T2017" s="45"/>
      <c r="U2017" s="45"/>
    </row>
    <row r="2018">
      <c r="A2018" s="79" t="s">
        <v>19302</v>
      </c>
      <c r="B2018" s="45"/>
      <c r="C2018" s="79" t="s">
        <v>19303</v>
      </c>
      <c r="D2018" s="45"/>
      <c r="E2018" s="79" t="s">
        <v>5335</v>
      </c>
      <c r="F2018" s="79" t="s">
        <v>5300</v>
      </c>
      <c r="G2018" s="80" t="s">
        <v>96</v>
      </c>
      <c r="H2018" s="90">
        <v>1.48E-4</v>
      </c>
      <c r="I2018" s="45"/>
      <c r="J2018" s="45"/>
      <c r="K2018" s="45"/>
      <c r="L2018" s="45"/>
      <c r="M2018" s="45"/>
      <c r="N2018" s="45"/>
      <c r="O2018" s="45"/>
      <c r="P2018" s="45"/>
      <c r="Q2018" s="45"/>
      <c r="R2018" s="45"/>
      <c r="S2018" s="45"/>
      <c r="T2018" s="45"/>
      <c r="U2018" s="45"/>
    </row>
    <row r="2019">
      <c r="A2019" s="79" t="s">
        <v>19304</v>
      </c>
      <c r="B2019" s="45"/>
      <c r="C2019" s="79" t="s">
        <v>19305</v>
      </c>
      <c r="D2019" s="45"/>
      <c r="E2019" s="79" t="s">
        <v>5283</v>
      </c>
      <c r="F2019" s="79" t="s">
        <v>8759</v>
      </c>
      <c r="G2019" s="80" t="s">
        <v>96</v>
      </c>
      <c r="H2019" s="90">
        <v>1.479E-4</v>
      </c>
      <c r="I2019" s="45"/>
      <c r="J2019" s="45"/>
      <c r="K2019" s="45"/>
      <c r="L2019" s="45"/>
      <c r="M2019" s="45"/>
      <c r="N2019" s="45"/>
      <c r="O2019" s="45"/>
      <c r="P2019" s="45"/>
      <c r="Q2019" s="45"/>
      <c r="R2019" s="45"/>
      <c r="S2019" s="45"/>
      <c r="T2019" s="45"/>
      <c r="U2019" s="45"/>
    </row>
    <row r="2020">
      <c r="A2020" s="79" t="s">
        <v>19306</v>
      </c>
      <c r="B2020" s="45"/>
      <c r="C2020" s="79" t="s">
        <v>19307</v>
      </c>
      <c r="D2020" s="45"/>
      <c r="E2020" s="79" t="s">
        <v>6266</v>
      </c>
      <c r="F2020" s="79" t="s">
        <v>8784</v>
      </c>
      <c r="G2020" s="80" t="s">
        <v>96</v>
      </c>
      <c r="H2020" s="90">
        <v>1.478E-4</v>
      </c>
      <c r="I2020" s="45"/>
      <c r="J2020" s="45"/>
      <c r="K2020" s="45"/>
      <c r="L2020" s="45"/>
      <c r="M2020" s="45"/>
      <c r="N2020" s="45"/>
      <c r="O2020" s="45"/>
      <c r="P2020" s="45"/>
      <c r="Q2020" s="45"/>
      <c r="R2020" s="45"/>
      <c r="S2020" s="45"/>
      <c r="T2020" s="45"/>
      <c r="U2020" s="45"/>
    </row>
    <row r="2021">
      <c r="A2021" s="79" t="s">
        <v>19308</v>
      </c>
      <c r="B2021" s="45"/>
      <c r="C2021" s="79" t="s">
        <v>19309</v>
      </c>
      <c r="D2021" s="45"/>
      <c r="E2021" s="79" t="s">
        <v>5276</v>
      </c>
      <c r="F2021" s="79" t="s">
        <v>8784</v>
      </c>
      <c r="G2021" s="80" t="s">
        <v>96</v>
      </c>
      <c r="H2021" s="90">
        <v>1.478E-4</v>
      </c>
      <c r="I2021" s="45"/>
      <c r="J2021" s="45"/>
      <c r="K2021" s="45"/>
      <c r="L2021" s="45"/>
      <c r="M2021" s="45"/>
      <c r="N2021" s="45"/>
      <c r="O2021" s="45"/>
      <c r="P2021" s="45"/>
      <c r="Q2021" s="45"/>
      <c r="R2021" s="45"/>
      <c r="S2021" s="45"/>
      <c r="T2021" s="45"/>
      <c r="U2021" s="45"/>
    </row>
    <row r="2022">
      <c r="A2022" s="79" t="s">
        <v>10986</v>
      </c>
      <c r="B2022" s="45"/>
      <c r="C2022" s="79" t="s">
        <v>10987</v>
      </c>
      <c r="D2022" s="45"/>
      <c r="E2022" s="79" t="s">
        <v>5855</v>
      </c>
      <c r="F2022" s="79" t="s">
        <v>8784</v>
      </c>
      <c r="G2022" s="80" t="s">
        <v>96</v>
      </c>
      <c r="H2022" s="90">
        <v>1.478E-4</v>
      </c>
      <c r="I2022" s="45"/>
      <c r="J2022" s="45"/>
      <c r="K2022" s="45"/>
      <c r="L2022" s="45"/>
      <c r="M2022" s="45"/>
      <c r="N2022" s="45"/>
      <c r="O2022" s="45"/>
      <c r="P2022" s="45"/>
      <c r="Q2022" s="45"/>
      <c r="R2022" s="45"/>
      <c r="S2022" s="45"/>
      <c r="T2022" s="45"/>
      <c r="U2022" s="45"/>
    </row>
    <row r="2023">
      <c r="A2023" s="79" t="s">
        <v>19310</v>
      </c>
      <c r="B2023" s="45"/>
      <c r="C2023" s="79" t="s">
        <v>19311</v>
      </c>
      <c r="D2023" s="45"/>
      <c r="E2023" s="79" t="s">
        <v>5609</v>
      </c>
      <c r="F2023" s="79" t="s">
        <v>5941</v>
      </c>
      <c r="G2023" s="80" t="s">
        <v>96</v>
      </c>
      <c r="H2023" s="90">
        <v>1.471E-4</v>
      </c>
      <c r="I2023" s="45"/>
      <c r="J2023" s="45"/>
      <c r="K2023" s="45"/>
      <c r="L2023" s="45"/>
      <c r="M2023" s="45"/>
      <c r="N2023" s="45"/>
      <c r="O2023" s="45"/>
      <c r="P2023" s="45"/>
      <c r="Q2023" s="45"/>
      <c r="R2023" s="45"/>
      <c r="S2023" s="45"/>
      <c r="T2023" s="45"/>
      <c r="U2023" s="45"/>
    </row>
    <row r="2024">
      <c r="A2024" s="79" t="s">
        <v>19312</v>
      </c>
      <c r="B2024" s="45"/>
      <c r="C2024" s="79" t="s">
        <v>19313</v>
      </c>
      <c r="D2024" s="45"/>
      <c r="E2024" s="79" t="s">
        <v>5501</v>
      </c>
      <c r="F2024" s="79" t="s">
        <v>5300</v>
      </c>
      <c r="G2024" s="80" t="s">
        <v>96</v>
      </c>
      <c r="H2024" s="90">
        <v>1.47E-4</v>
      </c>
      <c r="I2024" s="45"/>
      <c r="J2024" s="45"/>
      <c r="K2024" s="45"/>
      <c r="L2024" s="45"/>
      <c r="M2024" s="45"/>
      <c r="N2024" s="45"/>
      <c r="O2024" s="45"/>
      <c r="P2024" s="45"/>
      <c r="Q2024" s="45"/>
      <c r="R2024" s="45"/>
      <c r="S2024" s="45"/>
      <c r="T2024" s="45"/>
      <c r="U2024" s="45"/>
    </row>
    <row r="2025">
      <c r="A2025" s="79" t="s">
        <v>19314</v>
      </c>
      <c r="B2025" s="45"/>
      <c r="C2025" s="79" t="s">
        <v>19315</v>
      </c>
      <c r="D2025" s="45"/>
      <c r="E2025" s="79" t="s">
        <v>5235</v>
      </c>
      <c r="F2025" s="79" t="s">
        <v>5425</v>
      </c>
      <c r="G2025" s="80" t="s">
        <v>96</v>
      </c>
      <c r="H2025" s="90">
        <v>1.47E-4</v>
      </c>
      <c r="I2025" s="45"/>
      <c r="J2025" s="45"/>
      <c r="K2025" s="45"/>
      <c r="L2025" s="45"/>
      <c r="M2025" s="45"/>
      <c r="N2025" s="45"/>
      <c r="O2025" s="45"/>
      <c r="P2025" s="45"/>
      <c r="Q2025" s="45"/>
      <c r="R2025" s="45"/>
      <c r="S2025" s="45"/>
      <c r="T2025" s="45"/>
      <c r="U2025" s="45"/>
    </row>
    <row r="2026">
      <c r="A2026" s="79" t="s">
        <v>19316</v>
      </c>
      <c r="B2026" s="45"/>
      <c r="C2026" s="79" t="s">
        <v>19317</v>
      </c>
      <c r="D2026" s="45"/>
      <c r="E2026" s="79" t="s">
        <v>5589</v>
      </c>
      <c r="F2026" s="79" t="s">
        <v>5927</v>
      </c>
      <c r="G2026" s="80" t="s">
        <v>96</v>
      </c>
      <c r="H2026" s="90">
        <v>1.469E-4</v>
      </c>
      <c r="I2026" s="45"/>
      <c r="J2026" s="45"/>
      <c r="K2026" s="45"/>
      <c r="L2026" s="45"/>
      <c r="M2026" s="45"/>
      <c r="N2026" s="45"/>
      <c r="O2026" s="45"/>
      <c r="P2026" s="45"/>
      <c r="Q2026" s="45"/>
      <c r="R2026" s="45"/>
      <c r="S2026" s="45"/>
      <c r="T2026" s="45"/>
      <c r="U2026" s="45"/>
    </row>
    <row r="2027">
      <c r="A2027" s="79" t="s">
        <v>19318</v>
      </c>
      <c r="B2027" s="45"/>
      <c r="C2027" s="79" t="s">
        <v>19319</v>
      </c>
      <c r="D2027" s="45"/>
      <c r="E2027" s="79" t="s">
        <v>5215</v>
      </c>
      <c r="F2027" s="79" t="s">
        <v>8784</v>
      </c>
      <c r="G2027" s="80" t="s">
        <v>96</v>
      </c>
      <c r="H2027" s="90">
        <v>1.469E-4</v>
      </c>
      <c r="I2027" s="45"/>
      <c r="J2027" s="45"/>
      <c r="K2027" s="45"/>
      <c r="L2027" s="45"/>
      <c r="M2027" s="45"/>
      <c r="N2027" s="45"/>
      <c r="O2027" s="45"/>
      <c r="P2027" s="45"/>
      <c r="Q2027" s="45"/>
      <c r="R2027" s="45"/>
      <c r="S2027" s="45"/>
      <c r="T2027" s="45"/>
      <c r="U2027" s="45"/>
    </row>
    <row r="2028">
      <c r="A2028" s="79" t="s">
        <v>4624</v>
      </c>
      <c r="B2028" s="45"/>
      <c r="C2028" s="79" t="s">
        <v>19320</v>
      </c>
      <c r="D2028" s="45"/>
      <c r="E2028" s="79" t="s">
        <v>5453</v>
      </c>
      <c r="F2028" s="79" t="s">
        <v>5425</v>
      </c>
      <c r="G2028" s="80" t="s">
        <v>96</v>
      </c>
      <c r="H2028" s="90">
        <v>1.466E-4</v>
      </c>
      <c r="I2028" s="45"/>
      <c r="J2028" s="45"/>
      <c r="K2028" s="45"/>
      <c r="L2028" s="45"/>
      <c r="M2028" s="45"/>
      <c r="N2028" s="45"/>
      <c r="O2028" s="45"/>
      <c r="P2028" s="45"/>
      <c r="Q2028" s="45"/>
      <c r="R2028" s="45"/>
      <c r="S2028" s="45"/>
      <c r="T2028" s="45"/>
      <c r="U2028" s="45"/>
    </row>
    <row r="2029">
      <c r="A2029" s="79" t="s">
        <v>19321</v>
      </c>
      <c r="B2029" s="45"/>
      <c r="C2029" s="79" t="s">
        <v>19322</v>
      </c>
      <c r="D2029" s="45"/>
      <c r="E2029" s="79" t="s">
        <v>5335</v>
      </c>
      <c r="F2029" s="79" t="s">
        <v>8784</v>
      </c>
      <c r="G2029" s="80" t="s">
        <v>96</v>
      </c>
      <c r="H2029" s="90">
        <v>1.465E-4</v>
      </c>
      <c r="I2029" s="45"/>
      <c r="J2029" s="45"/>
      <c r="K2029" s="45"/>
      <c r="L2029" s="45"/>
      <c r="M2029" s="45"/>
      <c r="N2029" s="45"/>
      <c r="O2029" s="45"/>
      <c r="P2029" s="45"/>
      <c r="Q2029" s="45"/>
      <c r="R2029" s="45"/>
      <c r="S2029" s="45"/>
      <c r="T2029" s="45"/>
      <c r="U2029" s="45"/>
    </row>
    <row r="2030">
      <c r="A2030" s="79" t="s">
        <v>19323</v>
      </c>
      <c r="B2030" s="45"/>
      <c r="C2030" s="79" t="s">
        <v>19324</v>
      </c>
      <c r="D2030" s="45"/>
      <c r="E2030" s="79" t="s">
        <v>5215</v>
      </c>
      <c r="F2030" s="79" t="s">
        <v>5300</v>
      </c>
      <c r="G2030" s="80" t="s">
        <v>96</v>
      </c>
      <c r="H2030" s="90">
        <v>1.465E-4</v>
      </c>
      <c r="I2030" s="45"/>
      <c r="J2030" s="45"/>
      <c r="K2030" s="45"/>
      <c r="L2030" s="45"/>
      <c r="M2030" s="45"/>
      <c r="N2030" s="45"/>
      <c r="O2030" s="45"/>
      <c r="P2030" s="45"/>
      <c r="Q2030" s="45"/>
      <c r="R2030" s="45"/>
      <c r="S2030" s="45"/>
      <c r="T2030" s="45"/>
      <c r="U2030" s="45"/>
    </row>
    <row r="2031">
      <c r="A2031" s="79" t="s">
        <v>19325</v>
      </c>
      <c r="B2031" s="45"/>
      <c r="C2031" s="79" t="s">
        <v>19326</v>
      </c>
      <c r="D2031" s="45"/>
      <c r="E2031" s="79" t="s">
        <v>5316</v>
      </c>
      <c r="F2031" s="79" t="s">
        <v>8784</v>
      </c>
      <c r="G2031" s="80" t="s">
        <v>96</v>
      </c>
      <c r="H2031" s="90">
        <v>1.463E-4</v>
      </c>
      <c r="I2031" s="45"/>
      <c r="J2031" s="45"/>
      <c r="K2031" s="45"/>
      <c r="L2031" s="45"/>
      <c r="M2031" s="45"/>
      <c r="N2031" s="45"/>
      <c r="O2031" s="45"/>
      <c r="P2031" s="45"/>
      <c r="Q2031" s="45"/>
      <c r="R2031" s="45"/>
      <c r="S2031" s="45"/>
      <c r="T2031" s="45"/>
      <c r="U2031" s="45"/>
    </row>
    <row r="2032">
      <c r="A2032" s="79" t="s">
        <v>19327</v>
      </c>
      <c r="B2032" s="45"/>
      <c r="C2032" s="79" t="s">
        <v>19328</v>
      </c>
      <c r="D2032" s="45"/>
      <c r="E2032" s="79" t="s">
        <v>9221</v>
      </c>
      <c r="F2032" s="79" t="s">
        <v>8784</v>
      </c>
      <c r="G2032" s="80" t="s">
        <v>96</v>
      </c>
      <c r="H2032" s="90">
        <v>1.463E-4</v>
      </c>
      <c r="I2032" s="45"/>
      <c r="J2032" s="45"/>
      <c r="K2032" s="45"/>
      <c r="L2032" s="45"/>
      <c r="M2032" s="45"/>
      <c r="N2032" s="45"/>
      <c r="O2032" s="45"/>
      <c r="P2032" s="45"/>
      <c r="Q2032" s="45"/>
      <c r="R2032" s="45"/>
      <c r="S2032" s="45"/>
      <c r="T2032" s="45"/>
      <c r="U2032" s="45"/>
    </row>
    <row r="2033">
      <c r="A2033" s="79" t="s">
        <v>19329</v>
      </c>
      <c r="B2033" s="45"/>
      <c r="C2033" s="79" t="s">
        <v>19330</v>
      </c>
      <c r="D2033" s="45"/>
      <c r="E2033" s="79" t="s">
        <v>7248</v>
      </c>
      <c r="F2033" s="79" t="s">
        <v>9299</v>
      </c>
      <c r="G2033" s="80" t="s">
        <v>96</v>
      </c>
      <c r="H2033" s="90">
        <v>1.462E-4</v>
      </c>
      <c r="I2033" s="45"/>
      <c r="J2033" s="45"/>
      <c r="K2033" s="45"/>
      <c r="L2033" s="45"/>
      <c r="M2033" s="45"/>
      <c r="N2033" s="45"/>
      <c r="O2033" s="45"/>
      <c r="P2033" s="45"/>
      <c r="Q2033" s="45"/>
      <c r="R2033" s="45"/>
      <c r="S2033" s="45"/>
      <c r="T2033" s="45"/>
      <c r="U2033" s="45"/>
    </row>
    <row r="2034">
      <c r="A2034" s="79" t="s">
        <v>11032</v>
      </c>
      <c r="B2034" s="45"/>
      <c r="C2034" s="79" t="s">
        <v>11033</v>
      </c>
      <c r="D2034" s="45"/>
      <c r="E2034" s="79" t="s">
        <v>5589</v>
      </c>
      <c r="F2034" s="79" t="s">
        <v>9299</v>
      </c>
      <c r="G2034" s="80" t="s">
        <v>96</v>
      </c>
      <c r="H2034" s="90">
        <v>1.461E-4</v>
      </c>
      <c r="I2034" s="45"/>
      <c r="J2034" s="45"/>
      <c r="K2034" s="45"/>
      <c r="L2034" s="45"/>
      <c r="M2034" s="45"/>
      <c r="N2034" s="45"/>
      <c r="O2034" s="45"/>
      <c r="P2034" s="45"/>
      <c r="Q2034" s="45"/>
      <c r="R2034" s="45"/>
      <c r="S2034" s="45"/>
      <c r="T2034" s="45"/>
      <c r="U2034" s="45"/>
    </row>
    <row r="2035">
      <c r="A2035" s="79" t="s">
        <v>19331</v>
      </c>
      <c r="B2035" s="45"/>
      <c r="C2035" s="79" t="s">
        <v>19332</v>
      </c>
      <c r="D2035" s="45"/>
      <c r="E2035" s="79" t="s">
        <v>5253</v>
      </c>
      <c r="F2035" s="79" t="s">
        <v>5300</v>
      </c>
      <c r="G2035" s="80" t="s">
        <v>96</v>
      </c>
      <c r="H2035" s="90">
        <v>1.46E-4</v>
      </c>
      <c r="I2035" s="45"/>
      <c r="J2035" s="45"/>
      <c r="K2035" s="45"/>
      <c r="L2035" s="45"/>
      <c r="M2035" s="45"/>
      <c r="N2035" s="45"/>
      <c r="O2035" s="45"/>
      <c r="P2035" s="45"/>
      <c r="Q2035" s="45"/>
      <c r="R2035" s="45"/>
      <c r="S2035" s="45"/>
      <c r="T2035" s="45"/>
      <c r="U2035" s="45"/>
    </row>
    <row r="2036">
      <c r="A2036" s="79" t="s">
        <v>11194</v>
      </c>
      <c r="B2036" s="45"/>
      <c r="C2036" s="79" t="s">
        <v>11195</v>
      </c>
      <c r="D2036" s="45"/>
      <c r="E2036" s="79" t="s">
        <v>5704</v>
      </c>
      <c r="F2036" s="79" t="s">
        <v>8784</v>
      </c>
      <c r="G2036" s="80" t="s">
        <v>96</v>
      </c>
      <c r="H2036" s="90">
        <v>1.46E-4</v>
      </c>
      <c r="I2036" s="45"/>
      <c r="J2036" s="45"/>
      <c r="K2036" s="45"/>
      <c r="L2036" s="45"/>
      <c r="M2036" s="45"/>
      <c r="N2036" s="45"/>
      <c r="O2036" s="45"/>
      <c r="P2036" s="45"/>
      <c r="Q2036" s="45"/>
      <c r="R2036" s="45"/>
      <c r="S2036" s="45"/>
      <c r="T2036" s="45"/>
      <c r="U2036" s="45"/>
    </row>
    <row r="2037">
      <c r="A2037" s="79" t="s">
        <v>19333</v>
      </c>
      <c r="B2037" s="45"/>
      <c r="C2037" s="79" t="s">
        <v>19334</v>
      </c>
      <c r="D2037" s="45"/>
      <c r="E2037" s="79" t="s">
        <v>5756</v>
      </c>
      <c r="F2037" s="79" t="s">
        <v>8767</v>
      </c>
      <c r="G2037" s="80" t="s">
        <v>96</v>
      </c>
      <c r="H2037" s="90">
        <v>1.456E-4</v>
      </c>
      <c r="I2037" s="45"/>
      <c r="J2037" s="45"/>
      <c r="K2037" s="45"/>
      <c r="L2037" s="45"/>
      <c r="M2037" s="45"/>
      <c r="N2037" s="45"/>
      <c r="O2037" s="45"/>
      <c r="P2037" s="45"/>
      <c r="Q2037" s="45"/>
      <c r="R2037" s="45"/>
      <c r="S2037" s="45"/>
      <c r="T2037" s="45"/>
      <c r="U2037" s="45"/>
    </row>
    <row r="2038">
      <c r="A2038" s="79" t="s">
        <v>19335</v>
      </c>
      <c r="B2038" s="45"/>
      <c r="C2038" s="79" t="s">
        <v>19336</v>
      </c>
      <c r="D2038" s="45"/>
      <c r="E2038" s="79" t="s">
        <v>5351</v>
      </c>
      <c r="F2038" s="79" t="s">
        <v>8784</v>
      </c>
      <c r="G2038" s="80" t="s">
        <v>96</v>
      </c>
      <c r="H2038" s="90">
        <v>1.456E-4</v>
      </c>
      <c r="I2038" s="45"/>
      <c r="J2038" s="45"/>
      <c r="K2038" s="45"/>
      <c r="L2038" s="45"/>
      <c r="M2038" s="45"/>
      <c r="N2038" s="45"/>
      <c r="O2038" s="45"/>
      <c r="P2038" s="45"/>
      <c r="Q2038" s="45"/>
      <c r="R2038" s="45"/>
      <c r="S2038" s="45"/>
      <c r="T2038" s="45"/>
      <c r="U2038" s="45"/>
    </row>
    <row r="2039">
      <c r="A2039" s="79" t="s">
        <v>19337</v>
      </c>
      <c r="B2039" s="45"/>
      <c r="C2039" s="79" t="s">
        <v>19338</v>
      </c>
      <c r="D2039" s="45"/>
      <c r="E2039" s="79" t="s">
        <v>5478</v>
      </c>
      <c r="F2039" s="79" t="s">
        <v>5300</v>
      </c>
      <c r="G2039" s="80" t="s">
        <v>96</v>
      </c>
      <c r="H2039" s="90">
        <v>1.455E-4</v>
      </c>
      <c r="I2039" s="45"/>
      <c r="J2039" s="45"/>
      <c r="K2039" s="45"/>
      <c r="L2039" s="45"/>
      <c r="M2039" s="45"/>
      <c r="N2039" s="45"/>
      <c r="O2039" s="45"/>
      <c r="P2039" s="45"/>
      <c r="Q2039" s="45"/>
      <c r="R2039" s="45"/>
      <c r="S2039" s="45"/>
      <c r="T2039" s="45"/>
      <c r="U2039" s="45"/>
    </row>
    <row r="2040">
      <c r="A2040" s="79" t="s">
        <v>11093</v>
      </c>
      <c r="B2040" s="45"/>
      <c r="C2040" s="79" t="s">
        <v>11094</v>
      </c>
      <c r="D2040" s="45"/>
      <c r="E2040" s="79" t="s">
        <v>5218</v>
      </c>
      <c r="F2040" s="79" t="s">
        <v>8767</v>
      </c>
      <c r="G2040" s="80" t="s">
        <v>96</v>
      </c>
      <c r="H2040" s="90">
        <v>1.454E-4</v>
      </c>
      <c r="I2040" s="45"/>
      <c r="J2040" s="45"/>
      <c r="K2040" s="45"/>
      <c r="L2040" s="45"/>
      <c r="M2040" s="45"/>
      <c r="N2040" s="45"/>
      <c r="O2040" s="45"/>
      <c r="P2040" s="45"/>
      <c r="Q2040" s="45"/>
      <c r="R2040" s="45"/>
      <c r="S2040" s="45"/>
      <c r="T2040" s="45"/>
      <c r="U2040" s="45"/>
    </row>
    <row r="2041">
      <c r="A2041" s="79" t="s">
        <v>11124</v>
      </c>
      <c r="B2041" s="45"/>
      <c r="C2041" s="79" t="s">
        <v>11125</v>
      </c>
      <c r="D2041" s="45"/>
      <c r="E2041" s="79" t="s">
        <v>7169</v>
      </c>
      <c r="F2041" s="79" t="s">
        <v>8784</v>
      </c>
      <c r="G2041" s="80" t="s">
        <v>96</v>
      </c>
      <c r="H2041" s="90">
        <v>1.451E-4</v>
      </c>
      <c r="I2041" s="45"/>
      <c r="J2041" s="45"/>
      <c r="K2041" s="45"/>
      <c r="L2041" s="45"/>
      <c r="M2041" s="45"/>
      <c r="N2041" s="45"/>
      <c r="O2041" s="45"/>
      <c r="P2041" s="45"/>
      <c r="Q2041" s="45"/>
      <c r="R2041" s="45"/>
      <c r="S2041" s="45"/>
      <c r="T2041" s="45"/>
      <c r="U2041" s="45"/>
    </row>
    <row r="2042">
      <c r="A2042" s="79" t="s">
        <v>10906</v>
      </c>
      <c r="B2042" s="45"/>
      <c r="C2042" s="79" t="s">
        <v>10907</v>
      </c>
      <c r="D2042" s="45"/>
      <c r="E2042" s="79" t="s">
        <v>5561</v>
      </c>
      <c r="F2042" s="79" t="s">
        <v>9513</v>
      </c>
      <c r="G2042" s="80" t="s">
        <v>96</v>
      </c>
      <c r="H2042" s="90">
        <v>1.45E-4</v>
      </c>
      <c r="I2042" s="45"/>
      <c r="J2042" s="45"/>
      <c r="K2042" s="45"/>
      <c r="L2042" s="45"/>
      <c r="M2042" s="45"/>
      <c r="N2042" s="45"/>
      <c r="O2042" s="45"/>
      <c r="P2042" s="45"/>
      <c r="Q2042" s="45"/>
      <c r="R2042" s="45"/>
      <c r="S2042" s="45"/>
      <c r="T2042" s="45"/>
      <c r="U2042" s="45"/>
    </row>
    <row r="2043">
      <c r="A2043" s="79" t="s">
        <v>19339</v>
      </c>
      <c r="B2043" s="45"/>
      <c r="C2043" s="79" t="s">
        <v>19340</v>
      </c>
      <c r="D2043" s="45"/>
      <c r="E2043" s="79" t="s">
        <v>7360</v>
      </c>
      <c r="F2043" s="79" t="s">
        <v>8784</v>
      </c>
      <c r="G2043" s="80" t="s">
        <v>96</v>
      </c>
      <c r="H2043" s="90">
        <v>1.449E-4</v>
      </c>
      <c r="I2043" s="45"/>
      <c r="J2043" s="45"/>
      <c r="K2043" s="45"/>
      <c r="L2043" s="45"/>
      <c r="M2043" s="45"/>
      <c r="N2043" s="45"/>
      <c r="O2043" s="45"/>
      <c r="P2043" s="45"/>
      <c r="Q2043" s="45"/>
      <c r="R2043" s="45"/>
      <c r="S2043" s="45"/>
      <c r="T2043" s="45"/>
      <c r="U2043" s="45"/>
    </row>
    <row r="2044">
      <c r="A2044" s="79" t="s">
        <v>19341</v>
      </c>
      <c r="B2044" s="45"/>
      <c r="C2044" s="79" t="s">
        <v>19342</v>
      </c>
      <c r="D2044" s="45"/>
      <c r="E2044" s="79" t="s">
        <v>5235</v>
      </c>
      <c r="F2044" s="79" t="s">
        <v>5300</v>
      </c>
      <c r="G2044" s="80" t="s">
        <v>96</v>
      </c>
      <c r="H2044" s="90">
        <v>1.448E-4</v>
      </c>
      <c r="I2044" s="45"/>
      <c r="J2044" s="45"/>
      <c r="K2044" s="45"/>
      <c r="L2044" s="45"/>
      <c r="M2044" s="45"/>
      <c r="N2044" s="45"/>
      <c r="O2044" s="45"/>
      <c r="P2044" s="45"/>
      <c r="Q2044" s="45"/>
      <c r="R2044" s="45"/>
      <c r="S2044" s="45"/>
      <c r="T2044" s="45"/>
      <c r="U2044" s="45"/>
    </row>
    <row r="2045">
      <c r="A2045" s="79" t="s">
        <v>19343</v>
      </c>
      <c r="B2045" s="45"/>
      <c r="C2045" s="79" t="s">
        <v>19344</v>
      </c>
      <c r="D2045" s="45"/>
      <c r="E2045" s="79" t="s">
        <v>5501</v>
      </c>
      <c r="F2045" s="79" t="s">
        <v>8784</v>
      </c>
      <c r="G2045" s="80" t="s">
        <v>96</v>
      </c>
      <c r="H2045" s="90">
        <v>1.448E-4</v>
      </c>
      <c r="I2045" s="45"/>
      <c r="J2045" s="45"/>
      <c r="K2045" s="45"/>
      <c r="L2045" s="45"/>
      <c r="M2045" s="45"/>
      <c r="N2045" s="45"/>
      <c r="O2045" s="45"/>
      <c r="P2045" s="45"/>
      <c r="Q2045" s="45"/>
      <c r="R2045" s="45"/>
      <c r="S2045" s="45"/>
      <c r="T2045" s="45"/>
      <c r="U2045" s="45"/>
    </row>
    <row r="2046">
      <c r="A2046" s="79" t="s">
        <v>19345</v>
      </c>
      <c r="B2046" s="45"/>
      <c r="C2046" s="79" t="s">
        <v>19346</v>
      </c>
      <c r="D2046" s="45"/>
      <c r="E2046" s="79" t="s">
        <v>7248</v>
      </c>
      <c r="F2046" s="79" t="s">
        <v>5836</v>
      </c>
      <c r="G2046" s="80" t="s">
        <v>96</v>
      </c>
      <c r="H2046" s="90">
        <v>1.447E-4</v>
      </c>
      <c r="I2046" s="45"/>
      <c r="J2046" s="45"/>
      <c r="K2046" s="45"/>
      <c r="L2046" s="45"/>
      <c r="M2046" s="45"/>
      <c r="N2046" s="45"/>
      <c r="O2046" s="45"/>
      <c r="P2046" s="45"/>
      <c r="Q2046" s="45"/>
      <c r="R2046" s="45"/>
      <c r="S2046" s="45"/>
      <c r="T2046" s="45"/>
      <c r="U2046" s="45"/>
    </row>
    <row r="2047">
      <c r="A2047" s="79" t="s">
        <v>19347</v>
      </c>
      <c r="B2047" s="45"/>
      <c r="C2047" s="79" t="s">
        <v>19348</v>
      </c>
      <c r="D2047" s="45"/>
      <c r="E2047" s="79" t="s">
        <v>5366</v>
      </c>
      <c r="F2047" s="79" t="s">
        <v>8784</v>
      </c>
      <c r="G2047" s="80" t="s">
        <v>96</v>
      </c>
      <c r="H2047" s="90">
        <v>1.447E-4</v>
      </c>
      <c r="I2047" s="45"/>
      <c r="J2047" s="45"/>
      <c r="K2047" s="45"/>
      <c r="L2047" s="45"/>
      <c r="M2047" s="45"/>
      <c r="N2047" s="45"/>
      <c r="O2047" s="45"/>
      <c r="P2047" s="45"/>
      <c r="Q2047" s="45"/>
      <c r="R2047" s="45"/>
      <c r="S2047" s="45"/>
      <c r="T2047" s="45"/>
      <c r="U2047" s="45"/>
    </row>
    <row r="2048">
      <c r="A2048" s="79" t="s">
        <v>19349</v>
      </c>
      <c r="B2048" s="45"/>
      <c r="C2048" s="79" t="s">
        <v>19350</v>
      </c>
      <c r="D2048" s="45"/>
      <c r="E2048" s="79" t="s">
        <v>5249</v>
      </c>
      <c r="F2048" s="79" t="s">
        <v>5300</v>
      </c>
      <c r="G2048" s="80" t="s">
        <v>96</v>
      </c>
      <c r="H2048" s="90">
        <v>1.442E-4</v>
      </c>
      <c r="I2048" s="45"/>
      <c r="J2048" s="45"/>
      <c r="K2048" s="45"/>
      <c r="L2048" s="45"/>
      <c r="M2048" s="45"/>
      <c r="N2048" s="45"/>
      <c r="O2048" s="45"/>
      <c r="P2048" s="45"/>
      <c r="Q2048" s="45"/>
      <c r="R2048" s="45"/>
      <c r="S2048" s="45"/>
      <c r="T2048" s="45"/>
      <c r="U2048" s="45"/>
    </row>
    <row r="2049">
      <c r="A2049" s="79" t="s">
        <v>19351</v>
      </c>
      <c r="B2049" s="45"/>
      <c r="C2049" s="79" t="s">
        <v>19352</v>
      </c>
      <c r="D2049" s="45"/>
      <c r="E2049" s="79" t="s">
        <v>6338</v>
      </c>
      <c r="F2049" s="79" t="s">
        <v>5300</v>
      </c>
      <c r="G2049" s="80" t="s">
        <v>96</v>
      </c>
      <c r="H2049" s="90">
        <v>1.442E-4</v>
      </c>
      <c r="I2049" s="45"/>
      <c r="J2049" s="45"/>
      <c r="K2049" s="45"/>
      <c r="L2049" s="45"/>
      <c r="M2049" s="45"/>
      <c r="N2049" s="45"/>
      <c r="O2049" s="45"/>
      <c r="P2049" s="45"/>
      <c r="Q2049" s="45"/>
      <c r="R2049" s="45"/>
      <c r="S2049" s="45"/>
      <c r="T2049" s="45"/>
      <c r="U2049" s="45"/>
    </row>
    <row r="2050">
      <c r="A2050" s="79" t="s">
        <v>15982</v>
      </c>
      <c r="B2050" s="45"/>
      <c r="C2050" s="79" t="s">
        <v>15983</v>
      </c>
      <c r="D2050" s="45"/>
      <c r="E2050" s="79" t="s">
        <v>5561</v>
      </c>
      <c r="F2050" s="79" t="s">
        <v>6698</v>
      </c>
      <c r="G2050" s="80" t="s">
        <v>96</v>
      </c>
      <c r="H2050" s="90">
        <v>1.441E-4</v>
      </c>
      <c r="I2050" s="45"/>
      <c r="J2050" s="45"/>
      <c r="K2050" s="45"/>
      <c r="L2050" s="45"/>
      <c r="M2050" s="45"/>
      <c r="N2050" s="45"/>
      <c r="O2050" s="45"/>
      <c r="P2050" s="45"/>
      <c r="Q2050" s="45"/>
      <c r="R2050" s="45"/>
      <c r="S2050" s="45"/>
      <c r="T2050" s="45"/>
      <c r="U2050" s="45"/>
    </row>
    <row r="2051">
      <c r="A2051" s="79" t="s">
        <v>19353</v>
      </c>
      <c r="B2051" s="45"/>
      <c r="C2051" s="79" t="s">
        <v>19354</v>
      </c>
      <c r="D2051" s="45"/>
      <c r="E2051" s="79" t="s">
        <v>5261</v>
      </c>
      <c r="F2051" s="79" t="s">
        <v>5300</v>
      </c>
      <c r="G2051" s="80" t="s">
        <v>96</v>
      </c>
      <c r="H2051" s="90">
        <v>1.441E-4</v>
      </c>
      <c r="I2051" s="45"/>
      <c r="J2051" s="45"/>
      <c r="K2051" s="45"/>
      <c r="L2051" s="45"/>
      <c r="M2051" s="45"/>
      <c r="N2051" s="45"/>
      <c r="O2051" s="45"/>
      <c r="P2051" s="45"/>
      <c r="Q2051" s="45"/>
      <c r="R2051" s="45"/>
      <c r="S2051" s="45"/>
      <c r="T2051" s="45"/>
      <c r="U2051" s="45"/>
    </row>
    <row r="2052">
      <c r="A2052" s="79" t="s">
        <v>19355</v>
      </c>
      <c r="B2052" s="45"/>
      <c r="C2052" s="79" t="s">
        <v>19356</v>
      </c>
      <c r="D2052" s="45"/>
      <c r="E2052" s="79" t="s">
        <v>5338</v>
      </c>
      <c r="F2052" s="79" t="s">
        <v>5836</v>
      </c>
      <c r="G2052" s="80" t="s">
        <v>96</v>
      </c>
      <c r="H2052" s="90">
        <v>1.441E-4</v>
      </c>
      <c r="I2052" s="45"/>
      <c r="J2052" s="45"/>
      <c r="K2052" s="45"/>
      <c r="L2052" s="45"/>
      <c r="M2052" s="45"/>
      <c r="N2052" s="45"/>
      <c r="O2052" s="45"/>
      <c r="P2052" s="45"/>
      <c r="Q2052" s="45"/>
      <c r="R2052" s="45"/>
      <c r="S2052" s="45"/>
      <c r="T2052" s="45"/>
      <c r="U2052" s="45"/>
    </row>
    <row r="2053">
      <c r="A2053" s="79" t="s">
        <v>19357</v>
      </c>
      <c r="B2053" s="45"/>
      <c r="C2053" s="79" t="s">
        <v>19358</v>
      </c>
      <c r="D2053" s="45"/>
      <c r="E2053" s="79" t="s">
        <v>5478</v>
      </c>
      <c r="F2053" s="79" t="s">
        <v>5300</v>
      </c>
      <c r="G2053" s="80" t="s">
        <v>96</v>
      </c>
      <c r="H2053" s="90">
        <v>1.441E-4</v>
      </c>
      <c r="I2053" s="45"/>
      <c r="J2053" s="45"/>
      <c r="K2053" s="45"/>
      <c r="L2053" s="45"/>
      <c r="M2053" s="45"/>
      <c r="N2053" s="45"/>
      <c r="O2053" s="45"/>
      <c r="P2053" s="45"/>
      <c r="Q2053" s="45"/>
      <c r="R2053" s="45"/>
      <c r="S2053" s="45"/>
      <c r="T2053" s="45"/>
      <c r="U2053" s="45"/>
    </row>
    <row r="2054">
      <c r="A2054" s="79" t="s">
        <v>19359</v>
      </c>
      <c r="B2054" s="45"/>
      <c r="C2054" s="79" t="s">
        <v>19360</v>
      </c>
      <c r="D2054" s="45"/>
      <c r="E2054" s="79" t="s">
        <v>5961</v>
      </c>
      <c r="F2054" s="79" t="s">
        <v>8784</v>
      </c>
      <c r="G2054" s="80" t="s">
        <v>96</v>
      </c>
      <c r="H2054" s="90">
        <v>1.439E-4</v>
      </c>
      <c r="I2054" s="45"/>
      <c r="J2054" s="45"/>
      <c r="K2054" s="45"/>
      <c r="L2054" s="45"/>
      <c r="M2054" s="45"/>
      <c r="N2054" s="45"/>
      <c r="O2054" s="45"/>
      <c r="P2054" s="45"/>
      <c r="Q2054" s="45"/>
      <c r="R2054" s="45"/>
      <c r="S2054" s="45"/>
      <c r="T2054" s="45"/>
      <c r="U2054" s="45"/>
    </row>
    <row r="2055">
      <c r="A2055" s="79" t="s">
        <v>19361</v>
      </c>
      <c r="B2055" s="45"/>
      <c r="C2055" s="79" t="s">
        <v>19362</v>
      </c>
      <c r="D2055" s="45"/>
      <c r="E2055" s="79" t="s">
        <v>6012</v>
      </c>
      <c r="F2055" s="79" t="s">
        <v>8784</v>
      </c>
      <c r="G2055" s="80" t="s">
        <v>96</v>
      </c>
      <c r="H2055" s="90">
        <v>1.438E-4</v>
      </c>
      <c r="I2055" s="45"/>
      <c r="J2055" s="45"/>
      <c r="K2055" s="45"/>
      <c r="L2055" s="45"/>
      <c r="M2055" s="45"/>
      <c r="N2055" s="45"/>
      <c r="O2055" s="45"/>
      <c r="P2055" s="45"/>
      <c r="Q2055" s="45"/>
      <c r="R2055" s="45"/>
      <c r="S2055" s="45"/>
      <c r="T2055" s="45"/>
      <c r="U2055" s="45"/>
    </row>
    <row r="2056">
      <c r="A2056" s="79" t="s">
        <v>11085</v>
      </c>
      <c r="B2056" s="45"/>
      <c r="C2056" s="79" t="s">
        <v>11086</v>
      </c>
      <c r="D2056" s="45"/>
      <c r="E2056" s="79" t="s">
        <v>5855</v>
      </c>
      <c r="F2056" s="79" t="s">
        <v>8784</v>
      </c>
      <c r="G2056" s="80" t="s">
        <v>96</v>
      </c>
      <c r="H2056" s="90">
        <v>1.437E-4</v>
      </c>
      <c r="I2056" s="45"/>
      <c r="J2056" s="45"/>
      <c r="K2056" s="45"/>
      <c r="L2056" s="45"/>
      <c r="M2056" s="45"/>
      <c r="N2056" s="45"/>
      <c r="O2056" s="45"/>
      <c r="P2056" s="45"/>
      <c r="Q2056" s="45"/>
      <c r="R2056" s="45"/>
      <c r="S2056" s="45"/>
      <c r="T2056" s="45"/>
      <c r="U2056" s="45"/>
    </row>
    <row r="2057">
      <c r="A2057" s="79" t="s">
        <v>19363</v>
      </c>
      <c r="B2057" s="45"/>
      <c r="C2057" s="79" t="s">
        <v>19364</v>
      </c>
      <c r="D2057" s="45"/>
      <c r="E2057" s="79" t="s">
        <v>5735</v>
      </c>
      <c r="F2057" s="79" t="s">
        <v>8784</v>
      </c>
      <c r="G2057" s="80" t="s">
        <v>96</v>
      </c>
      <c r="H2057" s="90">
        <v>1.436E-4</v>
      </c>
      <c r="I2057" s="45"/>
      <c r="J2057" s="45"/>
      <c r="K2057" s="45"/>
      <c r="L2057" s="45"/>
      <c r="M2057" s="45"/>
      <c r="N2057" s="45"/>
      <c r="O2057" s="45"/>
      <c r="P2057" s="45"/>
      <c r="Q2057" s="45"/>
      <c r="R2057" s="45"/>
      <c r="S2057" s="45"/>
      <c r="T2057" s="45"/>
      <c r="U2057" s="45"/>
    </row>
    <row r="2058">
      <c r="A2058" s="79" t="s">
        <v>19365</v>
      </c>
      <c r="B2058" s="45"/>
      <c r="C2058" s="79" t="s">
        <v>19366</v>
      </c>
      <c r="D2058" s="45"/>
      <c r="E2058" s="79" t="s">
        <v>8230</v>
      </c>
      <c r="F2058" s="79" t="s">
        <v>5300</v>
      </c>
      <c r="G2058" s="80" t="s">
        <v>96</v>
      </c>
      <c r="H2058" s="90">
        <v>1.436E-4</v>
      </c>
      <c r="I2058" s="45"/>
      <c r="J2058" s="45"/>
      <c r="K2058" s="45"/>
      <c r="L2058" s="45"/>
      <c r="M2058" s="45"/>
      <c r="N2058" s="45"/>
      <c r="O2058" s="45"/>
      <c r="P2058" s="45"/>
      <c r="Q2058" s="45"/>
      <c r="R2058" s="45"/>
      <c r="S2058" s="45"/>
      <c r="T2058" s="45"/>
      <c r="U2058" s="45"/>
    </row>
    <row r="2059">
      <c r="A2059" s="79" t="s">
        <v>19367</v>
      </c>
      <c r="B2059" s="45"/>
      <c r="C2059" s="79" t="s">
        <v>19368</v>
      </c>
      <c r="D2059" s="45"/>
      <c r="E2059" s="79" t="s">
        <v>5321</v>
      </c>
      <c r="F2059" s="79" t="s">
        <v>8784</v>
      </c>
      <c r="G2059" s="80" t="s">
        <v>96</v>
      </c>
      <c r="H2059" s="90">
        <v>1.435E-4</v>
      </c>
      <c r="I2059" s="45"/>
      <c r="J2059" s="45"/>
      <c r="K2059" s="45"/>
      <c r="L2059" s="45"/>
      <c r="M2059" s="45"/>
      <c r="N2059" s="45"/>
      <c r="O2059" s="45"/>
      <c r="P2059" s="45"/>
      <c r="Q2059" s="45"/>
      <c r="R2059" s="45"/>
      <c r="S2059" s="45"/>
      <c r="T2059" s="45"/>
      <c r="U2059" s="45"/>
    </row>
    <row r="2060">
      <c r="A2060" s="79" t="s">
        <v>19369</v>
      </c>
      <c r="B2060" s="45"/>
      <c r="C2060" s="79" t="s">
        <v>19370</v>
      </c>
      <c r="D2060" s="45"/>
      <c r="E2060" s="79" t="s">
        <v>6798</v>
      </c>
      <c r="F2060" s="79" t="s">
        <v>8784</v>
      </c>
      <c r="G2060" s="80" t="s">
        <v>96</v>
      </c>
      <c r="H2060" s="90">
        <v>1.435E-4</v>
      </c>
      <c r="I2060" s="45"/>
      <c r="J2060" s="45"/>
      <c r="K2060" s="45"/>
      <c r="L2060" s="45"/>
      <c r="M2060" s="45"/>
      <c r="N2060" s="45"/>
      <c r="O2060" s="45"/>
      <c r="P2060" s="45"/>
      <c r="Q2060" s="45"/>
      <c r="R2060" s="45"/>
      <c r="S2060" s="45"/>
      <c r="T2060" s="45"/>
      <c r="U2060" s="45"/>
    </row>
    <row r="2061">
      <c r="A2061" s="79" t="s">
        <v>19371</v>
      </c>
      <c r="B2061" s="45"/>
      <c r="C2061" s="79" t="s">
        <v>19372</v>
      </c>
      <c r="D2061" s="45"/>
      <c r="E2061" s="79" t="s">
        <v>5215</v>
      </c>
      <c r="F2061" s="79" t="s">
        <v>5300</v>
      </c>
      <c r="G2061" s="80" t="s">
        <v>96</v>
      </c>
      <c r="H2061" s="90">
        <v>1.433E-4</v>
      </c>
      <c r="I2061" s="45"/>
      <c r="J2061" s="45"/>
      <c r="K2061" s="45"/>
      <c r="L2061" s="45"/>
      <c r="M2061" s="45"/>
      <c r="N2061" s="45"/>
      <c r="O2061" s="45"/>
      <c r="P2061" s="45"/>
      <c r="Q2061" s="45"/>
      <c r="R2061" s="45"/>
      <c r="S2061" s="45"/>
      <c r="T2061" s="45"/>
      <c r="U2061" s="45"/>
    </row>
    <row r="2062">
      <c r="A2062" s="79" t="s">
        <v>19373</v>
      </c>
      <c r="B2062" s="45"/>
      <c r="C2062" s="79" t="s">
        <v>19374</v>
      </c>
      <c r="D2062" s="45"/>
      <c r="E2062" s="79" t="s">
        <v>5395</v>
      </c>
      <c r="F2062" s="79" t="s">
        <v>5300</v>
      </c>
      <c r="G2062" s="80" t="s">
        <v>96</v>
      </c>
      <c r="H2062" s="90">
        <v>1.43E-4</v>
      </c>
      <c r="I2062" s="45"/>
      <c r="J2062" s="45"/>
      <c r="K2062" s="45"/>
      <c r="L2062" s="45"/>
      <c r="M2062" s="45"/>
      <c r="N2062" s="45"/>
      <c r="O2062" s="45"/>
      <c r="P2062" s="45"/>
      <c r="Q2062" s="45"/>
      <c r="R2062" s="45"/>
      <c r="S2062" s="45"/>
      <c r="T2062" s="45"/>
      <c r="U2062" s="45"/>
    </row>
    <row r="2063">
      <c r="A2063" s="79" t="s">
        <v>19375</v>
      </c>
      <c r="B2063" s="45"/>
      <c r="C2063" s="79" t="s">
        <v>19376</v>
      </c>
      <c r="D2063" s="45"/>
      <c r="E2063" s="79" t="s">
        <v>5374</v>
      </c>
      <c r="F2063" s="79" t="s">
        <v>8784</v>
      </c>
      <c r="G2063" s="80" t="s">
        <v>96</v>
      </c>
      <c r="H2063" s="90">
        <v>1.428E-4</v>
      </c>
      <c r="I2063" s="45"/>
      <c r="J2063" s="45"/>
      <c r="K2063" s="45"/>
      <c r="L2063" s="45"/>
      <c r="M2063" s="45"/>
      <c r="N2063" s="45"/>
      <c r="O2063" s="45"/>
      <c r="P2063" s="45"/>
      <c r="Q2063" s="45"/>
      <c r="R2063" s="45"/>
      <c r="S2063" s="45"/>
      <c r="T2063" s="45"/>
      <c r="U2063" s="45"/>
    </row>
    <row r="2064">
      <c r="A2064" s="79" t="s">
        <v>19377</v>
      </c>
      <c r="B2064" s="45"/>
      <c r="C2064" s="79" t="s">
        <v>19378</v>
      </c>
      <c r="D2064" s="45"/>
      <c r="E2064" s="79" t="s">
        <v>5258</v>
      </c>
      <c r="F2064" s="79" t="s">
        <v>5836</v>
      </c>
      <c r="G2064" s="80" t="s">
        <v>96</v>
      </c>
      <c r="H2064" s="90">
        <v>1.427E-4</v>
      </c>
      <c r="I2064" s="45"/>
      <c r="J2064" s="45"/>
      <c r="K2064" s="45"/>
      <c r="L2064" s="45"/>
      <c r="M2064" s="45"/>
      <c r="N2064" s="45"/>
      <c r="O2064" s="45"/>
      <c r="P2064" s="45"/>
      <c r="Q2064" s="45"/>
      <c r="R2064" s="45"/>
      <c r="S2064" s="45"/>
      <c r="T2064" s="45"/>
      <c r="U2064" s="45"/>
    </row>
    <row r="2065">
      <c r="A2065" s="79" t="s">
        <v>19379</v>
      </c>
      <c r="B2065" s="45"/>
      <c r="C2065" s="79" t="s">
        <v>17350</v>
      </c>
      <c r="D2065" s="45"/>
      <c r="E2065" s="79" t="s">
        <v>6115</v>
      </c>
      <c r="F2065" s="79" t="s">
        <v>5300</v>
      </c>
      <c r="G2065" s="80" t="s">
        <v>96</v>
      </c>
      <c r="H2065" s="90">
        <v>1.427E-4</v>
      </c>
      <c r="I2065" s="45"/>
      <c r="J2065" s="45"/>
      <c r="K2065" s="45"/>
      <c r="L2065" s="45"/>
      <c r="M2065" s="45"/>
      <c r="N2065" s="45"/>
      <c r="O2065" s="45"/>
      <c r="P2065" s="45"/>
      <c r="Q2065" s="45"/>
      <c r="R2065" s="45"/>
      <c r="S2065" s="45"/>
      <c r="T2065" s="45"/>
      <c r="U2065" s="45"/>
    </row>
    <row r="2066">
      <c r="A2066" s="79" t="s">
        <v>19380</v>
      </c>
      <c r="B2066" s="45"/>
      <c r="C2066" s="79" t="s">
        <v>19381</v>
      </c>
      <c r="D2066" s="45"/>
      <c r="E2066" s="79" t="s">
        <v>5235</v>
      </c>
      <c r="F2066" s="79" t="s">
        <v>5425</v>
      </c>
      <c r="G2066" s="80" t="s">
        <v>96</v>
      </c>
      <c r="H2066" s="90">
        <v>1.427E-4</v>
      </c>
      <c r="I2066" s="45"/>
      <c r="J2066" s="45"/>
      <c r="K2066" s="45"/>
      <c r="L2066" s="45"/>
      <c r="M2066" s="45"/>
      <c r="N2066" s="45"/>
      <c r="O2066" s="45"/>
      <c r="P2066" s="45"/>
      <c r="Q2066" s="45"/>
      <c r="R2066" s="45"/>
      <c r="S2066" s="45"/>
      <c r="T2066" s="45"/>
      <c r="U2066" s="45"/>
    </row>
    <row r="2067">
      <c r="A2067" s="79" t="s">
        <v>19382</v>
      </c>
      <c r="B2067" s="45"/>
      <c r="C2067" s="79" t="s">
        <v>19383</v>
      </c>
      <c r="D2067" s="45"/>
      <c r="E2067" s="79" t="s">
        <v>9189</v>
      </c>
      <c r="F2067" s="79" t="s">
        <v>5268</v>
      </c>
      <c r="G2067" s="80" t="s">
        <v>96</v>
      </c>
      <c r="H2067" s="90">
        <v>1.427E-4</v>
      </c>
      <c r="I2067" s="45"/>
      <c r="J2067" s="45"/>
      <c r="K2067" s="45"/>
      <c r="L2067" s="45"/>
      <c r="M2067" s="45"/>
      <c r="N2067" s="45"/>
      <c r="O2067" s="45"/>
      <c r="P2067" s="45"/>
      <c r="Q2067" s="45"/>
      <c r="R2067" s="45"/>
      <c r="S2067" s="45"/>
      <c r="T2067" s="45"/>
      <c r="U2067" s="45"/>
    </row>
    <row r="2068">
      <c r="A2068" s="79" t="s">
        <v>19384</v>
      </c>
      <c r="B2068" s="45"/>
      <c r="C2068" s="79" t="s">
        <v>19385</v>
      </c>
      <c r="D2068" s="45"/>
      <c r="E2068" s="79" t="s">
        <v>6389</v>
      </c>
      <c r="F2068" s="79" t="s">
        <v>8784</v>
      </c>
      <c r="G2068" s="80" t="s">
        <v>96</v>
      </c>
      <c r="H2068" s="90">
        <v>1.427E-4</v>
      </c>
      <c r="I2068" s="45"/>
      <c r="J2068" s="45"/>
      <c r="K2068" s="45"/>
      <c r="L2068" s="45"/>
      <c r="M2068" s="45"/>
      <c r="N2068" s="45"/>
      <c r="O2068" s="45"/>
      <c r="P2068" s="45"/>
      <c r="Q2068" s="45"/>
      <c r="R2068" s="45"/>
      <c r="S2068" s="45"/>
      <c r="T2068" s="45"/>
      <c r="U2068" s="45"/>
    </row>
    <row r="2069">
      <c r="A2069" s="79" t="s">
        <v>19386</v>
      </c>
      <c r="B2069" s="45"/>
      <c r="C2069" s="79" t="s">
        <v>19387</v>
      </c>
      <c r="D2069" s="45"/>
      <c r="E2069" s="79" t="s">
        <v>5326</v>
      </c>
      <c r="F2069" s="79" t="s">
        <v>5300</v>
      </c>
      <c r="G2069" s="80" t="s">
        <v>96</v>
      </c>
      <c r="H2069" s="90">
        <v>1.426E-4</v>
      </c>
      <c r="I2069" s="45"/>
      <c r="J2069" s="45"/>
      <c r="K2069" s="45"/>
      <c r="L2069" s="45"/>
      <c r="M2069" s="45"/>
      <c r="N2069" s="45"/>
      <c r="O2069" s="45"/>
      <c r="P2069" s="45"/>
      <c r="Q2069" s="45"/>
      <c r="R2069" s="45"/>
      <c r="S2069" s="45"/>
      <c r="T2069" s="45"/>
      <c r="U2069" s="45"/>
    </row>
    <row r="2070">
      <c r="A2070" s="79" t="s">
        <v>19388</v>
      </c>
      <c r="B2070" s="45"/>
      <c r="C2070" s="79" t="s">
        <v>19389</v>
      </c>
      <c r="D2070" s="45"/>
      <c r="E2070" s="79" t="s">
        <v>6416</v>
      </c>
      <c r="F2070" s="79" t="s">
        <v>5836</v>
      </c>
      <c r="G2070" s="80" t="s">
        <v>96</v>
      </c>
      <c r="H2070" s="90">
        <v>1.425E-4</v>
      </c>
      <c r="I2070" s="45"/>
      <c r="J2070" s="45"/>
      <c r="K2070" s="45"/>
      <c r="L2070" s="45"/>
      <c r="M2070" s="45"/>
      <c r="N2070" s="45"/>
      <c r="O2070" s="45"/>
      <c r="P2070" s="45"/>
      <c r="Q2070" s="45"/>
      <c r="R2070" s="45"/>
      <c r="S2070" s="45"/>
      <c r="T2070" s="45"/>
      <c r="U2070" s="45"/>
    </row>
    <row r="2071">
      <c r="A2071" s="79" t="s">
        <v>19390</v>
      </c>
      <c r="B2071" s="45"/>
      <c r="C2071" s="79" t="s">
        <v>19391</v>
      </c>
      <c r="D2071" s="45"/>
      <c r="E2071" s="79" t="s">
        <v>5238</v>
      </c>
      <c r="F2071" s="79" t="s">
        <v>5941</v>
      </c>
      <c r="G2071" s="80" t="s">
        <v>96</v>
      </c>
      <c r="H2071" s="90">
        <v>1.423E-4</v>
      </c>
      <c r="I2071" s="45"/>
      <c r="J2071" s="45"/>
      <c r="K2071" s="45"/>
      <c r="L2071" s="45"/>
      <c r="M2071" s="45"/>
      <c r="N2071" s="45"/>
      <c r="O2071" s="45"/>
      <c r="P2071" s="45"/>
      <c r="Q2071" s="45"/>
      <c r="R2071" s="45"/>
      <c r="S2071" s="45"/>
      <c r="T2071" s="45"/>
      <c r="U2071" s="45"/>
    </row>
    <row r="2072">
      <c r="A2072" s="79" t="s">
        <v>19392</v>
      </c>
      <c r="B2072" s="45"/>
      <c r="C2072" s="79" t="s">
        <v>19393</v>
      </c>
      <c r="D2072" s="45"/>
      <c r="E2072" s="79" t="s">
        <v>5261</v>
      </c>
      <c r="F2072" s="79" t="s">
        <v>6210</v>
      </c>
      <c r="G2072" s="80" t="s">
        <v>96</v>
      </c>
      <c r="H2072" s="90">
        <v>1.423E-4</v>
      </c>
      <c r="I2072" s="45"/>
      <c r="J2072" s="45"/>
      <c r="K2072" s="45"/>
      <c r="L2072" s="45"/>
      <c r="M2072" s="45"/>
      <c r="N2072" s="45"/>
      <c r="O2072" s="45"/>
      <c r="P2072" s="45"/>
      <c r="Q2072" s="45"/>
      <c r="R2072" s="45"/>
      <c r="S2072" s="45"/>
      <c r="T2072" s="45"/>
      <c r="U2072" s="45"/>
    </row>
    <row r="2073">
      <c r="A2073" s="79" t="s">
        <v>19394</v>
      </c>
      <c r="B2073" s="45"/>
      <c r="C2073" s="79" t="s">
        <v>19395</v>
      </c>
      <c r="D2073" s="45"/>
      <c r="E2073" s="79" t="s">
        <v>5267</v>
      </c>
      <c r="F2073" s="79" t="s">
        <v>5425</v>
      </c>
      <c r="G2073" s="80" t="s">
        <v>96</v>
      </c>
      <c r="H2073" s="90">
        <v>1.422E-4</v>
      </c>
      <c r="I2073" s="45"/>
      <c r="J2073" s="45"/>
      <c r="K2073" s="45"/>
      <c r="L2073" s="45"/>
      <c r="M2073" s="45"/>
      <c r="N2073" s="45"/>
      <c r="O2073" s="45"/>
      <c r="P2073" s="45"/>
      <c r="Q2073" s="45"/>
      <c r="R2073" s="45"/>
      <c r="S2073" s="45"/>
      <c r="T2073" s="45"/>
      <c r="U2073" s="45"/>
    </row>
    <row r="2074">
      <c r="A2074" s="79" t="s">
        <v>19396</v>
      </c>
      <c r="B2074" s="45"/>
      <c r="C2074" s="79" t="s">
        <v>19397</v>
      </c>
      <c r="D2074" s="45"/>
      <c r="E2074" s="79" t="s">
        <v>5691</v>
      </c>
      <c r="F2074" s="79" t="s">
        <v>5747</v>
      </c>
      <c r="G2074" s="80" t="s">
        <v>96</v>
      </c>
      <c r="H2074" s="90">
        <v>1.421E-4</v>
      </c>
      <c r="I2074" s="45"/>
      <c r="J2074" s="45"/>
      <c r="K2074" s="45"/>
      <c r="L2074" s="45"/>
      <c r="M2074" s="45"/>
      <c r="N2074" s="45"/>
      <c r="O2074" s="45"/>
      <c r="P2074" s="45"/>
      <c r="Q2074" s="45"/>
      <c r="R2074" s="45"/>
      <c r="S2074" s="45"/>
      <c r="T2074" s="45"/>
      <c r="U2074" s="45"/>
    </row>
    <row r="2075">
      <c r="A2075" s="79" t="s">
        <v>19398</v>
      </c>
      <c r="B2075" s="45"/>
      <c r="C2075" s="79" t="s">
        <v>19399</v>
      </c>
      <c r="D2075" s="45"/>
      <c r="E2075" s="79" t="s">
        <v>6338</v>
      </c>
      <c r="F2075" s="79" t="s">
        <v>9617</v>
      </c>
      <c r="G2075" s="80" t="s">
        <v>96</v>
      </c>
      <c r="H2075" s="90">
        <v>1.421E-4</v>
      </c>
      <c r="I2075" s="45"/>
      <c r="J2075" s="45"/>
      <c r="K2075" s="45"/>
      <c r="L2075" s="45"/>
      <c r="M2075" s="45"/>
      <c r="N2075" s="45"/>
      <c r="O2075" s="45"/>
      <c r="P2075" s="45"/>
      <c r="Q2075" s="45"/>
      <c r="R2075" s="45"/>
      <c r="S2075" s="45"/>
      <c r="T2075" s="45"/>
      <c r="U2075" s="45"/>
    </row>
    <row r="2076">
      <c r="A2076" s="79" t="s">
        <v>19400</v>
      </c>
      <c r="B2076" s="45"/>
      <c r="C2076" s="79" t="s">
        <v>19401</v>
      </c>
      <c r="D2076" s="45"/>
      <c r="E2076" s="79" t="s">
        <v>5450</v>
      </c>
      <c r="F2076" s="79" t="s">
        <v>5425</v>
      </c>
      <c r="G2076" s="80" t="s">
        <v>96</v>
      </c>
      <c r="H2076" s="90">
        <v>1.42E-4</v>
      </c>
      <c r="I2076" s="45"/>
      <c r="J2076" s="45"/>
      <c r="K2076" s="45"/>
      <c r="L2076" s="45"/>
      <c r="M2076" s="45"/>
      <c r="N2076" s="45"/>
      <c r="O2076" s="45"/>
      <c r="P2076" s="45"/>
      <c r="Q2076" s="45"/>
      <c r="R2076" s="45"/>
      <c r="S2076" s="45"/>
      <c r="T2076" s="45"/>
      <c r="U2076" s="45"/>
    </row>
    <row r="2077">
      <c r="A2077" s="79" t="s">
        <v>19402</v>
      </c>
      <c r="B2077" s="45"/>
      <c r="C2077" s="79" t="s">
        <v>19403</v>
      </c>
      <c r="D2077" s="45"/>
      <c r="E2077" s="79" t="s">
        <v>5241</v>
      </c>
      <c r="F2077" s="79" t="s">
        <v>5300</v>
      </c>
      <c r="G2077" s="80" t="s">
        <v>96</v>
      </c>
      <c r="H2077" s="90">
        <v>1.419E-4</v>
      </c>
      <c r="I2077" s="45"/>
      <c r="J2077" s="45"/>
      <c r="K2077" s="45"/>
      <c r="L2077" s="45"/>
      <c r="M2077" s="45"/>
      <c r="N2077" s="45"/>
      <c r="O2077" s="45"/>
      <c r="P2077" s="45"/>
      <c r="Q2077" s="45"/>
      <c r="R2077" s="45"/>
      <c r="S2077" s="45"/>
      <c r="T2077" s="45"/>
      <c r="U2077" s="45"/>
    </row>
    <row r="2078">
      <c r="A2078" s="79" t="s">
        <v>10938</v>
      </c>
      <c r="B2078" s="45"/>
      <c r="C2078" s="79" t="s">
        <v>10939</v>
      </c>
      <c r="D2078" s="45"/>
      <c r="E2078" s="79" t="s">
        <v>5326</v>
      </c>
      <c r="F2078" s="79" t="s">
        <v>4095</v>
      </c>
      <c r="G2078" s="80" t="s">
        <v>96</v>
      </c>
      <c r="H2078" s="90">
        <v>1.418E-4</v>
      </c>
      <c r="I2078" s="45"/>
      <c r="J2078" s="45"/>
      <c r="K2078" s="45"/>
      <c r="L2078" s="45"/>
      <c r="M2078" s="45"/>
      <c r="N2078" s="45"/>
      <c r="O2078" s="45"/>
      <c r="P2078" s="45"/>
      <c r="Q2078" s="45"/>
      <c r="R2078" s="45"/>
      <c r="S2078" s="45"/>
      <c r="T2078" s="45"/>
      <c r="U2078" s="45"/>
    </row>
    <row r="2079">
      <c r="A2079" s="79" t="s">
        <v>19404</v>
      </c>
      <c r="B2079" s="45"/>
      <c r="C2079" s="79" t="s">
        <v>19405</v>
      </c>
      <c r="D2079" s="45"/>
      <c r="E2079" s="79" t="s">
        <v>5650</v>
      </c>
      <c r="F2079" s="79" t="s">
        <v>5300</v>
      </c>
      <c r="G2079" s="80" t="s">
        <v>96</v>
      </c>
      <c r="H2079" s="90">
        <v>1.418E-4</v>
      </c>
      <c r="I2079" s="45"/>
      <c r="J2079" s="45"/>
      <c r="K2079" s="45"/>
      <c r="L2079" s="45"/>
      <c r="M2079" s="45"/>
      <c r="N2079" s="45"/>
      <c r="O2079" s="45"/>
      <c r="P2079" s="45"/>
      <c r="Q2079" s="45"/>
      <c r="R2079" s="45"/>
      <c r="S2079" s="45"/>
      <c r="T2079" s="45"/>
      <c r="U2079" s="45"/>
    </row>
    <row r="2080">
      <c r="A2080" s="79" t="s">
        <v>10818</v>
      </c>
      <c r="B2080" s="45"/>
      <c r="C2080" s="79" t="s">
        <v>10819</v>
      </c>
      <c r="D2080" s="45"/>
      <c r="E2080" s="79" t="s">
        <v>5264</v>
      </c>
      <c r="F2080" s="79" t="s">
        <v>8784</v>
      </c>
      <c r="G2080" s="80" t="s">
        <v>96</v>
      </c>
      <c r="H2080" s="90">
        <v>1.418E-4</v>
      </c>
      <c r="I2080" s="45"/>
      <c r="J2080" s="45"/>
      <c r="K2080" s="45"/>
      <c r="L2080" s="45"/>
      <c r="M2080" s="45"/>
      <c r="N2080" s="45"/>
      <c r="O2080" s="45"/>
      <c r="P2080" s="45"/>
      <c r="Q2080" s="45"/>
      <c r="R2080" s="45"/>
      <c r="S2080" s="45"/>
      <c r="T2080" s="45"/>
      <c r="U2080" s="45"/>
    </row>
    <row r="2081">
      <c r="A2081" s="79" t="s">
        <v>19406</v>
      </c>
      <c r="B2081" s="45"/>
      <c r="C2081" s="79" t="s">
        <v>19407</v>
      </c>
      <c r="D2081" s="45"/>
      <c r="E2081" s="79" t="s">
        <v>5742</v>
      </c>
      <c r="F2081" s="79" t="s">
        <v>4357</v>
      </c>
      <c r="G2081" s="80" t="s">
        <v>96</v>
      </c>
      <c r="H2081" s="90">
        <v>1.417E-4</v>
      </c>
      <c r="I2081" s="45"/>
      <c r="J2081" s="45"/>
      <c r="K2081" s="45"/>
      <c r="L2081" s="45"/>
      <c r="M2081" s="45"/>
      <c r="N2081" s="45"/>
      <c r="O2081" s="45"/>
      <c r="P2081" s="45"/>
      <c r="Q2081" s="45"/>
      <c r="R2081" s="45"/>
      <c r="S2081" s="45"/>
      <c r="T2081" s="45"/>
      <c r="U2081" s="45"/>
    </row>
    <row r="2082">
      <c r="A2082" s="79" t="s">
        <v>19408</v>
      </c>
      <c r="B2082" s="45"/>
      <c r="C2082" s="79" t="s">
        <v>19409</v>
      </c>
      <c r="D2082" s="45"/>
      <c r="E2082" s="79" t="s">
        <v>10125</v>
      </c>
      <c r="F2082" s="79" t="s">
        <v>5300</v>
      </c>
      <c r="G2082" s="80" t="s">
        <v>96</v>
      </c>
      <c r="H2082" s="90">
        <v>1.415E-4</v>
      </c>
      <c r="I2082" s="45"/>
      <c r="J2082" s="45"/>
      <c r="K2082" s="45"/>
      <c r="L2082" s="45"/>
      <c r="M2082" s="45"/>
      <c r="N2082" s="45"/>
      <c r="O2082" s="45"/>
      <c r="P2082" s="45"/>
      <c r="Q2082" s="45"/>
      <c r="R2082" s="45"/>
      <c r="S2082" s="45"/>
      <c r="T2082" s="45"/>
      <c r="U2082" s="45"/>
    </row>
    <row r="2083">
      <c r="A2083" s="79" t="s">
        <v>19410</v>
      </c>
      <c r="B2083" s="45"/>
      <c r="C2083" s="79" t="s">
        <v>19411</v>
      </c>
      <c r="D2083" s="45"/>
      <c r="E2083" s="79" t="s">
        <v>5226</v>
      </c>
      <c r="F2083" s="79" t="s">
        <v>5300</v>
      </c>
      <c r="G2083" s="80" t="s">
        <v>96</v>
      </c>
      <c r="H2083" s="90">
        <v>1.415E-4</v>
      </c>
      <c r="I2083" s="45"/>
      <c r="J2083" s="45"/>
      <c r="K2083" s="45"/>
      <c r="L2083" s="45"/>
      <c r="M2083" s="45"/>
      <c r="N2083" s="45"/>
      <c r="O2083" s="45"/>
      <c r="P2083" s="45"/>
      <c r="Q2083" s="45"/>
      <c r="R2083" s="45"/>
      <c r="S2083" s="45"/>
      <c r="T2083" s="45"/>
      <c r="U2083" s="45"/>
    </row>
    <row r="2084">
      <c r="A2084" s="79" t="s">
        <v>17049</v>
      </c>
      <c r="B2084" s="45"/>
      <c r="C2084" s="79" t="s">
        <v>19412</v>
      </c>
      <c r="D2084" s="45"/>
      <c r="E2084" s="79" t="s">
        <v>5232</v>
      </c>
      <c r="F2084" s="79" t="s">
        <v>9299</v>
      </c>
      <c r="G2084" s="80" t="s">
        <v>96</v>
      </c>
      <c r="H2084" s="90">
        <v>1.414E-4</v>
      </c>
      <c r="I2084" s="45"/>
      <c r="J2084" s="45"/>
      <c r="K2084" s="45"/>
      <c r="L2084" s="45"/>
      <c r="M2084" s="45"/>
      <c r="N2084" s="45"/>
      <c r="O2084" s="45"/>
      <c r="P2084" s="45"/>
      <c r="Q2084" s="45"/>
      <c r="R2084" s="45"/>
      <c r="S2084" s="45"/>
      <c r="T2084" s="45"/>
      <c r="U2084" s="45"/>
    </row>
    <row r="2085">
      <c r="A2085" s="79" t="s">
        <v>19413</v>
      </c>
      <c r="B2085" s="45"/>
      <c r="C2085" s="79" t="s">
        <v>19414</v>
      </c>
      <c r="D2085" s="45"/>
      <c r="E2085" s="79" t="s">
        <v>9959</v>
      </c>
      <c r="F2085" s="79" t="s">
        <v>5836</v>
      </c>
      <c r="G2085" s="80" t="s">
        <v>96</v>
      </c>
      <c r="H2085" s="90">
        <v>1.414E-4</v>
      </c>
      <c r="I2085" s="45"/>
      <c r="J2085" s="45"/>
      <c r="K2085" s="45"/>
      <c r="L2085" s="45"/>
      <c r="M2085" s="45"/>
      <c r="N2085" s="45"/>
      <c r="O2085" s="45"/>
      <c r="P2085" s="45"/>
      <c r="Q2085" s="45"/>
      <c r="R2085" s="45"/>
      <c r="S2085" s="45"/>
      <c r="T2085" s="45"/>
      <c r="U2085" s="45"/>
    </row>
    <row r="2086">
      <c r="A2086" s="79" t="s">
        <v>19415</v>
      </c>
      <c r="B2086" s="45"/>
      <c r="C2086" s="79" t="s">
        <v>19416</v>
      </c>
      <c r="D2086" s="45"/>
      <c r="E2086" s="79" t="s">
        <v>6223</v>
      </c>
      <c r="F2086" s="79" t="s">
        <v>5300</v>
      </c>
      <c r="G2086" s="80" t="s">
        <v>96</v>
      </c>
      <c r="H2086" s="90">
        <v>1.414E-4</v>
      </c>
      <c r="I2086" s="45"/>
      <c r="J2086" s="45"/>
      <c r="K2086" s="45"/>
      <c r="L2086" s="45"/>
      <c r="M2086" s="45"/>
      <c r="N2086" s="45"/>
      <c r="O2086" s="45"/>
      <c r="P2086" s="45"/>
      <c r="Q2086" s="45"/>
      <c r="R2086" s="45"/>
      <c r="S2086" s="45"/>
      <c r="T2086" s="45"/>
      <c r="U2086" s="45"/>
    </row>
    <row r="2087">
      <c r="A2087" s="79" t="s">
        <v>19417</v>
      </c>
      <c r="B2087" s="45"/>
      <c r="C2087" s="79" t="s">
        <v>19418</v>
      </c>
      <c r="D2087" s="45"/>
      <c r="E2087" s="79" t="s">
        <v>5377</v>
      </c>
      <c r="F2087" s="79" t="s">
        <v>8767</v>
      </c>
      <c r="G2087" s="80" t="s">
        <v>96</v>
      </c>
      <c r="H2087" s="90">
        <v>1.413E-4</v>
      </c>
      <c r="I2087" s="45"/>
      <c r="J2087" s="45"/>
      <c r="K2087" s="45"/>
      <c r="L2087" s="45"/>
      <c r="M2087" s="45"/>
      <c r="N2087" s="45"/>
      <c r="O2087" s="45"/>
      <c r="P2087" s="45"/>
      <c r="Q2087" s="45"/>
      <c r="R2087" s="45"/>
      <c r="S2087" s="45"/>
      <c r="T2087" s="45"/>
      <c r="U2087" s="45"/>
    </row>
    <row r="2088">
      <c r="A2088" s="79" t="s">
        <v>19419</v>
      </c>
      <c r="B2088" s="45"/>
      <c r="C2088" s="79" t="s">
        <v>19420</v>
      </c>
      <c r="D2088" s="45"/>
      <c r="E2088" s="79" t="s">
        <v>5650</v>
      </c>
      <c r="F2088" s="79" t="s">
        <v>9513</v>
      </c>
      <c r="G2088" s="80" t="s">
        <v>96</v>
      </c>
      <c r="H2088" s="90">
        <v>1.411E-4</v>
      </c>
      <c r="I2088" s="45"/>
      <c r="J2088" s="45"/>
      <c r="K2088" s="45"/>
      <c r="L2088" s="45"/>
      <c r="M2088" s="45"/>
      <c r="N2088" s="45"/>
      <c r="O2088" s="45"/>
      <c r="P2088" s="45"/>
      <c r="Q2088" s="45"/>
      <c r="R2088" s="45"/>
      <c r="S2088" s="45"/>
      <c r="T2088" s="45"/>
      <c r="U2088" s="45"/>
    </row>
    <row r="2089">
      <c r="A2089" s="79" t="s">
        <v>19421</v>
      </c>
      <c r="B2089" s="45"/>
      <c r="C2089" s="79" t="s">
        <v>19422</v>
      </c>
      <c r="D2089" s="45"/>
      <c r="E2089" s="79" t="s">
        <v>5264</v>
      </c>
      <c r="F2089" s="79" t="s">
        <v>5836</v>
      </c>
      <c r="G2089" s="80" t="s">
        <v>96</v>
      </c>
      <c r="H2089" s="90">
        <v>1.41E-4</v>
      </c>
      <c r="I2089" s="45"/>
      <c r="J2089" s="45"/>
      <c r="K2089" s="45"/>
      <c r="L2089" s="45"/>
      <c r="M2089" s="45"/>
      <c r="N2089" s="45"/>
      <c r="O2089" s="45"/>
      <c r="P2089" s="45"/>
      <c r="Q2089" s="45"/>
      <c r="R2089" s="45"/>
      <c r="S2089" s="45"/>
      <c r="T2089" s="45"/>
      <c r="U2089" s="45"/>
    </row>
    <row r="2090">
      <c r="A2090" s="79" t="s">
        <v>19423</v>
      </c>
      <c r="B2090" s="45"/>
      <c r="C2090" s="79" t="s">
        <v>19424</v>
      </c>
      <c r="D2090" s="45"/>
      <c r="E2090" s="79" t="s">
        <v>5434</v>
      </c>
      <c r="F2090" s="79" t="s">
        <v>5300</v>
      </c>
      <c r="G2090" s="80" t="s">
        <v>96</v>
      </c>
      <c r="H2090" s="90">
        <v>1.41E-4</v>
      </c>
      <c r="I2090" s="45"/>
      <c r="J2090" s="45"/>
      <c r="K2090" s="45"/>
      <c r="L2090" s="45"/>
      <c r="M2090" s="45"/>
      <c r="N2090" s="45"/>
      <c r="O2090" s="45"/>
      <c r="P2090" s="45"/>
      <c r="Q2090" s="45"/>
      <c r="R2090" s="45"/>
      <c r="S2090" s="45"/>
      <c r="T2090" s="45"/>
      <c r="U2090" s="45"/>
    </row>
    <row r="2091">
      <c r="A2091" s="79" t="s">
        <v>5491</v>
      </c>
      <c r="B2091" s="45"/>
      <c r="C2091" s="79" t="s">
        <v>19425</v>
      </c>
      <c r="D2091" s="45"/>
      <c r="E2091" s="79" t="s">
        <v>5450</v>
      </c>
      <c r="F2091" s="79" t="s">
        <v>5425</v>
      </c>
      <c r="G2091" s="80" t="s">
        <v>96</v>
      </c>
      <c r="H2091" s="90">
        <v>1.409E-4</v>
      </c>
      <c r="I2091" s="45"/>
      <c r="J2091" s="45"/>
      <c r="K2091" s="45"/>
      <c r="L2091" s="45"/>
      <c r="M2091" s="45"/>
      <c r="N2091" s="45"/>
      <c r="O2091" s="45"/>
      <c r="P2091" s="45"/>
      <c r="Q2091" s="45"/>
      <c r="R2091" s="45"/>
      <c r="S2091" s="45"/>
      <c r="T2091" s="45"/>
      <c r="U2091" s="45"/>
    </row>
    <row r="2092">
      <c r="A2092" s="79" t="s">
        <v>7616</v>
      </c>
      <c r="B2092" s="45"/>
      <c r="C2092" s="79" t="s">
        <v>19426</v>
      </c>
      <c r="D2092" s="45"/>
      <c r="E2092" s="79" t="s">
        <v>5390</v>
      </c>
      <c r="F2092" s="79" t="s">
        <v>8784</v>
      </c>
      <c r="G2092" s="80" t="s">
        <v>96</v>
      </c>
      <c r="H2092" s="90">
        <v>1.408E-4</v>
      </c>
      <c r="I2092" s="45"/>
      <c r="J2092" s="45"/>
      <c r="K2092" s="45"/>
      <c r="L2092" s="45"/>
      <c r="M2092" s="45"/>
      <c r="N2092" s="45"/>
      <c r="O2092" s="45"/>
      <c r="P2092" s="45"/>
      <c r="Q2092" s="45"/>
      <c r="R2092" s="45"/>
      <c r="S2092" s="45"/>
      <c r="T2092" s="45"/>
      <c r="U2092" s="45"/>
    </row>
    <row r="2093">
      <c r="A2093" s="79" t="s">
        <v>19427</v>
      </c>
      <c r="B2093" s="45"/>
      <c r="C2093" s="79" t="s">
        <v>19428</v>
      </c>
      <c r="D2093" s="45"/>
      <c r="E2093" s="79" t="s">
        <v>5283</v>
      </c>
      <c r="F2093" s="79" t="s">
        <v>9021</v>
      </c>
      <c r="G2093" s="80" t="s">
        <v>96</v>
      </c>
      <c r="H2093" s="90">
        <v>1.407E-4</v>
      </c>
      <c r="I2093" s="45"/>
      <c r="J2093" s="45"/>
      <c r="K2093" s="45"/>
      <c r="L2093" s="45"/>
      <c r="M2093" s="45"/>
      <c r="N2093" s="45"/>
      <c r="O2093" s="45"/>
      <c r="P2093" s="45"/>
      <c r="Q2093" s="45"/>
      <c r="R2093" s="45"/>
      <c r="S2093" s="45"/>
      <c r="T2093" s="45"/>
      <c r="U2093" s="45"/>
    </row>
    <row r="2094">
      <c r="A2094" s="79" t="s">
        <v>19429</v>
      </c>
      <c r="B2094" s="45"/>
      <c r="C2094" s="79" t="s">
        <v>19430</v>
      </c>
      <c r="D2094" s="45"/>
      <c r="E2094" s="79" t="s">
        <v>9039</v>
      </c>
      <c r="F2094" s="79" t="s">
        <v>8784</v>
      </c>
      <c r="G2094" s="80" t="s">
        <v>96</v>
      </c>
      <c r="H2094" s="90">
        <v>1.407E-4</v>
      </c>
      <c r="I2094" s="45"/>
      <c r="J2094" s="45"/>
      <c r="K2094" s="45"/>
      <c r="L2094" s="45"/>
      <c r="M2094" s="45"/>
      <c r="N2094" s="45"/>
      <c r="O2094" s="45"/>
      <c r="P2094" s="45"/>
      <c r="Q2094" s="45"/>
      <c r="R2094" s="45"/>
      <c r="S2094" s="45"/>
      <c r="T2094" s="45"/>
      <c r="U2094" s="45"/>
    </row>
    <row r="2095">
      <c r="A2095" s="79" t="s">
        <v>19431</v>
      </c>
      <c r="B2095" s="45"/>
      <c r="C2095" s="79" t="s">
        <v>19432</v>
      </c>
      <c r="D2095" s="45"/>
      <c r="E2095" s="79" t="s">
        <v>5291</v>
      </c>
      <c r="F2095" s="79" t="s">
        <v>6220</v>
      </c>
      <c r="G2095" s="80" t="s">
        <v>96</v>
      </c>
      <c r="H2095" s="90">
        <v>1.402E-4</v>
      </c>
      <c r="I2095" s="45"/>
      <c r="J2095" s="45"/>
      <c r="K2095" s="45"/>
      <c r="L2095" s="45"/>
      <c r="M2095" s="45"/>
      <c r="N2095" s="45"/>
      <c r="O2095" s="45"/>
      <c r="P2095" s="45"/>
      <c r="Q2095" s="45"/>
      <c r="R2095" s="45"/>
      <c r="S2095" s="45"/>
      <c r="T2095" s="45"/>
      <c r="U2095" s="45"/>
    </row>
    <row r="2096">
      <c r="A2096" s="79" t="s">
        <v>16002</v>
      </c>
      <c r="B2096" s="45"/>
      <c r="C2096" s="79" t="s">
        <v>19433</v>
      </c>
      <c r="D2096" s="45"/>
      <c r="E2096" s="79" t="s">
        <v>5253</v>
      </c>
      <c r="F2096" s="79" t="s">
        <v>6220</v>
      </c>
      <c r="G2096" s="80" t="s">
        <v>96</v>
      </c>
      <c r="H2096" s="90">
        <v>1.402E-4</v>
      </c>
      <c r="I2096" s="45"/>
      <c r="J2096" s="45"/>
      <c r="K2096" s="45"/>
      <c r="L2096" s="45"/>
      <c r="M2096" s="45"/>
      <c r="N2096" s="45"/>
      <c r="O2096" s="45"/>
      <c r="P2096" s="45"/>
      <c r="Q2096" s="45"/>
      <c r="R2096" s="45"/>
      <c r="S2096" s="45"/>
      <c r="T2096" s="45"/>
      <c r="U2096" s="45"/>
    </row>
    <row r="2097">
      <c r="A2097" s="79" t="s">
        <v>19434</v>
      </c>
      <c r="B2097" s="45"/>
      <c r="C2097" s="79" t="s">
        <v>19435</v>
      </c>
      <c r="D2097" s="45"/>
      <c r="E2097" s="79" t="s">
        <v>5258</v>
      </c>
      <c r="F2097" s="79" t="s">
        <v>5836</v>
      </c>
      <c r="G2097" s="80" t="s">
        <v>96</v>
      </c>
      <c r="H2097" s="90">
        <v>1.401E-4</v>
      </c>
      <c r="I2097" s="45"/>
      <c r="J2097" s="45"/>
      <c r="K2097" s="45"/>
      <c r="L2097" s="45"/>
      <c r="M2097" s="45"/>
      <c r="N2097" s="45"/>
      <c r="O2097" s="45"/>
      <c r="P2097" s="45"/>
      <c r="Q2097" s="45"/>
      <c r="R2097" s="45"/>
      <c r="S2097" s="45"/>
      <c r="T2097" s="45"/>
      <c r="U2097" s="45"/>
    </row>
    <row r="2098">
      <c r="A2098" s="79" t="s">
        <v>19436</v>
      </c>
      <c r="B2098" s="45"/>
      <c r="C2098" s="79" t="s">
        <v>19437</v>
      </c>
      <c r="D2098" s="45"/>
      <c r="E2098" s="79" t="s">
        <v>6327</v>
      </c>
      <c r="F2098" s="79" t="s">
        <v>8784</v>
      </c>
      <c r="G2098" s="80" t="s">
        <v>96</v>
      </c>
      <c r="H2098" s="90">
        <v>1.4E-4</v>
      </c>
      <c r="I2098" s="45"/>
      <c r="J2098" s="45"/>
      <c r="K2098" s="45"/>
      <c r="L2098" s="45"/>
      <c r="M2098" s="45"/>
      <c r="N2098" s="45"/>
      <c r="O2098" s="45"/>
      <c r="P2098" s="45"/>
      <c r="Q2098" s="45"/>
      <c r="R2098" s="45"/>
      <c r="S2098" s="45"/>
      <c r="T2098" s="45"/>
      <c r="U2098" s="45"/>
    </row>
    <row r="2099">
      <c r="A2099" s="79" t="s">
        <v>19438</v>
      </c>
      <c r="B2099" s="45"/>
      <c r="C2099" s="79" t="s">
        <v>19439</v>
      </c>
      <c r="D2099" s="45"/>
      <c r="E2099" s="79" t="s">
        <v>5478</v>
      </c>
      <c r="F2099" s="79" t="s">
        <v>5300</v>
      </c>
      <c r="G2099" s="80" t="s">
        <v>96</v>
      </c>
      <c r="H2099" s="90">
        <v>1.399E-4</v>
      </c>
      <c r="I2099" s="45"/>
      <c r="J2099" s="45"/>
      <c r="K2099" s="45"/>
      <c r="L2099" s="45"/>
      <c r="M2099" s="45"/>
      <c r="N2099" s="45"/>
      <c r="O2099" s="45"/>
      <c r="P2099" s="45"/>
      <c r="Q2099" s="45"/>
      <c r="R2099" s="45"/>
      <c r="S2099" s="45"/>
      <c r="T2099" s="45"/>
      <c r="U2099" s="45"/>
    </row>
    <row r="2100">
      <c r="A2100" s="79" t="s">
        <v>19440</v>
      </c>
      <c r="B2100" s="45"/>
      <c r="C2100" s="79" t="s">
        <v>19441</v>
      </c>
      <c r="D2100" s="45"/>
      <c r="E2100" s="79" t="s">
        <v>6514</v>
      </c>
      <c r="F2100" s="79" t="s">
        <v>5300</v>
      </c>
      <c r="G2100" s="80" t="s">
        <v>96</v>
      </c>
      <c r="H2100" s="90">
        <v>1.399E-4</v>
      </c>
      <c r="I2100" s="45"/>
      <c r="J2100" s="45"/>
      <c r="K2100" s="45"/>
      <c r="L2100" s="45"/>
      <c r="M2100" s="45"/>
      <c r="N2100" s="45"/>
      <c r="O2100" s="45"/>
      <c r="P2100" s="45"/>
      <c r="Q2100" s="45"/>
      <c r="R2100" s="45"/>
      <c r="S2100" s="45"/>
      <c r="T2100" s="45"/>
      <c r="U2100" s="45"/>
    </row>
    <row r="2101">
      <c r="A2101" s="79" t="s">
        <v>19442</v>
      </c>
      <c r="B2101" s="45"/>
      <c r="C2101" s="79" t="s">
        <v>19443</v>
      </c>
      <c r="D2101" s="45"/>
      <c r="E2101" s="79" t="s">
        <v>6729</v>
      </c>
      <c r="F2101" s="79" t="s">
        <v>5300</v>
      </c>
      <c r="G2101" s="80" t="s">
        <v>96</v>
      </c>
      <c r="H2101" s="90">
        <v>1.398E-4</v>
      </c>
      <c r="I2101" s="45"/>
      <c r="J2101" s="45"/>
      <c r="K2101" s="45"/>
      <c r="L2101" s="45"/>
      <c r="M2101" s="45"/>
      <c r="N2101" s="45"/>
      <c r="O2101" s="45"/>
      <c r="P2101" s="45"/>
      <c r="Q2101" s="45"/>
      <c r="R2101" s="45"/>
      <c r="S2101" s="45"/>
      <c r="T2101" s="45"/>
      <c r="U2101" s="45"/>
    </row>
    <row r="2102">
      <c r="A2102" s="79" t="s">
        <v>19444</v>
      </c>
      <c r="B2102" s="45"/>
      <c r="C2102" s="79" t="s">
        <v>19445</v>
      </c>
      <c r="D2102" s="45"/>
      <c r="E2102" s="79" t="s">
        <v>7611</v>
      </c>
      <c r="F2102" s="79" t="s">
        <v>8784</v>
      </c>
      <c r="G2102" s="80" t="s">
        <v>96</v>
      </c>
      <c r="H2102" s="90">
        <v>1.397E-4</v>
      </c>
      <c r="I2102" s="45"/>
      <c r="J2102" s="45"/>
      <c r="K2102" s="45"/>
      <c r="L2102" s="45"/>
      <c r="M2102" s="45"/>
      <c r="N2102" s="45"/>
      <c r="O2102" s="45"/>
      <c r="P2102" s="45"/>
      <c r="Q2102" s="45"/>
      <c r="R2102" s="45"/>
      <c r="S2102" s="45"/>
      <c r="T2102" s="45"/>
      <c r="U2102" s="45"/>
    </row>
    <row r="2103">
      <c r="A2103" s="79" t="s">
        <v>19446</v>
      </c>
      <c r="B2103" s="45"/>
      <c r="C2103" s="79" t="s">
        <v>19447</v>
      </c>
      <c r="D2103" s="45"/>
      <c r="E2103" s="79" t="s">
        <v>9039</v>
      </c>
      <c r="F2103" s="79" t="s">
        <v>5836</v>
      </c>
      <c r="G2103" s="80" t="s">
        <v>96</v>
      </c>
      <c r="H2103" s="90">
        <v>1.397E-4</v>
      </c>
      <c r="I2103" s="45"/>
      <c r="J2103" s="45"/>
      <c r="K2103" s="45"/>
      <c r="L2103" s="45"/>
      <c r="M2103" s="45"/>
      <c r="N2103" s="45"/>
      <c r="O2103" s="45"/>
      <c r="P2103" s="45"/>
      <c r="Q2103" s="45"/>
      <c r="R2103" s="45"/>
      <c r="S2103" s="45"/>
      <c r="T2103" s="45"/>
      <c r="U2103" s="45"/>
    </row>
    <row r="2104">
      <c r="A2104" s="79" t="s">
        <v>11091</v>
      </c>
      <c r="B2104" s="45"/>
      <c r="C2104" s="79" t="s">
        <v>11092</v>
      </c>
      <c r="D2104" s="45"/>
      <c r="E2104" s="79" t="s">
        <v>9478</v>
      </c>
      <c r="F2104" s="79" t="s">
        <v>8784</v>
      </c>
      <c r="G2104" s="80" t="s">
        <v>96</v>
      </c>
      <c r="H2104" s="90">
        <v>1.396E-4</v>
      </c>
      <c r="I2104" s="45"/>
      <c r="J2104" s="45"/>
      <c r="K2104" s="45"/>
      <c r="L2104" s="45"/>
      <c r="M2104" s="45"/>
      <c r="N2104" s="45"/>
      <c r="O2104" s="45"/>
      <c r="P2104" s="45"/>
      <c r="Q2104" s="45"/>
      <c r="R2104" s="45"/>
      <c r="S2104" s="45"/>
      <c r="T2104" s="45"/>
      <c r="U2104" s="45"/>
    </row>
    <row r="2105">
      <c r="A2105" s="79" t="s">
        <v>19448</v>
      </c>
      <c r="B2105" s="45"/>
      <c r="C2105" s="79" t="s">
        <v>19449</v>
      </c>
      <c r="D2105" s="45"/>
      <c r="E2105" s="79" t="s">
        <v>5516</v>
      </c>
      <c r="F2105" s="79" t="s">
        <v>6210</v>
      </c>
      <c r="G2105" s="80" t="s">
        <v>96</v>
      </c>
      <c r="H2105" s="90">
        <v>1.396E-4</v>
      </c>
      <c r="I2105" s="45"/>
      <c r="J2105" s="45"/>
      <c r="K2105" s="45"/>
      <c r="L2105" s="45"/>
      <c r="M2105" s="45"/>
      <c r="N2105" s="45"/>
      <c r="O2105" s="45"/>
      <c r="P2105" s="45"/>
      <c r="Q2105" s="45"/>
      <c r="R2105" s="45"/>
      <c r="S2105" s="45"/>
      <c r="T2105" s="45"/>
      <c r="U2105" s="45"/>
    </row>
    <row r="2106">
      <c r="A2106" s="79" t="s">
        <v>19450</v>
      </c>
      <c r="B2106" s="45"/>
      <c r="C2106" s="79" t="s">
        <v>19451</v>
      </c>
      <c r="D2106" s="45"/>
      <c r="E2106" s="79" t="s">
        <v>5283</v>
      </c>
      <c r="F2106" s="79" t="s">
        <v>5300</v>
      </c>
      <c r="G2106" s="80" t="s">
        <v>96</v>
      </c>
      <c r="H2106" s="90">
        <v>1.395E-4</v>
      </c>
      <c r="I2106" s="45"/>
      <c r="J2106" s="45"/>
      <c r="K2106" s="45"/>
      <c r="L2106" s="45"/>
      <c r="M2106" s="45"/>
      <c r="N2106" s="45"/>
      <c r="O2106" s="45"/>
      <c r="P2106" s="45"/>
      <c r="Q2106" s="45"/>
      <c r="R2106" s="45"/>
      <c r="S2106" s="45"/>
      <c r="T2106" s="45"/>
      <c r="U2106" s="45"/>
    </row>
    <row r="2107">
      <c r="A2107" s="79" t="s">
        <v>19452</v>
      </c>
      <c r="B2107" s="45"/>
      <c r="C2107" s="79" t="s">
        <v>19453</v>
      </c>
      <c r="D2107" s="45"/>
      <c r="E2107" s="79" t="s">
        <v>5291</v>
      </c>
      <c r="F2107" s="79" t="s">
        <v>5941</v>
      </c>
      <c r="G2107" s="80" t="s">
        <v>96</v>
      </c>
      <c r="H2107" s="90">
        <v>1.395E-4</v>
      </c>
      <c r="I2107" s="45"/>
      <c r="J2107" s="45"/>
      <c r="K2107" s="45"/>
      <c r="L2107" s="45"/>
      <c r="M2107" s="45"/>
      <c r="N2107" s="45"/>
      <c r="O2107" s="45"/>
      <c r="P2107" s="45"/>
      <c r="Q2107" s="45"/>
      <c r="R2107" s="45"/>
      <c r="S2107" s="45"/>
      <c r="T2107" s="45"/>
      <c r="U2107" s="45"/>
    </row>
    <row r="2108">
      <c r="A2108" s="79" t="s">
        <v>19454</v>
      </c>
      <c r="B2108" s="45"/>
      <c r="C2108" s="79" t="s">
        <v>19455</v>
      </c>
      <c r="D2108" s="45"/>
      <c r="E2108" s="79" t="s">
        <v>5775</v>
      </c>
      <c r="F2108" s="79" t="s">
        <v>5300</v>
      </c>
      <c r="G2108" s="80" t="s">
        <v>96</v>
      </c>
      <c r="H2108" s="90">
        <v>1.394E-4</v>
      </c>
      <c r="I2108" s="45"/>
      <c r="J2108" s="45"/>
      <c r="K2108" s="45"/>
      <c r="L2108" s="45"/>
      <c r="M2108" s="45"/>
      <c r="N2108" s="45"/>
      <c r="O2108" s="45"/>
      <c r="P2108" s="45"/>
      <c r="Q2108" s="45"/>
      <c r="R2108" s="45"/>
      <c r="S2108" s="45"/>
      <c r="T2108" s="45"/>
      <c r="U2108" s="45"/>
    </row>
    <row r="2109">
      <c r="A2109" s="79" t="s">
        <v>19456</v>
      </c>
      <c r="B2109" s="45"/>
      <c r="C2109" s="79" t="s">
        <v>19457</v>
      </c>
      <c r="D2109" s="45"/>
      <c r="E2109" s="79" t="s">
        <v>6416</v>
      </c>
      <c r="F2109" s="79" t="s">
        <v>5836</v>
      </c>
      <c r="G2109" s="80" t="s">
        <v>96</v>
      </c>
      <c r="H2109" s="90">
        <v>1.39E-4</v>
      </c>
      <c r="I2109" s="45"/>
      <c r="J2109" s="45"/>
      <c r="K2109" s="45"/>
      <c r="L2109" s="45"/>
      <c r="M2109" s="45"/>
      <c r="N2109" s="45"/>
      <c r="O2109" s="45"/>
      <c r="P2109" s="45"/>
      <c r="Q2109" s="45"/>
      <c r="R2109" s="45"/>
      <c r="S2109" s="45"/>
      <c r="T2109" s="45"/>
      <c r="U2109" s="45"/>
    </row>
    <row r="2110">
      <c r="A2110" s="79" t="s">
        <v>4514</v>
      </c>
      <c r="B2110" s="45"/>
      <c r="C2110" s="79" t="s">
        <v>19458</v>
      </c>
      <c r="D2110" s="45"/>
      <c r="E2110" s="79" t="s">
        <v>5374</v>
      </c>
      <c r="F2110" s="79" t="s">
        <v>5747</v>
      </c>
      <c r="G2110" s="80" t="s">
        <v>96</v>
      </c>
      <c r="H2110" s="90">
        <v>1.39E-4</v>
      </c>
      <c r="I2110" s="45"/>
      <c r="J2110" s="45"/>
      <c r="K2110" s="45"/>
      <c r="L2110" s="45"/>
      <c r="M2110" s="45"/>
      <c r="N2110" s="45"/>
      <c r="O2110" s="45"/>
      <c r="P2110" s="45"/>
      <c r="Q2110" s="45"/>
      <c r="R2110" s="45"/>
      <c r="S2110" s="45"/>
      <c r="T2110" s="45"/>
      <c r="U2110" s="45"/>
    </row>
    <row r="2111">
      <c r="A2111" s="79" t="s">
        <v>19459</v>
      </c>
      <c r="B2111" s="45"/>
      <c r="C2111" s="79" t="s">
        <v>19460</v>
      </c>
      <c r="D2111" s="45"/>
      <c r="E2111" s="79" t="s">
        <v>5341</v>
      </c>
      <c r="F2111" s="79" t="s">
        <v>5300</v>
      </c>
      <c r="G2111" s="80" t="s">
        <v>96</v>
      </c>
      <c r="H2111" s="90">
        <v>1.388E-4</v>
      </c>
      <c r="I2111" s="45"/>
      <c r="J2111" s="45"/>
      <c r="K2111" s="45"/>
      <c r="L2111" s="45"/>
      <c r="M2111" s="45"/>
      <c r="N2111" s="45"/>
      <c r="O2111" s="45"/>
      <c r="P2111" s="45"/>
      <c r="Q2111" s="45"/>
      <c r="R2111" s="45"/>
      <c r="S2111" s="45"/>
      <c r="T2111" s="45"/>
      <c r="U2111" s="45"/>
    </row>
    <row r="2112">
      <c r="A2112" s="79" t="s">
        <v>19461</v>
      </c>
      <c r="B2112" s="45"/>
      <c r="C2112" s="79" t="s">
        <v>19462</v>
      </c>
      <c r="D2112" s="45"/>
      <c r="E2112" s="79" t="s">
        <v>5401</v>
      </c>
      <c r="F2112" s="79" t="s">
        <v>5300</v>
      </c>
      <c r="G2112" s="80" t="s">
        <v>96</v>
      </c>
      <c r="H2112" s="90">
        <v>1.386E-4</v>
      </c>
      <c r="I2112" s="45"/>
      <c r="J2112" s="45"/>
      <c r="K2112" s="45"/>
      <c r="L2112" s="45"/>
      <c r="M2112" s="45"/>
      <c r="N2112" s="45"/>
      <c r="O2112" s="45"/>
      <c r="P2112" s="45"/>
      <c r="Q2112" s="45"/>
      <c r="R2112" s="45"/>
      <c r="S2112" s="45"/>
      <c r="T2112" s="45"/>
      <c r="U2112" s="45"/>
    </row>
    <row r="2113">
      <c r="A2113" s="79" t="s">
        <v>5557</v>
      </c>
      <c r="B2113" s="45"/>
      <c r="C2113" s="79" t="s">
        <v>19463</v>
      </c>
      <c r="D2113" s="45"/>
      <c r="E2113" s="79" t="s">
        <v>5215</v>
      </c>
      <c r="F2113" s="79" t="s">
        <v>5300</v>
      </c>
      <c r="G2113" s="80" t="s">
        <v>96</v>
      </c>
      <c r="H2113" s="90">
        <v>1.385E-4</v>
      </c>
      <c r="I2113" s="45"/>
      <c r="J2113" s="45"/>
      <c r="K2113" s="45"/>
      <c r="L2113" s="45"/>
      <c r="M2113" s="45"/>
      <c r="N2113" s="45"/>
      <c r="O2113" s="45"/>
      <c r="P2113" s="45"/>
      <c r="Q2113" s="45"/>
      <c r="R2113" s="45"/>
      <c r="S2113" s="45"/>
      <c r="T2113" s="45"/>
      <c r="U2113" s="45"/>
    </row>
    <row r="2114">
      <c r="A2114" s="79" t="s">
        <v>19464</v>
      </c>
      <c r="B2114" s="45"/>
      <c r="C2114" s="79" t="s">
        <v>19465</v>
      </c>
      <c r="D2114" s="45"/>
      <c r="E2114" s="79" t="s">
        <v>5215</v>
      </c>
      <c r="F2114" s="79" t="s">
        <v>5300</v>
      </c>
      <c r="G2114" s="80" t="s">
        <v>96</v>
      </c>
      <c r="H2114" s="90">
        <v>1.384E-4</v>
      </c>
      <c r="I2114" s="45"/>
      <c r="J2114" s="45"/>
      <c r="K2114" s="45"/>
      <c r="L2114" s="45"/>
      <c r="M2114" s="45"/>
      <c r="N2114" s="45"/>
      <c r="O2114" s="45"/>
      <c r="P2114" s="45"/>
      <c r="Q2114" s="45"/>
      <c r="R2114" s="45"/>
      <c r="S2114" s="45"/>
      <c r="T2114" s="45"/>
      <c r="U2114" s="45"/>
    </row>
    <row r="2115">
      <c r="A2115" s="79" t="s">
        <v>19466</v>
      </c>
      <c r="B2115" s="45"/>
      <c r="C2115" s="79" t="s">
        <v>19467</v>
      </c>
      <c r="D2115" s="45"/>
      <c r="E2115" s="79" t="s">
        <v>5395</v>
      </c>
      <c r="F2115" s="79" t="s">
        <v>4153</v>
      </c>
      <c r="G2115" s="80" t="s">
        <v>96</v>
      </c>
      <c r="H2115" s="90">
        <v>1.382E-4</v>
      </c>
      <c r="I2115" s="45"/>
      <c r="J2115" s="45"/>
      <c r="K2115" s="45"/>
      <c r="L2115" s="45"/>
      <c r="M2115" s="45"/>
      <c r="N2115" s="45"/>
      <c r="O2115" s="45"/>
      <c r="P2115" s="45"/>
      <c r="Q2115" s="45"/>
      <c r="R2115" s="45"/>
      <c r="S2115" s="45"/>
      <c r="T2115" s="45"/>
      <c r="U2115" s="45"/>
    </row>
    <row r="2116">
      <c r="A2116" s="79" t="s">
        <v>19468</v>
      </c>
      <c r="B2116" s="45"/>
      <c r="C2116" s="79" t="s">
        <v>19469</v>
      </c>
      <c r="D2116" s="45"/>
      <c r="E2116" s="79" t="s">
        <v>5395</v>
      </c>
      <c r="F2116" s="79" t="s">
        <v>5300</v>
      </c>
      <c r="G2116" s="80" t="s">
        <v>96</v>
      </c>
      <c r="H2116" s="90">
        <v>1.382E-4</v>
      </c>
      <c r="I2116" s="45"/>
      <c r="J2116" s="45"/>
      <c r="K2116" s="45"/>
      <c r="L2116" s="45"/>
      <c r="M2116" s="45"/>
      <c r="N2116" s="45"/>
      <c r="O2116" s="45"/>
      <c r="P2116" s="45"/>
      <c r="Q2116" s="45"/>
      <c r="R2116" s="45"/>
      <c r="S2116" s="45"/>
      <c r="T2116" s="45"/>
      <c r="U2116" s="45"/>
    </row>
    <row r="2117">
      <c r="A2117" s="79" t="s">
        <v>19470</v>
      </c>
      <c r="B2117" s="45"/>
      <c r="C2117" s="79" t="s">
        <v>19471</v>
      </c>
      <c r="D2117" s="45"/>
      <c r="E2117" s="79" t="s">
        <v>7251</v>
      </c>
      <c r="F2117" s="79" t="s">
        <v>5300</v>
      </c>
      <c r="G2117" s="80" t="s">
        <v>96</v>
      </c>
      <c r="H2117" s="90">
        <v>1.38E-4</v>
      </c>
      <c r="I2117" s="45"/>
      <c r="J2117" s="45"/>
      <c r="K2117" s="45"/>
      <c r="L2117" s="45"/>
      <c r="M2117" s="45"/>
      <c r="N2117" s="45"/>
      <c r="O2117" s="45"/>
      <c r="P2117" s="45"/>
      <c r="Q2117" s="45"/>
      <c r="R2117" s="45"/>
      <c r="S2117" s="45"/>
      <c r="T2117" s="45"/>
      <c r="U2117" s="45"/>
    </row>
    <row r="2118">
      <c r="A2118" s="79" t="s">
        <v>11130</v>
      </c>
      <c r="B2118" s="45"/>
      <c r="C2118" s="79" t="s">
        <v>11131</v>
      </c>
      <c r="D2118" s="45"/>
      <c r="E2118" s="79" t="s">
        <v>5377</v>
      </c>
      <c r="F2118" s="79" t="s">
        <v>9513</v>
      </c>
      <c r="G2118" s="80" t="s">
        <v>96</v>
      </c>
      <c r="H2118" s="90">
        <v>1.379E-4</v>
      </c>
      <c r="I2118" s="45"/>
      <c r="J2118" s="45"/>
      <c r="K2118" s="45"/>
      <c r="L2118" s="45"/>
      <c r="M2118" s="45"/>
      <c r="N2118" s="45"/>
      <c r="O2118" s="45"/>
      <c r="P2118" s="45"/>
      <c r="Q2118" s="45"/>
      <c r="R2118" s="45"/>
      <c r="S2118" s="45"/>
      <c r="T2118" s="45"/>
      <c r="U2118" s="45"/>
    </row>
    <row r="2119">
      <c r="A2119" s="79" t="s">
        <v>19472</v>
      </c>
      <c r="B2119" s="45"/>
      <c r="C2119" s="79" t="s">
        <v>19473</v>
      </c>
      <c r="D2119" s="45"/>
      <c r="E2119" s="79" t="s">
        <v>5218</v>
      </c>
      <c r="F2119" s="79" t="s">
        <v>5300</v>
      </c>
      <c r="G2119" s="80" t="s">
        <v>96</v>
      </c>
      <c r="H2119" s="90">
        <v>1.378E-4</v>
      </c>
      <c r="I2119" s="45"/>
      <c r="J2119" s="45"/>
      <c r="K2119" s="45"/>
      <c r="L2119" s="45"/>
      <c r="M2119" s="45"/>
      <c r="N2119" s="45"/>
      <c r="O2119" s="45"/>
      <c r="P2119" s="45"/>
      <c r="Q2119" s="45"/>
      <c r="R2119" s="45"/>
      <c r="S2119" s="45"/>
      <c r="T2119" s="45"/>
      <c r="U2119" s="45"/>
    </row>
    <row r="2120">
      <c r="A2120" s="79" t="s">
        <v>11150</v>
      </c>
      <c r="B2120" s="45"/>
      <c r="C2120" s="79" t="s">
        <v>11151</v>
      </c>
      <c r="D2120" s="45"/>
      <c r="E2120" s="79" t="s">
        <v>6009</v>
      </c>
      <c r="F2120" s="79" t="s">
        <v>8784</v>
      </c>
      <c r="G2120" s="80" t="s">
        <v>96</v>
      </c>
      <c r="H2120" s="90">
        <v>1.377E-4</v>
      </c>
      <c r="I2120" s="45"/>
      <c r="J2120" s="45"/>
      <c r="K2120" s="45"/>
      <c r="L2120" s="45"/>
      <c r="M2120" s="45"/>
      <c r="N2120" s="45"/>
      <c r="O2120" s="45"/>
      <c r="P2120" s="45"/>
      <c r="Q2120" s="45"/>
      <c r="R2120" s="45"/>
      <c r="S2120" s="45"/>
      <c r="T2120" s="45"/>
      <c r="U2120" s="45"/>
    </row>
    <row r="2121">
      <c r="A2121" s="79" t="s">
        <v>19474</v>
      </c>
      <c r="B2121" s="45"/>
      <c r="C2121" s="79" t="s">
        <v>19475</v>
      </c>
      <c r="D2121" s="45"/>
      <c r="E2121" s="79" t="s">
        <v>6759</v>
      </c>
      <c r="F2121" s="79" t="s">
        <v>5300</v>
      </c>
      <c r="G2121" s="80" t="s">
        <v>96</v>
      </c>
      <c r="H2121" s="90">
        <v>1.376E-4</v>
      </c>
      <c r="I2121" s="45"/>
      <c r="J2121" s="45"/>
      <c r="K2121" s="45"/>
      <c r="L2121" s="45"/>
      <c r="M2121" s="45"/>
      <c r="N2121" s="45"/>
      <c r="O2121" s="45"/>
      <c r="P2121" s="45"/>
      <c r="Q2121" s="45"/>
      <c r="R2121" s="45"/>
      <c r="S2121" s="45"/>
      <c r="T2121" s="45"/>
      <c r="U2121" s="45"/>
    </row>
    <row r="2122">
      <c r="A2122" s="79" t="s">
        <v>19476</v>
      </c>
      <c r="B2122" s="45"/>
      <c r="C2122" s="79" t="s">
        <v>19477</v>
      </c>
      <c r="D2122" s="45"/>
      <c r="E2122" s="79" t="s">
        <v>5235</v>
      </c>
      <c r="F2122" s="79" t="s">
        <v>6210</v>
      </c>
      <c r="G2122" s="80" t="s">
        <v>96</v>
      </c>
      <c r="H2122" s="90">
        <v>1.375E-4</v>
      </c>
      <c r="I2122" s="45"/>
      <c r="J2122" s="45"/>
      <c r="K2122" s="45"/>
      <c r="L2122" s="45"/>
      <c r="M2122" s="45"/>
      <c r="N2122" s="45"/>
      <c r="O2122" s="45"/>
      <c r="P2122" s="45"/>
      <c r="Q2122" s="45"/>
      <c r="R2122" s="45"/>
      <c r="S2122" s="45"/>
      <c r="T2122" s="45"/>
      <c r="U2122" s="45"/>
    </row>
    <row r="2123">
      <c r="A2123" s="79" t="s">
        <v>19478</v>
      </c>
      <c r="B2123" s="45"/>
      <c r="C2123" s="79" t="s">
        <v>19479</v>
      </c>
      <c r="D2123" s="45"/>
      <c r="E2123" s="79" t="s">
        <v>7846</v>
      </c>
      <c r="F2123" s="79" t="s">
        <v>8784</v>
      </c>
      <c r="G2123" s="80" t="s">
        <v>96</v>
      </c>
      <c r="H2123" s="90">
        <v>1.373E-4</v>
      </c>
      <c r="I2123" s="45"/>
      <c r="J2123" s="45"/>
      <c r="K2123" s="45"/>
      <c r="L2123" s="45"/>
      <c r="M2123" s="45"/>
      <c r="N2123" s="45"/>
      <c r="O2123" s="45"/>
      <c r="P2123" s="45"/>
      <c r="Q2123" s="45"/>
      <c r="R2123" s="45"/>
      <c r="S2123" s="45"/>
      <c r="T2123" s="45"/>
      <c r="U2123" s="45"/>
    </row>
    <row r="2124">
      <c r="A2124" s="79" t="s">
        <v>19480</v>
      </c>
      <c r="B2124" s="45"/>
      <c r="C2124" s="79" t="s">
        <v>19481</v>
      </c>
      <c r="D2124" s="45"/>
      <c r="E2124" s="79" t="s">
        <v>5341</v>
      </c>
      <c r="F2124" s="79" t="s">
        <v>8784</v>
      </c>
      <c r="G2124" s="80" t="s">
        <v>96</v>
      </c>
      <c r="H2124" s="90">
        <v>1.373E-4</v>
      </c>
      <c r="I2124" s="45"/>
      <c r="J2124" s="45"/>
      <c r="K2124" s="45"/>
      <c r="L2124" s="45"/>
      <c r="M2124" s="45"/>
      <c r="N2124" s="45"/>
      <c r="O2124" s="45"/>
      <c r="P2124" s="45"/>
      <c r="Q2124" s="45"/>
      <c r="R2124" s="45"/>
      <c r="S2124" s="45"/>
      <c r="T2124" s="45"/>
      <c r="U2124" s="45"/>
    </row>
    <row r="2125">
      <c r="A2125" s="79" t="s">
        <v>19482</v>
      </c>
      <c r="B2125" s="45"/>
      <c r="C2125" s="79" t="s">
        <v>19483</v>
      </c>
      <c r="D2125" s="45"/>
      <c r="E2125" s="79" t="s">
        <v>6130</v>
      </c>
      <c r="F2125" s="79" t="s">
        <v>5300</v>
      </c>
      <c r="G2125" s="80" t="s">
        <v>96</v>
      </c>
      <c r="H2125" s="90">
        <v>1.372E-4</v>
      </c>
      <c r="I2125" s="45"/>
      <c r="J2125" s="45"/>
      <c r="K2125" s="45"/>
      <c r="L2125" s="45"/>
      <c r="M2125" s="45"/>
      <c r="N2125" s="45"/>
      <c r="O2125" s="45"/>
      <c r="P2125" s="45"/>
      <c r="Q2125" s="45"/>
      <c r="R2125" s="45"/>
      <c r="S2125" s="45"/>
      <c r="T2125" s="45"/>
      <c r="U2125" s="45"/>
    </row>
    <row r="2126">
      <c r="A2126" s="79" t="s">
        <v>19484</v>
      </c>
      <c r="B2126" s="45"/>
      <c r="C2126" s="79" t="s">
        <v>19485</v>
      </c>
      <c r="D2126" s="45"/>
      <c r="E2126" s="79" t="s">
        <v>5855</v>
      </c>
      <c r="F2126" s="79" t="s">
        <v>8784</v>
      </c>
      <c r="G2126" s="80" t="s">
        <v>96</v>
      </c>
      <c r="H2126" s="90">
        <v>1.371E-4</v>
      </c>
      <c r="I2126" s="45"/>
      <c r="J2126" s="45"/>
      <c r="K2126" s="45"/>
      <c r="L2126" s="45"/>
      <c r="M2126" s="45"/>
      <c r="N2126" s="45"/>
      <c r="O2126" s="45"/>
      <c r="P2126" s="45"/>
      <c r="Q2126" s="45"/>
      <c r="R2126" s="45"/>
      <c r="S2126" s="45"/>
      <c r="T2126" s="45"/>
      <c r="U2126" s="45"/>
    </row>
    <row r="2127">
      <c r="A2127" s="79" t="s">
        <v>19486</v>
      </c>
      <c r="B2127" s="45"/>
      <c r="C2127" s="79" t="s">
        <v>19487</v>
      </c>
      <c r="D2127" s="45"/>
      <c r="E2127" s="79" t="s">
        <v>5456</v>
      </c>
      <c r="F2127" s="79" t="s">
        <v>5300</v>
      </c>
      <c r="G2127" s="80" t="s">
        <v>96</v>
      </c>
      <c r="H2127" s="90">
        <v>1.369E-4</v>
      </c>
      <c r="I2127" s="45"/>
      <c r="J2127" s="45"/>
      <c r="K2127" s="45"/>
      <c r="L2127" s="45"/>
      <c r="M2127" s="45"/>
      <c r="N2127" s="45"/>
      <c r="O2127" s="45"/>
      <c r="P2127" s="45"/>
      <c r="Q2127" s="45"/>
      <c r="R2127" s="45"/>
      <c r="S2127" s="45"/>
      <c r="T2127" s="45"/>
      <c r="U2127" s="45"/>
    </row>
    <row r="2128">
      <c r="A2128" s="79" t="s">
        <v>11154</v>
      </c>
      <c r="B2128" s="45"/>
      <c r="C2128" s="79" t="s">
        <v>11155</v>
      </c>
      <c r="D2128" s="45"/>
      <c r="E2128" s="79" t="s">
        <v>5434</v>
      </c>
      <c r="F2128" s="79" t="s">
        <v>6210</v>
      </c>
      <c r="G2128" s="80" t="s">
        <v>96</v>
      </c>
      <c r="H2128" s="90">
        <v>1.369E-4</v>
      </c>
      <c r="I2128" s="45"/>
      <c r="J2128" s="45"/>
      <c r="K2128" s="45"/>
      <c r="L2128" s="45"/>
      <c r="M2128" s="45"/>
      <c r="N2128" s="45"/>
      <c r="O2128" s="45"/>
      <c r="P2128" s="45"/>
      <c r="Q2128" s="45"/>
      <c r="R2128" s="45"/>
      <c r="S2128" s="45"/>
      <c r="T2128" s="45"/>
      <c r="U2128" s="45"/>
    </row>
    <row r="2129">
      <c r="A2129" s="79" t="s">
        <v>19488</v>
      </c>
      <c r="B2129" s="45"/>
      <c r="C2129" s="79" t="s">
        <v>19489</v>
      </c>
      <c r="D2129" s="45"/>
      <c r="E2129" s="79" t="s">
        <v>6157</v>
      </c>
      <c r="F2129" s="79" t="s">
        <v>5836</v>
      </c>
      <c r="G2129" s="80" t="s">
        <v>96</v>
      </c>
      <c r="H2129" s="90">
        <v>1.369E-4</v>
      </c>
      <c r="I2129" s="45"/>
      <c r="J2129" s="45"/>
      <c r="K2129" s="45"/>
      <c r="L2129" s="45"/>
      <c r="M2129" s="45"/>
      <c r="N2129" s="45"/>
      <c r="O2129" s="45"/>
      <c r="P2129" s="45"/>
      <c r="Q2129" s="45"/>
      <c r="R2129" s="45"/>
      <c r="S2129" s="45"/>
      <c r="T2129" s="45"/>
      <c r="U2129" s="45"/>
    </row>
    <row r="2130">
      <c r="A2130" s="79" t="s">
        <v>19490</v>
      </c>
      <c r="B2130" s="45"/>
      <c r="C2130" s="79" t="s">
        <v>19491</v>
      </c>
      <c r="D2130" s="45"/>
      <c r="E2130" s="79" t="s">
        <v>5283</v>
      </c>
      <c r="F2130" s="79" t="s">
        <v>5300</v>
      </c>
      <c r="G2130" s="80" t="s">
        <v>96</v>
      </c>
      <c r="H2130" s="90">
        <v>1.367E-4</v>
      </c>
      <c r="I2130" s="45"/>
      <c r="J2130" s="45"/>
      <c r="K2130" s="45"/>
      <c r="L2130" s="45"/>
      <c r="M2130" s="45"/>
      <c r="N2130" s="45"/>
      <c r="O2130" s="45"/>
      <c r="P2130" s="45"/>
      <c r="Q2130" s="45"/>
      <c r="R2130" s="45"/>
      <c r="S2130" s="45"/>
      <c r="T2130" s="45"/>
      <c r="U2130" s="45"/>
    </row>
    <row r="2131">
      <c r="A2131" s="79" t="s">
        <v>19492</v>
      </c>
      <c r="B2131" s="45"/>
      <c r="C2131" s="79" t="s">
        <v>19493</v>
      </c>
      <c r="D2131" s="45"/>
      <c r="E2131" s="79" t="s">
        <v>5283</v>
      </c>
      <c r="F2131" s="79" t="s">
        <v>5300</v>
      </c>
      <c r="G2131" s="80" t="s">
        <v>96</v>
      </c>
      <c r="H2131" s="90">
        <v>1.366E-4</v>
      </c>
      <c r="I2131" s="45"/>
      <c r="J2131" s="45"/>
      <c r="K2131" s="45"/>
      <c r="L2131" s="45"/>
      <c r="M2131" s="45"/>
      <c r="N2131" s="45"/>
      <c r="O2131" s="45"/>
      <c r="P2131" s="45"/>
      <c r="Q2131" s="45"/>
      <c r="R2131" s="45"/>
      <c r="S2131" s="45"/>
      <c r="T2131" s="45"/>
      <c r="U2131" s="45"/>
    </row>
    <row r="2132">
      <c r="A2132" s="79" t="s">
        <v>19494</v>
      </c>
      <c r="B2132" s="45"/>
      <c r="C2132" s="79" t="s">
        <v>19495</v>
      </c>
      <c r="D2132" s="45"/>
      <c r="E2132" s="79" t="s">
        <v>5218</v>
      </c>
      <c r="F2132" s="79" t="s">
        <v>5747</v>
      </c>
      <c r="G2132" s="80" t="s">
        <v>96</v>
      </c>
      <c r="H2132" s="90">
        <v>1.366E-4</v>
      </c>
      <c r="I2132" s="45"/>
      <c r="J2132" s="45"/>
      <c r="K2132" s="45"/>
      <c r="L2132" s="45"/>
      <c r="M2132" s="45"/>
      <c r="N2132" s="45"/>
      <c r="O2132" s="45"/>
      <c r="P2132" s="45"/>
      <c r="Q2132" s="45"/>
      <c r="R2132" s="45"/>
      <c r="S2132" s="45"/>
      <c r="T2132" s="45"/>
      <c r="U2132" s="45"/>
    </row>
    <row r="2133">
      <c r="A2133" s="79" t="s">
        <v>19496</v>
      </c>
      <c r="B2133" s="45"/>
      <c r="C2133" s="79" t="s">
        <v>19497</v>
      </c>
      <c r="D2133" s="45"/>
      <c r="E2133" s="79" t="s">
        <v>5501</v>
      </c>
      <c r="F2133" s="79" t="s">
        <v>4095</v>
      </c>
      <c r="G2133" s="80" t="s">
        <v>96</v>
      </c>
      <c r="H2133" s="90">
        <v>1.366E-4</v>
      </c>
      <c r="I2133" s="45"/>
      <c r="J2133" s="45"/>
      <c r="K2133" s="45"/>
      <c r="L2133" s="45"/>
      <c r="M2133" s="45"/>
      <c r="N2133" s="45"/>
      <c r="O2133" s="45"/>
      <c r="P2133" s="45"/>
      <c r="Q2133" s="45"/>
      <c r="R2133" s="45"/>
      <c r="S2133" s="45"/>
      <c r="T2133" s="45"/>
      <c r="U2133" s="45"/>
    </row>
    <row r="2134">
      <c r="A2134" s="79" t="s">
        <v>19498</v>
      </c>
      <c r="B2134" s="45"/>
      <c r="C2134" s="79" t="s">
        <v>19499</v>
      </c>
      <c r="D2134" s="45"/>
      <c r="E2134" s="79" t="s">
        <v>5366</v>
      </c>
      <c r="F2134" s="79" t="s">
        <v>8784</v>
      </c>
      <c r="G2134" s="80" t="s">
        <v>96</v>
      </c>
      <c r="H2134" s="90">
        <v>1.366E-4</v>
      </c>
      <c r="I2134" s="45"/>
      <c r="J2134" s="45"/>
      <c r="K2134" s="45"/>
      <c r="L2134" s="45"/>
      <c r="M2134" s="45"/>
      <c r="N2134" s="45"/>
      <c r="O2134" s="45"/>
      <c r="P2134" s="45"/>
      <c r="Q2134" s="45"/>
      <c r="R2134" s="45"/>
      <c r="S2134" s="45"/>
      <c r="T2134" s="45"/>
      <c r="U2134" s="45"/>
    </row>
    <row r="2135">
      <c r="A2135" s="79" t="s">
        <v>19500</v>
      </c>
      <c r="B2135" s="45"/>
      <c r="C2135" s="79" t="s">
        <v>19501</v>
      </c>
      <c r="D2135" s="45"/>
      <c r="E2135" s="79" t="s">
        <v>7248</v>
      </c>
      <c r="F2135" s="79" t="s">
        <v>5300</v>
      </c>
      <c r="G2135" s="80" t="s">
        <v>96</v>
      </c>
      <c r="H2135" s="90">
        <v>1.366E-4</v>
      </c>
      <c r="I2135" s="45"/>
      <c r="J2135" s="45"/>
      <c r="K2135" s="45"/>
      <c r="L2135" s="45"/>
      <c r="M2135" s="45"/>
      <c r="N2135" s="45"/>
      <c r="O2135" s="45"/>
      <c r="P2135" s="45"/>
      <c r="Q2135" s="45"/>
      <c r="R2135" s="45"/>
      <c r="S2135" s="45"/>
      <c r="T2135" s="45"/>
      <c r="U2135" s="45"/>
    </row>
    <row r="2136">
      <c r="A2136" s="79" t="s">
        <v>19502</v>
      </c>
      <c r="B2136" s="45"/>
      <c r="C2136" s="79" t="s">
        <v>19503</v>
      </c>
      <c r="D2136" s="45"/>
      <c r="E2136" s="79" t="s">
        <v>5291</v>
      </c>
      <c r="F2136" s="79" t="s">
        <v>5747</v>
      </c>
      <c r="G2136" s="80" t="s">
        <v>96</v>
      </c>
      <c r="H2136" s="90">
        <v>1.365E-4</v>
      </c>
      <c r="I2136" s="45"/>
      <c r="J2136" s="45"/>
      <c r="K2136" s="45"/>
      <c r="L2136" s="45"/>
      <c r="M2136" s="45"/>
      <c r="N2136" s="45"/>
      <c r="O2136" s="45"/>
      <c r="P2136" s="45"/>
      <c r="Q2136" s="45"/>
      <c r="R2136" s="45"/>
      <c r="S2136" s="45"/>
      <c r="T2136" s="45"/>
      <c r="U2136" s="45"/>
    </row>
    <row r="2137">
      <c r="A2137" s="79" t="s">
        <v>19504</v>
      </c>
      <c r="B2137" s="45"/>
      <c r="C2137" s="79" t="s">
        <v>19505</v>
      </c>
      <c r="D2137" s="45"/>
      <c r="E2137" s="79" t="s">
        <v>5467</v>
      </c>
      <c r="F2137" s="79" t="s">
        <v>5300</v>
      </c>
      <c r="G2137" s="80" t="s">
        <v>96</v>
      </c>
      <c r="H2137" s="90">
        <v>1.364E-4</v>
      </c>
      <c r="I2137" s="45"/>
      <c r="J2137" s="45"/>
      <c r="K2137" s="45"/>
      <c r="L2137" s="45"/>
      <c r="M2137" s="45"/>
      <c r="N2137" s="45"/>
      <c r="O2137" s="45"/>
      <c r="P2137" s="45"/>
      <c r="Q2137" s="45"/>
      <c r="R2137" s="45"/>
      <c r="S2137" s="45"/>
      <c r="T2137" s="45"/>
      <c r="U2137" s="45"/>
    </row>
    <row r="2138">
      <c r="A2138" s="79" t="s">
        <v>19506</v>
      </c>
      <c r="B2138" s="45"/>
      <c r="C2138" s="79" t="s">
        <v>19507</v>
      </c>
      <c r="D2138" s="45"/>
      <c r="E2138" s="79" t="s">
        <v>5338</v>
      </c>
      <c r="F2138" s="79" t="s">
        <v>5747</v>
      </c>
      <c r="G2138" s="80" t="s">
        <v>96</v>
      </c>
      <c r="H2138" s="90">
        <v>1.363E-4</v>
      </c>
      <c r="I2138" s="45"/>
      <c r="J2138" s="45"/>
      <c r="K2138" s="45"/>
      <c r="L2138" s="45"/>
      <c r="M2138" s="45"/>
      <c r="N2138" s="45"/>
      <c r="O2138" s="45"/>
      <c r="P2138" s="45"/>
      <c r="Q2138" s="45"/>
      <c r="R2138" s="45"/>
      <c r="S2138" s="45"/>
      <c r="T2138" s="45"/>
      <c r="U2138" s="45"/>
    </row>
    <row r="2139">
      <c r="A2139" s="79" t="s">
        <v>19508</v>
      </c>
      <c r="B2139" s="45"/>
      <c r="C2139" s="79" t="s">
        <v>19509</v>
      </c>
      <c r="D2139" s="45"/>
      <c r="E2139" s="79" t="s">
        <v>5276</v>
      </c>
      <c r="F2139" s="79" t="s">
        <v>5300</v>
      </c>
      <c r="G2139" s="80" t="s">
        <v>96</v>
      </c>
      <c r="H2139" s="90">
        <v>1.361E-4</v>
      </c>
      <c r="I2139" s="45"/>
      <c r="J2139" s="45"/>
      <c r="K2139" s="45"/>
      <c r="L2139" s="45"/>
      <c r="M2139" s="45"/>
      <c r="N2139" s="45"/>
      <c r="O2139" s="45"/>
      <c r="P2139" s="45"/>
      <c r="Q2139" s="45"/>
      <c r="R2139" s="45"/>
      <c r="S2139" s="45"/>
      <c r="T2139" s="45"/>
      <c r="U2139" s="45"/>
    </row>
    <row r="2140">
      <c r="A2140" s="79" t="s">
        <v>19510</v>
      </c>
      <c r="B2140" s="45"/>
      <c r="C2140" s="79" t="s">
        <v>19511</v>
      </c>
      <c r="D2140" s="45"/>
      <c r="E2140" s="79" t="s">
        <v>6759</v>
      </c>
      <c r="F2140" s="79" t="s">
        <v>5300</v>
      </c>
      <c r="G2140" s="80" t="s">
        <v>96</v>
      </c>
      <c r="H2140" s="90">
        <v>1.361E-4</v>
      </c>
      <c r="I2140" s="45"/>
      <c r="J2140" s="45"/>
      <c r="K2140" s="45"/>
      <c r="L2140" s="45"/>
      <c r="M2140" s="45"/>
      <c r="N2140" s="45"/>
      <c r="O2140" s="45"/>
      <c r="P2140" s="45"/>
      <c r="Q2140" s="45"/>
      <c r="R2140" s="45"/>
      <c r="S2140" s="45"/>
      <c r="T2140" s="45"/>
      <c r="U2140" s="45"/>
    </row>
    <row r="2141">
      <c r="A2141" s="79" t="s">
        <v>10643</v>
      </c>
      <c r="B2141" s="45"/>
      <c r="C2141" s="79" t="s">
        <v>10644</v>
      </c>
      <c r="D2141" s="45"/>
      <c r="E2141" s="79" t="s">
        <v>5218</v>
      </c>
      <c r="F2141" s="79" t="s">
        <v>8784</v>
      </c>
      <c r="G2141" s="80" t="s">
        <v>96</v>
      </c>
      <c r="H2141" s="90">
        <v>1.358E-4</v>
      </c>
      <c r="I2141" s="45"/>
      <c r="J2141" s="45"/>
      <c r="K2141" s="45"/>
      <c r="L2141" s="45"/>
      <c r="M2141" s="45"/>
      <c r="N2141" s="45"/>
      <c r="O2141" s="45"/>
      <c r="P2141" s="45"/>
      <c r="Q2141" s="45"/>
      <c r="R2141" s="45"/>
      <c r="S2141" s="45"/>
      <c r="T2141" s="45"/>
      <c r="U2141" s="45"/>
    </row>
    <row r="2142">
      <c r="A2142" s="79" t="s">
        <v>19512</v>
      </c>
      <c r="B2142" s="45"/>
      <c r="C2142" s="79" t="s">
        <v>19513</v>
      </c>
      <c r="D2142" s="45"/>
      <c r="E2142" s="79" t="s">
        <v>5377</v>
      </c>
      <c r="F2142" s="79" t="s">
        <v>8759</v>
      </c>
      <c r="G2142" s="80" t="s">
        <v>96</v>
      </c>
      <c r="H2142" s="90">
        <v>1.358E-4</v>
      </c>
      <c r="I2142" s="45"/>
      <c r="J2142" s="45"/>
      <c r="K2142" s="45"/>
      <c r="L2142" s="45"/>
      <c r="M2142" s="45"/>
      <c r="N2142" s="45"/>
      <c r="O2142" s="45"/>
      <c r="P2142" s="45"/>
      <c r="Q2142" s="45"/>
      <c r="R2142" s="45"/>
      <c r="S2142" s="45"/>
      <c r="T2142" s="45"/>
      <c r="U2142" s="45"/>
    </row>
    <row r="2143">
      <c r="A2143" s="79" t="s">
        <v>19514</v>
      </c>
      <c r="B2143" s="45"/>
      <c r="C2143" s="79" t="s">
        <v>19515</v>
      </c>
      <c r="D2143" s="45"/>
      <c r="E2143" s="79" t="s">
        <v>5561</v>
      </c>
      <c r="F2143" s="79" t="s">
        <v>9021</v>
      </c>
      <c r="G2143" s="80" t="s">
        <v>96</v>
      </c>
      <c r="H2143" s="90">
        <v>1.357E-4</v>
      </c>
      <c r="I2143" s="45"/>
      <c r="J2143" s="45"/>
      <c r="K2143" s="45"/>
      <c r="L2143" s="45"/>
      <c r="M2143" s="45"/>
      <c r="N2143" s="45"/>
      <c r="O2143" s="45"/>
      <c r="P2143" s="45"/>
      <c r="Q2143" s="45"/>
      <c r="R2143" s="45"/>
      <c r="S2143" s="45"/>
      <c r="T2143" s="45"/>
      <c r="U2143" s="45"/>
    </row>
    <row r="2144">
      <c r="A2144" s="79" t="s">
        <v>19516</v>
      </c>
      <c r="B2144" s="45"/>
      <c r="C2144" s="79" t="s">
        <v>19517</v>
      </c>
      <c r="D2144" s="45"/>
      <c r="E2144" s="79" t="s">
        <v>5296</v>
      </c>
      <c r="F2144" s="79" t="s">
        <v>5927</v>
      </c>
      <c r="G2144" s="80" t="s">
        <v>96</v>
      </c>
      <c r="H2144" s="90">
        <v>1.357E-4</v>
      </c>
      <c r="I2144" s="45"/>
      <c r="J2144" s="45"/>
      <c r="K2144" s="45"/>
      <c r="L2144" s="45"/>
      <c r="M2144" s="45"/>
      <c r="N2144" s="45"/>
      <c r="O2144" s="45"/>
      <c r="P2144" s="45"/>
      <c r="Q2144" s="45"/>
      <c r="R2144" s="45"/>
      <c r="S2144" s="45"/>
      <c r="T2144" s="45"/>
      <c r="U2144" s="45"/>
    </row>
    <row r="2145">
      <c r="A2145" s="79" t="s">
        <v>19518</v>
      </c>
      <c r="B2145" s="45"/>
      <c r="C2145" s="79" t="s">
        <v>19519</v>
      </c>
      <c r="D2145" s="45"/>
      <c r="E2145" s="79" t="s">
        <v>8110</v>
      </c>
      <c r="F2145" s="79" t="s">
        <v>19520</v>
      </c>
      <c r="G2145" s="80" t="s">
        <v>96</v>
      </c>
      <c r="H2145" s="90">
        <v>1.357E-4</v>
      </c>
      <c r="I2145" s="45"/>
      <c r="J2145" s="45"/>
      <c r="K2145" s="45"/>
      <c r="L2145" s="45"/>
      <c r="M2145" s="45"/>
      <c r="N2145" s="45"/>
      <c r="O2145" s="45"/>
      <c r="P2145" s="45"/>
      <c r="Q2145" s="45"/>
      <c r="R2145" s="45"/>
      <c r="S2145" s="45"/>
      <c r="T2145" s="45"/>
      <c r="U2145" s="45"/>
    </row>
    <row r="2146">
      <c r="A2146" s="79" t="s">
        <v>19521</v>
      </c>
      <c r="B2146" s="45"/>
      <c r="C2146" s="79" t="s">
        <v>19522</v>
      </c>
      <c r="D2146" s="45"/>
      <c r="E2146" s="79" t="s">
        <v>5478</v>
      </c>
      <c r="F2146" s="79" t="s">
        <v>5300</v>
      </c>
      <c r="G2146" s="80" t="s">
        <v>96</v>
      </c>
      <c r="H2146" s="90">
        <v>1.355E-4</v>
      </c>
      <c r="I2146" s="45"/>
      <c r="J2146" s="45"/>
      <c r="K2146" s="45"/>
      <c r="L2146" s="45"/>
      <c r="M2146" s="45"/>
      <c r="N2146" s="45"/>
      <c r="O2146" s="45"/>
      <c r="P2146" s="45"/>
      <c r="Q2146" s="45"/>
      <c r="R2146" s="45"/>
      <c r="S2146" s="45"/>
      <c r="T2146" s="45"/>
      <c r="U2146" s="45"/>
    </row>
    <row r="2147">
      <c r="A2147" s="79" t="s">
        <v>19523</v>
      </c>
      <c r="B2147" s="45"/>
      <c r="C2147" s="79" t="s">
        <v>19524</v>
      </c>
      <c r="D2147" s="45"/>
      <c r="E2147" s="79" t="s">
        <v>5478</v>
      </c>
      <c r="F2147" s="79" t="s">
        <v>5300</v>
      </c>
      <c r="G2147" s="80" t="s">
        <v>96</v>
      </c>
      <c r="H2147" s="90">
        <v>1.355E-4</v>
      </c>
      <c r="I2147" s="45"/>
      <c r="J2147" s="45"/>
      <c r="K2147" s="45"/>
      <c r="L2147" s="45"/>
      <c r="M2147" s="45"/>
      <c r="N2147" s="45"/>
      <c r="O2147" s="45"/>
      <c r="P2147" s="45"/>
      <c r="Q2147" s="45"/>
      <c r="R2147" s="45"/>
      <c r="S2147" s="45"/>
      <c r="T2147" s="45"/>
      <c r="U2147" s="45"/>
    </row>
    <row r="2148">
      <c r="A2148" s="79" t="s">
        <v>19525</v>
      </c>
      <c r="B2148" s="45"/>
      <c r="C2148" s="79" t="s">
        <v>19526</v>
      </c>
      <c r="D2148" s="45"/>
      <c r="E2148" s="79" t="s">
        <v>8110</v>
      </c>
      <c r="F2148" s="79" t="s">
        <v>8784</v>
      </c>
      <c r="G2148" s="80" t="s">
        <v>96</v>
      </c>
      <c r="H2148" s="90">
        <v>1.353E-4</v>
      </c>
      <c r="I2148" s="45"/>
      <c r="J2148" s="45"/>
      <c r="K2148" s="45"/>
      <c r="L2148" s="45"/>
      <c r="M2148" s="45"/>
      <c r="N2148" s="45"/>
      <c r="O2148" s="45"/>
      <c r="P2148" s="45"/>
      <c r="Q2148" s="45"/>
      <c r="R2148" s="45"/>
      <c r="S2148" s="45"/>
      <c r="T2148" s="45"/>
      <c r="U2148" s="45"/>
    </row>
    <row r="2149">
      <c r="A2149" s="79" t="s">
        <v>19527</v>
      </c>
      <c r="B2149" s="45"/>
      <c r="C2149" s="79" t="s">
        <v>19528</v>
      </c>
      <c r="D2149" s="45"/>
      <c r="E2149" s="79" t="s">
        <v>5280</v>
      </c>
      <c r="F2149" s="79" t="s">
        <v>4095</v>
      </c>
      <c r="G2149" s="80" t="s">
        <v>96</v>
      </c>
      <c r="H2149" s="90">
        <v>1.353E-4</v>
      </c>
      <c r="I2149" s="45"/>
      <c r="J2149" s="45"/>
      <c r="K2149" s="45"/>
      <c r="L2149" s="45"/>
      <c r="M2149" s="45"/>
      <c r="N2149" s="45"/>
      <c r="O2149" s="45"/>
      <c r="P2149" s="45"/>
      <c r="Q2149" s="45"/>
      <c r="R2149" s="45"/>
      <c r="S2149" s="45"/>
      <c r="T2149" s="45"/>
      <c r="U2149" s="45"/>
    </row>
    <row r="2150">
      <c r="A2150" s="79" t="s">
        <v>19529</v>
      </c>
      <c r="B2150" s="45"/>
      <c r="C2150" s="79" t="s">
        <v>19530</v>
      </c>
      <c r="D2150" s="45"/>
      <c r="E2150" s="79" t="s">
        <v>5276</v>
      </c>
      <c r="F2150" s="79" t="s">
        <v>5300</v>
      </c>
      <c r="G2150" s="80" t="s">
        <v>96</v>
      </c>
      <c r="H2150" s="90">
        <v>1.352E-4</v>
      </c>
      <c r="I2150" s="45"/>
      <c r="J2150" s="45"/>
      <c r="K2150" s="45"/>
      <c r="L2150" s="45"/>
      <c r="M2150" s="45"/>
      <c r="N2150" s="45"/>
      <c r="O2150" s="45"/>
      <c r="P2150" s="45"/>
      <c r="Q2150" s="45"/>
      <c r="R2150" s="45"/>
      <c r="S2150" s="45"/>
      <c r="T2150" s="45"/>
      <c r="U2150" s="45"/>
    </row>
    <row r="2151">
      <c r="A2151" s="79" t="s">
        <v>19531</v>
      </c>
      <c r="B2151" s="45"/>
      <c r="C2151" s="79" t="s">
        <v>19532</v>
      </c>
      <c r="D2151" s="45"/>
      <c r="E2151" s="79" t="s">
        <v>5288</v>
      </c>
      <c r="F2151" s="79" t="s">
        <v>9513</v>
      </c>
      <c r="G2151" s="80" t="s">
        <v>96</v>
      </c>
      <c r="H2151" s="90">
        <v>1.352E-4</v>
      </c>
      <c r="I2151" s="45"/>
      <c r="J2151" s="45"/>
      <c r="K2151" s="45"/>
      <c r="L2151" s="45"/>
      <c r="M2151" s="45"/>
      <c r="N2151" s="45"/>
      <c r="O2151" s="45"/>
      <c r="P2151" s="45"/>
      <c r="Q2151" s="45"/>
      <c r="R2151" s="45"/>
      <c r="S2151" s="45"/>
      <c r="T2151" s="45"/>
      <c r="U2151" s="45"/>
    </row>
    <row r="2152">
      <c r="A2152" s="79" t="s">
        <v>19533</v>
      </c>
      <c r="B2152" s="45"/>
      <c r="C2152" s="79" t="s">
        <v>19534</v>
      </c>
      <c r="D2152" s="45"/>
      <c r="E2152" s="79" t="s">
        <v>7248</v>
      </c>
      <c r="F2152" s="79" t="s">
        <v>5300</v>
      </c>
      <c r="G2152" s="80" t="s">
        <v>96</v>
      </c>
      <c r="H2152" s="90">
        <v>1.351E-4</v>
      </c>
      <c r="I2152" s="45"/>
      <c r="J2152" s="45"/>
      <c r="K2152" s="45"/>
      <c r="L2152" s="45"/>
      <c r="M2152" s="45"/>
      <c r="N2152" s="45"/>
      <c r="O2152" s="45"/>
      <c r="P2152" s="45"/>
      <c r="Q2152" s="45"/>
      <c r="R2152" s="45"/>
      <c r="S2152" s="45"/>
      <c r="T2152" s="45"/>
      <c r="U2152" s="45"/>
    </row>
    <row r="2153">
      <c r="A2153" s="79" t="s">
        <v>19535</v>
      </c>
      <c r="B2153" s="45"/>
      <c r="C2153" s="79" t="s">
        <v>19536</v>
      </c>
      <c r="D2153" s="45"/>
      <c r="E2153" s="79" t="s">
        <v>5276</v>
      </c>
      <c r="F2153" s="79" t="s">
        <v>5836</v>
      </c>
      <c r="G2153" s="80" t="s">
        <v>96</v>
      </c>
      <c r="H2153" s="90">
        <v>1.351E-4</v>
      </c>
      <c r="I2153" s="45"/>
      <c r="J2153" s="45"/>
      <c r="K2153" s="45"/>
      <c r="L2153" s="45"/>
      <c r="M2153" s="45"/>
      <c r="N2153" s="45"/>
      <c r="O2153" s="45"/>
      <c r="P2153" s="45"/>
      <c r="Q2153" s="45"/>
      <c r="R2153" s="45"/>
      <c r="S2153" s="45"/>
      <c r="T2153" s="45"/>
      <c r="U2153" s="45"/>
    </row>
    <row r="2154">
      <c r="A2154" s="79" t="s">
        <v>11209</v>
      </c>
      <c r="B2154" s="45"/>
      <c r="C2154" s="79" t="s">
        <v>11210</v>
      </c>
      <c r="D2154" s="45"/>
      <c r="E2154" s="79" t="s">
        <v>5624</v>
      </c>
      <c r="F2154" s="79" t="s">
        <v>8784</v>
      </c>
      <c r="G2154" s="80" t="s">
        <v>96</v>
      </c>
      <c r="H2154" s="90">
        <v>1.351E-4</v>
      </c>
      <c r="I2154" s="45"/>
      <c r="J2154" s="45"/>
      <c r="K2154" s="45"/>
      <c r="L2154" s="45"/>
      <c r="M2154" s="45"/>
      <c r="N2154" s="45"/>
      <c r="O2154" s="45"/>
      <c r="P2154" s="45"/>
      <c r="Q2154" s="45"/>
      <c r="R2154" s="45"/>
      <c r="S2154" s="45"/>
      <c r="T2154" s="45"/>
      <c r="U2154" s="45"/>
    </row>
    <row r="2155">
      <c r="A2155" s="79" t="s">
        <v>19537</v>
      </c>
      <c r="B2155" s="45"/>
      <c r="C2155" s="79" t="s">
        <v>19538</v>
      </c>
      <c r="D2155" s="45"/>
      <c r="E2155" s="79" t="s">
        <v>5276</v>
      </c>
      <c r="F2155" s="79" t="s">
        <v>9021</v>
      </c>
      <c r="G2155" s="80" t="s">
        <v>96</v>
      </c>
      <c r="H2155" s="90">
        <v>1.35E-4</v>
      </c>
      <c r="I2155" s="45"/>
      <c r="J2155" s="45"/>
      <c r="K2155" s="45"/>
      <c r="L2155" s="45"/>
      <c r="M2155" s="45"/>
      <c r="N2155" s="45"/>
      <c r="O2155" s="45"/>
      <c r="P2155" s="45"/>
      <c r="Q2155" s="45"/>
      <c r="R2155" s="45"/>
      <c r="S2155" s="45"/>
      <c r="T2155" s="45"/>
      <c r="U2155" s="45"/>
    </row>
    <row r="2156">
      <c r="A2156" s="79" t="s">
        <v>19539</v>
      </c>
      <c r="B2156" s="45"/>
      <c r="C2156" s="79" t="s">
        <v>19540</v>
      </c>
      <c r="D2156" s="45"/>
      <c r="E2156" s="79" t="s">
        <v>5390</v>
      </c>
      <c r="F2156" s="79" t="s">
        <v>8784</v>
      </c>
      <c r="G2156" s="80" t="s">
        <v>96</v>
      </c>
      <c r="H2156" s="90">
        <v>1.349E-4</v>
      </c>
      <c r="I2156" s="45"/>
      <c r="J2156" s="45"/>
      <c r="K2156" s="45"/>
      <c r="L2156" s="45"/>
      <c r="M2156" s="45"/>
      <c r="N2156" s="45"/>
      <c r="O2156" s="45"/>
      <c r="P2156" s="45"/>
      <c r="Q2156" s="45"/>
      <c r="R2156" s="45"/>
      <c r="S2156" s="45"/>
      <c r="T2156" s="45"/>
      <c r="U2156" s="45"/>
    </row>
    <row r="2157">
      <c r="A2157" s="79" t="s">
        <v>19541</v>
      </c>
      <c r="B2157" s="45"/>
      <c r="C2157" s="79" t="s">
        <v>19542</v>
      </c>
      <c r="D2157" s="45"/>
      <c r="E2157" s="79" t="s">
        <v>5456</v>
      </c>
      <c r="F2157" s="79" t="s">
        <v>8784</v>
      </c>
      <c r="G2157" s="80" t="s">
        <v>96</v>
      </c>
      <c r="H2157" s="90">
        <v>1.349E-4</v>
      </c>
      <c r="I2157" s="45"/>
      <c r="J2157" s="45"/>
      <c r="K2157" s="45"/>
      <c r="L2157" s="45"/>
      <c r="M2157" s="45"/>
      <c r="N2157" s="45"/>
      <c r="O2157" s="45"/>
      <c r="P2157" s="45"/>
      <c r="Q2157" s="45"/>
      <c r="R2157" s="45"/>
      <c r="S2157" s="45"/>
      <c r="T2157" s="45"/>
      <c r="U2157" s="45"/>
    </row>
    <row r="2158">
      <c r="A2158" s="79" t="s">
        <v>10968</v>
      </c>
      <c r="B2158" s="45"/>
      <c r="C2158" s="79" t="s">
        <v>10969</v>
      </c>
      <c r="D2158" s="45"/>
      <c r="E2158" s="79" t="s">
        <v>6338</v>
      </c>
      <c r="F2158" s="79" t="s">
        <v>9513</v>
      </c>
      <c r="G2158" s="80" t="s">
        <v>96</v>
      </c>
      <c r="H2158" s="90">
        <v>1.347E-4</v>
      </c>
      <c r="I2158" s="45"/>
      <c r="J2158" s="45"/>
      <c r="K2158" s="45"/>
      <c r="L2158" s="45"/>
      <c r="M2158" s="45"/>
      <c r="N2158" s="45"/>
      <c r="O2158" s="45"/>
      <c r="P2158" s="45"/>
      <c r="Q2158" s="45"/>
      <c r="R2158" s="45"/>
      <c r="S2158" s="45"/>
      <c r="T2158" s="45"/>
      <c r="U2158" s="45"/>
    </row>
    <row r="2159">
      <c r="A2159" s="79" t="s">
        <v>19543</v>
      </c>
      <c r="B2159" s="45"/>
      <c r="C2159" s="79" t="s">
        <v>19544</v>
      </c>
      <c r="D2159" s="45"/>
      <c r="E2159" s="79" t="s">
        <v>5478</v>
      </c>
      <c r="F2159" s="79" t="s">
        <v>9021</v>
      </c>
      <c r="G2159" s="80" t="s">
        <v>96</v>
      </c>
      <c r="H2159" s="90">
        <v>1.346E-4</v>
      </c>
      <c r="I2159" s="45"/>
      <c r="J2159" s="45"/>
      <c r="K2159" s="45"/>
      <c r="L2159" s="45"/>
      <c r="M2159" s="45"/>
      <c r="N2159" s="45"/>
      <c r="O2159" s="45"/>
      <c r="P2159" s="45"/>
      <c r="Q2159" s="45"/>
      <c r="R2159" s="45"/>
      <c r="S2159" s="45"/>
      <c r="T2159" s="45"/>
      <c r="U2159" s="45"/>
    </row>
    <row r="2160">
      <c r="A2160" s="79" t="s">
        <v>19545</v>
      </c>
      <c r="B2160" s="45"/>
      <c r="C2160" s="79" t="s">
        <v>19546</v>
      </c>
      <c r="D2160" s="45"/>
      <c r="E2160" s="79" t="s">
        <v>5756</v>
      </c>
      <c r="F2160" s="79" t="s">
        <v>6210</v>
      </c>
      <c r="G2160" s="80" t="s">
        <v>96</v>
      </c>
      <c r="H2160" s="90">
        <v>1.345E-4</v>
      </c>
      <c r="I2160" s="45"/>
      <c r="J2160" s="45"/>
      <c r="K2160" s="45"/>
      <c r="L2160" s="45"/>
      <c r="M2160" s="45"/>
      <c r="N2160" s="45"/>
      <c r="O2160" s="45"/>
      <c r="P2160" s="45"/>
      <c r="Q2160" s="45"/>
      <c r="R2160" s="45"/>
      <c r="S2160" s="45"/>
      <c r="T2160" s="45"/>
      <c r="U2160" s="45"/>
    </row>
    <row r="2161">
      <c r="A2161" s="79" t="s">
        <v>19547</v>
      </c>
      <c r="B2161" s="45"/>
      <c r="C2161" s="79" t="s">
        <v>19548</v>
      </c>
      <c r="D2161" s="45"/>
      <c r="E2161" s="79" t="s">
        <v>18311</v>
      </c>
      <c r="F2161" s="79" t="s">
        <v>5836</v>
      </c>
      <c r="G2161" s="80" t="s">
        <v>96</v>
      </c>
      <c r="H2161" s="90">
        <v>1.344E-4</v>
      </c>
      <c r="I2161" s="45"/>
      <c r="J2161" s="45"/>
      <c r="K2161" s="45"/>
      <c r="L2161" s="45"/>
      <c r="M2161" s="45"/>
      <c r="N2161" s="45"/>
      <c r="O2161" s="45"/>
      <c r="P2161" s="45"/>
      <c r="Q2161" s="45"/>
      <c r="R2161" s="45"/>
      <c r="S2161" s="45"/>
      <c r="T2161" s="45"/>
      <c r="U2161" s="45"/>
    </row>
    <row r="2162">
      <c r="A2162" s="79" t="s">
        <v>19549</v>
      </c>
      <c r="B2162" s="45"/>
      <c r="C2162" s="79" t="s">
        <v>19477</v>
      </c>
      <c r="D2162" s="45"/>
      <c r="E2162" s="79" t="s">
        <v>5235</v>
      </c>
      <c r="F2162" s="79" t="s">
        <v>6210</v>
      </c>
      <c r="G2162" s="80" t="s">
        <v>96</v>
      </c>
      <c r="H2162" s="90">
        <v>1.343E-4</v>
      </c>
      <c r="I2162" s="45"/>
      <c r="J2162" s="45"/>
      <c r="K2162" s="45"/>
      <c r="L2162" s="45"/>
      <c r="M2162" s="45"/>
      <c r="N2162" s="45"/>
      <c r="O2162" s="45"/>
      <c r="P2162" s="45"/>
      <c r="Q2162" s="45"/>
      <c r="R2162" s="45"/>
      <c r="S2162" s="45"/>
      <c r="T2162" s="45"/>
      <c r="U2162" s="45"/>
    </row>
    <row r="2163">
      <c r="A2163" s="79" t="s">
        <v>19550</v>
      </c>
      <c r="B2163" s="45"/>
      <c r="C2163" s="79" t="s">
        <v>19551</v>
      </c>
      <c r="D2163" s="45"/>
      <c r="E2163" s="79" t="s">
        <v>5808</v>
      </c>
      <c r="F2163" s="79" t="s">
        <v>6698</v>
      </c>
      <c r="G2163" s="80" t="s">
        <v>96</v>
      </c>
      <c r="H2163" s="90">
        <v>1.342E-4</v>
      </c>
      <c r="I2163" s="45"/>
      <c r="J2163" s="45"/>
      <c r="K2163" s="45"/>
      <c r="L2163" s="45"/>
      <c r="M2163" s="45"/>
      <c r="N2163" s="45"/>
      <c r="O2163" s="45"/>
      <c r="P2163" s="45"/>
      <c r="Q2163" s="45"/>
      <c r="R2163" s="45"/>
      <c r="S2163" s="45"/>
      <c r="T2163" s="45"/>
      <c r="U2163" s="45"/>
    </row>
    <row r="2164">
      <c r="A2164" s="79" t="s">
        <v>16216</v>
      </c>
      <c r="B2164" s="45"/>
      <c r="C2164" s="79" t="s">
        <v>19552</v>
      </c>
      <c r="D2164" s="45"/>
      <c r="E2164" s="79" t="s">
        <v>5964</v>
      </c>
      <c r="F2164" s="79" t="s">
        <v>9021</v>
      </c>
      <c r="G2164" s="80" t="s">
        <v>96</v>
      </c>
      <c r="H2164" s="90">
        <v>1.339E-4</v>
      </c>
      <c r="I2164" s="45"/>
      <c r="J2164" s="45"/>
      <c r="K2164" s="45"/>
      <c r="L2164" s="45"/>
      <c r="M2164" s="45"/>
      <c r="N2164" s="45"/>
      <c r="O2164" s="45"/>
      <c r="P2164" s="45"/>
      <c r="Q2164" s="45"/>
      <c r="R2164" s="45"/>
      <c r="S2164" s="45"/>
      <c r="T2164" s="45"/>
      <c r="U2164" s="45"/>
    </row>
    <row r="2165">
      <c r="A2165" s="79" t="s">
        <v>19553</v>
      </c>
      <c r="B2165" s="45"/>
      <c r="C2165" s="79" t="s">
        <v>19554</v>
      </c>
      <c r="D2165" s="45"/>
      <c r="E2165" s="79" t="s">
        <v>5564</v>
      </c>
      <c r="F2165" s="79" t="s">
        <v>8784</v>
      </c>
      <c r="G2165" s="80" t="s">
        <v>96</v>
      </c>
      <c r="H2165" s="90">
        <v>1.339E-4</v>
      </c>
      <c r="I2165" s="45"/>
      <c r="J2165" s="45"/>
      <c r="K2165" s="45"/>
      <c r="L2165" s="45"/>
      <c r="M2165" s="45"/>
      <c r="N2165" s="45"/>
      <c r="O2165" s="45"/>
      <c r="P2165" s="45"/>
      <c r="Q2165" s="45"/>
      <c r="R2165" s="45"/>
      <c r="S2165" s="45"/>
      <c r="T2165" s="45"/>
      <c r="U2165" s="45"/>
    </row>
    <row r="2166">
      <c r="A2166" s="79" t="s">
        <v>19555</v>
      </c>
      <c r="B2166" s="45"/>
      <c r="C2166" s="79" t="s">
        <v>19556</v>
      </c>
      <c r="D2166" s="45"/>
      <c r="E2166" s="79" t="s">
        <v>6009</v>
      </c>
      <c r="F2166" s="79" t="s">
        <v>8784</v>
      </c>
      <c r="G2166" s="80" t="s">
        <v>96</v>
      </c>
      <c r="H2166" s="90">
        <v>1.338E-4</v>
      </c>
      <c r="I2166" s="45"/>
      <c r="J2166" s="45"/>
      <c r="K2166" s="45"/>
      <c r="L2166" s="45"/>
      <c r="M2166" s="45"/>
      <c r="N2166" s="45"/>
      <c r="O2166" s="45"/>
      <c r="P2166" s="45"/>
      <c r="Q2166" s="45"/>
      <c r="R2166" s="45"/>
      <c r="S2166" s="45"/>
      <c r="T2166" s="45"/>
      <c r="U2166" s="45"/>
    </row>
    <row r="2167">
      <c r="A2167" s="79" t="s">
        <v>19557</v>
      </c>
      <c r="B2167" s="45"/>
      <c r="C2167" s="79" t="s">
        <v>19558</v>
      </c>
      <c r="D2167" s="45"/>
      <c r="E2167" s="79" t="s">
        <v>5291</v>
      </c>
      <c r="F2167" s="79" t="s">
        <v>5300</v>
      </c>
      <c r="G2167" s="80" t="s">
        <v>96</v>
      </c>
      <c r="H2167" s="90">
        <v>1.336E-4</v>
      </c>
      <c r="I2167" s="45"/>
      <c r="J2167" s="45"/>
      <c r="K2167" s="45"/>
      <c r="L2167" s="45"/>
      <c r="M2167" s="45"/>
      <c r="N2167" s="45"/>
      <c r="O2167" s="45"/>
      <c r="P2167" s="45"/>
      <c r="Q2167" s="45"/>
      <c r="R2167" s="45"/>
      <c r="S2167" s="45"/>
      <c r="T2167" s="45"/>
      <c r="U2167" s="45"/>
    </row>
    <row r="2168">
      <c r="A2168" s="79" t="s">
        <v>19559</v>
      </c>
      <c r="B2168" s="45"/>
      <c r="C2168" s="79" t="s">
        <v>19560</v>
      </c>
      <c r="D2168" s="45"/>
      <c r="E2168" s="79" t="s">
        <v>5226</v>
      </c>
      <c r="F2168" s="79" t="s">
        <v>8784</v>
      </c>
      <c r="G2168" s="80" t="s">
        <v>96</v>
      </c>
      <c r="H2168" s="90">
        <v>1.334E-4</v>
      </c>
      <c r="I2168" s="45"/>
      <c r="J2168" s="45"/>
      <c r="K2168" s="45"/>
      <c r="L2168" s="45"/>
      <c r="M2168" s="45"/>
      <c r="N2168" s="45"/>
      <c r="O2168" s="45"/>
      <c r="P2168" s="45"/>
      <c r="Q2168" s="45"/>
      <c r="R2168" s="45"/>
      <c r="S2168" s="45"/>
      <c r="T2168" s="45"/>
      <c r="U2168" s="45"/>
    </row>
    <row r="2169">
      <c r="A2169" s="79" t="s">
        <v>11017</v>
      </c>
      <c r="B2169" s="45"/>
      <c r="C2169" s="79" t="s">
        <v>11018</v>
      </c>
      <c r="D2169" s="45"/>
      <c r="E2169" s="79" t="s">
        <v>9221</v>
      </c>
      <c r="F2169" s="79" t="s">
        <v>8784</v>
      </c>
      <c r="G2169" s="80" t="s">
        <v>96</v>
      </c>
      <c r="H2169" s="90">
        <v>1.334E-4</v>
      </c>
      <c r="I2169" s="45"/>
      <c r="J2169" s="45"/>
      <c r="K2169" s="45"/>
      <c r="L2169" s="45"/>
      <c r="M2169" s="45"/>
      <c r="N2169" s="45"/>
      <c r="O2169" s="45"/>
      <c r="P2169" s="45"/>
      <c r="Q2169" s="45"/>
      <c r="R2169" s="45"/>
      <c r="S2169" s="45"/>
      <c r="T2169" s="45"/>
      <c r="U2169" s="45"/>
    </row>
    <row r="2170">
      <c r="A2170" s="79" t="s">
        <v>19561</v>
      </c>
      <c r="B2170" s="45"/>
      <c r="C2170" s="79" t="s">
        <v>19562</v>
      </c>
      <c r="D2170" s="45"/>
      <c r="E2170" s="79" t="s">
        <v>5756</v>
      </c>
      <c r="F2170" s="79" t="s">
        <v>6210</v>
      </c>
      <c r="G2170" s="80" t="s">
        <v>96</v>
      </c>
      <c r="H2170" s="90">
        <v>1.333E-4</v>
      </c>
      <c r="I2170" s="45"/>
      <c r="J2170" s="45"/>
      <c r="K2170" s="45"/>
      <c r="L2170" s="45"/>
      <c r="M2170" s="45"/>
      <c r="N2170" s="45"/>
      <c r="O2170" s="45"/>
      <c r="P2170" s="45"/>
      <c r="Q2170" s="45"/>
      <c r="R2170" s="45"/>
      <c r="S2170" s="45"/>
      <c r="T2170" s="45"/>
      <c r="U2170" s="45"/>
    </row>
    <row r="2171">
      <c r="A2171" s="79" t="s">
        <v>19563</v>
      </c>
      <c r="B2171" s="45"/>
      <c r="C2171" s="79" t="s">
        <v>19564</v>
      </c>
      <c r="D2171" s="45"/>
      <c r="E2171" s="79" t="s">
        <v>5808</v>
      </c>
      <c r="F2171" s="79" t="s">
        <v>4095</v>
      </c>
      <c r="G2171" s="80" t="s">
        <v>96</v>
      </c>
      <c r="H2171" s="90">
        <v>1.332E-4</v>
      </c>
      <c r="I2171" s="45"/>
      <c r="J2171" s="45"/>
      <c r="K2171" s="45"/>
      <c r="L2171" s="45"/>
      <c r="M2171" s="45"/>
      <c r="N2171" s="45"/>
      <c r="O2171" s="45"/>
      <c r="P2171" s="45"/>
      <c r="Q2171" s="45"/>
      <c r="R2171" s="45"/>
      <c r="S2171" s="45"/>
      <c r="T2171" s="45"/>
      <c r="U2171" s="45"/>
    </row>
    <row r="2172">
      <c r="A2172" s="79" t="s">
        <v>10988</v>
      </c>
      <c r="B2172" s="45"/>
      <c r="C2172" s="79" t="s">
        <v>10989</v>
      </c>
      <c r="D2172" s="45"/>
      <c r="E2172" s="79" t="s">
        <v>5366</v>
      </c>
      <c r="F2172" s="79" t="s">
        <v>8784</v>
      </c>
      <c r="G2172" s="80" t="s">
        <v>96</v>
      </c>
      <c r="H2172" s="90">
        <v>1.332E-4</v>
      </c>
      <c r="I2172" s="45"/>
      <c r="J2172" s="45"/>
      <c r="K2172" s="45"/>
      <c r="L2172" s="45"/>
      <c r="M2172" s="45"/>
      <c r="N2172" s="45"/>
      <c r="O2172" s="45"/>
      <c r="P2172" s="45"/>
      <c r="Q2172" s="45"/>
      <c r="R2172" s="45"/>
      <c r="S2172" s="45"/>
      <c r="T2172" s="45"/>
      <c r="U2172" s="45"/>
    </row>
    <row r="2173">
      <c r="A2173" s="79" t="s">
        <v>19565</v>
      </c>
      <c r="B2173" s="45"/>
      <c r="C2173" s="79" t="s">
        <v>19566</v>
      </c>
      <c r="D2173" s="45"/>
      <c r="E2173" s="79" t="s">
        <v>5578</v>
      </c>
      <c r="F2173" s="79" t="s">
        <v>5300</v>
      </c>
      <c r="G2173" s="80" t="s">
        <v>96</v>
      </c>
      <c r="H2173" s="90">
        <v>1.33E-4</v>
      </c>
      <c r="I2173" s="45"/>
      <c r="J2173" s="45"/>
      <c r="K2173" s="45"/>
      <c r="L2173" s="45"/>
      <c r="M2173" s="45"/>
      <c r="N2173" s="45"/>
      <c r="O2173" s="45"/>
      <c r="P2173" s="45"/>
      <c r="Q2173" s="45"/>
      <c r="R2173" s="45"/>
      <c r="S2173" s="45"/>
      <c r="T2173" s="45"/>
      <c r="U2173" s="45"/>
    </row>
    <row r="2174">
      <c r="A2174" s="79" t="s">
        <v>19567</v>
      </c>
      <c r="B2174" s="45"/>
      <c r="C2174" s="79" t="s">
        <v>19568</v>
      </c>
      <c r="D2174" s="45"/>
      <c r="E2174" s="79" t="s">
        <v>5456</v>
      </c>
      <c r="F2174" s="79" t="s">
        <v>5300</v>
      </c>
      <c r="G2174" s="80" t="s">
        <v>96</v>
      </c>
      <c r="H2174" s="90">
        <v>1.33E-4</v>
      </c>
      <c r="I2174" s="45"/>
      <c r="J2174" s="45"/>
      <c r="K2174" s="45"/>
      <c r="L2174" s="45"/>
      <c r="M2174" s="45"/>
      <c r="N2174" s="45"/>
      <c r="O2174" s="45"/>
      <c r="P2174" s="45"/>
      <c r="Q2174" s="45"/>
      <c r="R2174" s="45"/>
      <c r="S2174" s="45"/>
      <c r="T2174" s="45"/>
      <c r="U2174" s="45"/>
    </row>
    <row r="2175">
      <c r="A2175" s="79" t="s">
        <v>19569</v>
      </c>
      <c r="B2175" s="45"/>
      <c r="C2175" s="79" t="s">
        <v>19570</v>
      </c>
      <c r="D2175" s="45"/>
      <c r="E2175" s="79" t="s">
        <v>5296</v>
      </c>
      <c r="F2175" s="79" t="s">
        <v>9021</v>
      </c>
      <c r="G2175" s="80" t="s">
        <v>96</v>
      </c>
      <c r="H2175" s="90">
        <v>1.329E-4</v>
      </c>
      <c r="I2175" s="45"/>
      <c r="J2175" s="45"/>
      <c r="K2175" s="45"/>
      <c r="L2175" s="45"/>
      <c r="M2175" s="45"/>
      <c r="N2175" s="45"/>
      <c r="O2175" s="45"/>
      <c r="P2175" s="45"/>
      <c r="Q2175" s="45"/>
      <c r="R2175" s="45"/>
      <c r="S2175" s="45"/>
      <c r="T2175" s="45"/>
      <c r="U2175" s="45"/>
    </row>
    <row r="2176">
      <c r="A2176" s="79" t="s">
        <v>19571</v>
      </c>
      <c r="B2176" s="45"/>
      <c r="C2176" s="79" t="s">
        <v>19572</v>
      </c>
      <c r="D2176" s="45"/>
      <c r="E2176" s="79" t="s">
        <v>5232</v>
      </c>
      <c r="F2176" s="79" t="s">
        <v>8784</v>
      </c>
      <c r="G2176" s="80" t="s">
        <v>96</v>
      </c>
      <c r="H2176" s="90">
        <v>1.328E-4</v>
      </c>
      <c r="I2176" s="45"/>
      <c r="J2176" s="45"/>
      <c r="K2176" s="45"/>
      <c r="L2176" s="45"/>
      <c r="M2176" s="45"/>
      <c r="N2176" s="45"/>
      <c r="O2176" s="45"/>
      <c r="P2176" s="45"/>
      <c r="Q2176" s="45"/>
      <c r="R2176" s="45"/>
      <c r="S2176" s="45"/>
      <c r="T2176" s="45"/>
      <c r="U2176" s="45"/>
    </row>
    <row r="2177">
      <c r="A2177" s="79" t="s">
        <v>19573</v>
      </c>
      <c r="B2177" s="45"/>
      <c r="C2177" s="79" t="s">
        <v>19574</v>
      </c>
      <c r="D2177" s="45"/>
      <c r="E2177" s="79" t="s">
        <v>5691</v>
      </c>
      <c r="F2177" s="79" t="s">
        <v>9021</v>
      </c>
      <c r="G2177" s="80" t="s">
        <v>96</v>
      </c>
      <c r="H2177" s="90">
        <v>1.328E-4</v>
      </c>
      <c r="I2177" s="45"/>
      <c r="J2177" s="45"/>
      <c r="K2177" s="45"/>
      <c r="L2177" s="45"/>
      <c r="M2177" s="45"/>
      <c r="N2177" s="45"/>
      <c r="O2177" s="45"/>
      <c r="P2177" s="45"/>
      <c r="Q2177" s="45"/>
      <c r="R2177" s="45"/>
      <c r="S2177" s="45"/>
      <c r="T2177" s="45"/>
      <c r="U2177" s="45"/>
    </row>
    <row r="2178">
      <c r="A2178" s="79" t="s">
        <v>19575</v>
      </c>
      <c r="B2178" s="45"/>
      <c r="C2178" s="79" t="s">
        <v>19576</v>
      </c>
      <c r="D2178" s="45"/>
      <c r="E2178" s="79" t="s">
        <v>5229</v>
      </c>
      <c r="F2178" s="79" t="s">
        <v>5425</v>
      </c>
      <c r="G2178" s="80" t="s">
        <v>96</v>
      </c>
      <c r="H2178" s="90">
        <v>1.327E-4</v>
      </c>
      <c r="I2178" s="45"/>
      <c r="J2178" s="45"/>
      <c r="K2178" s="45"/>
      <c r="L2178" s="45"/>
      <c r="M2178" s="45"/>
      <c r="N2178" s="45"/>
      <c r="O2178" s="45"/>
      <c r="P2178" s="45"/>
      <c r="Q2178" s="45"/>
      <c r="R2178" s="45"/>
      <c r="S2178" s="45"/>
      <c r="T2178" s="45"/>
      <c r="U2178" s="45"/>
    </row>
    <row r="2179">
      <c r="A2179" s="79" t="s">
        <v>11087</v>
      </c>
      <c r="B2179" s="45"/>
      <c r="C2179" s="79" t="s">
        <v>11088</v>
      </c>
      <c r="D2179" s="45"/>
      <c r="E2179" s="79" t="s">
        <v>5341</v>
      </c>
      <c r="F2179" s="79" t="s">
        <v>6220</v>
      </c>
      <c r="G2179" s="80" t="s">
        <v>96</v>
      </c>
      <c r="H2179" s="90">
        <v>1.325E-4</v>
      </c>
      <c r="I2179" s="45"/>
      <c r="J2179" s="45"/>
      <c r="K2179" s="45"/>
      <c r="L2179" s="45"/>
      <c r="M2179" s="45"/>
      <c r="N2179" s="45"/>
      <c r="O2179" s="45"/>
      <c r="P2179" s="45"/>
      <c r="Q2179" s="45"/>
      <c r="R2179" s="45"/>
      <c r="S2179" s="45"/>
      <c r="T2179" s="45"/>
      <c r="U2179" s="45"/>
    </row>
    <row r="2180">
      <c r="A2180" s="79" t="s">
        <v>19577</v>
      </c>
      <c r="B2180" s="45"/>
      <c r="C2180" s="79" t="s">
        <v>19578</v>
      </c>
      <c r="D2180" s="45"/>
      <c r="E2180" s="79" t="s">
        <v>5691</v>
      </c>
      <c r="F2180" s="79" t="s">
        <v>5300</v>
      </c>
      <c r="G2180" s="80" t="s">
        <v>96</v>
      </c>
      <c r="H2180" s="90">
        <v>1.325E-4</v>
      </c>
      <c r="I2180" s="45"/>
      <c r="J2180" s="45"/>
      <c r="K2180" s="45"/>
      <c r="L2180" s="45"/>
      <c r="M2180" s="45"/>
      <c r="N2180" s="45"/>
      <c r="O2180" s="45"/>
      <c r="P2180" s="45"/>
      <c r="Q2180" s="45"/>
      <c r="R2180" s="45"/>
      <c r="S2180" s="45"/>
      <c r="T2180" s="45"/>
      <c r="U2180" s="45"/>
    </row>
    <row r="2181">
      <c r="A2181" s="79" t="s">
        <v>19579</v>
      </c>
      <c r="B2181" s="45"/>
      <c r="C2181" s="79" t="s">
        <v>19580</v>
      </c>
      <c r="D2181" s="45"/>
      <c r="E2181" s="79" t="s">
        <v>5450</v>
      </c>
      <c r="F2181" s="79" t="s">
        <v>5425</v>
      </c>
      <c r="G2181" s="80" t="s">
        <v>96</v>
      </c>
      <c r="H2181" s="90">
        <v>1.323E-4</v>
      </c>
      <c r="I2181" s="45"/>
      <c r="J2181" s="45"/>
      <c r="K2181" s="45"/>
      <c r="L2181" s="45"/>
      <c r="M2181" s="45"/>
      <c r="N2181" s="45"/>
      <c r="O2181" s="45"/>
      <c r="P2181" s="45"/>
      <c r="Q2181" s="45"/>
      <c r="R2181" s="45"/>
      <c r="S2181" s="45"/>
      <c r="T2181" s="45"/>
      <c r="U2181" s="45"/>
    </row>
    <row r="2182">
      <c r="A2182" s="79" t="s">
        <v>19581</v>
      </c>
      <c r="B2182" s="45"/>
      <c r="C2182" s="79" t="s">
        <v>19582</v>
      </c>
      <c r="D2182" s="45"/>
      <c r="E2182" s="79" t="s">
        <v>5215</v>
      </c>
      <c r="F2182" s="79" t="s">
        <v>5300</v>
      </c>
      <c r="G2182" s="80" t="s">
        <v>96</v>
      </c>
      <c r="H2182" s="90">
        <v>1.321E-4</v>
      </c>
      <c r="I2182" s="45"/>
      <c r="J2182" s="45"/>
      <c r="K2182" s="45"/>
      <c r="L2182" s="45"/>
      <c r="M2182" s="45"/>
      <c r="N2182" s="45"/>
      <c r="O2182" s="45"/>
      <c r="P2182" s="45"/>
      <c r="Q2182" s="45"/>
      <c r="R2182" s="45"/>
      <c r="S2182" s="45"/>
      <c r="T2182" s="45"/>
      <c r="U2182" s="45"/>
    </row>
    <row r="2183">
      <c r="A2183" s="79" t="s">
        <v>11120</v>
      </c>
      <c r="B2183" s="45"/>
      <c r="C2183" s="79" t="s">
        <v>11121</v>
      </c>
      <c r="D2183" s="45"/>
      <c r="E2183" s="79" t="s">
        <v>5434</v>
      </c>
      <c r="F2183" s="79" t="s">
        <v>5941</v>
      </c>
      <c r="G2183" s="80" t="s">
        <v>96</v>
      </c>
      <c r="H2183" s="90">
        <v>1.32E-4</v>
      </c>
      <c r="I2183" s="45"/>
      <c r="J2183" s="45"/>
      <c r="K2183" s="45"/>
      <c r="L2183" s="45"/>
      <c r="M2183" s="45"/>
      <c r="N2183" s="45"/>
      <c r="O2183" s="45"/>
      <c r="P2183" s="45"/>
      <c r="Q2183" s="45"/>
      <c r="R2183" s="45"/>
      <c r="S2183" s="45"/>
      <c r="T2183" s="45"/>
      <c r="U2183" s="45"/>
    </row>
    <row r="2184">
      <c r="A2184" s="79" t="s">
        <v>19583</v>
      </c>
      <c r="B2184" s="45"/>
      <c r="C2184" s="79" t="s">
        <v>19584</v>
      </c>
      <c r="D2184" s="45"/>
      <c r="E2184" s="79" t="s">
        <v>6083</v>
      </c>
      <c r="F2184" s="79" t="s">
        <v>8767</v>
      </c>
      <c r="G2184" s="80" t="s">
        <v>96</v>
      </c>
      <c r="H2184" s="90">
        <v>1.32E-4</v>
      </c>
      <c r="I2184" s="45"/>
      <c r="J2184" s="45"/>
      <c r="K2184" s="45"/>
      <c r="L2184" s="45"/>
      <c r="M2184" s="45"/>
      <c r="N2184" s="45"/>
      <c r="O2184" s="45"/>
      <c r="P2184" s="45"/>
      <c r="Q2184" s="45"/>
      <c r="R2184" s="45"/>
      <c r="S2184" s="45"/>
      <c r="T2184" s="45"/>
      <c r="U2184" s="45"/>
    </row>
    <row r="2185">
      <c r="A2185" s="79" t="s">
        <v>19585</v>
      </c>
      <c r="B2185" s="45"/>
      <c r="C2185" s="79" t="s">
        <v>19586</v>
      </c>
      <c r="D2185" s="45"/>
      <c r="E2185" s="79" t="s">
        <v>5395</v>
      </c>
      <c r="F2185" s="79" t="s">
        <v>8784</v>
      </c>
      <c r="G2185" s="80" t="s">
        <v>96</v>
      </c>
      <c r="H2185" s="90">
        <v>1.32E-4</v>
      </c>
      <c r="I2185" s="45"/>
      <c r="J2185" s="45"/>
      <c r="K2185" s="45"/>
      <c r="L2185" s="45"/>
      <c r="M2185" s="45"/>
      <c r="N2185" s="45"/>
      <c r="O2185" s="45"/>
      <c r="P2185" s="45"/>
      <c r="Q2185" s="45"/>
      <c r="R2185" s="45"/>
      <c r="S2185" s="45"/>
      <c r="T2185" s="45"/>
      <c r="U2185" s="45"/>
    </row>
    <row r="2186">
      <c r="A2186" s="79" t="s">
        <v>19587</v>
      </c>
      <c r="B2186" s="45"/>
      <c r="C2186" s="79" t="s">
        <v>19588</v>
      </c>
      <c r="D2186" s="45"/>
      <c r="E2186" s="79" t="s">
        <v>6191</v>
      </c>
      <c r="F2186" s="79" t="s">
        <v>8784</v>
      </c>
      <c r="G2186" s="80" t="s">
        <v>96</v>
      </c>
      <c r="H2186" s="90">
        <v>1.317E-4</v>
      </c>
      <c r="I2186" s="45"/>
      <c r="J2186" s="45"/>
      <c r="K2186" s="45"/>
      <c r="L2186" s="45"/>
      <c r="M2186" s="45"/>
      <c r="N2186" s="45"/>
      <c r="O2186" s="45"/>
      <c r="P2186" s="45"/>
      <c r="Q2186" s="45"/>
      <c r="R2186" s="45"/>
      <c r="S2186" s="45"/>
      <c r="T2186" s="45"/>
      <c r="U2186" s="45"/>
    </row>
    <row r="2187">
      <c r="A2187" s="79" t="s">
        <v>19589</v>
      </c>
      <c r="B2187" s="45"/>
      <c r="C2187" s="79" t="s">
        <v>19590</v>
      </c>
      <c r="D2187" s="45"/>
      <c r="E2187" s="79" t="s">
        <v>5321</v>
      </c>
      <c r="F2187" s="79" t="s">
        <v>5836</v>
      </c>
      <c r="G2187" s="80" t="s">
        <v>96</v>
      </c>
      <c r="H2187" s="90">
        <v>1.317E-4</v>
      </c>
      <c r="I2187" s="45"/>
      <c r="J2187" s="45"/>
      <c r="K2187" s="45"/>
      <c r="L2187" s="45"/>
      <c r="M2187" s="45"/>
      <c r="N2187" s="45"/>
      <c r="O2187" s="45"/>
      <c r="P2187" s="45"/>
      <c r="Q2187" s="45"/>
      <c r="R2187" s="45"/>
      <c r="S2187" s="45"/>
      <c r="T2187" s="45"/>
      <c r="U2187" s="45"/>
    </row>
    <row r="2188">
      <c r="A2188" s="79" t="s">
        <v>10810</v>
      </c>
      <c r="B2188" s="45"/>
      <c r="C2188" s="79" t="s">
        <v>10811</v>
      </c>
      <c r="D2188" s="45"/>
      <c r="E2188" s="79" t="s">
        <v>5407</v>
      </c>
      <c r="F2188" s="79" t="s">
        <v>8784</v>
      </c>
      <c r="G2188" s="80" t="s">
        <v>96</v>
      </c>
      <c r="H2188" s="90">
        <v>1.317E-4</v>
      </c>
      <c r="I2188" s="45"/>
      <c r="J2188" s="45"/>
      <c r="K2188" s="45"/>
      <c r="L2188" s="45"/>
      <c r="M2188" s="45"/>
      <c r="N2188" s="45"/>
      <c r="O2188" s="45"/>
      <c r="P2188" s="45"/>
      <c r="Q2188" s="45"/>
      <c r="R2188" s="45"/>
      <c r="S2188" s="45"/>
      <c r="T2188" s="45"/>
      <c r="U2188" s="45"/>
    </row>
    <row r="2189">
      <c r="A2189" s="79" t="s">
        <v>10944</v>
      </c>
      <c r="B2189" s="45"/>
      <c r="C2189" s="79" t="s">
        <v>10945</v>
      </c>
      <c r="D2189" s="45"/>
      <c r="E2189" s="79" t="s">
        <v>6427</v>
      </c>
      <c r="F2189" s="79" t="s">
        <v>5927</v>
      </c>
      <c r="G2189" s="80" t="s">
        <v>96</v>
      </c>
      <c r="H2189" s="90">
        <v>1.316E-4</v>
      </c>
      <c r="I2189" s="45"/>
      <c r="J2189" s="45"/>
      <c r="K2189" s="45"/>
      <c r="L2189" s="45"/>
      <c r="M2189" s="45"/>
      <c r="N2189" s="45"/>
      <c r="O2189" s="45"/>
      <c r="P2189" s="45"/>
      <c r="Q2189" s="45"/>
      <c r="R2189" s="45"/>
      <c r="S2189" s="45"/>
      <c r="T2189" s="45"/>
      <c r="U2189" s="45"/>
    </row>
    <row r="2190">
      <c r="A2190" s="79" t="s">
        <v>19591</v>
      </c>
      <c r="B2190" s="45"/>
      <c r="C2190" s="79" t="s">
        <v>19592</v>
      </c>
      <c r="D2190" s="45"/>
      <c r="E2190" s="79" t="s">
        <v>5422</v>
      </c>
      <c r="F2190" s="79" t="s">
        <v>5300</v>
      </c>
      <c r="G2190" s="80" t="s">
        <v>96</v>
      </c>
      <c r="H2190" s="90">
        <v>1.316E-4</v>
      </c>
      <c r="I2190" s="45"/>
      <c r="J2190" s="45"/>
      <c r="K2190" s="45"/>
      <c r="L2190" s="45"/>
      <c r="M2190" s="45"/>
      <c r="N2190" s="45"/>
      <c r="O2190" s="45"/>
      <c r="P2190" s="45"/>
      <c r="Q2190" s="45"/>
      <c r="R2190" s="45"/>
      <c r="S2190" s="45"/>
      <c r="T2190" s="45"/>
      <c r="U2190" s="45"/>
    </row>
    <row r="2191">
      <c r="A2191" s="79" t="s">
        <v>19593</v>
      </c>
      <c r="B2191" s="45"/>
      <c r="C2191" s="79" t="s">
        <v>19594</v>
      </c>
      <c r="D2191" s="45"/>
      <c r="E2191" s="79" t="s">
        <v>5246</v>
      </c>
      <c r="F2191" s="79" t="s">
        <v>8784</v>
      </c>
      <c r="G2191" s="80" t="s">
        <v>96</v>
      </c>
      <c r="H2191" s="90">
        <v>1.315E-4</v>
      </c>
      <c r="I2191" s="45"/>
      <c r="J2191" s="45"/>
      <c r="K2191" s="45"/>
      <c r="L2191" s="45"/>
      <c r="M2191" s="45"/>
      <c r="N2191" s="45"/>
      <c r="O2191" s="45"/>
      <c r="P2191" s="45"/>
      <c r="Q2191" s="45"/>
      <c r="R2191" s="45"/>
      <c r="S2191" s="45"/>
      <c r="T2191" s="45"/>
      <c r="U2191" s="45"/>
    </row>
    <row r="2192">
      <c r="A2192" s="79" t="s">
        <v>19595</v>
      </c>
      <c r="B2192" s="45"/>
      <c r="C2192" s="79" t="s">
        <v>19596</v>
      </c>
      <c r="D2192" s="45"/>
      <c r="E2192" s="79" t="s">
        <v>5283</v>
      </c>
      <c r="F2192" s="79" t="s">
        <v>8767</v>
      </c>
      <c r="G2192" s="80" t="s">
        <v>96</v>
      </c>
      <c r="H2192" s="90">
        <v>1.313E-4</v>
      </c>
      <c r="I2192" s="45"/>
      <c r="J2192" s="45"/>
      <c r="K2192" s="45"/>
      <c r="L2192" s="45"/>
      <c r="M2192" s="45"/>
      <c r="N2192" s="45"/>
      <c r="O2192" s="45"/>
      <c r="P2192" s="45"/>
      <c r="Q2192" s="45"/>
      <c r="R2192" s="45"/>
      <c r="S2192" s="45"/>
      <c r="T2192" s="45"/>
      <c r="U2192" s="45"/>
    </row>
    <row r="2193">
      <c r="A2193" s="79" t="s">
        <v>19597</v>
      </c>
      <c r="B2193" s="45"/>
      <c r="C2193" s="79" t="s">
        <v>19598</v>
      </c>
      <c r="D2193" s="45"/>
      <c r="E2193" s="79" t="s">
        <v>5775</v>
      </c>
      <c r="F2193" s="79" t="s">
        <v>5300</v>
      </c>
      <c r="G2193" s="80" t="s">
        <v>96</v>
      </c>
      <c r="H2193" s="90">
        <v>1.312E-4</v>
      </c>
      <c r="I2193" s="45"/>
      <c r="J2193" s="45"/>
      <c r="K2193" s="45"/>
      <c r="L2193" s="45"/>
      <c r="M2193" s="45"/>
      <c r="N2193" s="45"/>
      <c r="O2193" s="45"/>
      <c r="P2193" s="45"/>
      <c r="Q2193" s="45"/>
      <c r="R2193" s="45"/>
      <c r="S2193" s="45"/>
      <c r="T2193" s="45"/>
      <c r="U2193" s="45"/>
    </row>
    <row r="2194">
      <c r="A2194" s="79" t="s">
        <v>19599</v>
      </c>
      <c r="B2194" s="45"/>
      <c r="C2194" s="79" t="s">
        <v>19600</v>
      </c>
      <c r="D2194" s="45"/>
      <c r="E2194" s="79" t="s">
        <v>5291</v>
      </c>
      <c r="F2194" s="79" t="s">
        <v>5747</v>
      </c>
      <c r="G2194" s="80" t="s">
        <v>96</v>
      </c>
      <c r="H2194" s="90">
        <v>1.311E-4</v>
      </c>
      <c r="I2194" s="45"/>
      <c r="J2194" s="45"/>
      <c r="K2194" s="45"/>
      <c r="L2194" s="45"/>
      <c r="M2194" s="45"/>
      <c r="N2194" s="45"/>
      <c r="O2194" s="45"/>
      <c r="P2194" s="45"/>
      <c r="Q2194" s="45"/>
      <c r="R2194" s="45"/>
      <c r="S2194" s="45"/>
      <c r="T2194" s="45"/>
      <c r="U2194" s="45"/>
    </row>
    <row r="2195">
      <c r="A2195" s="79" t="s">
        <v>19601</v>
      </c>
      <c r="B2195" s="45"/>
      <c r="C2195" s="79" t="s">
        <v>19602</v>
      </c>
      <c r="D2195" s="45"/>
      <c r="E2195" s="79" t="s">
        <v>5456</v>
      </c>
      <c r="F2195" s="79" t="s">
        <v>8784</v>
      </c>
      <c r="G2195" s="80" t="s">
        <v>96</v>
      </c>
      <c r="H2195" s="90">
        <v>1.311E-4</v>
      </c>
      <c r="I2195" s="45"/>
      <c r="J2195" s="45"/>
      <c r="K2195" s="45"/>
      <c r="L2195" s="45"/>
      <c r="M2195" s="45"/>
      <c r="N2195" s="45"/>
      <c r="O2195" s="45"/>
      <c r="P2195" s="45"/>
      <c r="Q2195" s="45"/>
      <c r="R2195" s="45"/>
      <c r="S2195" s="45"/>
      <c r="T2195" s="45"/>
      <c r="U2195" s="45"/>
    </row>
    <row r="2196">
      <c r="A2196" s="79" t="s">
        <v>19603</v>
      </c>
      <c r="B2196" s="45"/>
      <c r="C2196" s="79" t="s">
        <v>19604</v>
      </c>
      <c r="D2196" s="45"/>
      <c r="E2196" s="79" t="s">
        <v>5516</v>
      </c>
      <c r="F2196" s="79" t="s">
        <v>5300</v>
      </c>
      <c r="G2196" s="80" t="s">
        <v>96</v>
      </c>
      <c r="H2196" s="90">
        <v>1.31E-4</v>
      </c>
      <c r="I2196" s="45"/>
      <c r="J2196" s="45"/>
      <c r="K2196" s="45"/>
      <c r="L2196" s="45"/>
      <c r="M2196" s="45"/>
      <c r="N2196" s="45"/>
      <c r="O2196" s="45"/>
      <c r="P2196" s="45"/>
      <c r="Q2196" s="45"/>
      <c r="R2196" s="45"/>
      <c r="S2196" s="45"/>
      <c r="T2196" s="45"/>
      <c r="U2196" s="45"/>
    </row>
    <row r="2197">
      <c r="A2197" s="79" t="s">
        <v>19605</v>
      </c>
      <c r="B2197" s="45"/>
      <c r="C2197" s="79" t="s">
        <v>19606</v>
      </c>
      <c r="D2197" s="45"/>
      <c r="E2197" s="79" t="s">
        <v>5682</v>
      </c>
      <c r="F2197" s="79" t="s">
        <v>8784</v>
      </c>
      <c r="G2197" s="80" t="s">
        <v>96</v>
      </c>
      <c r="H2197" s="90">
        <v>1.308E-4</v>
      </c>
      <c r="I2197" s="45"/>
      <c r="J2197" s="45"/>
      <c r="K2197" s="45"/>
      <c r="L2197" s="45"/>
      <c r="M2197" s="45"/>
      <c r="N2197" s="45"/>
      <c r="O2197" s="45"/>
      <c r="P2197" s="45"/>
      <c r="Q2197" s="45"/>
      <c r="R2197" s="45"/>
      <c r="S2197" s="45"/>
      <c r="T2197" s="45"/>
      <c r="U2197" s="45"/>
    </row>
    <row r="2198">
      <c r="A2198" s="79" t="s">
        <v>19607</v>
      </c>
      <c r="B2198" s="45"/>
      <c r="C2198" s="79" t="s">
        <v>19608</v>
      </c>
      <c r="D2198" s="45"/>
      <c r="E2198" s="79" t="s">
        <v>5232</v>
      </c>
      <c r="F2198" s="79" t="s">
        <v>8784</v>
      </c>
      <c r="G2198" s="80" t="s">
        <v>96</v>
      </c>
      <c r="H2198" s="90">
        <v>1.306E-4</v>
      </c>
      <c r="I2198" s="45"/>
      <c r="J2198" s="45"/>
      <c r="K2198" s="45"/>
      <c r="L2198" s="45"/>
      <c r="M2198" s="45"/>
      <c r="N2198" s="45"/>
      <c r="O2198" s="45"/>
      <c r="P2198" s="45"/>
      <c r="Q2198" s="45"/>
      <c r="R2198" s="45"/>
      <c r="S2198" s="45"/>
      <c r="T2198" s="45"/>
      <c r="U2198" s="45"/>
    </row>
    <row r="2199">
      <c r="A2199" s="79" t="s">
        <v>19609</v>
      </c>
      <c r="B2199" s="45"/>
      <c r="C2199" s="79" t="s">
        <v>19610</v>
      </c>
      <c r="D2199" s="45"/>
      <c r="E2199" s="79" t="s">
        <v>9039</v>
      </c>
      <c r="F2199" s="79" t="s">
        <v>5300</v>
      </c>
      <c r="G2199" s="80" t="s">
        <v>96</v>
      </c>
      <c r="H2199" s="90">
        <v>1.306E-4</v>
      </c>
      <c r="I2199" s="45"/>
      <c r="J2199" s="45"/>
      <c r="K2199" s="45"/>
      <c r="L2199" s="45"/>
      <c r="M2199" s="45"/>
      <c r="N2199" s="45"/>
      <c r="O2199" s="45"/>
      <c r="P2199" s="45"/>
      <c r="Q2199" s="45"/>
      <c r="R2199" s="45"/>
      <c r="S2199" s="45"/>
      <c r="T2199" s="45"/>
      <c r="U2199" s="45"/>
    </row>
    <row r="2200">
      <c r="A2200" s="79" t="s">
        <v>16883</v>
      </c>
      <c r="B2200" s="45"/>
      <c r="C2200" s="79" t="s">
        <v>19611</v>
      </c>
      <c r="D2200" s="45"/>
      <c r="E2200" s="79" t="s">
        <v>5961</v>
      </c>
      <c r="F2200" s="79" t="s">
        <v>9617</v>
      </c>
      <c r="G2200" s="80" t="s">
        <v>96</v>
      </c>
      <c r="H2200" s="90">
        <v>1.305E-4</v>
      </c>
      <c r="I2200" s="45"/>
      <c r="J2200" s="45"/>
      <c r="K2200" s="45"/>
      <c r="L2200" s="45"/>
      <c r="M2200" s="45"/>
      <c r="N2200" s="45"/>
      <c r="O2200" s="45"/>
      <c r="P2200" s="45"/>
      <c r="Q2200" s="45"/>
      <c r="R2200" s="45"/>
      <c r="S2200" s="45"/>
      <c r="T2200" s="45"/>
      <c r="U2200" s="45"/>
    </row>
    <row r="2201">
      <c r="A2201" s="79" t="s">
        <v>19612</v>
      </c>
      <c r="B2201" s="45"/>
      <c r="C2201" s="79" t="s">
        <v>19613</v>
      </c>
      <c r="D2201" s="45"/>
      <c r="E2201" s="79" t="s">
        <v>5624</v>
      </c>
      <c r="F2201" s="79" t="s">
        <v>9414</v>
      </c>
      <c r="G2201" s="80" t="s">
        <v>96</v>
      </c>
      <c r="H2201" s="90">
        <v>1.305E-4</v>
      </c>
      <c r="I2201" s="45"/>
      <c r="J2201" s="45"/>
      <c r="K2201" s="45"/>
      <c r="L2201" s="45"/>
      <c r="M2201" s="45"/>
      <c r="N2201" s="45"/>
      <c r="O2201" s="45"/>
      <c r="P2201" s="45"/>
      <c r="Q2201" s="45"/>
      <c r="R2201" s="45"/>
      <c r="S2201" s="45"/>
      <c r="T2201" s="45"/>
      <c r="U2201" s="45"/>
    </row>
    <row r="2202">
      <c r="A2202" s="79" t="s">
        <v>19614</v>
      </c>
      <c r="B2202" s="45"/>
      <c r="C2202" s="79" t="s">
        <v>19615</v>
      </c>
      <c r="D2202" s="45"/>
      <c r="E2202" s="79" t="s">
        <v>5478</v>
      </c>
      <c r="F2202" s="79" t="s">
        <v>5300</v>
      </c>
      <c r="G2202" s="80" t="s">
        <v>96</v>
      </c>
      <c r="H2202" s="90">
        <v>1.305E-4</v>
      </c>
      <c r="I2202" s="45"/>
      <c r="J2202" s="45"/>
      <c r="K2202" s="45"/>
      <c r="L2202" s="45"/>
      <c r="M2202" s="45"/>
      <c r="N2202" s="45"/>
      <c r="O2202" s="45"/>
      <c r="P2202" s="45"/>
      <c r="Q2202" s="45"/>
      <c r="R2202" s="45"/>
      <c r="S2202" s="45"/>
      <c r="T2202" s="45"/>
      <c r="U2202" s="45"/>
    </row>
    <row r="2203">
      <c r="A2203" s="79" t="s">
        <v>19616</v>
      </c>
      <c r="B2203" s="45"/>
      <c r="C2203" s="79" t="s">
        <v>19617</v>
      </c>
      <c r="D2203" s="45"/>
      <c r="E2203" s="79" t="s">
        <v>5407</v>
      </c>
      <c r="F2203" s="79" t="s">
        <v>8784</v>
      </c>
      <c r="G2203" s="80" t="s">
        <v>96</v>
      </c>
      <c r="H2203" s="90">
        <v>1.303E-4</v>
      </c>
      <c r="I2203" s="45"/>
      <c r="J2203" s="45"/>
      <c r="K2203" s="45"/>
      <c r="L2203" s="45"/>
      <c r="M2203" s="45"/>
      <c r="N2203" s="45"/>
      <c r="O2203" s="45"/>
      <c r="P2203" s="45"/>
      <c r="Q2203" s="45"/>
      <c r="R2203" s="45"/>
      <c r="S2203" s="45"/>
      <c r="T2203" s="45"/>
      <c r="U2203" s="45"/>
    </row>
    <row r="2204">
      <c r="A2204" s="79" t="s">
        <v>19618</v>
      </c>
      <c r="B2204" s="45"/>
      <c r="C2204" s="79" t="s">
        <v>19619</v>
      </c>
      <c r="D2204" s="45"/>
      <c r="E2204" s="79" t="s">
        <v>5283</v>
      </c>
      <c r="F2204" s="79" t="s">
        <v>5300</v>
      </c>
      <c r="G2204" s="80" t="s">
        <v>96</v>
      </c>
      <c r="H2204" s="90">
        <v>1.303E-4</v>
      </c>
      <c r="I2204" s="45"/>
      <c r="J2204" s="45"/>
      <c r="K2204" s="45"/>
      <c r="L2204" s="45"/>
      <c r="M2204" s="45"/>
      <c r="N2204" s="45"/>
      <c r="O2204" s="45"/>
      <c r="P2204" s="45"/>
      <c r="Q2204" s="45"/>
      <c r="R2204" s="45"/>
      <c r="S2204" s="45"/>
      <c r="T2204" s="45"/>
      <c r="U2204" s="45"/>
    </row>
    <row r="2205">
      <c r="A2205" s="79" t="s">
        <v>19620</v>
      </c>
      <c r="B2205" s="45"/>
      <c r="C2205" s="79" t="s">
        <v>19621</v>
      </c>
      <c r="D2205" s="45"/>
      <c r="E2205" s="79" t="s">
        <v>5561</v>
      </c>
      <c r="F2205" s="79" t="s">
        <v>8784</v>
      </c>
      <c r="G2205" s="80" t="s">
        <v>96</v>
      </c>
      <c r="H2205" s="90">
        <v>1.302E-4</v>
      </c>
      <c r="I2205" s="45"/>
      <c r="J2205" s="45"/>
      <c r="K2205" s="45"/>
      <c r="L2205" s="45"/>
      <c r="M2205" s="45"/>
      <c r="N2205" s="45"/>
      <c r="O2205" s="45"/>
      <c r="P2205" s="45"/>
      <c r="Q2205" s="45"/>
      <c r="R2205" s="45"/>
      <c r="S2205" s="45"/>
      <c r="T2205" s="45"/>
      <c r="U2205" s="45"/>
    </row>
    <row r="2206">
      <c r="A2206" s="79" t="s">
        <v>19622</v>
      </c>
      <c r="B2206" s="45"/>
      <c r="C2206" s="79" t="s">
        <v>19623</v>
      </c>
      <c r="D2206" s="45"/>
      <c r="E2206" s="79" t="s">
        <v>5291</v>
      </c>
      <c r="F2206" s="79" t="s">
        <v>5300</v>
      </c>
      <c r="G2206" s="80" t="s">
        <v>96</v>
      </c>
      <c r="H2206" s="90">
        <v>1.302E-4</v>
      </c>
      <c r="I2206" s="45"/>
      <c r="J2206" s="45"/>
      <c r="K2206" s="45"/>
      <c r="L2206" s="45"/>
      <c r="M2206" s="45"/>
      <c r="N2206" s="45"/>
      <c r="O2206" s="45"/>
      <c r="P2206" s="45"/>
      <c r="Q2206" s="45"/>
      <c r="R2206" s="45"/>
      <c r="S2206" s="45"/>
      <c r="T2206" s="45"/>
      <c r="U2206" s="45"/>
    </row>
    <row r="2207">
      <c r="A2207" s="79" t="s">
        <v>19624</v>
      </c>
      <c r="B2207" s="45"/>
      <c r="C2207" s="79" t="s">
        <v>19625</v>
      </c>
      <c r="D2207" s="45"/>
      <c r="E2207" s="79" t="s">
        <v>5478</v>
      </c>
      <c r="F2207" s="79" t="s">
        <v>5300</v>
      </c>
      <c r="G2207" s="80" t="s">
        <v>96</v>
      </c>
      <c r="H2207" s="90">
        <v>1.302E-4</v>
      </c>
      <c r="I2207" s="45"/>
      <c r="J2207" s="45"/>
      <c r="K2207" s="45"/>
      <c r="L2207" s="45"/>
      <c r="M2207" s="45"/>
      <c r="N2207" s="45"/>
      <c r="O2207" s="45"/>
      <c r="P2207" s="45"/>
      <c r="Q2207" s="45"/>
      <c r="R2207" s="45"/>
      <c r="S2207" s="45"/>
      <c r="T2207" s="45"/>
      <c r="U2207" s="45"/>
    </row>
    <row r="2208">
      <c r="A2208" s="79" t="s">
        <v>5481</v>
      </c>
      <c r="B2208" s="45"/>
      <c r="C2208" s="79" t="s">
        <v>19626</v>
      </c>
      <c r="D2208" s="45"/>
      <c r="E2208" s="79" t="s">
        <v>5321</v>
      </c>
      <c r="F2208" s="79" t="s">
        <v>5300</v>
      </c>
      <c r="G2208" s="80" t="s">
        <v>96</v>
      </c>
      <c r="H2208" s="90">
        <v>1.302E-4</v>
      </c>
      <c r="I2208" s="45"/>
      <c r="J2208" s="45"/>
      <c r="K2208" s="45"/>
      <c r="L2208" s="45"/>
      <c r="M2208" s="45"/>
      <c r="N2208" s="45"/>
      <c r="O2208" s="45"/>
      <c r="P2208" s="45"/>
      <c r="Q2208" s="45"/>
      <c r="R2208" s="45"/>
      <c r="S2208" s="45"/>
      <c r="T2208" s="45"/>
      <c r="U2208" s="45"/>
    </row>
    <row r="2209">
      <c r="A2209" s="79" t="s">
        <v>19627</v>
      </c>
      <c r="B2209" s="45"/>
      <c r="C2209" s="79" t="s">
        <v>19628</v>
      </c>
      <c r="D2209" s="45"/>
      <c r="E2209" s="79" t="s">
        <v>5374</v>
      </c>
      <c r="F2209" s="79" t="s">
        <v>4095</v>
      </c>
      <c r="G2209" s="80" t="s">
        <v>96</v>
      </c>
      <c r="H2209" s="90">
        <v>1.3E-4</v>
      </c>
      <c r="I2209" s="45"/>
      <c r="J2209" s="45"/>
      <c r="K2209" s="45"/>
      <c r="L2209" s="45"/>
      <c r="M2209" s="45"/>
      <c r="N2209" s="45"/>
      <c r="O2209" s="45"/>
      <c r="P2209" s="45"/>
      <c r="Q2209" s="45"/>
      <c r="R2209" s="45"/>
      <c r="S2209" s="45"/>
      <c r="T2209" s="45"/>
      <c r="U2209" s="45"/>
    </row>
    <row r="2210">
      <c r="A2210" s="79" t="s">
        <v>19629</v>
      </c>
      <c r="B2210" s="45"/>
      <c r="C2210" s="79" t="s">
        <v>19630</v>
      </c>
      <c r="D2210" s="45"/>
      <c r="E2210" s="79" t="s">
        <v>5348</v>
      </c>
      <c r="F2210" s="79" t="s">
        <v>5300</v>
      </c>
      <c r="G2210" s="80" t="s">
        <v>96</v>
      </c>
      <c r="H2210" s="90">
        <v>1.3E-4</v>
      </c>
      <c r="I2210" s="45"/>
      <c r="J2210" s="45"/>
      <c r="K2210" s="45"/>
      <c r="L2210" s="45"/>
      <c r="M2210" s="45"/>
      <c r="N2210" s="45"/>
      <c r="O2210" s="45"/>
      <c r="P2210" s="45"/>
      <c r="Q2210" s="45"/>
      <c r="R2210" s="45"/>
      <c r="S2210" s="45"/>
      <c r="T2210" s="45"/>
      <c r="U2210" s="45"/>
    </row>
    <row r="2211">
      <c r="A2211" s="79" t="s">
        <v>19631</v>
      </c>
      <c r="B2211" s="45"/>
      <c r="C2211" s="79" t="s">
        <v>19632</v>
      </c>
      <c r="D2211" s="45"/>
      <c r="E2211" s="79" t="s">
        <v>5434</v>
      </c>
      <c r="F2211" s="79" t="s">
        <v>5300</v>
      </c>
      <c r="G2211" s="80" t="s">
        <v>96</v>
      </c>
      <c r="H2211" s="90">
        <v>1.3E-4</v>
      </c>
      <c r="I2211" s="45"/>
      <c r="J2211" s="45"/>
      <c r="K2211" s="45"/>
      <c r="L2211" s="45"/>
      <c r="M2211" s="45"/>
      <c r="N2211" s="45"/>
      <c r="O2211" s="45"/>
      <c r="P2211" s="45"/>
      <c r="Q2211" s="45"/>
      <c r="R2211" s="45"/>
      <c r="S2211" s="45"/>
      <c r="T2211" s="45"/>
      <c r="U2211" s="45"/>
    </row>
    <row r="2212">
      <c r="A2212" s="79" t="s">
        <v>19633</v>
      </c>
      <c r="B2212" s="45"/>
      <c r="C2212" s="79" t="s">
        <v>19634</v>
      </c>
      <c r="D2212" s="45"/>
      <c r="E2212" s="79" t="s">
        <v>5215</v>
      </c>
      <c r="F2212" s="79" t="s">
        <v>8759</v>
      </c>
      <c r="G2212" s="80" t="s">
        <v>96</v>
      </c>
      <c r="H2212" s="90">
        <v>1.3E-4</v>
      </c>
      <c r="I2212" s="45"/>
      <c r="J2212" s="45"/>
      <c r="K2212" s="45"/>
      <c r="L2212" s="45"/>
      <c r="M2212" s="45"/>
      <c r="N2212" s="45"/>
      <c r="O2212" s="45"/>
      <c r="P2212" s="45"/>
      <c r="Q2212" s="45"/>
      <c r="R2212" s="45"/>
      <c r="S2212" s="45"/>
      <c r="T2212" s="45"/>
      <c r="U2212" s="45"/>
    </row>
    <row r="2213">
      <c r="A2213" s="79" t="s">
        <v>19635</v>
      </c>
      <c r="B2213" s="45"/>
      <c r="C2213" s="79" t="s">
        <v>19636</v>
      </c>
      <c r="D2213" s="45"/>
      <c r="E2213" s="79" t="s">
        <v>5283</v>
      </c>
      <c r="F2213" s="79" t="s">
        <v>5300</v>
      </c>
      <c r="G2213" s="80" t="s">
        <v>96</v>
      </c>
      <c r="H2213" s="90">
        <v>1.299E-4</v>
      </c>
      <c r="I2213" s="45"/>
      <c r="J2213" s="45"/>
      <c r="K2213" s="45"/>
      <c r="L2213" s="45"/>
      <c r="M2213" s="45"/>
      <c r="N2213" s="45"/>
      <c r="O2213" s="45"/>
      <c r="P2213" s="45"/>
      <c r="Q2213" s="45"/>
      <c r="R2213" s="45"/>
      <c r="S2213" s="45"/>
      <c r="T2213" s="45"/>
      <c r="U2213" s="45"/>
    </row>
    <row r="2214">
      <c r="A2214" s="79" t="s">
        <v>19637</v>
      </c>
      <c r="B2214" s="45"/>
      <c r="C2214" s="79" t="s">
        <v>19638</v>
      </c>
      <c r="D2214" s="45"/>
      <c r="E2214" s="79" t="s">
        <v>5283</v>
      </c>
      <c r="F2214" s="79" t="s">
        <v>4153</v>
      </c>
      <c r="G2214" s="80" t="s">
        <v>96</v>
      </c>
      <c r="H2214" s="90">
        <v>1.298E-4</v>
      </c>
      <c r="I2214" s="45"/>
      <c r="J2214" s="45"/>
      <c r="K2214" s="45"/>
      <c r="L2214" s="45"/>
      <c r="M2214" s="45"/>
      <c r="N2214" s="45"/>
      <c r="O2214" s="45"/>
      <c r="P2214" s="45"/>
      <c r="Q2214" s="45"/>
      <c r="R2214" s="45"/>
      <c r="S2214" s="45"/>
      <c r="T2214" s="45"/>
      <c r="U2214" s="45"/>
    </row>
    <row r="2215">
      <c r="A2215" s="79" t="s">
        <v>19639</v>
      </c>
      <c r="B2215" s="45"/>
      <c r="C2215" s="79" t="s">
        <v>19640</v>
      </c>
      <c r="D2215" s="45"/>
      <c r="E2215" s="79" t="s">
        <v>8154</v>
      </c>
      <c r="F2215" s="79" t="s">
        <v>8784</v>
      </c>
      <c r="G2215" s="80" t="s">
        <v>96</v>
      </c>
      <c r="H2215" s="90">
        <v>1.297E-4</v>
      </c>
      <c r="I2215" s="45"/>
      <c r="J2215" s="45"/>
      <c r="K2215" s="45"/>
      <c r="L2215" s="45"/>
      <c r="M2215" s="45"/>
      <c r="N2215" s="45"/>
      <c r="O2215" s="45"/>
      <c r="P2215" s="45"/>
      <c r="Q2215" s="45"/>
      <c r="R2215" s="45"/>
      <c r="S2215" s="45"/>
      <c r="T2215" s="45"/>
      <c r="U2215" s="45"/>
    </row>
    <row r="2216">
      <c r="A2216" s="79" t="s">
        <v>19641</v>
      </c>
      <c r="B2216" s="45"/>
      <c r="C2216" s="79" t="s">
        <v>19642</v>
      </c>
      <c r="D2216" s="45"/>
      <c r="E2216" s="79" t="s">
        <v>5650</v>
      </c>
      <c r="F2216" s="79" t="s">
        <v>8784</v>
      </c>
      <c r="G2216" s="80" t="s">
        <v>96</v>
      </c>
      <c r="H2216" s="90">
        <v>1.296E-4</v>
      </c>
      <c r="I2216" s="45"/>
      <c r="J2216" s="45"/>
      <c r="K2216" s="45"/>
      <c r="L2216" s="45"/>
      <c r="M2216" s="45"/>
      <c r="N2216" s="45"/>
      <c r="O2216" s="45"/>
      <c r="P2216" s="45"/>
      <c r="Q2216" s="45"/>
      <c r="R2216" s="45"/>
      <c r="S2216" s="45"/>
      <c r="T2216" s="45"/>
      <c r="U2216" s="45"/>
    </row>
    <row r="2217">
      <c r="A2217" s="79" t="s">
        <v>19643</v>
      </c>
      <c r="B2217" s="45"/>
      <c r="C2217" s="79" t="s">
        <v>19644</v>
      </c>
      <c r="D2217" s="45"/>
      <c r="E2217" s="79" t="s">
        <v>5501</v>
      </c>
      <c r="F2217" s="79" t="s">
        <v>9021</v>
      </c>
      <c r="G2217" s="80" t="s">
        <v>96</v>
      </c>
      <c r="H2217" s="90">
        <v>1.295E-4</v>
      </c>
      <c r="I2217" s="45"/>
      <c r="J2217" s="45"/>
      <c r="K2217" s="45"/>
      <c r="L2217" s="45"/>
      <c r="M2217" s="45"/>
      <c r="N2217" s="45"/>
      <c r="O2217" s="45"/>
      <c r="P2217" s="45"/>
      <c r="Q2217" s="45"/>
      <c r="R2217" s="45"/>
      <c r="S2217" s="45"/>
      <c r="T2217" s="45"/>
      <c r="U2217" s="45"/>
    </row>
    <row r="2218">
      <c r="A2218" s="79" t="s">
        <v>19645</v>
      </c>
      <c r="B2218" s="45"/>
      <c r="C2218" s="79" t="s">
        <v>19646</v>
      </c>
      <c r="D2218" s="45"/>
      <c r="E2218" s="79" t="s">
        <v>6090</v>
      </c>
      <c r="F2218" s="79" t="s">
        <v>8784</v>
      </c>
      <c r="G2218" s="80" t="s">
        <v>96</v>
      </c>
      <c r="H2218" s="90">
        <v>1.294E-4</v>
      </c>
      <c r="I2218" s="45"/>
      <c r="J2218" s="45"/>
      <c r="K2218" s="45"/>
      <c r="L2218" s="45"/>
      <c r="M2218" s="45"/>
      <c r="N2218" s="45"/>
      <c r="O2218" s="45"/>
      <c r="P2218" s="45"/>
      <c r="Q2218" s="45"/>
      <c r="R2218" s="45"/>
      <c r="S2218" s="45"/>
      <c r="T2218" s="45"/>
      <c r="U2218" s="45"/>
    </row>
    <row r="2219">
      <c r="A2219" s="79" t="s">
        <v>19647</v>
      </c>
      <c r="B2219" s="45"/>
      <c r="C2219" s="79" t="s">
        <v>19648</v>
      </c>
      <c r="D2219" s="45"/>
      <c r="E2219" s="79" t="s">
        <v>5407</v>
      </c>
      <c r="F2219" s="79" t="s">
        <v>5300</v>
      </c>
      <c r="G2219" s="80" t="s">
        <v>96</v>
      </c>
      <c r="H2219" s="90">
        <v>1.293E-4</v>
      </c>
      <c r="I2219" s="45"/>
      <c r="J2219" s="45"/>
      <c r="K2219" s="45"/>
      <c r="L2219" s="45"/>
      <c r="M2219" s="45"/>
      <c r="N2219" s="45"/>
      <c r="O2219" s="45"/>
      <c r="P2219" s="45"/>
      <c r="Q2219" s="45"/>
      <c r="R2219" s="45"/>
      <c r="S2219" s="45"/>
      <c r="T2219" s="45"/>
      <c r="U2219" s="45"/>
    </row>
    <row r="2220">
      <c r="A2220" s="79" t="s">
        <v>19649</v>
      </c>
      <c r="B2220" s="45"/>
      <c r="C2220" s="79" t="s">
        <v>19650</v>
      </c>
      <c r="D2220" s="45"/>
      <c r="E2220" s="79" t="s">
        <v>5215</v>
      </c>
      <c r="F2220" s="79" t="s">
        <v>8784</v>
      </c>
      <c r="G2220" s="80" t="s">
        <v>96</v>
      </c>
      <c r="H2220" s="90">
        <v>1.293E-4</v>
      </c>
      <c r="I2220" s="45"/>
      <c r="J2220" s="45"/>
      <c r="K2220" s="45"/>
      <c r="L2220" s="45"/>
      <c r="M2220" s="45"/>
      <c r="N2220" s="45"/>
      <c r="O2220" s="45"/>
      <c r="P2220" s="45"/>
      <c r="Q2220" s="45"/>
      <c r="R2220" s="45"/>
      <c r="S2220" s="45"/>
      <c r="T2220" s="45"/>
      <c r="U2220" s="45"/>
    </row>
    <row r="2221">
      <c r="A2221" s="79" t="s">
        <v>19651</v>
      </c>
      <c r="B2221" s="45"/>
      <c r="C2221" s="79" t="s">
        <v>19652</v>
      </c>
      <c r="D2221" s="45"/>
      <c r="E2221" s="79" t="s">
        <v>5513</v>
      </c>
      <c r="F2221" s="79" t="s">
        <v>8784</v>
      </c>
      <c r="G2221" s="80" t="s">
        <v>96</v>
      </c>
      <c r="H2221" s="90">
        <v>1.293E-4</v>
      </c>
      <c r="I2221" s="45"/>
      <c r="J2221" s="45"/>
      <c r="K2221" s="45"/>
      <c r="L2221" s="45"/>
      <c r="M2221" s="45"/>
      <c r="N2221" s="45"/>
      <c r="O2221" s="45"/>
      <c r="P2221" s="45"/>
      <c r="Q2221" s="45"/>
      <c r="R2221" s="45"/>
      <c r="S2221" s="45"/>
      <c r="T2221" s="45"/>
      <c r="U2221" s="45"/>
    </row>
    <row r="2222">
      <c r="A2222" s="79" t="s">
        <v>19653</v>
      </c>
      <c r="B2222" s="45"/>
      <c r="C2222" s="79" t="s">
        <v>19654</v>
      </c>
      <c r="D2222" s="45"/>
      <c r="E2222" s="79" t="s">
        <v>5276</v>
      </c>
      <c r="F2222" s="79" t="s">
        <v>5836</v>
      </c>
      <c r="G2222" s="80" t="s">
        <v>96</v>
      </c>
      <c r="H2222" s="90">
        <v>1.292E-4</v>
      </c>
      <c r="I2222" s="45"/>
      <c r="J2222" s="45"/>
      <c r="K2222" s="45"/>
      <c r="L2222" s="45"/>
      <c r="M2222" s="45"/>
      <c r="N2222" s="45"/>
      <c r="O2222" s="45"/>
      <c r="P2222" s="45"/>
      <c r="Q2222" s="45"/>
      <c r="R2222" s="45"/>
      <c r="S2222" s="45"/>
      <c r="T2222" s="45"/>
      <c r="U2222" s="45"/>
    </row>
    <row r="2223">
      <c r="A2223" s="79" t="s">
        <v>19655</v>
      </c>
      <c r="B2223" s="45"/>
      <c r="C2223" s="79" t="s">
        <v>19656</v>
      </c>
      <c r="D2223" s="45"/>
      <c r="E2223" s="79" t="s">
        <v>5366</v>
      </c>
      <c r="F2223" s="79" t="s">
        <v>9414</v>
      </c>
      <c r="G2223" s="80" t="s">
        <v>96</v>
      </c>
      <c r="H2223" s="90">
        <v>1.292E-4</v>
      </c>
      <c r="I2223" s="45"/>
      <c r="J2223" s="45"/>
      <c r="K2223" s="45"/>
      <c r="L2223" s="45"/>
      <c r="M2223" s="45"/>
      <c r="N2223" s="45"/>
      <c r="O2223" s="45"/>
      <c r="P2223" s="45"/>
      <c r="Q2223" s="45"/>
      <c r="R2223" s="45"/>
      <c r="S2223" s="45"/>
      <c r="T2223" s="45"/>
      <c r="U2223" s="45"/>
    </row>
    <row r="2224">
      <c r="A2224" s="79" t="s">
        <v>19657</v>
      </c>
      <c r="B2224" s="45"/>
      <c r="C2224" s="79" t="s">
        <v>19658</v>
      </c>
      <c r="D2224" s="45"/>
      <c r="E2224" s="79" t="s">
        <v>5478</v>
      </c>
      <c r="F2224" s="79" t="s">
        <v>5300</v>
      </c>
      <c r="G2224" s="80" t="s">
        <v>96</v>
      </c>
      <c r="H2224" s="90">
        <v>1.292E-4</v>
      </c>
      <c r="I2224" s="45"/>
      <c r="J2224" s="45"/>
      <c r="K2224" s="45"/>
      <c r="L2224" s="45"/>
      <c r="M2224" s="45"/>
      <c r="N2224" s="45"/>
      <c r="O2224" s="45"/>
      <c r="P2224" s="45"/>
      <c r="Q2224" s="45"/>
      <c r="R2224" s="45"/>
      <c r="S2224" s="45"/>
      <c r="T2224" s="45"/>
      <c r="U2224" s="45"/>
    </row>
    <row r="2225">
      <c r="A2225" s="79" t="s">
        <v>19659</v>
      </c>
      <c r="B2225" s="45"/>
      <c r="C2225" s="79" t="s">
        <v>19660</v>
      </c>
      <c r="D2225" s="45"/>
      <c r="E2225" s="79" t="s">
        <v>5382</v>
      </c>
      <c r="F2225" s="79" t="s">
        <v>5300</v>
      </c>
      <c r="G2225" s="80" t="s">
        <v>96</v>
      </c>
      <c r="H2225" s="90">
        <v>1.292E-4</v>
      </c>
      <c r="I2225" s="45"/>
      <c r="J2225" s="45"/>
      <c r="K2225" s="45"/>
      <c r="L2225" s="45"/>
      <c r="M2225" s="45"/>
      <c r="N2225" s="45"/>
      <c r="O2225" s="45"/>
      <c r="P2225" s="45"/>
      <c r="Q2225" s="45"/>
      <c r="R2225" s="45"/>
      <c r="S2225" s="45"/>
      <c r="T2225" s="45"/>
      <c r="U2225" s="45"/>
    </row>
    <row r="2226">
      <c r="A2226" s="79" t="s">
        <v>19661</v>
      </c>
      <c r="B2226" s="45"/>
      <c r="C2226" s="79" t="s">
        <v>19662</v>
      </c>
      <c r="D2226" s="45"/>
      <c r="E2226" s="79" t="s">
        <v>5478</v>
      </c>
      <c r="F2226" s="79" t="s">
        <v>5300</v>
      </c>
      <c r="G2226" s="80" t="s">
        <v>96</v>
      </c>
      <c r="H2226" s="90">
        <v>1.29E-4</v>
      </c>
      <c r="I2226" s="45"/>
      <c r="J2226" s="45"/>
      <c r="K2226" s="45"/>
      <c r="L2226" s="45"/>
      <c r="M2226" s="45"/>
      <c r="N2226" s="45"/>
      <c r="O2226" s="45"/>
      <c r="P2226" s="45"/>
      <c r="Q2226" s="45"/>
      <c r="R2226" s="45"/>
      <c r="S2226" s="45"/>
      <c r="T2226" s="45"/>
      <c r="U2226" s="45"/>
    </row>
    <row r="2227">
      <c r="A2227" s="79" t="s">
        <v>19663</v>
      </c>
      <c r="B2227" s="45"/>
      <c r="C2227" s="79" t="s">
        <v>19664</v>
      </c>
      <c r="D2227" s="45"/>
      <c r="E2227" s="79" t="s">
        <v>6115</v>
      </c>
      <c r="F2227" s="79" t="s">
        <v>5300</v>
      </c>
      <c r="G2227" s="80" t="s">
        <v>96</v>
      </c>
      <c r="H2227" s="90">
        <v>1.288E-4</v>
      </c>
      <c r="I2227" s="45"/>
      <c r="J2227" s="45"/>
      <c r="K2227" s="45"/>
      <c r="L2227" s="45"/>
      <c r="M2227" s="45"/>
      <c r="N2227" s="45"/>
      <c r="O2227" s="45"/>
      <c r="P2227" s="45"/>
      <c r="Q2227" s="45"/>
      <c r="R2227" s="45"/>
      <c r="S2227" s="45"/>
      <c r="T2227" s="45"/>
      <c r="U2227" s="45"/>
    </row>
    <row r="2228">
      <c r="A2228" s="79" t="s">
        <v>19665</v>
      </c>
      <c r="B2228" s="45"/>
      <c r="C2228" s="79" t="s">
        <v>19666</v>
      </c>
      <c r="D2228" s="45"/>
      <c r="E2228" s="79" t="s">
        <v>7360</v>
      </c>
      <c r="F2228" s="79" t="s">
        <v>4153</v>
      </c>
      <c r="G2228" s="80" t="s">
        <v>96</v>
      </c>
      <c r="H2228" s="90">
        <v>1.286E-4</v>
      </c>
      <c r="I2228" s="45"/>
      <c r="J2228" s="45"/>
      <c r="K2228" s="45"/>
      <c r="L2228" s="45"/>
      <c r="M2228" s="45"/>
      <c r="N2228" s="45"/>
      <c r="O2228" s="45"/>
      <c r="P2228" s="45"/>
      <c r="Q2228" s="45"/>
      <c r="R2228" s="45"/>
      <c r="S2228" s="45"/>
      <c r="T2228" s="45"/>
      <c r="U2228" s="45"/>
    </row>
    <row r="2229">
      <c r="A2229" s="79" t="s">
        <v>19667</v>
      </c>
      <c r="B2229" s="45"/>
      <c r="C2229" s="79" t="s">
        <v>19668</v>
      </c>
      <c r="D2229" s="45"/>
      <c r="E2229" s="79" t="s">
        <v>5326</v>
      </c>
      <c r="F2229" s="79" t="s">
        <v>5300</v>
      </c>
      <c r="G2229" s="80" t="s">
        <v>96</v>
      </c>
      <c r="H2229" s="90">
        <v>1.286E-4</v>
      </c>
      <c r="I2229" s="45"/>
      <c r="J2229" s="45"/>
      <c r="K2229" s="45"/>
      <c r="L2229" s="45"/>
      <c r="M2229" s="45"/>
      <c r="N2229" s="45"/>
      <c r="O2229" s="45"/>
      <c r="P2229" s="45"/>
      <c r="Q2229" s="45"/>
      <c r="R2229" s="45"/>
      <c r="S2229" s="45"/>
      <c r="T2229" s="45"/>
      <c r="U2229" s="45"/>
    </row>
    <row r="2230">
      <c r="A2230" s="79" t="s">
        <v>10699</v>
      </c>
      <c r="B2230" s="45"/>
      <c r="C2230" s="79" t="s">
        <v>10700</v>
      </c>
      <c r="D2230" s="45"/>
      <c r="E2230" s="79" t="s">
        <v>6157</v>
      </c>
      <c r="F2230" s="79" t="s">
        <v>4095</v>
      </c>
      <c r="G2230" s="80" t="s">
        <v>96</v>
      </c>
      <c r="H2230" s="90">
        <v>1.286E-4</v>
      </c>
      <c r="I2230" s="45"/>
      <c r="J2230" s="45"/>
      <c r="K2230" s="45"/>
      <c r="L2230" s="45"/>
      <c r="M2230" s="45"/>
      <c r="N2230" s="45"/>
      <c r="O2230" s="45"/>
      <c r="P2230" s="45"/>
      <c r="Q2230" s="45"/>
      <c r="R2230" s="45"/>
      <c r="S2230" s="45"/>
      <c r="T2230" s="45"/>
      <c r="U2230" s="45"/>
    </row>
    <row r="2231">
      <c r="A2231" s="79" t="s">
        <v>19669</v>
      </c>
      <c r="B2231" s="45"/>
      <c r="C2231" s="79" t="s">
        <v>19670</v>
      </c>
      <c r="D2231" s="45"/>
      <c r="E2231" s="79" t="s">
        <v>5467</v>
      </c>
      <c r="F2231" s="79" t="s">
        <v>5300</v>
      </c>
      <c r="G2231" s="80" t="s">
        <v>96</v>
      </c>
      <c r="H2231" s="90">
        <v>1.286E-4</v>
      </c>
      <c r="I2231" s="45"/>
      <c r="J2231" s="45"/>
      <c r="K2231" s="45"/>
      <c r="L2231" s="45"/>
      <c r="M2231" s="45"/>
      <c r="N2231" s="45"/>
      <c r="O2231" s="45"/>
      <c r="P2231" s="45"/>
      <c r="Q2231" s="45"/>
      <c r="R2231" s="45"/>
      <c r="S2231" s="45"/>
      <c r="T2231" s="45"/>
      <c r="U2231" s="45"/>
    </row>
    <row r="2232">
      <c r="A2232" s="79" t="s">
        <v>19671</v>
      </c>
      <c r="B2232" s="45"/>
      <c r="C2232" s="79" t="s">
        <v>19672</v>
      </c>
      <c r="D2232" s="45"/>
      <c r="E2232" s="79" t="s">
        <v>8110</v>
      </c>
      <c r="F2232" s="79" t="s">
        <v>5300</v>
      </c>
      <c r="G2232" s="80" t="s">
        <v>96</v>
      </c>
      <c r="H2232" s="90">
        <v>1.285E-4</v>
      </c>
      <c r="I2232" s="45"/>
      <c r="J2232" s="45"/>
      <c r="K2232" s="45"/>
      <c r="L2232" s="45"/>
      <c r="M2232" s="45"/>
      <c r="N2232" s="45"/>
      <c r="O2232" s="45"/>
      <c r="P2232" s="45"/>
      <c r="Q2232" s="45"/>
      <c r="R2232" s="45"/>
      <c r="S2232" s="45"/>
      <c r="T2232" s="45"/>
      <c r="U2232" s="45"/>
    </row>
    <row r="2233">
      <c r="A2233" s="79" t="s">
        <v>11025</v>
      </c>
      <c r="B2233" s="45"/>
      <c r="C2233" s="79" t="s">
        <v>11026</v>
      </c>
      <c r="D2233" s="45"/>
      <c r="E2233" s="79" t="s">
        <v>5691</v>
      </c>
      <c r="F2233" s="79" t="s">
        <v>8784</v>
      </c>
      <c r="G2233" s="80" t="s">
        <v>96</v>
      </c>
      <c r="H2233" s="90">
        <v>1.285E-4</v>
      </c>
      <c r="I2233" s="45"/>
      <c r="J2233" s="45"/>
      <c r="K2233" s="45"/>
      <c r="L2233" s="45"/>
      <c r="M2233" s="45"/>
      <c r="N2233" s="45"/>
      <c r="O2233" s="45"/>
      <c r="P2233" s="45"/>
      <c r="Q2233" s="45"/>
      <c r="R2233" s="45"/>
      <c r="S2233" s="45"/>
      <c r="T2233" s="45"/>
      <c r="U2233" s="45"/>
    </row>
    <row r="2234">
      <c r="A2234" s="79" t="s">
        <v>19673</v>
      </c>
      <c r="B2234" s="45"/>
      <c r="C2234" s="79" t="s">
        <v>19674</v>
      </c>
      <c r="D2234" s="45"/>
      <c r="E2234" s="79" t="s">
        <v>5390</v>
      </c>
      <c r="F2234" s="79" t="s">
        <v>5300</v>
      </c>
      <c r="G2234" s="80" t="s">
        <v>96</v>
      </c>
      <c r="H2234" s="90">
        <v>1.282E-4</v>
      </c>
      <c r="I2234" s="45"/>
      <c r="J2234" s="45"/>
      <c r="K2234" s="45"/>
      <c r="L2234" s="45"/>
      <c r="M2234" s="45"/>
      <c r="N2234" s="45"/>
      <c r="O2234" s="45"/>
      <c r="P2234" s="45"/>
      <c r="Q2234" s="45"/>
      <c r="R2234" s="45"/>
      <c r="S2234" s="45"/>
      <c r="T2234" s="45"/>
      <c r="U2234" s="45"/>
    </row>
    <row r="2235">
      <c r="A2235" s="79" t="s">
        <v>19675</v>
      </c>
      <c r="B2235" s="45"/>
      <c r="C2235" s="79" t="s">
        <v>19676</v>
      </c>
      <c r="D2235" s="45"/>
      <c r="E2235" s="79" t="s">
        <v>5283</v>
      </c>
      <c r="F2235" s="79" t="s">
        <v>5300</v>
      </c>
      <c r="G2235" s="80" t="s">
        <v>96</v>
      </c>
      <c r="H2235" s="90">
        <v>1.282E-4</v>
      </c>
      <c r="I2235" s="45"/>
      <c r="J2235" s="45"/>
      <c r="K2235" s="45"/>
      <c r="L2235" s="45"/>
      <c r="M2235" s="45"/>
      <c r="N2235" s="45"/>
      <c r="O2235" s="45"/>
      <c r="P2235" s="45"/>
      <c r="Q2235" s="45"/>
      <c r="R2235" s="45"/>
      <c r="S2235" s="45"/>
      <c r="T2235" s="45"/>
      <c r="U2235" s="45"/>
    </row>
    <row r="2236">
      <c r="A2236" s="79" t="s">
        <v>19677</v>
      </c>
      <c r="B2236" s="45"/>
      <c r="C2236" s="79" t="s">
        <v>19678</v>
      </c>
      <c r="D2236" s="45"/>
      <c r="E2236" s="79" t="s">
        <v>6130</v>
      </c>
      <c r="F2236" s="79" t="s">
        <v>8759</v>
      </c>
      <c r="G2236" s="80" t="s">
        <v>96</v>
      </c>
      <c r="H2236" s="90">
        <v>1.279E-4</v>
      </c>
      <c r="I2236" s="45"/>
      <c r="J2236" s="45"/>
      <c r="K2236" s="45"/>
      <c r="L2236" s="45"/>
      <c r="M2236" s="45"/>
      <c r="N2236" s="45"/>
      <c r="O2236" s="45"/>
      <c r="P2236" s="45"/>
      <c r="Q2236" s="45"/>
      <c r="R2236" s="45"/>
      <c r="S2236" s="45"/>
      <c r="T2236" s="45"/>
      <c r="U2236" s="45"/>
    </row>
    <row r="2237">
      <c r="A2237" s="79" t="s">
        <v>19679</v>
      </c>
      <c r="B2237" s="45"/>
      <c r="C2237" s="79" t="s">
        <v>19680</v>
      </c>
      <c r="D2237" s="45"/>
      <c r="E2237" s="79" t="s">
        <v>6472</v>
      </c>
      <c r="F2237" s="79" t="s">
        <v>5300</v>
      </c>
      <c r="G2237" s="80" t="s">
        <v>96</v>
      </c>
      <c r="H2237" s="90">
        <v>1.277E-4</v>
      </c>
      <c r="I2237" s="45"/>
      <c r="J2237" s="45"/>
      <c r="K2237" s="45"/>
      <c r="L2237" s="45"/>
      <c r="M2237" s="45"/>
      <c r="N2237" s="45"/>
      <c r="O2237" s="45"/>
      <c r="P2237" s="45"/>
      <c r="Q2237" s="45"/>
      <c r="R2237" s="45"/>
      <c r="S2237" s="45"/>
      <c r="T2237" s="45"/>
      <c r="U2237" s="45"/>
    </row>
    <row r="2238">
      <c r="A2238" s="79" t="s">
        <v>19681</v>
      </c>
      <c r="B2238" s="45"/>
      <c r="C2238" s="79" t="s">
        <v>19682</v>
      </c>
      <c r="D2238" s="45"/>
      <c r="E2238" s="79" t="s">
        <v>5226</v>
      </c>
      <c r="F2238" s="79" t="s">
        <v>6210</v>
      </c>
      <c r="G2238" s="80" t="s">
        <v>96</v>
      </c>
      <c r="H2238" s="90">
        <v>1.276E-4</v>
      </c>
      <c r="I2238" s="45"/>
      <c r="J2238" s="45"/>
      <c r="K2238" s="45"/>
      <c r="L2238" s="45"/>
      <c r="M2238" s="45"/>
      <c r="N2238" s="45"/>
      <c r="O2238" s="45"/>
      <c r="P2238" s="45"/>
      <c r="Q2238" s="45"/>
      <c r="R2238" s="45"/>
      <c r="S2238" s="45"/>
      <c r="T2238" s="45"/>
      <c r="U2238" s="45"/>
    </row>
    <row r="2239">
      <c r="A2239" s="79" t="s">
        <v>19683</v>
      </c>
      <c r="B2239" s="45"/>
      <c r="C2239" s="79" t="s">
        <v>19684</v>
      </c>
      <c r="D2239" s="45"/>
      <c r="E2239" s="79" t="s">
        <v>5296</v>
      </c>
      <c r="F2239" s="79" t="s">
        <v>9021</v>
      </c>
      <c r="G2239" s="80" t="s">
        <v>96</v>
      </c>
      <c r="H2239" s="90">
        <v>1.276E-4</v>
      </c>
      <c r="I2239" s="45"/>
      <c r="J2239" s="45"/>
      <c r="K2239" s="45"/>
      <c r="L2239" s="45"/>
      <c r="M2239" s="45"/>
      <c r="N2239" s="45"/>
      <c r="O2239" s="45"/>
      <c r="P2239" s="45"/>
      <c r="Q2239" s="45"/>
      <c r="R2239" s="45"/>
      <c r="S2239" s="45"/>
      <c r="T2239" s="45"/>
      <c r="U2239" s="45"/>
    </row>
    <row r="2240">
      <c r="A2240" s="79" t="s">
        <v>19685</v>
      </c>
      <c r="B2240" s="45"/>
      <c r="C2240" s="79" t="s">
        <v>19686</v>
      </c>
      <c r="D2240" s="45"/>
      <c r="E2240" s="79" t="s">
        <v>5276</v>
      </c>
      <c r="F2240" s="79" t="s">
        <v>8784</v>
      </c>
      <c r="G2240" s="80" t="s">
        <v>96</v>
      </c>
      <c r="H2240" s="90">
        <v>1.276E-4</v>
      </c>
      <c r="I2240" s="45"/>
      <c r="J2240" s="45"/>
      <c r="K2240" s="45"/>
      <c r="L2240" s="45"/>
      <c r="M2240" s="45"/>
      <c r="N2240" s="45"/>
      <c r="O2240" s="45"/>
      <c r="P2240" s="45"/>
      <c r="Q2240" s="45"/>
      <c r="R2240" s="45"/>
      <c r="S2240" s="45"/>
      <c r="T2240" s="45"/>
      <c r="U2240" s="45"/>
    </row>
    <row r="2241">
      <c r="A2241" s="79" t="s">
        <v>19687</v>
      </c>
      <c r="B2241" s="45"/>
      <c r="C2241" s="79" t="s">
        <v>19688</v>
      </c>
      <c r="D2241" s="45"/>
      <c r="E2241" s="79" t="s">
        <v>5377</v>
      </c>
      <c r="F2241" s="79" t="s">
        <v>9414</v>
      </c>
      <c r="G2241" s="80" t="s">
        <v>96</v>
      </c>
      <c r="H2241" s="90">
        <v>1.275E-4</v>
      </c>
      <c r="I2241" s="45"/>
      <c r="J2241" s="45"/>
      <c r="K2241" s="45"/>
      <c r="L2241" s="45"/>
      <c r="M2241" s="45"/>
      <c r="N2241" s="45"/>
      <c r="O2241" s="45"/>
      <c r="P2241" s="45"/>
      <c r="Q2241" s="45"/>
      <c r="R2241" s="45"/>
      <c r="S2241" s="45"/>
      <c r="T2241" s="45"/>
      <c r="U2241" s="45"/>
    </row>
    <row r="2242">
      <c r="A2242" s="79" t="s">
        <v>19689</v>
      </c>
      <c r="B2242" s="45"/>
      <c r="C2242" s="79" t="s">
        <v>19690</v>
      </c>
      <c r="D2242" s="45"/>
      <c r="E2242" s="79" t="s">
        <v>8951</v>
      </c>
      <c r="F2242" s="79" t="s">
        <v>8784</v>
      </c>
      <c r="G2242" s="80" t="s">
        <v>96</v>
      </c>
      <c r="H2242" s="90">
        <v>1.275E-4</v>
      </c>
      <c r="I2242" s="45"/>
      <c r="J2242" s="45"/>
      <c r="K2242" s="45"/>
      <c r="L2242" s="45"/>
      <c r="M2242" s="45"/>
      <c r="N2242" s="45"/>
      <c r="O2242" s="45"/>
      <c r="P2242" s="45"/>
      <c r="Q2242" s="45"/>
      <c r="R2242" s="45"/>
      <c r="S2242" s="45"/>
      <c r="T2242" s="45"/>
      <c r="U2242" s="45"/>
    </row>
    <row r="2243">
      <c r="A2243" s="79" t="s">
        <v>19691</v>
      </c>
      <c r="B2243" s="45"/>
      <c r="C2243" s="79" t="s">
        <v>19692</v>
      </c>
      <c r="D2243" s="45"/>
      <c r="E2243" s="79" t="s">
        <v>5407</v>
      </c>
      <c r="F2243" s="79" t="s">
        <v>5425</v>
      </c>
      <c r="G2243" s="80" t="s">
        <v>96</v>
      </c>
      <c r="H2243" s="90">
        <v>1.274E-4</v>
      </c>
      <c r="I2243" s="45"/>
      <c r="J2243" s="45"/>
      <c r="K2243" s="45"/>
      <c r="L2243" s="45"/>
      <c r="M2243" s="45"/>
      <c r="N2243" s="45"/>
      <c r="O2243" s="45"/>
      <c r="P2243" s="45"/>
      <c r="Q2243" s="45"/>
      <c r="R2243" s="45"/>
      <c r="S2243" s="45"/>
      <c r="T2243" s="45"/>
      <c r="U2243" s="45"/>
    </row>
    <row r="2244">
      <c r="A2244" s="79" t="s">
        <v>19693</v>
      </c>
      <c r="B2244" s="45"/>
      <c r="C2244" s="79" t="s">
        <v>19694</v>
      </c>
      <c r="D2244" s="45"/>
      <c r="E2244" s="79" t="s">
        <v>5561</v>
      </c>
      <c r="F2244" s="79" t="s">
        <v>9021</v>
      </c>
      <c r="G2244" s="80" t="s">
        <v>96</v>
      </c>
      <c r="H2244" s="90">
        <v>1.274E-4</v>
      </c>
      <c r="I2244" s="45"/>
      <c r="J2244" s="45"/>
      <c r="K2244" s="45"/>
      <c r="L2244" s="45"/>
      <c r="M2244" s="45"/>
      <c r="N2244" s="45"/>
      <c r="O2244" s="45"/>
      <c r="P2244" s="45"/>
      <c r="Q2244" s="45"/>
      <c r="R2244" s="45"/>
      <c r="S2244" s="45"/>
      <c r="T2244" s="45"/>
      <c r="U2244" s="45"/>
    </row>
    <row r="2245">
      <c r="A2245" s="79" t="s">
        <v>19695</v>
      </c>
      <c r="B2245" s="45"/>
      <c r="C2245" s="79" t="s">
        <v>19696</v>
      </c>
      <c r="D2245" s="45"/>
      <c r="E2245" s="79" t="s">
        <v>6191</v>
      </c>
      <c r="F2245" s="79" t="s">
        <v>5300</v>
      </c>
      <c r="G2245" s="80" t="s">
        <v>96</v>
      </c>
      <c r="H2245" s="90">
        <v>1.273E-4</v>
      </c>
      <c r="I2245" s="45"/>
      <c r="J2245" s="45"/>
      <c r="K2245" s="45"/>
      <c r="L2245" s="45"/>
      <c r="M2245" s="45"/>
      <c r="N2245" s="45"/>
      <c r="O2245" s="45"/>
      <c r="P2245" s="45"/>
      <c r="Q2245" s="45"/>
      <c r="R2245" s="45"/>
      <c r="S2245" s="45"/>
      <c r="T2245" s="45"/>
      <c r="U2245" s="45"/>
    </row>
    <row r="2246">
      <c r="A2246" s="79" t="s">
        <v>19697</v>
      </c>
      <c r="B2246" s="45"/>
      <c r="C2246" s="79" t="s">
        <v>19698</v>
      </c>
      <c r="D2246" s="45"/>
      <c r="E2246" s="79" t="s">
        <v>5276</v>
      </c>
      <c r="F2246" s="79" t="s">
        <v>5300</v>
      </c>
      <c r="G2246" s="80" t="s">
        <v>96</v>
      </c>
      <c r="H2246" s="90">
        <v>1.273E-4</v>
      </c>
      <c r="I2246" s="45"/>
      <c r="J2246" s="45"/>
      <c r="K2246" s="45"/>
      <c r="L2246" s="45"/>
      <c r="M2246" s="45"/>
      <c r="N2246" s="45"/>
      <c r="O2246" s="45"/>
      <c r="P2246" s="45"/>
      <c r="Q2246" s="45"/>
      <c r="R2246" s="45"/>
      <c r="S2246" s="45"/>
      <c r="T2246" s="45"/>
      <c r="U2246" s="45"/>
    </row>
    <row r="2247">
      <c r="A2247" s="79" t="s">
        <v>19699</v>
      </c>
      <c r="B2247" s="45"/>
      <c r="C2247" s="79" t="s">
        <v>19700</v>
      </c>
      <c r="D2247" s="45"/>
      <c r="E2247" s="79" t="s">
        <v>5478</v>
      </c>
      <c r="F2247" s="79" t="s">
        <v>9021</v>
      </c>
      <c r="G2247" s="80" t="s">
        <v>96</v>
      </c>
      <c r="H2247" s="90">
        <v>1.273E-4</v>
      </c>
      <c r="I2247" s="45"/>
      <c r="J2247" s="45"/>
      <c r="K2247" s="45"/>
      <c r="L2247" s="45"/>
      <c r="M2247" s="45"/>
      <c r="N2247" s="45"/>
      <c r="O2247" s="45"/>
      <c r="P2247" s="45"/>
      <c r="Q2247" s="45"/>
      <c r="R2247" s="45"/>
      <c r="S2247" s="45"/>
      <c r="T2247" s="45"/>
      <c r="U2247" s="45"/>
    </row>
    <row r="2248">
      <c r="A2248" s="79" t="s">
        <v>5268</v>
      </c>
      <c r="B2248" s="45"/>
      <c r="C2248" s="79" t="s">
        <v>19701</v>
      </c>
      <c r="D2248" s="45"/>
      <c r="E2248" s="79" t="s">
        <v>5211</v>
      </c>
      <c r="F2248" s="79" t="s">
        <v>5300</v>
      </c>
      <c r="G2248" s="80" t="s">
        <v>96</v>
      </c>
      <c r="H2248" s="90">
        <v>1.272E-4</v>
      </c>
      <c r="I2248" s="45"/>
      <c r="J2248" s="45"/>
      <c r="K2248" s="45"/>
      <c r="L2248" s="45"/>
      <c r="M2248" s="45"/>
      <c r="N2248" s="45"/>
      <c r="O2248" s="45"/>
      <c r="P2248" s="45"/>
      <c r="Q2248" s="45"/>
      <c r="R2248" s="45"/>
      <c r="S2248" s="45"/>
      <c r="T2248" s="45"/>
      <c r="U2248" s="45"/>
    </row>
    <row r="2249">
      <c r="A2249" s="79" t="s">
        <v>19702</v>
      </c>
      <c r="B2249" s="45"/>
      <c r="C2249" s="79" t="s">
        <v>19703</v>
      </c>
      <c r="D2249" s="45"/>
      <c r="E2249" s="79" t="s">
        <v>5448</v>
      </c>
      <c r="F2249" s="79" t="s">
        <v>8784</v>
      </c>
      <c r="G2249" s="80" t="s">
        <v>96</v>
      </c>
      <c r="H2249" s="90">
        <v>1.271E-4</v>
      </c>
      <c r="I2249" s="45"/>
      <c r="J2249" s="45"/>
      <c r="K2249" s="45"/>
      <c r="L2249" s="45"/>
      <c r="M2249" s="45"/>
      <c r="N2249" s="45"/>
      <c r="O2249" s="45"/>
      <c r="P2249" s="45"/>
      <c r="Q2249" s="45"/>
      <c r="R2249" s="45"/>
      <c r="S2249" s="45"/>
      <c r="T2249" s="45"/>
      <c r="U2249" s="45"/>
    </row>
    <row r="2250">
      <c r="A2250" s="79" t="s">
        <v>19704</v>
      </c>
      <c r="B2250" s="45"/>
      <c r="C2250" s="79" t="s">
        <v>19705</v>
      </c>
      <c r="D2250" s="45"/>
      <c r="E2250" s="79" t="s">
        <v>5691</v>
      </c>
      <c r="F2250" s="79" t="s">
        <v>5300</v>
      </c>
      <c r="G2250" s="80" t="s">
        <v>96</v>
      </c>
      <c r="H2250" s="90">
        <v>1.27E-4</v>
      </c>
      <c r="I2250" s="45"/>
      <c r="J2250" s="45"/>
      <c r="K2250" s="45"/>
      <c r="L2250" s="45"/>
      <c r="M2250" s="45"/>
      <c r="N2250" s="45"/>
      <c r="O2250" s="45"/>
      <c r="P2250" s="45"/>
      <c r="Q2250" s="45"/>
      <c r="R2250" s="45"/>
      <c r="S2250" s="45"/>
      <c r="T2250" s="45"/>
      <c r="U2250" s="45"/>
    </row>
    <row r="2251">
      <c r="A2251" s="79" t="s">
        <v>19706</v>
      </c>
      <c r="B2251" s="45"/>
      <c r="C2251" s="79" t="s">
        <v>19707</v>
      </c>
      <c r="D2251" s="45"/>
      <c r="E2251" s="79" t="s">
        <v>6275</v>
      </c>
      <c r="F2251" s="79" t="s">
        <v>5300</v>
      </c>
      <c r="G2251" s="80" t="s">
        <v>96</v>
      </c>
      <c r="H2251" s="90">
        <v>1.27E-4</v>
      </c>
      <c r="I2251" s="45"/>
      <c r="J2251" s="45"/>
      <c r="K2251" s="45"/>
      <c r="L2251" s="45"/>
      <c r="M2251" s="45"/>
      <c r="N2251" s="45"/>
      <c r="O2251" s="45"/>
      <c r="P2251" s="45"/>
      <c r="Q2251" s="45"/>
      <c r="R2251" s="45"/>
      <c r="S2251" s="45"/>
      <c r="T2251" s="45"/>
      <c r="U2251" s="45"/>
    </row>
    <row r="2252">
      <c r="A2252" s="79" t="s">
        <v>19708</v>
      </c>
      <c r="B2252" s="45"/>
      <c r="C2252" s="79" t="s">
        <v>19709</v>
      </c>
      <c r="D2252" s="45"/>
      <c r="E2252" s="79" t="s">
        <v>5675</v>
      </c>
      <c r="F2252" s="79" t="s">
        <v>5300</v>
      </c>
      <c r="G2252" s="80" t="s">
        <v>96</v>
      </c>
      <c r="H2252" s="90">
        <v>1.269E-4</v>
      </c>
      <c r="I2252" s="45"/>
      <c r="J2252" s="45"/>
      <c r="K2252" s="45"/>
      <c r="L2252" s="45"/>
      <c r="M2252" s="45"/>
      <c r="N2252" s="45"/>
      <c r="O2252" s="45"/>
      <c r="P2252" s="45"/>
      <c r="Q2252" s="45"/>
      <c r="R2252" s="45"/>
      <c r="S2252" s="45"/>
      <c r="T2252" s="45"/>
      <c r="U2252" s="45"/>
    </row>
    <row r="2253">
      <c r="A2253" s="79" t="s">
        <v>19710</v>
      </c>
      <c r="B2253" s="45"/>
      <c r="C2253" s="79" t="s">
        <v>19711</v>
      </c>
      <c r="D2253" s="45"/>
      <c r="E2253" s="79" t="s">
        <v>5215</v>
      </c>
      <c r="F2253" s="79" t="s">
        <v>5300</v>
      </c>
      <c r="G2253" s="80" t="s">
        <v>96</v>
      </c>
      <c r="H2253" s="90">
        <v>1.269E-4</v>
      </c>
      <c r="I2253" s="45"/>
      <c r="J2253" s="45"/>
      <c r="K2253" s="45"/>
      <c r="L2253" s="45"/>
      <c r="M2253" s="45"/>
      <c r="N2253" s="45"/>
      <c r="O2253" s="45"/>
      <c r="P2253" s="45"/>
      <c r="Q2253" s="45"/>
      <c r="R2253" s="45"/>
      <c r="S2253" s="45"/>
      <c r="T2253" s="45"/>
      <c r="U2253" s="45"/>
    </row>
    <row r="2254">
      <c r="A2254" s="79" t="s">
        <v>19712</v>
      </c>
      <c r="B2254" s="45"/>
      <c r="C2254" s="79" t="s">
        <v>19713</v>
      </c>
      <c r="D2254" s="45"/>
      <c r="E2254" s="79" t="s">
        <v>5564</v>
      </c>
      <c r="F2254" s="79" t="s">
        <v>9414</v>
      </c>
      <c r="G2254" s="80" t="s">
        <v>96</v>
      </c>
      <c r="H2254" s="90">
        <v>1.269E-4</v>
      </c>
      <c r="I2254" s="45"/>
      <c r="J2254" s="45"/>
      <c r="K2254" s="45"/>
      <c r="L2254" s="45"/>
      <c r="M2254" s="45"/>
      <c r="N2254" s="45"/>
      <c r="O2254" s="45"/>
      <c r="P2254" s="45"/>
      <c r="Q2254" s="45"/>
      <c r="R2254" s="45"/>
      <c r="S2254" s="45"/>
      <c r="T2254" s="45"/>
      <c r="U2254" s="45"/>
    </row>
    <row r="2255">
      <c r="A2255" s="79" t="s">
        <v>16975</v>
      </c>
      <c r="B2255" s="45"/>
      <c r="C2255" s="79" t="s">
        <v>19714</v>
      </c>
      <c r="D2255" s="45"/>
      <c r="E2255" s="79" t="s">
        <v>6416</v>
      </c>
      <c r="F2255" s="79" t="s">
        <v>5836</v>
      </c>
      <c r="G2255" s="80" t="s">
        <v>96</v>
      </c>
      <c r="H2255" s="90">
        <v>1.269E-4</v>
      </c>
      <c r="I2255" s="45"/>
      <c r="J2255" s="45"/>
      <c r="K2255" s="45"/>
      <c r="L2255" s="45"/>
      <c r="M2255" s="45"/>
      <c r="N2255" s="45"/>
      <c r="O2255" s="45"/>
      <c r="P2255" s="45"/>
      <c r="Q2255" s="45"/>
      <c r="R2255" s="45"/>
      <c r="S2255" s="45"/>
      <c r="T2255" s="45"/>
      <c r="U2255" s="45"/>
    </row>
    <row r="2256">
      <c r="A2256" s="79" t="s">
        <v>19715</v>
      </c>
      <c r="B2256" s="45"/>
      <c r="C2256" s="79" t="s">
        <v>19716</v>
      </c>
      <c r="D2256" s="45"/>
      <c r="E2256" s="79" t="s">
        <v>5395</v>
      </c>
      <c r="F2256" s="79" t="s">
        <v>5300</v>
      </c>
      <c r="G2256" s="80" t="s">
        <v>96</v>
      </c>
      <c r="H2256" s="90">
        <v>1.267E-4</v>
      </c>
      <c r="I2256" s="45"/>
      <c r="J2256" s="45"/>
      <c r="K2256" s="45"/>
      <c r="L2256" s="45"/>
      <c r="M2256" s="45"/>
      <c r="N2256" s="45"/>
      <c r="O2256" s="45"/>
      <c r="P2256" s="45"/>
      <c r="Q2256" s="45"/>
      <c r="R2256" s="45"/>
      <c r="S2256" s="45"/>
      <c r="T2256" s="45"/>
      <c r="U2256" s="45"/>
    </row>
    <row r="2257">
      <c r="A2257" s="79" t="s">
        <v>11175</v>
      </c>
      <c r="B2257" s="45"/>
      <c r="C2257" s="79" t="s">
        <v>11176</v>
      </c>
      <c r="D2257" s="45"/>
      <c r="E2257" s="79" t="s">
        <v>5561</v>
      </c>
      <c r="F2257" s="79" t="s">
        <v>9513</v>
      </c>
      <c r="G2257" s="80" t="s">
        <v>96</v>
      </c>
      <c r="H2257" s="90">
        <v>1.267E-4</v>
      </c>
      <c r="I2257" s="45"/>
      <c r="J2257" s="45"/>
      <c r="K2257" s="45"/>
      <c r="L2257" s="45"/>
      <c r="M2257" s="45"/>
      <c r="N2257" s="45"/>
      <c r="O2257" s="45"/>
      <c r="P2257" s="45"/>
      <c r="Q2257" s="45"/>
      <c r="R2257" s="45"/>
      <c r="S2257" s="45"/>
      <c r="T2257" s="45"/>
      <c r="U2257" s="45"/>
    </row>
    <row r="2258">
      <c r="A2258" s="79" t="s">
        <v>19717</v>
      </c>
      <c r="B2258" s="45"/>
      <c r="C2258" s="79" t="s">
        <v>19718</v>
      </c>
      <c r="D2258" s="45"/>
      <c r="E2258" s="79" t="s">
        <v>6130</v>
      </c>
      <c r="F2258" s="79" t="s">
        <v>8784</v>
      </c>
      <c r="G2258" s="80" t="s">
        <v>96</v>
      </c>
      <c r="H2258" s="90">
        <v>1.266E-4</v>
      </c>
      <c r="I2258" s="45"/>
      <c r="J2258" s="45"/>
      <c r="K2258" s="45"/>
      <c r="L2258" s="45"/>
      <c r="M2258" s="45"/>
      <c r="N2258" s="45"/>
      <c r="O2258" s="45"/>
      <c r="P2258" s="45"/>
      <c r="Q2258" s="45"/>
      <c r="R2258" s="45"/>
      <c r="S2258" s="45"/>
      <c r="T2258" s="45"/>
      <c r="U2258" s="45"/>
    </row>
    <row r="2259">
      <c r="A2259" s="79" t="s">
        <v>19719</v>
      </c>
      <c r="B2259" s="45"/>
      <c r="C2259" s="79" t="s">
        <v>19720</v>
      </c>
      <c r="D2259" s="45"/>
      <c r="E2259" s="79" t="s">
        <v>5211</v>
      </c>
      <c r="F2259" s="79" t="s">
        <v>5836</v>
      </c>
      <c r="G2259" s="80" t="s">
        <v>96</v>
      </c>
      <c r="H2259" s="90">
        <v>1.265E-4</v>
      </c>
      <c r="I2259" s="45"/>
      <c r="J2259" s="45"/>
      <c r="K2259" s="45"/>
      <c r="L2259" s="45"/>
      <c r="M2259" s="45"/>
      <c r="N2259" s="45"/>
      <c r="O2259" s="45"/>
      <c r="P2259" s="45"/>
      <c r="Q2259" s="45"/>
      <c r="R2259" s="45"/>
      <c r="S2259" s="45"/>
      <c r="T2259" s="45"/>
      <c r="U2259" s="45"/>
    </row>
    <row r="2260">
      <c r="A2260" s="79" t="s">
        <v>19721</v>
      </c>
      <c r="B2260" s="45"/>
      <c r="C2260" s="79" t="s">
        <v>19722</v>
      </c>
      <c r="D2260" s="45"/>
      <c r="E2260" s="79" t="s">
        <v>5501</v>
      </c>
      <c r="F2260" s="79" t="s">
        <v>5747</v>
      </c>
      <c r="G2260" s="80" t="s">
        <v>96</v>
      </c>
      <c r="H2260" s="90">
        <v>1.264E-4</v>
      </c>
      <c r="I2260" s="45"/>
      <c r="J2260" s="45"/>
      <c r="K2260" s="45"/>
      <c r="L2260" s="45"/>
      <c r="M2260" s="45"/>
      <c r="N2260" s="45"/>
      <c r="O2260" s="45"/>
      <c r="P2260" s="45"/>
      <c r="Q2260" s="45"/>
      <c r="R2260" s="45"/>
      <c r="S2260" s="45"/>
      <c r="T2260" s="45"/>
      <c r="U2260" s="45"/>
    </row>
    <row r="2261">
      <c r="A2261" s="79" t="s">
        <v>19723</v>
      </c>
      <c r="B2261" s="45"/>
      <c r="C2261" s="79" t="s">
        <v>19724</v>
      </c>
      <c r="D2261" s="45"/>
      <c r="E2261" s="79" t="s">
        <v>9189</v>
      </c>
      <c r="F2261" s="79" t="s">
        <v>5425</v>
      </c>
      <c r="G2261" s="80" t="s">
        <v>96</v>
      </c>
      <c r="H2261" s="90">
        <v>1.264E-4</v>
      </c>
      <c r="I2261" s="45"/>
      <c r="J2261" s="45"/>
      <c r="K2261" s="45"/>
      <c r="L2261" s="45"/>
      <c r="M2261" s="45"/>
      <c r="N2261" s="45"/>
      <c r="O2261" s="45"/>
      <c r="P2261" s="45"/>
      <c r="Q2261" s="45"/>
      <c r="R2261" s="45"/>
      <c r="S2261" s="45"/>
      <c r="T2261" s="45"/>
      <c r="U2261" s="45"/>
    </row>
    <row r="2262">
      <c r="A2262" s="79" t="s">
        <v>10980</v>
      </c>
      <c r="B2262" s="45"/>
      <c r="C2262" s="79" t="s">
        <v>10981</v>
      </c>
      <c r="D2262" s="45"/>
      <c r="E2262" s="79" t="s">
        <v>5215</v>
      </c>
      <c r="F2262" s="79" t="s">
        <v>8784</v>
      </c>
      <c r="G2262" s="80" t="s">
        <v>96</v>
      </c>
      <c r="H2262" s="90">
        <v>1.262E-4</v>
      </c>
      <c r="I2262" s="45"/>
      <c r="J2262" s="45"/>
      <c r="K2262" s="45"/>
      <c r="L2262" s="45"/>
      <c r="M2262" s="45"/>
      <c r="N2262" s="45"/>
      <c r="O2262" s="45"/>
      <c r="P2262" s="45"/>
      <c r="Q2262" s="45"/>
      <c r="R2262" s="45"/>
      <c r="S2262" s="45"/>
      <c r="T2262" s="45"/>
      <c r="U2262" s="45"/>
    </row>
    <row r="2263">
      <c r="A2263" s="79" t="s">
        <v>19725</v>
      </c>
      <c r="B2263" s="45"/>
      <c r="C2263" s="79" t="s">
        <v>19726</v>
      </c>
      <c r="D2263" s="45"/>
      <c r="E2263" s="79" t="s">
        <v>5291</v>
      </c>
      <c r="F2263" s="79" t="s">
        <v>5300</v>
      </c>
      <c r="G2263" s="80" t="s">
        <v>96</v>
      </c>
      <c r="H2263" s="90">
        <v>1.262E-4</v>
      </c>
      <c r="I2263" s="45"/>
      <c r="J2263" s="45"/>
      <c r="K2263" s="45"/>
      <c r="L2263" s="45"/>
      <c r="M2263" s="45"/>
      <c r="N2263" s="45"/>
      <c r="O2263" s="45"/>
      <c r="P2263" s="45"/>
      <c r="Q2263" s="45"/>
      <c r="R2263" s="45"/>
      <c r="S2263" s="45"/>
      <c r="T2263" s="45"/>
      <c r="U2263" s="45"/>
    </row>
    <row r="2264">
      <c r="A2264" s="79" t="s">
        <v>19727</v>
      </c>
      <c r="B2264" s="45"/>
      <c r="C2264" s="79" t="s">
        <v>19728</v>
      </c>
      <c r="D2264" s="45"/>
      <c r="E2264" s="79" t="s">
        <v>5326</v>
      </c>
      <c r="F2264" s="79" t="s">
        <v>5941</v>
      </c>
      <c r="G2264" s="80" t="s">
        <v>96</v>
      </c>
      <c r="H2264" s="90">
        <v>1.261E-4</v>
      </c>
      <c r="I2264" s="45"/>
      <c r="J2264" s="45"/>
      <c r="K2264" s="45"/>
      <c r="L2264" s="45"/>
      <c r="M2264" s="45"/>
      <c r="N2264" s="45"/>
      <c r="O2264" s="45"/>
      <c r="P2264" s="45"/>
      <c r="Q2264" s="45"/>
      <c r="R2264" s="45"/>
      <c r="S2264" s="45"/>
      <c r="T2264" s="45"/>
      <c r="U2264" s="45"/>
    </row>
    <row r="2265">
      <c r="A2265" s="79" t="s">
        <v>19729</v>
      </c>
      <c r="B2265" s="45"/>
      <c r="C2265" s="79" t="s">
        <v>19730</v>
      </c>
      <c r="D2265" s="45"/>
      <c r="E2265" s="79" t="s">
        <v>5341</v>
      </c>
      <c r="F2265" s="79" t="s">
        <v>5425</v>
      </c>
      <c r="G2265" s="80" t="s">
        <v>96</v>
      </c>
      <c r="H2265" s="90">
        <v>1.261E-4</v>
      </c>
      <c r="I2265" s="45"/>
      <c r="J2265" s="45"/>
      <c r="K2265" s="45"/>
      <c r="L2265" s="45"/>
      <c r="M2265" s="45"/>
      <c r="N2265" s="45"/>
      <c r="O2265" s="45"/>
      <c r="P2265" s="45"/>
      <c r="Q2265" s="45"/>
      <c r="R2265" s="45"/>
      <c r="S2265" s="45"/>
      <c r="T2265" s="45"/>
      <c r="U2265" s="45"/>
    </row>
    <row r="2266">
      <c r="A2266" s="79" t="s">
        <v>19731</v>
      </c>
      <c r="B2266" s="45"/>
      <c r="C2266" s="79" t="s">
        <v>19732</v>
      </c>
      <c r="D2266" s="45"/>
      <c r="E2266" s="79" t="s">
        <v>5390</v>
      </c>
      <c r="F2266" s="79" t="s">
        <v>9513</v>
      </c>
      <c r="G2266" s="80" t="s">
        <v>96</v>
      </c>
      <c r="H2266" s="90">
        <v>1.261E-4</v>
      </c>
      <c r="I2266" s="45"/>
      <c r="J2266" s="45"/>
      <c r="K2266" s="45"/>
      <c r="L2266" s="45"/>
      <c r="M2266" s="45"/>
      <c r="N2266" s="45"/>
      <c r="O2266" s="45"/>
      <c r="P2266" s="45"/>
      <c r="Q2266" s="45"/>
      <c r="R2266" s="45"/>
      <c r="S2266" s="45"/>
      <c r="T2266" s="45"/>
      <c r="U2266" s="45"/>
    </row>
    <row r="2267">
      <c r="A2267" s="79" t="s">
        <v>19733</v>
      </c>
      <c r="B2267" s="45"/>
      <c r="C2267" s="79" t="s">
        <v>19734</v>
      </c>
      <c r="D2267" s="45"/>
      <c r="E2267" s="79" t="s">
        <v>5232</v>
      </c>
      <c r="F2267" s="79" t="s">
        <v>4153</v>
      </c>
      <c r="G2267" s="80" t="s">
        <v>96</v>
      </c>
      <c r="H2267" s="90">
        <v>1.257E-4</v>
      </c>
      <c r="I2267" s="45"/>
      <c r="J2267" s="45"/>
      <c r="K2267" s="45"/>
      <c r="L2267" s="45"/>
      <c r="M2267" s="45"/>
      <c r="N2267" s="45"/>
      <c r="O2267" s="45"/>
      <c r="P2267" s="45"/>
      <c r="Q2267" s="45"/>
      <c r="R2267" s="45"/>
      <c r="S2267" s="45"/>
      <c r="T2267" s="45"/>
      <c r="U2267" s="45"/>
    </row>
    <row r="2268">
      <c r="A2268" s="79" t="s">
        <v>19735</v>
      </c>
      <c r="B2268" s="45"/>
      <c r="C2268" s="79" t="s">
        <v>19736</v>
      </c>
      <c r="D2268" s="45"/>
      <c r="E2268" s="79" t="s">
        <v>5395</v>
      </c>
      <c r="F2268" s="79" t="s">
        <v>5300</v>
      </c>
      <c r="G2268" s="80" t="s">
        <v>96</v>
      </c>
      <c r="H2268" s="90">
        <v>1.257E-4</v>
      </c>
      <c r="I2268" s="45"/>
      <c r="J2268" s="45"/>
      <c r="K2268" s="45"/>
      <c r="L2268" s="45"/>
      <c r="M2268" s="45"/>
      <c r="N2268" s="45"/>
      <c r="O2268" s="45"/>
      <c r="P2268" s="45"/>
      <c r="Q2268" s="45"/>
      <c r="R2268" s="45"/>
      <c r="S2268" s="45"/>
      <c r="T2268" s="45"/>
      <c r="U2268" s="45"/>
    </row>
    <row r="2269">
      <c r="A2269" s="79" t="s">
        <v>5454</v>
      </c>
      <c r="B2269" s="45"/>
      <c r="C2269" s="79" t="s">
        <v>19737</v>
      </c>
      <c r="D2269" s="45"/>
      <c r="E2269" s="79" t="s">
        <v>5218</v>
      </c>
      <c r="F2269" s="79" t="s">
        <v>4095</v>
      </c>
      <c r="G2269" s="80" t="s">
        <v>96</v>
      </c>
      <c r="H2269" s="90">
        <v>1.256E-4</v>
      </c>
      <c r="I2269" s="45"/>
      <c r="J2269" s="45"/>
      <c r="K2269" s="45"/>
      <c r="L2269" s="45"/>
      <c r="M2269" s="45"/>
      <c r="N2269" s="45"/>
      <c r="O2269" s="45"/>
      <c r="P2269" s="45"/>
      <c r="Q2269" s="45"/>
      <c r="R2269" s="45"/>
      <c r="S2269" s="45"/>
      <c r="T2269" s="45"/>
      <c r="U2269" s="45"/>
    </row>
    <row r="2270">
      <c r="A2270" s="79" t="s">
        <v>19738</v>
      </c>
      <c r="B2270" s="45"/>
      <c r="C2270" s="79" t="s">
        <v>19739</v>
      </c>
      <c r="D2270" s="45"/>
      <c r="E2270" s="79" t="s">
        <v>7360</v>
      </c>
      <c r="F2270" s="79" t="s">
        <v>4357</v>
      </c>
      <c r="G2270" s="80" t="s">
        <v>96</v>
      </c>
      <c r="H2270" s="90">
        <v>1.256E-4</v>
      </c>
      <c r="I2270" s="45"/>
      <c r="J2270" s="45"/>
      <c r="K2270" s="45"/>
      <c r="L2270" s="45"/>
      <c r="M2270" s="45"/>
      <c r="N2270" s="45"/>
      <c r="O2270" s="45"/>
      <c r="P2270" s="45"/>
      <c r="Q2270" s="45"/>
      <c r="R2270" s="45"/>
      <c r="S2270" s="45"/>
      <c r="T2270" s="45"/>
      <c r="U2270" s="45"/>
    </row>
    <row r="2271">
      <c r="A2271" s="79" t="s">
        <v>19740</v>
      </c>
      <c r="B2271" s="45"/>
      <c r="C2271" s="79" t="s">
        <v>19741</v>
      </c>
      <c r="D2271" s="45"/>
      <c r="E2271" s="79" t="s">
        <v>10125</v>
      </c>
      <c r="F2271" s="79" t="s">
        <v>5300</v>
      </c>
      <c r="G2271" s="80" t="s">
        <v>96</v>
      </c>
      <c r="H2271" s="90">
        <v>1.256E-4</v>
      </c>
      <c r="I2271" s="45"/>
      <c r="J2271" s="45"/>
      <c r="K2271" s="45"/>
      <c r="L2271" s="45"/>
      <c r="M2271" s="45"/>
      <c r="N2271" s="45"/>
      <c r="O2271" s="45"/>
      <c r="P2271" s="45"/>
      <c r="Q2271" s="45"/>
      <c r="R2271" s="45"/>
      <c r="S2271" s="45"/>
      <c r="T2271" s="45"/>
      <c r="U2271" s="45"/>
    </row>
    <row r="2272">
      <c r="A2272" s="79" t="s">
        <v>19742</v>
      </c>
      <c r="B2272" s="45"/>
      <c r="C2272" s="79" t="s">
        <v>19743</v>
      </c>
      <c r="D2272" s="45"/>
      <c r="E2272" s="79" t="s">
        <v>5450</v>
      </c>
      <c r="F2272" s="79" t="s">
        <v>8784</v>
      </c>
      <c r="G2272" s="80" t="s">
        <v>96</v>
      </c>
      <c r="H2272" s="90">
        <v>1.256E-4</v>
      </c>
      <c r="I2272" s="45"/>
      <c r="J2272" s="45"/>
      <c r="K2272" s="45"/>
      <c r="L2272" s="45"/>
      <c r="M2272" s="45"/>
      <c r="N2272" s="45"/>
      <c r="O2272" s="45"/>
      <c r="P2272" s="45"/>
      <c r="Q2272" s="45"/>
      <c r="R2272" s="45"/>
      <c r="S2272" s="45"/>
      <c r="T2272" s="45"/>
      <c r="U2272" s="45"/>
    </row>
    <row r="2273">
      <c r="A2273" s="79" t="s">
        <v>19744</v>
      </c>
      <c r="B2273" s="45"/>
      <c r="C2273" s="79" t="s">
        <v>19745</v>
      </c>
      <c r="D2273" s="45"/>
      <c r="E2273" s="79" t="s">
        <v>5348</v>
      </c>
      <c r="F2273" s="79" t="s">
        <v>5300</v>
      </c>
      <c r="G2273" s="80" t="s">
        <v>96</v>
      </c>
      <c r="H2273" s="90">
        <v>1.256E-4</v>
      </c>
      <c r="I2273" s="45"/>
      <c r="J2273" s="45"/>
      <c r="K2273" s="45"/>
      <c r="L2273" s="45"/>
      <c r="M2273" s="45"/>
      <c r="N2273" s="45"/>
      <c r="O2273" s="45"/>
      <c r="P2273" s="45"/>
      <c r="Q2273" s="45"/>
      <c r="R2273" s="45"/>
      <c r="S2273" s="45"/>
      <c r="T2273" s="45"/>
      <c r="U2273" s="45"/>
    </row>
    <row r="2274">
      <c r="A2274" s="79" t="s">
        <v>19746</v>
      </c>
      <c r="B2274" s="45"/>
      <c r="C2274" s="79" t="s">
        <v>19747</v>
      </c>
      <c r="D2274" s="45"/>
      <c r="E2274" s="79" t="s">
        <v>5964</v>
      </c>
      <c r="F2274" s="79" t="s">
        <v>9021</v>
      </c>
      <c r="G2274" s="80" t="s">
        <v>96</v>
      </c>
      <c r="H2274" s="90">
        <v>1.255E-4</v>
      </c>
      <c r="I2274" s="45"/>
      <c r="J2274" s="45"/>
      <c r="K2274" s="45"/>
      <c r="L2274" s="45"/>
      <c r="M2274" s="45"/>
      <c r="N2274" s="45"/>
      <c r="O2274" s="45"/>
      <c r="P2274" s="45"/>
      <c r="Q2274" s="45"/>
      <c r="R2274" s="45"/>
      <c r="S2274" s="45"/>
      <c r="T2274" s="45"/>
      <c r="U2274" s="45"/>
    </row>
    <row r="2275">
      <c r="A2275" s="79" t="s">
        <v>19748</v>
      </c>
      <c r="B2275" s="45"/>
      <c r="C2275" s="79" t="s">
        <v>19749</v>
      </c>
      <c r="D2275" s="45"/>
      <c r="E2275" s="79" t="s">
        <v>5478</v>
      </c>
      <c r="F2275" s="79" t="s">
        <v>5300</v>
      </c>
      <c r="G2275" s="80" t="s">
        <v>96</v>
      </c>
      <c r="H2275" s="90">
        <v>1.254E-4</v>
      </c>
      <c r="I2275" s="45"/>
      <c r="J2275" s="45"/>
      <c r="K2275" s="45"/>
      <c r="L2275" s="45"/>
      <c r="M2275" s="45"/>
      <c r="N2275" s="45"/>
      <c r="O2275" s="45"/>
      <c r="P2275" s="45"/>
      <c r="Q2275" s="45"/>
      <c r="R2275" s="45"/>
      <c r="S2275" s="45"/>
      <c r="T2275" s="45"/>
      <c r="U2275" s="45"/>
    </row>
    <row r="2276">
      <c r="A2276" s="79" t="s">
        <v>19750</v>
      </c>
      <c r="B2276" s="45"/>
      <c r="C2276" s="79" t="s">
        <v>19751</v>
      </c>
      <c r="D2276" s="45"/>
      <c r="E2276" s="79" t="s">
        <v>5456</v>
      </c>
      <c r="F2276" s="79" t="s">
        <v>8784</v>
      </c>
      <c r="G2276" s="80" t="s">
        <v>96</v>
      </c>
      <c r="H2276" s="90">
        <v>1.254E-4</v>
      </c>
      <c r="I2276" s="45"/>
      <c r="J2276" s="45"/>
      <c r="K2276" s="45"/>
      <c r="L2276" s="45"/>
      <c r="M2276" s="45"/>
      <c r="N2276" s="45"/>
      <c r="O2276" s="45"/>
      <c r="P2276" s="45"/>
      <c r="Q2276" s="45"/>
      <c r="R2276" s="45"/>
      <c r="S2276" s="45"/>
      <c r="T2276" s="45"/>
      <c r="U2276" s="45"/>
    </row>
    <row r="2277">
      <c r="A2277" s="79" t="s">
        <v>19752</v>
      </c>
      <c r="B2277" s="45"/>
      <c r="C2277" s="79" t="s">
        <v>19753</v>
      </c>
      <c r="D2277" s="45"/>
      <c r="E2277" s="79" t="s">
        <v>5215</v>
      </c>
      <c r="F2277" s="79" t="s">
        <v>8784</v>
      </c>
      <c r="G2277" s="80" t="s">
        <v>96</v>
      </c>
      <c r="H2277" s="90">
        <v>1.251E-4</v>
      </c>
      <c r="I2277" s="45"/>
      <c r="J2277" s="45"/>
      <c r="K2277" s="45"/>
      <c r="L2277" s="45"/>
      <c r="M2277" s="45"/>
      <c r="N2277" s="45"/>
      <c r="O2277" s="45"/>
      <c r="P2277" s="45"/>
      <c r="Q2277" s="45"/>
      <c r="R2277" s="45"/>
      <c r="S2277" s="45"/>
      <c r="T2277" s="45"/>
      <c r="U2277" s="45"/>
    </row>
    <row r="2278">
      <c r="A2278" s="79" t="s">
        <v>19754</v>
      </c>
      <c r="B2278" s="45"/>
      <c r="C2278" s="79" t="s">
        <v>19755</v>
      </c>
      <c r="D2278" s="45"/>
      <c r="E2278" s="79" t="s">
        <v>5276</v>
      </c>
      <c r="F2278" s="79" t="s">
        <v>5300</v>
      </c>
      <c r="G2278" s="80" t="s">
        <v>96</v>
      </c>
      <c r="H2278" s="90">
        <v>1.251E-4</v>
      </c>
      <c r="I2278" s="45"/>
      <c r="J2278" s="45"/>
      <c r="K2278" s="45"/>
      <c r="L2278" s="45"/>
      <c r="M2278" s="45"/>
      <c r="N2278" s="45"/>
      <c r="O2278" s="45"/>
      <c r="P2278" s="45"/>
      <c r="Q2278" s="45"/>
      <c r="R2278" s="45"/>
      <c r="S2278" s="45"/>
      <c r="T2278" s="45"/>
      <c r="U2278" s="45"/>
    </row>
    <row r="2279">
      <c r="A2279" s="79" t="s">
        <v>19756</v>
      </c>
      <c r="B2279" s="45"/>
      <c r="C2279" s="79" t="s">
        <v>19757</v>
      </c>
      <c r="D2279" s="45"/>
      <c r="E2279" s="79" t="s">
        <v>6238</v>
      </c>
      <c r="F2279" s="79" t="s">
        <v>5836</v>
      </c>
      <c r="G2279" s="80" t="s">
        <v>96</v>
      </c>
      <c r="H2279" s="90">
        <v>1.249E-4</v>
      </c>
      <c r="I2279" s="45"/>
      <c r="J2279" s="45"/>
      <c r="K2279" s="45"/>
      <c r="L2279" s="45"/>
      <c r="M2279" s="45"/>
      <c r="N2279" s="45"/>
      <c r="O2279" s="45"/>
      <c r="P2279" s="45"/>
      <c r="Q2279" s="45"/>
      <c r="R2279" s="45"/>
      <c r="S2279" s="45"/>
      <c r="T2279" s="45"/>
      <c r="U2279" s="45"/>
    </row>
    <row r="2280">
      <c r="A2280" s="79" t="s">
        <v>19758</v>
      </c>
      <c r="B2280" s="45"/>
      <c r="C2280" s="79" t="s">
        <v>19759</v>
      </c>
      <c r="D2280" s="45"/>
      <c r="E2280" s="79" t="s">
        <v>5395</v>
      </c>
      <c r="F2280" s="79" t="s">
        <v>5300</v>
      </c>
      <c r="G2280" s="80" t="s">
        <v>96</v>
      </c>
      <c r="H2280" s="90">
        <v>1.247E-4</v>
      </c>
      <c r="I2280" s="45"/>
      <c r="J2280" s="45"/>
      <c r="K2280" s="45"/>
      <c r="L2280" s="45"/>
      <c r="M2280" s="45"/>
      <c r="N2280" s="45"/>
      <c r="O2280" s="45"/>
      <c r="P2280" s="45"/>
      <c r="Q2280" s="45"/>
      <c r="R2280" s="45"/>
      <c r="S2280" s="45"/>
      <c r="T2280" s="45"/>
      <c r="U2280" s="45"/>
    </row>
    <row r="2281">
      <c r="A2281" s="79" t="s">
        <v>19760</v>
      </c>
      <c r="B2281" s="45"/>
      <c r="C2281" s="79" t="s">
        <v>19761</v>
      </c>
      <c r="D2281" s="45"/>
      <c r="E2281" s="79" t="s">
        <v>7169</v>
      </c>
      <c r="F2281" s="79" t="s">
        <v>8784</v>
      </c>
      <c r="G2281" s="80" t="s">
        <v>96</v>
      </c>
      <c r="H2281" s="90">
        <v>1.247E-4</v>
      </c>
      <c r="I2281" s="45"/>
      <c r="J2281" s="45"/>
      <c r="K2281" s="45"/>
      <c r="L2281" s="45"/>
      <c r="M2281" s="45"/>
      <c r="N2281" s="45"/>
      <c r="O2281" s="45"/>
      <c r="P2281" s="45"/>
      <c r="Q2281" s="45"/>
      <c r="R2281" s="45"/>
      <c r="S2281" s="45"/>
      <c r="T2281" s="45"/>
      <c r="U2281" s="45"/>
    </row>
    <row r="2282">
      <c r="A2282" s="79" t="s">
        <v>19762</v>
      </c>
      <c r="B2282" s="45"/>
      <c r="C2282" s="79" t="s">
        <v>19763</v>
      </c>
      <c r="D2282" s="45"/>
      <c r="E2282" s="79" t="s">
        <v>5561</v>
      </c>
      <c r="F2282" s="79" t="s">
        <v>9021</v>
      </c>
      <c r="G2282" s="80" t="s">
        <v>96</v>
      </c>
      <c r="H2282" s="90">
        <v>1.247E-4</v>
      </c>
      <c r="I2282" s="45"/>
      <c r="J2282" s="45"/>
      <c r="K2282" s="45"/>
      <c r="L2282" s="45"/>
      <c r="M2282" s="45"/>
      <c r="N2282" s="45"/>
      <c r="O2282" s="45"/>
      <c r="P2282" s="45"/>
      <c r="Q2282" s="45"/>
      <c r="R2282" s="45"/>
      <c r="S2282" s="45"/>
      <c r="T2282" s="45"/>
      <c r="U2282" s="45"/>
    </row>
    <row r="2283">
      <c r="A2283" s="79" t="s">
        <v>19764</v>
      </c>
      <c r="B2283" s="45"/>
      <c r="C2283" s="79" t="s">
        <v>19765</v>
      </c>
      <c r="D2283" s="45"/>
      <c r="E2283" s="79" t="s">
        <v>5261</v>
      </c>
      <c r="F2283" s="79" t="s">
        <v>5300</v>
      </c>
      <c r="G2283" s="80" t="s">
        <v>96</v>
      </c>
      <c r="H2283" s="90">
        <v>1.247E-4</v>
      </c>
      <c r="I2283" s="45"/>
      <c r="J2283" s="45"/>
      <c r="K2283" s="45"/>
      <c r="L2283" s="45"/>
      <c r="M2283" s="45"/>
      <c r="N2283" s="45"/>
      <c r="O2283" s="45"/>
      <c r="P2283" s="45"/>
      <c r="Q2283" s="45"/>
      <c r="R2283" s="45"/>
      <c r="S2283" s="45"/>
      <c r="T2283" s="45"/>
      <c r="U2283" s="45"/>
    </row>
    <row r="2284">
      <c r="A2284" s="79" t="s">
        <v>4396</v>
      </c>
      <c r="B2284" s="45"/>
      <c r="C2284" s="79" t="s">
        <v>19766</v>
      </c>
      <c r="D2284" s="45"/>
      <c r="E2284" s="79" t="s">
        <v>7248</v>
      </c>
      <c r="F2284" s="79" t="s">
        <v>5836</v>
      </c>
      <c r="G2284" s="80" t="s">
        <v>96</v>
      </c>
      <c r="H2284" s="90">
        <v>1.246E-4</v>
      </c>
      <c r="I2284" s="45"/>
      <c r="J2284" s="45"/>
      <c r="K2284" s="45"/>
      <c r="L2284" s="45"/>
      <c r="M2284" s="45"/>
      <c r="N2284" s="45"/>
      <c r="O2284" s="45"/>
      <c r="P2284" s="45"/>
      <c r="Q2284" s="45"/>
      <c r="R2284" s="45"/>
      <c r="S2284" s="45"/>
      <c r="T2284" s="45"/>
      <c r="U2284" s="45"/>
    </row>
    <row r="2285">
      <c r="A2285" s="79" t="s">
        <v>19767</v>
      </c>
      <c r="B2285" s="45"/>
      <c r="C2285" s="79" t="s">
        <v>19768</v>
      </c>
      <c r="D2285" s="45"/>
      <c r="E2285" s="79" t="s">
        <v>5374</v>
      </c>
      <c r="F2285" s="79" t="s">
        <v>5836</v>
      </c>
      <c r="G2285" s="80" t="s">
        <v>96</v>
      </c>
      <c r="H2285" s="90">
        <v>1.244E-4</v>
      </c>
      <c r="I2285" s="45"/>
      <c r="J2285" s="45"/>
      <c r="K2285" s="45"/>
      <c r="L2285" s="45"/>
      <c r="M2285" s="45"/>
      <c r="N2285" s="45"/>
      <c r="O2285" s="45"/>
      <c r="P2285" s="45"/>
      <c r="Q2285" s="45"/>
      <c r="R2285" s="45"/>
      <c r="S2285" s="45"/>
      <c r="T2285" s="45"/>
      <c r="U2285" s="45"/>
    </row>
    <row r="2286">
      <c r="A2286" s="79" t="s">
        <v>19769</v>
      </c>
      <c r="B2286" s="45"/>
      <c r="C2286" s="79" t="s">
        <v>19770</v>
      </c>
      <c r="D2286" s="45"/>
      <c r="E2286" s="79" t="s">
        <v>5246</v>
      </c>
      <c r="F2286" s="79" t="s">
        <v>5300</v>
      </c>
      <c r="G2286" s="80" t="s">
        <v>96</v>
      </c>
      <c r="H2286" s="90">
        <v>1.244E-4</v>
      </c>
      <c r="I2286" s="45"/>
      <c r="J2286" s="45"/>
      <c r="K2286" s="45"/>
      <c r="L2286" s="45"/>
      <c r="M2286" s="45"/>
      <c r="N2286" s="45"/>
      <c r="O2286" s="45"/>
      <c r="P2286" s="45"/>
      <c r="Q2286" s="45"/>
      <c r="R2286" s="45"/>
      <c r="S2286" s="45"/>
      <c r="T2286" s="45"/>
      <c r="U2286" s="45"/>
    </row>
    <row r="2287">
      <c r="A2287" s="79" t="s">
        <v>19771</v>
      </c>
      <c r="B2287" s="45"/>
      <c r="C2287" s="79" t="s">
        <v>19772</v>
      </c>
      <c r="D2287" s="45"/>
      <c r="E2287" s="79" t="s">
        <v>5283</v>
      </c>
      <c r="F2287" s="79" t="s">
        <v>5300</v>
      </c>
      <c r="G2287" s="80" t="s">
        <v>96</v>
      </c>
      <c r="H2287" s="90">
        <v>1.243E-4</v>
      </c>
      <c r="I2287" s="45"/>
      <c r="J2287" s="45"/>
      <c r="K2287" s="45"/>
      <c r="L2287" s="45"/>
      <c r="M2287" s="45"/>
      <c r="N2287" s="45"/>
      <c r="O2287" s="45"/>
      <c r="P2287" s="45"/>
      <c r="Q2287" s="45"/>
      <c r="R2287" s="45"/>
      <c r="S2287" s="45"/>
      <c r="T2287" s="45"/>
      <c r="U2287" s="45"/>
    </row>
    <row r="2288">
      <c r="A2288" s="79" t="s">
        <v>19773</v>
      </c>
      <c r="B2288" s="45"/>
      <c r="C2288" s="79" t="s">
        <v>19774</v>
      </c>
      <c r="D2288" s="45"/>
      <c r="E2288" s="79" t="s">
        <v>5341</v>
      </c>
      <c r="F2288" s="79" t="s">
        <v>5836</v>
      </c>
      <c r="G2288" s="80" t="s">
        <v>96</v>
      </c>
      <c r="H2288" s="90">
        <v>1.243E-4</v>
      </c>
      <c r="I2288" s="45"/>
      <c r="J2288" s="45"/>
      <c r="K2288" s="45"/>
      <c r="L2288" s="45"/>
      <c r="M2288" s="45"/>
      <c r="N2288" s="45"/>
      <c r="O2288" s="45"/>
      <c r="P2288" s="45"/>
      <c r="Q2288" s="45"/>
      <c r="R2288" s="45"/>
      <c r="S2288" s="45"/>
      <c r="T2288" s="45"/>
      <c r="U2288" s="45"/>
    </row>
    <row r="2289">
      <c r="A2289" s="79" t="s">
        <v>19775</v>
      </c>
      <c r="B2289" s="45"/>
      <c r="C2289" s="79" t="s">
        <v>19776</v>
      </c>
      <c r="D2289" s="45"/>
      <c r="E2289" s="79" t="s">
        <v>5561</v>
      </c>
      <c r="F2289" s="79" t="s">
        <v>6698</v>
      </c>
      <c r="G2289" s="80" t="s">
        <v>96</v>
      </c>
      <c r="H2289" s="90">
        <v>1.241E-4</v>
      </c>
      <c r="I2289" s="45"/>
      <c r="J2289" s="45"/>
      <c r="K2289" s="45"/>
      <c r="L2289" s="45"/>
      <c r="M2289" s="45"/>
      <c r="N2289" s="45"/>
      <c r="O2289" s="45"/>
      <c r="P2289" s="45"/>
      <c r="Q2289" s="45"/>
      <c r="R2289" s="45"/>
      <c r="S2289" s="45"/>
      <c r="T2289" s="45"/>
      <c r="U2289" s="45"/>
    </row>
    <row r="2290">
      <c r="A2290" s="79" t="s">
        <v>19777</v>
      </c>
      <c r="B2290" s="45"/>
      <c r="C2290" s="79" t="s">
        <v>19778</v>
      </c>
      <c r="D2290" s="45"/>
      <c r="E2290" s="79" t="s">
        <v>5456</v>
      </c>
      <c r="F2290" s="79" t="s">
        <v>5425</v>
      </c>
      <c r="G2290" s="80" t="s">
        <v>96</v>
      </c>
      <c r="H2290" s="90">
        <v>1.24E-4</v>
      </c>
      <c r="I2290" s="45"/>
      <c r="J2290" s="45"/>
      <c r="K2290" s="45"/>
      <c r="L2290" s="45"/>
      <c r="M2290" s="45"/>
      <c r="N2290" s="45"/>
      <c r="O2290" s="45"/>
      <c r="P2290" s="45"/>
      <c r="Q2290" s="45"/>
      <c r="R2290" s="45"/>
      <c r="S2290" s="45"/>
      <c r="T2290" s="45"/>
      <c r="U2290" s="45"/>
    </row>
    <row r="2291">
      <c r="A2291" s="79" t="s">
        <v>19779</v>
      </c>
      <c r="B2291" s="45"/>
      <c r="C2291" s="79" t="s">
        <v>19780</v>
      </c>
      <c r="D2291" s="45"/>
      <c r="E2291" s="79" t="s">
        <v>5407</v>
      </c>
      <c r="F2291" s="79" t="s">
        <v>8784</v>
      </c>
      <c r="G2291" s="80" t="s">
        <v>96</v>
      </c>
      <c r="H2291" s="90">
        <v>1.239E-4</v>
      </c>
      <c r="I2291" s="45"/>
      <c r="J2291" s="45"/>
      <c r="K2291" s="45"/>
      <c r="L2291" s="45"/>
      <c r="M2291" s="45"/>
      <c r="N2291" s="45"/>
      <c r="O2291" s="45"/>
      <c r="P2291" s="45"/>
      <c r="Q2291" s="45"/>
      <c r="R2291" s="45"/>
      <c r="S2291" s="45"/>
      <c r="T2291" s="45"/>
      <c r="U2291" s="45"/>
    </row>
    <row r="2292">
      <c r="A2292" s="79" t="s">
        <v>19781</v>
      </c>
      <c r="B2292" s="45"/>
      <c r="C2292" s="79" t="s">
        <v>19782</v>
      </c>
      <c r="D2292" s="45"/>
      <c r="E2292" s="79" t="s">
        <v>5478</v>
      </c>
      <c r="F2292" s="79" t="s">
        <v>5300</v>
      </c>
      <c r="G2292" s="80" t="s">
        <v>96</v>
      </c>
      <c r="H2292" s="90">
        <v>1.238E-4</v>
      </c>
      <c r="I2292" s="45"/>
      <c r="J2292" s="45"/>
      <c r="K2292" s="45"/>
      <c r="L2292" s="45"/>
      <c r="M2292" s="45"/>
      <c r="N2292" s="45"/>
      <c r="O2292" s="45"/>
      <c r="P2292" s="45"/>
      <c r="Q2292" s="45"/>
      <c r="R2292" s="45"/>
      <c r="S2292" s="45"/>
      <c r="T2292" s="45"/>
      <c r="U2292" s="45"/>
    </row>
    <row r="2293">
      <c r="A2293" s="79" t="s">
        <v>19783</v>
      </c>
      <c r="B2293" s="45"/>
      <c r="C2293" s="79" t="s">
        <v>19784</v>
      </c>
      <c r="D2293" s="45"/>
      <c r="E2293" s="79" t="s">
        <v>6947</v>
      </c>
      <c r="F2293" s="79" t="s">
        <v>5300</v>
      </c>
      <c r="G2293" s="80" t="s">
        <v>96</v>
      </c>
      <c r="H2293" s="90">
        <v>1.237E-4</v>
      </c>
      <c r="I2293" s="45"/>
      <c r="J2293" s="45"/>
      <c r="K2293" s="45"/>
      <c r="L2293" s="45"/>
      <c r="M2293" s="45"/>
      <c r="N2293" s="45"/>
      <c r="O2293" s="45"/>
      <c r="P2293" s="45"/>
      <c r="Q2293" s="45"/>
      <c r="R2293" s="45"/>
      <c r="S2293" s="45"/>
      <c r="T2293" s="45"/>
      <c r="U2293" s="45"/>
    </row>
    <row r="2294">
      <c r="A2294" s="79" t="s">
        <v>5474</v>
      </c>
      <c r="B2294" s="45"/>
      <c r="C2294" s="79" t="s">
        <v>19785</v>
      </c>
      <c r="D2294" s="45"/>
      <c r="E2294" s="79" t="s">
        <v>5316</v>
      </c>
      <c r="F2294" s="79" t="s">
        <v>5300</v>
      </c>
      <c r="G2294" s="80" t="s">
        <v>96</v>
      </c>
      <c r="H2294" s="90">
        <v>1.236E-4</v>
      </c>
      <c r="I2294" s="45"/>
      <c r="J2294" s="45"/>
      <c r="K2294" s="45"/>
      <c r="L2294" s="45"/>
      <c r="M2294" s="45"/>
      <c r="N2294" s="45"/>
      <c r="O2294" s="45"/>
      <c r="P2294" s="45"/>
      <c r="Q2294" s="45"/>
      <c r="R2294" s="45"/>
      <c r="S2294" s="45"/>
      <c r="T2294" s="45"/>
      <c r="U2294" s="45"/>
    </row>
    <row r="2295">
      <c r="A2295" s="79" t="s">
        <v>19786</v>
      </c>
      <c r="B2295" s="45"/>
      <c r="C2295" s="79" t="s">
        <v>19787</v>
      </c>
      <c r="D2295" s="45"/>
      <c r="E2295" s="79" t="s">
        <v>5241</v>
      </c>
      <c r="F2295" s="79" t="s">
        <v>4357</v>
      </c>
      <c r="G2295" s="80" t="s">
        <v>96</v>
      </c>
      <c r="H2295" s="90">
        <v>1.235E-4</v>
      </c>
      <c r="I2295" s="45"/>
      <c r="J2295" s="45"/>
      <c r="K2295" s="45"/>
      <c r="L2295" s="45"/>
      <c r="M2295" s="45"/>
      <c r="N2295" s="45"/>
      <c r="O2295" s="45"/>
      <c r="P2295" s="45"/>
      <c r="Q2295" s="45"/>
      <c r="R2295" s="45"/>
      <c r="S2295" s="45"/>
      <c r="T2295" s="45"/>
      <c r="U2295" s="45"/>
    </row>
    <row r="2296">
      <c r="A2296" s="79" t="s">
        <v>19788</v>
      </c>
      <c r="B2296" s="45"/>
      <c r="C2296" s="79" t="s">
        <v>19789</v>
      </c>
      <c r="D2296" s="45"/>
      <c r="E2296" s="79" t="s">
        <v>5326</v>
      </c>
      <c r="F2296" s="79" t="s">
        <v>9513</v>
      </c>
      <c r="G2296" s="80" t="s">
        <v>96</v>
      </c>
      <c r="H2296" s="90">
        <v>1.234E-4</v>
      </c>
      <c r="I2296" s="45"/>
      <c r="J2296" s="45"/>
      <c r="K2296" s="45"/>
      <c r="L2296" s="45"/>
      <c r="M2296" s="45"/>
      <c r="N2296" s="45"/>
      <c r="O2296" s="45"/>
      <c r="P2296" s="45"/>
      <c r="Q2296" s="45"/>
      <c r="R2296" s="45"/>
      <c r="S2296" s="45"/>
      <c r="T2296" s="45"/>
      <c r="U2296" s="45"/>
    </row>
    <row r="2297">
      <c r="A2297" s="79" t="s">
        <v>19790</v>
      </c>
      <c r="B2297" s="45"/>
      <c r="C2297" s="79" t="s">
        <v>19791</v>
      </c>
      <c r="D2297" s="45"/>
      <c r="E2297" s="79" t="s">
        <v>5374</v>
      </c>
      <c r="F2297" s="79" t="s">
        <v>8784</v>
      </c>
      <c r="G2297" s="80" t="s">
        <v>96</v>
      </c>
      <c r="H2297" s="90">
        <v>1.233E-4</v>
      </c>
      <c r="I2297" s="45"/>
      <c r="J2297" s="45"/>
      <c r="K2297" s="45"/>
      <c r="L2297" s="45"/>
      <c r="M2297" s="45"/>
      <c r="N2297" s="45"/>
      <c r="O2297" s="45"/>
      <c r="P2297" s="45"/>
      <c r="Q2297" s="45"/>
      <c r="R2297" s="45"/>
      <c r="S2297" s="45"/>
      <c r="T2297" s="45"/>
      <c r="U2297" s="45"/>
    </row>
    <row r="2298">
      <c r="A2298" s="79" t="s">
        <v>19792</v>
      </c>
      <c r="B2298" s="45"/>
      <c r="C2298" s="79" t="s">
        <v>19793</v>
      </c>
      <c r="D2298" s="45"/>
      <c r="E2298" s="79" t="s">
        <v>5271</v>
      </c>
      <c r="F2298" s="79" t="s">
        <v>9513</v>
      </c>
      <c r="G2298" s="80" t="s">
        <v>96</v>
      </c>
      <c r="H2298" s="90">
        <v>1.233E-4</v>
      </c>
      <c r="I2298" s="45"/>
      <c r="J2298" s="45"/>
      <c r="K2298" s="45"/>
      <c r="L2298" s="45"/>
      <c r="M2298" s="45"/>
      <c r="N2298" s="45"/>
      <c r="O2298" s="45"/>
      <c r="P2298" s="45"/>
      <c r="Q2298" s="45"/>
      <c r="R2298" s="45"/>
      <c r="S2298" s="45"/>
      <c r="T2298" s="45"/>
      <c r="U2298" s="45"/>
    </row>
    <row r="2299">
      <c r="A2299" s="79" t="s">
        <v>19794</v>
      </c>
      <c r="B2299" s="45"/>
      <c r="C2299" s="79" t="s">
        <v>19795</v>
      </c>
      <c r="D2299" s="45"/>
      <c r="E2299" s="79" t="s">
        <v>5561</v>
      </c>
      <c r="F2299" s="79" t="s">
        <v>9021</v>
      </c>
      <c r="G2299" s="80" t="s">
        <v>96</v>
      </c>
      <c r="H2299" s="90">
        <v>1.232E-4</v>
      </c>
      <c r="I2299" s="45"/>
      <c r="J2299" s="45"/>
      <c r="K2299" s="45"/>
      <c r="L2299" s="45"/>
      <c r="M2299" s="45"/>
      <c r="N2299" s="45"/>
      <c r="O2299" s="45"/>
      <c r="P2299" s="45"/>
      <c r="Q2299" s="45"/>
      <c r="R2299" s="45"/>
      <c r="S2299" s="45"/>
      <c r="T2299" s="45"/>
      <c r="U2299" s="45"/>
    </row>
    <row r="2300">
      <c r="A2300" s="79" t="s">
        <v>19796</v>
      </c>
      <c r="B2300" s="45"/>
      <c r="C2300" s="79" t="s">
        <v>19797</v>
      </c>
      <c r="D2300" s="45"/>
      <c r="E2300" s="79" t="s">
        <v>5283</v>
      </c>
      <c r="F2300" s="79" t="s">
        <v>8784</v>
      </c>
      <c r="G2300" s="80" t="s">
        <v>96</v>
      </c>
      <c r="H2300" s="90">
        <v>1.232E-4</v>
      </c>
      <c r="I2300" s="45"/>
      <c r="J2300" s="45"/>
      <c r="K2300" s="45"/>
      <c r="L2300" s="45"/>
      <c r="M2300" s="45"/>
      <c r="N2300" s="45"/>
      <c r="O2300" s="45"/>
      <c r="P2300" s="45"/>
      <c r="Q2300" s="45"/>
      <c r="R2300" s="45"/>
      <c r="S2300" s="45"/>
      <c r="T2300" s="45"/>
      <c r="U2300" s="45"/>
    </row>
    <row r="2301">
      <c r="A2301" s="79" t="s">
        <v>19798</v>
      </c>
      <c r="B2301" s="45"/>
      <c r="C2301" s="79" t="s">
        <v>19799</v>
      </c>
      <c r="D2301" s="45"/>
      <c r="E2301" s="79" t="s">
        <v>6338</v>
      </c>
      <c r="F2301" s="79" t="s">
        <v>9299</v>
      </c>
      <c r="G2301" s="80" t="s">
        <v>96</v>
      </c>
      <c r="H2301" s="90">
        <v>1.231E-4</v>
      </c>
      <c r="I2301" s="45"/>
      <c r="J2301" s="45"/>
      <c r="K2301" s="45"/>
      <c r="L2301" s="45"/>
      <c r="M2301" s="45"/>
      <c r="N2301" s="45"/>
      <c r="O2301" s="45"/>
      <c r="P2301" s="45"/>
      <c r="Q2301" s="45"/>
      <c r="R2301" s="45"/>
      <c r="S2301" s="45"/>
      <c r="T2301" s="45"/>
      <c r="U2301" s="45"/>
    </row>
    <row r="2302">
      <c r="A2302" s="79" t="s">
        <v>19800</v>
      </c>
      <c r="B2302" s="45"/>
      <c r="C2302" s="79" t="s">
        <v>19801</v>
      </c>
      <c r="D2302" s="45"/>
      <c r="E2302" s="79" t="s">
        <v>5501</v>
      </c>
      <c r="F2302" s="79" t="s">
        <v>4436</v>
      </c>
      <c r="G2302" s="80" t="s">
        <v>96</v>
      </c>
      <c r="H2302" s="90">
        <v>1.231E-4</v>
      </c>
      <c r="I2302" s="45"/>
      <c r="J2302" s="45"/>
      <c r="K2302" s="45"/>
      <c r="L2302" s="45"/>
      <c r="M2302" s="45"/>
      <c r="N2302" s="45"/>
      <c r="O2302" s="45"/>
      <c r="P2302" s="45"/>
      <c r="Q2302" s="45"/>
      <c r="R2302" s="45"/>
      <c r="S2302" s="45"/>
      <c r="T2302" s="45"/>
      <c r="U2302" s="45"/>
    </row>
    <row r="2303">
      <c r="A2303" s="79" t="s">
        <v>19802</v>
      </c>
      <c r="B2303" s="45"/>
      <c r="C2303" s="79" t="s">
        <v>19803</v>
      </c>
      <c r="D2303" s="45"/>
      <c r="E2303" s="79" t="s">
        <v>6266</v>
      </c>
      <c r="F2303" s="79" t="s">
        <v>6988</v>
      </c>
      <c r="G2303" s="80" t="s">
        <v>96</v>
      </c>
      <c r="H2303" s="90">
        <v>1.231E-4</v>
      </c>
      <c r="I2303" s="45"/>
      <c r="J2303" s="45"/>
      <c r="K2303" s="45"/>
      <c r="L2303" s="45"/>
      <c r="M2303" s="45"/>
      <c r="N2303" s="45"/>
      <c r="O2303" s="45"/>
      <c r="P2303" s="45"/>
      <c r="Q2303" s="45"/>
      <c r="R2303" s="45"/>
      <c r="S2303" s="45"/>
      <c r="T2303" s="45"/>
      <c r="U2303" s="45"/>
    </row>
    <row r="2304">
      <c r="A2304" s="79" t="s">
        <v>19804</v>
      </c>
      <c r="B2304" s="45"/>
      <c r="C2304" s="79" t="s">
        <v>19805</v>
      </c>
      <c r="D2304" s="45"/>
      <c r="E2304" s="79" t="s">
        <v>5478</v>
      </c>
      <c r="F2304" s="79" t="s">
        <v>9021</v>
      </c>
      <c r="G2304" s="80" t="s">
        <v>96</v>
      </c>
      <c r="H2304" s="90">
        <v>1.23E-4</v>
      </c>
      <c r="I2304" s="45"/>
      <c r="J2304" s="45"/>
      <c r="K2304" s="45"/>
      <c r="L2304" s="45"/>
      <c r="M2304" s="45"/>
      <c r="N2304" s="45"/>
      <c r="O2304" s="45"/>
      <c r="P2304" s="45"/>
      <c r="Q2304" s="45"/>
      <c r="R2304" s="45"/>
      <c r="S2304" s="45"/>
      <c r="T2304" s="45"/>
      <c r="U2304" s="45"/>
    </row>
    <row r="2305">
      <c r="A2305" s="79" t="s">
        <v>19806</v>
      </c>
      <c r="B2305" s="45"/>
      <c r="C2305" s="79" t="s">
        <v>19807</v>
      </c>
      <c r="D2305" s="45"/>
      <c r="E2305" s="79" t="s">
        <v>5811</v>
      </c>
      <c r="F2305" s="79" t="s">
        <v>8784</v>
      </c>
      <c r="G2305" s="80" t="s">
        <v>96</v>
      </c>
      <c r="H2305" s="90">
        <v>1.229E-4</v>
      </c>
      <c r="I2305" s="45"/>
      <c r="J2305" s="45"/>
      <c r="K2305" s="45"/>
      <c r="L2305" s="45"/>
      <c r="M2305" s="45"/>
      <c r="N2305" s="45"/>
      <c r="O2305" s="45"/>
      <c r="P2305" s="45"/>
      <c r="Q2305" s="45"/>
      <c r="R2305" s="45"/>
      <c r="S2305" s="45"/>
      <c r="T2305" s="45"/>
      <c r="U2305" s="45"/>
    </row>
    <row r="2306">
      <c r="A2306" s="79" t="s">
        <v>11167</v>
      </c>
      <c r="B2306" s="45"/>
      <c r="C2306" s="79" t="s">
        <v>11168</v>
      </c>
      <c r="D2306" s="45"/>
      <c r="E2306" s="79" t="s">
        <v>5401</v>
      </c>
      <c r="F2306" s="79" t="s">
        <v>8784</v>
      </c>
      <c r="G2306" s="80" t="s">
        <v>96</v>
      </c>
      <c r="H2306" s="90">
        <v>1.228E-4</v>
      </c>
      <c r="I2306" s="45"/>
      <c r="J2306" s="45"/>
      <c r="K2306" s="45"/>
      <c r="L2306" s="45"/>
      <c r="M2306" s="45"/>
      <c r="N2306" s="45"/>
      <c r="O2306" s="45"/>
      <c r="P2306" s="45"/>
      <c r="Q2306" s="45"/>
      <c r="R2306" s="45"/>
      <c r="S2306" s="45"/>
      <c r="T2306" s="45"/>
      <c r="U2306" s="45"/>
    </row>
    <row r="2307">
      <c r="A2307" s="79" t="s">
        <v>19808</v>
      </c>
      <c r="B2307" s="45"/>
      <c r="C2307" s="79" t="s">
        <v>19809</v>
      </c>
      <c r="D2307" s="45"/>
      <c r="E2307" s="79" t="s">
        <v>8230</v>
      </c>
      <c r="F2307" s="79" t="s">
        <v>8784</v>
      </c>
      <c r="G2307" s="80" t="s">
        <v>96</v>
      </c>
      <c r="H2307" s="90">
        <v>1.227E-4</v>
      </c>
      <c r="I2307" s="45"/>
      <c r="J2307" s="45"/>
      <c r="K2307" s="45"/>
      <c r="L2307" s="45"/>
      <c r="M2307" s="45"/>
      <c r="N2307" s="45"/>
      <c r="O2307" s="45"/>
      <c r="P2307" s="45"/>
      <c r="Q2307" s="45"/>
      <c r="R2307" s="45"/>
      <c r="S2307" s="45"/>
      <c r="T2307" s="45"/>
      <c r="U2307" s="45"/>
    </row>
    <row r="2308">
      <c r="A2308" s="79" t="s">
        <v>19810</v>
      </c>
      <c r="B2308" s="45"/>
      <c r="C2308" s="79" t="s">
        <v>19811</v>
      </c>
      <c r="D2308" s="45"/>
      <c r="E2308" s="79" t="s">
        <v>5589</v>
      </c>
      <c r="F2308" s="79" t="s">
        <v>8784</v>
      </c>
      <c r="G2308" s="80" t="s">
        <v>96</v>
      </c>
      <c r="H2308" s="90">
        <v>1.226E-4</v>
      </c>
      <c r="I2308" s="45"/>
      <c r="J2308" s="45"/>
      <c r="K2308" s="45"/>
      <c r="L2308" s="45"/>
      <c r="M2308" s="45"/>
      <c r="N2308" s="45"/>
      <c r="O2308" s="45"/>
      <c r="P2308" s="45"/>
      <c r="Q2308" s="45"/>
      <c r="R2308" s="45"/>
      <c r="S2308" s="45"/>
      <c r="T2308" s="45"/>
      <c r="U2308" s="45"/>
    </row>
    <row r="2309">
      <c r="A2309" s="79" t="s">
        <v>19812</v>
      </c>
      <c r="B2309" s="45"/>
      <c r="C2309" s="79" t="s">
        <v>19813</v>
      </c>
      <c r="D2309" s="45"/>
      <c r="E2309" s="79" t="s">
        <v>5377</v>
      </c>
      <c r="F2309" s="79" t="s">
        <v>8767</v>
      </c>
      <c r="G2309" s="80" t="s">
        <v>96</v>
      </c>
      <c r="H2309" s="90">
        <v>1.225E-4</v>
      </c>
      <c r="I2309" s="45"/>
      <c r="J2309" s="45"/>
      <c r="K2309" s="45"/>
      <c r="L2309" s="45"/>
      <c r="M2309" s="45"/>
      <c r="N2309" s="45"/>
      <c r="O2309" s="45"/>
      <c r="P2309" s="45"/>
      <c r="Q2309" s="45"/>
      <c r="R2309" s="45"/>
      <c r="S2309" s="45"/>
      <c r="T2309" s="45"/>
      <c r="U2309" s="45"/>
    </row>
    <row r="2310">
      <c r="A2310" s="79" t="s">
        <v>11108</v>
      </c>
      <c r="B2310" s="45"/>
      <c r="C2310" s="79" t="s">
        <v>11109</v>
      </c>
      <c r="D2310" s="45"/>
      <c r="E2310" s="79" t="s">
        <v>5964</v>
      </c>
      <c r="F2310" s="79" t="s">
        <v>8784</v>
      </c>
      <c r="G2310" s="80" t="s">
        <v>96</v>
      </c>
      <c r="H2310" s="90">
        <v>1.224E-4</v>
      </c>
      <c r="I2310" s="45"/>
      <c r="J2310" s="45"/>
      <c r="K2310" s="45"/>
      <c r="L2310" s="45"/>
      <c r="M2310" s="45"/>
      <c r="N2310" s="45"/>
      <c r="O2310" s="45"/>
      <c r="P2310" s="45"/>
      <c r="Q2310" s="45"/>
      <c r="R2310" s="45"/>
      <c r="S2310" s="45"/>
      <c r="T2310" s="45"/>
      <c r="U2310" s="45"/>
    </row>
    <row r="2311">
      <c r="A2311" s="79" t="s">
        <v>19814</v>
      </c>
      <c r="B2311" s="45"/>
      <c r="C2311" s="79" t="s">
        <v>19815</v>
      </c>
      <c r="D2311" s="45"/>
      <c r="E2311" s="79" t="s">
        <v>5338</v>
      </c>
      <c r="F2311" s="79" t="s">
        <v>5329</v>
      </c>
      <c r="G2311" s="80" t="s">
        <v>96</v>
      </c>
      <c r="H2311" s="90">
        <v>1.224E-4</v>
      </c>
      <c r="I2311" s="45"/>
      <c r="J2311" s="45"/>
      <c r="K2311" s="45"/>
      <c r="L2311" s="45"/>
      <c r="M2311" s="45"/>
      <c r="N2311" s="45"/>
      <c r="O2311" s="45"/>
      <c r="P2311" s="45"/>
      <c r="Q2311" s="45"/>
      <c r="R2311" s="45"/>
      <c r="S2311" s="45"/>
      <c r="T2311" s="45"/>
      <c r="U2311" s="45"/>
    </row>
    <row r="2312">
      <c r="A2312" s="79" t="s">
        <v>19816</v>
      </c>
      <c r="B2312" s="45"/>
      <c r="C2312" s="79" t="s">
        <v>19817</v>
      </c>
      <c r="D2312" s="45"/>
      <c r="E2312" s="79" t="s">
        <v>6115</v>
      </c>
      <c r="F2312" s="79" t="s">
        <v>4357</v>
      </c>
      <c r="G2312" s="80" t="s">
        <v>96</v>
      </c>
      <c r="H2312" s="90">
        <v>1.223E-4</v>
      </c>
      <c r="I2312" s="45"/>
      <c r="J2312" s="45"/>
      <c r="K2312" s="45"/>
      <c r="L2312" s="45"/>
      <c r="M2312" s="45"/>
      <c r="N2312" s="45"/>
      <c r="O2312" s="45"/>
      <c r="P2312" s="45"/>
      <c r="Q2312" s="45"/>
      <c r="R2312" s="45"/>
      <c r="S2312" s="45"/>
      <c r="T2312" s="45"/>
      <c r="U2312" s="45"/>
    </row>
    <row r="2313">
      <c r="A2313" s="79" t="s">
        <v>19818</v>
      </c>
      <c r="B2313" s="45"/>
      <c r="C2313" s="79" t="s">
        <v>19819</v>
      </c>
      <c r="D2313" s="45"/>
      <c r="E2313" s="79" t="s">
        <v>8648</v>
      </c>
      <c r="F2313" s="79" t="s">
        <v>8784</v>
      </c>
      <c r="G2313" s="80" t="s">
        <v>96</v>
      </c>
      <c r="H2313" s="90">
        <v>1.222E-4</v>
      </c>
      <c r="I2313" s="45"/>
      <c r="J2313" s="45"/>
      <c r="K2313" s="45"/>
      <c r="L2313" s="45"/>
      <c r="M2313" s="45"/>
      <c r="N2313" s="45"/>
      <c r="O2313" s="45"/>
      <c r="P2313" s="45"/>
      <c r="Q2313" s="45"/>
      <c r="R2313" s="45"/>
      <c r="S2313" s="45"/>
      <c r="T2313" s="45"/>
      <c r="U2313" s="45"/>
    </row>
    <row r="2314">
      <c r="A2314" s="79" t="s">
        <v>5352</v>
      </c>
      <c r="B2314" s="45"/>
      <c r="C2314" s="79" t="s">
        <v>19820</v>
      </c>
      <c r="D2314" s="45"/>
      <c r="E2314" s="79" t="s">
        <v>6012</v>
      </c>
      <c r="F2314" s="79" t="s">
        <v>4357</v>
      </c>
      <c r="G2314" s="80" t="s">
        <v>96</v>
      </c>
      <c r="H2314" s="90">
        <v>1.221E-4</v>
      </c>
      <c r="I2314" s="45"/>
      <c r="J2314" s="45"/>
      <c r="K2314" s="45"/>
      <c r="L2314" s="45"/>
      <c r="M2314" s="45"/>
      <c r="N2314" s="45"/>
      <c r="O2314" s="45"/>
      <c r="P2314" s="45"/>
      <c r="Q2314" s="45"/>
      <c r="R2314" s="45"/>
      <c r="S2314" s="45"/>
      <c r="T2314" s="45"/>
      <c r="U2314" s="45"/>
    </row>
    <row r="2315">
      <c r="A2315" s="79" t="s">
        <v>19821</v>
      </c>
      <c r="B2315" s="45"/>
      <c r="C2315" s="79" t="s">
        <v>19822</v>
      </c>
      <c r="D2315" s="45"/>
      <c r="E2315" s="79" t="s">
        <v>5407</v>
      </c>
      <c r="F2315" s="79" t="s">
        <v>5300</v>
      </c>
      <c r="G2315" s="80" t="s">
        <v>96</v>
      </c>
      <c r="H2315" s="90">
        <v>1.219E-4</v>
      </c>
      <c r="I2315" s="45"/>
      <c r="J2315" s="45"/>
      <c r="K2315" s="45"/>
      <c r="L2315" s="45"/>
      <c r="M2315" s="45"/>
      <c r="N2315" s="45"/>
      <c r="O2315" s="45"/>
      <c r="P2315" s="45"/>
      <c r="Q2315" s="45"/>
      <c r="R2315" s="45"/>
      <c r="S2315" s="45"/>
      <c r="T2315" s="45"/>
      <c r="U2315" s="45"/>
    </row>
    <row r="2316">
      <c r="A2316" s="79" t="s">
        <v>19823</v>
      </c>
      <c r="B2316" s="45"/>
      <c r="C2316" s="79" t="s">
        <v>19824</v>
      </c>
      <c r="D2316" s="45"/>
      <c r="E2316" s="79" t="s">
        <v>7248</v>
      </c>
      <c r="F2316" s="79" t="s">
        <v>5836</v>
      </c>
      <c r="G2316" s="80" t="s">
        <v>96</v>
      </c>
      <c r="H2316" s="90">
        <v>1.217E-4</v>
      </c>
      <c r="I2316" s="45"/>
      <c r="J2316" s="45"/>
      <c r="K2316" s="45"/>
      <c r="L2316" s="45"/>
      <c r="M2316" s="45"/>
      <c r="N2316" s="45"/>
      <c r="O2316" s="45"/>
      <c r="P2316" s="45"/>
      <c r="Q2316" s="45"/>
      <c r="R2316" s="45"/>
      <c r="S2316" s="45"/>
      <c r="T2316" s="45"/>
      <c r="U2316" s="45"/>
    </row>
    <row r="2317">
      <c r="A2317" s="79" t="s">
        <v>19825</v>
      </c>
      <c r="B2317" s="45"/>
      <c r="C2317" s="79" t="s">
        <v>19826</v>
      </c>
      <c r="D2317" s="45"/>
      <c r="E2317" s="79" t="s">
        <v>5478</v>
      </c>
      <c r="F2317" s="79" t="s">
        <v>5300</v>
      </c>
      <c r="G2317" s="80" t="s">
        <v>96</v>
      </c>
      <c r="H2317" s="90">
        <v>1.216E-4</v>
      </c>
      <c r="I2317" s="45"/>
      <c r="J2317" s="45"/>
      <c r="K2317" s="45"/>
      <c r="L2317" s="45"/>
      <c r="M2317" s="45"/>
      <c r="N2317" s="45"/>
      <c r="O2317" s="45"/>
      <c r="P2317" s="45"/>
      <c r="Q2317" s="45"/>
      <c r="R2317" s="45"/>
      <c r="S2317" s="45"/>
      <c r="T2317" s="45"/>
      <c r="U2317" s="45"/>
    </row>
    <row r="2318">
      <c r="A2318" s="79" t="s">
        <v>19827</v>
      </c>
      <c r="B2318" s="45"/>
      <c r="C2318" s="79" t="s">
        <v>19828</v>
      </c>
      <c r="D2318" s="45"/>
      <c r="E2318" s="79" t="s">
        <v>5283</v>
      </c>
      <c r="F2318" s="79" t="s">
        <v>5836</v>
      </c>
      <c r="G2318" s="80" t="s">
        <v>96</v>
      </c>
      <c r="H2318" s="90">
        <v>1.215E-4</v>
      </c>
      <c r="I2318" s="45"/>
      <c r="J2318" s="45"/>
      <c r="K2318" s="45"/>
      <c r="L2318" s="45"/>
      <c r="M2318" s="45"/>
      <c r="N2318" s="45"/>
      <c r="O2318" s="45"/>
      <c r="P2318" s="45"/>
      <c r="Q2318" s="45"/>
      <c r="R2318" s="45"/>
      <c r="S2318" s="45"/>
      <c r="T2318" s="45"/>
      <c r="U2318" s="45"/>
    </row>
    <row r="2319">
      <c r="A2319" s="79" t="s">
        <v>19829</v>
      </c>
      <c r="B2319" s="45"/>
      <c r="C2319" s="79" t="s">
        <v>19830</v>
      </c>
      <c r="D2319" s="45"/>
      <c r="E2319" s="79" t="s">
        <v>5478</v>
      </c>
      <c r="F2319" s="79" t="s">
        <v>5300</v>
      </c>
      <c r="G2319" s="80" t="s">
        <v>96</v>
      </c>
      <c r="H2319" s="90">
        <v>1.215E-4</v>
      </c>
      <c r="I2319" s="45"/>
      <c r="J2319" s="45"/>
      <c r="K2319" s="45"/>
      <c r="L2319" s="45"/>
      <c r="M2319" s="45"/>
      <c r="N2319" s="45"/>
      <c r="O2319" s="45"/>
      <c r="P2319" s="45"/>
      <c r="Q2319" s="45"/>
      <c r="R2319" s="45"/>
      <c r="S2319" s="45"/>
      <c r="T2319" s="45"/>
      <c r="U2319" s="45"/>
    </row>
    <row r="2320">
      <c r="A2320" s="79" t="s">
        <v>19831</v>
      </c>
      <c r="B2320" s="45"/>
      <c r="C2320" s="79" t="s">
        <v>19832</v>
      </c>
      <c r="D2320" s="45"/>
      <c r="E2320" s="79" t="s">
        <v>5775</v>
      </c>
      <c r="F2320" s="79" t="s">
        <v>5300</v>
      </c>
      <c r="G2320" s="80" t="s">
        <v>96</v>
      </c>
      <c r="H2320" s="90">
        <v>1.213E-4</v>
      </c>
      <c r="I2320" s="45"/>
      <c r="J2320" s="45"/>
      <c r="K2320" s="45"/>
      <c r="L2320" s="45"/>
      <c r="M2320" s="45"/>
      <c r="N2320" s="45"/>
      <c r="O2320" s="45"/>
      <c r="P2320" s="45"/>
      <c r="Q2320" s="45"/>
      <c r="R2320" s="45"/>
      <c r="S2320" s="45"/>
      <c r="T2320" s="45"/>
      <c r="U2320" s="45"/>
    </row>
    <row r="2321">
      <c r="A2321" s="79" t="s">
        <v>19833</v>
      </c>
      <c r="B2321" s="45"/>
      <c r="C2321" s="79" t="s">
        <v>19834</v>
      </c>
      <c r="D2321" s="45"/>
      <c r="E2321" s="79" t="s">
        <v>5456</v>
      </c>
      <c r="F2321" s="79" t="s">
        <v>8784</v>
      </c>
      <c r="G2321" s="80" t="s">
        <v>96</v>
      </c>
      <c r="H2321" s="90">
        <v>1.213E-4</v>
      </c>
      <c r="I2321" s="45"/>
      <c r="J2321" s="45"/>
      <c r="K2321" s="45"/>
      <c r="L2321" s="45"/>
      <c r="M2321" s="45"/>
      <c r="N2321" s="45"/>
      <c r="O2321" s="45"/>
      <c r="P2321" s="45"/>
      <c r="Q2321" s="45"/>
      <c r="R2321" s="45"/>
      <c r="S2321" s="45"/>
      <c r="T2321" s="45"/>
      <c r="U2321" s="45"/>
    </row>
    <row r="2322">
      <c r="A2322" s="79" t="s">
        <v>19835</v>
      </c>
      <c r="B2322" s="45"/>
      <c r="C2322" s="79" t="s">
        <v>19836</v>
      </c>
      <c r="D2322" s="45"/>
      <c r="E2322" s="79" t="s">
        <v>5235</v>
      </c>
      <c r="F2322" s="79" t="s">
        <v>5300</v>
      </c>
      <c r="G2322" s="80" t="s">
        <v>96</v>
      </c>
      <c r="H2322" s="90">
        <v>1.213E-4</v>
      </c>
      <c r="I2322" s="45"/>
      <c r="J2322" s="45"/>
      <c r="K2322" s="45"/>
      <c r="L2322" s="45"/>
      <c r="M2322" s="45"/>
      <c r="N2322" s="45"/>
      <c r="O2322" s="45"/>
      <c r="P2322" s="45"/>
      <c r="Q2322" s="45"/>
      <c r="R2322" s="45"/>
      <c r="S2322" s="45"/>
      <c r="T2322" s="45"/>
      <c r="U2322" s="45"/>
    </row>
    <row r="2323">
      <c r="A2323" s="79" t="s">
        <v>19837</v>
      </c>
      <c r="B2323" s="45"/>
      <c r="C2323" s="79" t="s">
        <v>19838</v>
      </c>
      <c r="D2323" s="45"/>
      <c r="E2323" s="79" t="s">
        <v>5276</v>
      </c>
      <c r="F2323" s="79" t="s">
        <v>5300</v>
      </c>
      <c r="G2323" s="80" t="s">
        <v>96</v>
      </c>
      <c r="H2323" s="90">
        <v>1.212E-4</v>
      </c>
      <c r="I2323" s="45"/>
      <c r="J2323" s="45"/>
      <c r="K2323" s="45"/>
      <c r="L2323" s="45"/>
      <c r="M2323" s="45"/>
      <c r="N2323" s="45"/>
      <c r="O2323" s="45"/>
      <c r="P2323" s="45"/>
      <c r="Q2323" s="45"/>
      <c r="R2323" s="45"/>
      <c r="S2323" s="45"/>
      <c r="T2323" s="45"/>
      <c r="U2323" s="45"/>
    </row>
    <row r="2324">
      <c r="A2324" s="79" t="s">
        <v>19839</v>
      </c>
      <c r="B2324" s="45"/>
      <c r="C2324" s="79" t="s">
        <v>19840</v>
      </c>
      <c r="D2324" s="45"/>
      <c r="E2324" s="79" t="s">
        <v>5276</v>
      </c>
      <c r="F2324" s="79" t="s">
        <v>5300</v>
      </c>
      <c r="G2324" s="80" t="s">
        <v>96</v>
      </c>
      <c r="H2324" s="90">
        <v>1.209E-4</v>
      </c>
      <c r="I2324" s="45"/>
      <c r="J2324" s="45"/>
      <c r="K2324" s="45"/>
      <c r="L2324" s="45"/>
      <c r="M2324" s="45"/>
      <c r="N2324" s="45"/>
      <c r="O2324" s="45"/>
      <c r="P2324" s="45"/>
      <c r="Q2324" s="45"/>
      <c r="R2324" s="45"/>
      <c r="S2324" s="45"/>
      <c r="T2324" s="45"/>
      <c r="U2324" s="45"/>
    </row>
    <row r="2325">
      <c r="A2325" s="79" t="s">
        <v>19841</v>
      </c>
      <c r="B2325" s="45"/>
      <c r="C2325" s="79" t="s">
        <v>19842</v>
      </c>
      <c r="D2325" s="45"/>
      <c r="E2325" s="79" t="s">
        <v>5229</v>
      </c>
      <c r="F2325" s="79" t="s">
        <v>9513</v>
      </c>
      <c r="G2325" s="80" t="s">
        <v>96</v>
      </c>
      <c r="H2325" s="90">
        <v>1.209E-4</v>
      </c>
      <c r="I2325" s="45"/>
      <c r="J2325" s="45"/>
      <c r="K2325" s="45"/>
      <c r="L2325" s="45"/>
      <c r="M2325" s="45"/>
      <c r="N2325" s="45"/>
      <c r="O2325" s="45"/>
      <c r="P2325" s="45"/>
      <c r="Q2325" s="45"/>
      <c r="R2325" s="45"/>
      <c r="S2325" s="45"/>
      <c r="T2325" s="45"/>
      <c r="U2325" s="45"/>
    </row>
    <row r="2326">
      <c r="A2326" s="79" t="s">
        <v>16877</v>
      </c>
      <c r="B2326" s="45"/>
      <c r="C2326" s="79" t="s">
        <v>19843</v>
      </c>
      <c r="D2326" s="45"/>
      <c r="E2326" s="79" t="s">
        <v>5715</v>
      </c>
      <c r="F2326" s="79" t="s">
        <v>5425</v>
      </c>
      <c r="G2326" s="80" t="s">
        <v>96</v>
      </c>
      <c r="H2326" s="90">
        <v>1.209E-4</v>
      </c>
      <c r="I2326" s="45"/>
      <c r="J2326" s="45"/>
      <c r="K2326" s="45"/>
      <c r="L2326" s="45"/>
      <c r="M2326" s="45"/>
      <c r="N2326" s="45"/>
      <c r="O2326" s="45"/>
      <c r="P2326" s="45"/>
      <c r="Q2326" s="45"/>
      <c r="R2326" s="45"/>
      <c r="S2326" s="45"/>
      <c r="T2326" s="45"/>
      <c r="U2326" s="45"/>
    </row>
    <row r="2327">
      <c r="A2327" s="79" t="s">
        <v>19844</v>
      </c>
      <c r="B2327" s="45"/>
      <c r="C2327" s="79" t="s">
        <v>19845</v>
      </c>
      <c r="D2327" s="45"/>
      <c r="E2327" s="79" t="s">
        <v>5407</v>
      </c>
      <c r="F2327" s="79" t="s">
        <v>8784</v>
      </c>
      <c r="G2327" s="80" t="s">
        <v>96</v>
      </c>
      <c r="H2327" s="90">
        <v>1.206E-4</v>
      </c>
      <c r="I2327" s="45"/>
      <c r="J2327" s="45"/>
      <c r="K2327" s="45"/>
      <c r="L2327" s="45"/>
      <c r="M2327" s="45"/>
      <c r="N2327" s="45"/>
      <c r="O2327" s="45"/>
      <c r="P2327" s="45"/>
      <c r="Q2327" s="45"/>
      <c r="R2327" s="45"/>
      <c r="S2327" s="45"/>
      <c r="T2327" s="45"/>
      <c r="U2327" s="45"/>
    </row>
    <row r="2328">
      <c r="A2328" s="79" t="s">
        <v>19846</v>
      </c>
      <c r="B2328" s="45"/>
      <c r="C2328" s="79" t="s">
        <v>19847</v>
      </c>
      <c r="D2328" s="45"/>
      <c r="E2328" s="79" t="s">
        <v>5756</v>
      </c>
      <c r="F2328" s="79" t="s">
        <v>6210</v>
      </c>
      <c r="G2328" s="80" t="s">
        <v>96</v>
      </c>
      <c r="H2328" s="90">
        <v>1.206E-4</v>
      </c>
      <c r="I2328" s="45"/>
      <c r="J2328" s="45"/>
      <c r="K2328" s="45"/>
      <c r="L2328" s="45"/>
      <c r="M2328" s="45"/>
      <c r="N2328" s="45"/>
      <c r="O2328" s="45"/>
      <c r="P2328" s="45"/>
      <c r="Q2328" s="45"/>
      <c r="R2328" s="45"/>
      <c r="S2328" s="45"/>
      <c r="T2328" s="45"/>
      <c r="U2328" s="45"/>
    </row>
    <row r="2329">
      <c r="A2329" s="79" t="s">
        <v>19848</v>
      </c>
      <c r="B2329" s="45"/>
      <c r="C2329" s="79" t="s">
        <v>19849</v>
      </c>
      <c r="D2329" s="45"/>
      <c r="E2329" s="79" t="s">
        <v>6729</v>
      </c>
      <c r="F2329" s="79" t="s">
        <v>9021</v>
      </c>
      <c r="G2329" s="80" t="s">
        <v>96</v>
      </c>
      <c r="H2329" s="90">
        <v>1.205E-4</v>
      </c>
      <c r="I2329" s="45"/>
      <c r="J2329" s="45"/>
      <c r="K2329" s="45"/>
      <c r="L2329" s="45"/>
      <c r="M2329" s="45"/>
      <c r="N2329" s="45"/>
      <c r="O2329" s="45"/>
      <c r="P2329" s="45"/>
      <c r="Q2329" s="45"/>
      <c r="R2329" s="45"/>
      <c r="S2329" s="45"/>
      <c r="T2329" s="45"/>
      <c r="U2329" s="45"/>
    </row>
    <row r="2330">
      <c r="A2330" s="79" t="s">
        <v>19850</v>
      </c>
      <c r="B2330" s="45"/>
      <c r="C2330" s="79" t="s">
        <v>19851</v>
      </c>
      <c r="D2330" s="45"/>
      <c r="E2330" s="79" t="s">
        <v>5374</v>
      </c>
      <c r="F2330" s="79" t="s">
        <v>8784</v>
      </c>
      <c r="G2330" s="80" t="s">
        <v>96</v>
      </c>
      <c r="H2330" s="90">
        <v>1.204E-4</v>
      </c>
      <c r="I2330" s="45"/>
      <c r="J2330" s="45"/>
      <c r="K2330" s="45"/>
      <c r="L2330" s="45"/>
      <c r="M2330" s="45"/>
      <c r="N2330" s="45"/>
      <c r="O2330" s="45"/>
      <c r="P2330" s="45"/>
      <c r="Q2330" s="45"/>
      <c r="R2330" s="45"/>
      <c r="S2330" s="45"/>
      <c r="T2330" s="45"/>
      <c r="U2330" s="45"/>
    </row>
    <row r="2331">
      <c r="A2331" s="79" t="s">
        <v>19852</v>
      </c>
      <c r="B2331" s="45"/>
      <c r="C2331" s="79" t="s">
        <v>19853</v>
      </c>
      <c r="D2331" s="45"/>
      <c r="E2331" s="79" t="s">
        <v>5456</v>
      </c>
      <c r="F2331" s="79" t="s">
        <v>5300</v>
      </c>
      <c r="G2331" s="80" t="s">
        <v>96</v>
      </c>
      <c r="H2331" s="90">
        <v>1.202E-4</v>
      </c>
      <c r="I2331" s="45"/>
      <c r="J2331" s="45"/>
      <c r="K2331" s="45"/>
      <c r="L2331" s="45"/>
      <c r="M2331" s="45"/>
      <c r="N2331" s="45"/>
      <c r="O2331" s="45"/>
      <c r="P2331" s="45"/>
      <c r="Q2331" s="45"/>
      <c r="R2331" s="45"/>
      <c r="S2331" s="45"/>
      <c r="T2331" s="45"/>
      <c r="U2331" s="45"/>
    </row>
    <row r="2332">
      <c r="A2332" s="79" t="s">
        <v>19854</v>
      </c>
      <c r="B2332" s="45"/>
      <c r="C2332" s="79" t="s">
        <v>19855</v>
      </c>
      <c r="D2332" s="45"/>
      <c r="E2332" s="79" t="s">
        <v>5296</v>
      </c>
      <c r="F2332" s="79" t="s">
        <v>5300</v>
      </c>
      <c r="G2332" s="80" t="s">
        <v>96</v>
      </c>
      <c r="H2332" s="90">
        <v>1.201E-4</v>
      </c>
      <c r="I2332" s="45"/>
      <c r="J2332" s="45"/>
      <c r="K2332" s="45"/>
      <c r="L2332" s="45"/>
      <c r="M2332" s="45"/>
      <c r="N2332" s="45"/>
      <c r="O2332" s="45"/>
      <c r="P2332" s="45"/>
      <c r="Q2332" s="45"/>
      <c r="R2332" s="45"/>
      <c r="S2332" s="45"/>
      <c r="T2332" s="45"/>
      <c r="U2332" s="45"/>
    </row>
    <row r="2333">
      <c r="A2333" s="79" t="s">
        <v>19856</v>
      </c>
      <c r="B2333" s="45"/>
      <c r="C2333" s="79" t="s">
        <v>19857</v>
      </c>
      <c r="D2333" s="45"/>
      <c r="E2333" s="79" t="s">
        <v>5218</v>
      </c>
      <c r="F2333" s="79" t="s">
        <v>5300</v>
      </c>
      <c r="G2333" s="80" t="s">
        <v>96</v>
      </c>
      <c r="H2333" s="90">
        <v>1.201E-4</v>
      </c>
      <c r="I2333" s="45"/>
      <c r="J2333" s="45"/>
      <c r="K2333" s="45"/>
      <c r="L2333" s="45"/>
      <c r="M2333" s="45"/>
      <c r="N2333" s="45"/>
      <c r="O2333" s="45"/>
      <c r="P2333" s="45"/>
      <c r="Q2333" s="45"/>
      <c r="R2333" s="45"/>
      <c r="S2333" s="45"/>
      <c r="T2333" s="45"/>
      <c r="U2333" s="45"/>
    </row>
    <row r="2334">
      <c r="A2334" s="79" t="s">
        <v>19858</v>
      </c>
      <c r="B2334" s="45"/>
      <c r="C2334" s="79" t="s">
        <v>19859</v>
      </c>
      <c r="D2334" s="45"/>
      <c r="E2334" s="79" t="s">
        <v>8951</v>
      </c>
      <c r="F2334" s="79" t="s">
        <v>6988</v>
      </c>
      <c r="G2334" s="80" t="s">
        <v>96</v>
      </c>
      <c r="H2334" s="90">
        <v>1.201E-4</v>
      </c>
      <c r="I2334" s="45"/>
      <c r="J2334" s="45"/>
      <c r="K2334" s="45"/>
      <c r="L2334" s="45"/>
      <c r="M2334" s="45"/>
      <c r="N2334" s="45"/>
      <c r="O2334" s="45"/>
      <c r="P2334" s="45"/>
      <c r="Q2334" s="45"/>
      <c r="R2334" s="45"/>
      <c r="S2334" s="45"/>
      <c r="T2334" s="45"/>
      <c r="U2334" s="45"/>
    </row>
    <row r="2335">
      <c r="A2335" s="79" t="s">
        <v>19860</v>
      </c>
      <c r="B2335" s="45"/>
      <c r="C2335" s="79" t="s">
        <v>19861</v>
      </c>
      <c r="D2335" s="45"/>
      <c r="E2335" s="79" t="s">
        <v>5226</v>
      </c>
      <c r="F2335" s="79" t="s">
        <v>5300</v>
      </c>
      <c r="G2335" s="80" t="s">
        <v>96</v>
      </c>
      <c r="H2335" s="90">
        <v>1.2E-4</v>
      </c>
      <c r="I2335" s="45"/>
      <c r="J2335" s="45"/>
      <c r="K2335" s="45"/>
      <c r="L2335" s="45"/>
      <c r="M2335" s="45"/>
      <c r="N2335" s="45"/>
      <c r="O2335" s="45"/>
      <c r="P2335" s="45"/>
      <c r="Q2335" s="45"/>
      <c r="R2335" s="45"/>
      <c r="S2335" s="45"/>
      <c r="T2335" s="45"/>
      <c r="U2335" s="45"/>
    </row>
    <row r="2336">
      <c r="A2336" s="79" t="s">
        <v>19862</v>
      </c>
      <c r="B2336" s="45"/>
      <c r="C2336" s="79" t="s">
        <v>19863</v>
      </c>
      <c r="D2336" s="45"/>
      <c r="E2336" s="79" t="s">
        <v>5276</v>
      </c>
      <c r="F2336" s="79" t="s">
        <v>9513</v>
      </c>
      <c r="G2336" s="80" t="s">
        <v>96</v>
      </c>
      <c r="H2336" s="90">
        <v>1.199E-4</v>
      </c>
      <c r="I2336" s="45"/>
      <c r="J2336" s="45"/>
      <c r="K2336" s="45"/>
      <c r="L2336" s="45"/>
      <c r="M2336" s="45"/>
      <c r="N2336" s="45"/>
      <c r="O2336" s="45"/>
      <c r="P2336" s="45"/>
      <c r="Q2336" s="45"/>
      <c r="R2336" s="45"/>
      <c r="S2336" s="45"/>
      <c r="T2336" s="45"/>
      <c r="U2336" s="45"/>
    </row>
    <row r="2337">
      <c r="A2337" s="79" t="s">
        <v>19864</v>
      </c>
      <c r="B2337" s="45"/>
      <c r="C2337" s="79" t="s">
        <v>19865</v>
      </c>
      <c r="D2337" s="45"/>
      <c r="E2337" s="79" t="s">
        <v>5215</v>
      </c>
      <c r="F2337" s="79" t="s">
        <v>5300</v>
      </c>
      <c r="G2337" s="80" t="s">
        <v>96</v>
      </c>
      <c r="H2337" s="90">
        <v>1.198E-4</v>
      </c>
      <c r="I2337" s="45"/>
      <c r="J2337" s="45"/>
      <c r="K2337" s="45"/>
      <c r="L2337" s="45"/>
      <c r="M2337" s="45"/>
      <c r="N2337" s="45"/>
      <c r="O2337" s="45"/>
      <c r="P2337" s="45"/>
      <c r="Q2337" s="45"/>
      <c r="R2337" s="45"/>
      <c r="S2337" s="45"/>
      <c r="T2337" s="45"/>
      <c r="U2337" s="45"/>
    </row>
    <row r="2338">
      <c r="A2338" s="79" t="s">
        <v>19866</v>
      </c>
      <c r="B2338" s="45"/>
      <c r="C2338" s="79" t="s">
        <v>19867</v>
      </c>
      <c r="D2338" s="45"/>
      <c r="E2338" s="79" t="s">
        <v>5561</v>
      </c>
      <c r="F2338" s="79" t="s">
        <v>8759</v>
      </c>
      <c r="G2338" s="80" t="s">
        <v>96</v>
      </c>
      <c r="H2338" s="90">
        <v>1.197E-4</v>
      </c>
      <c r="I2338" s="45"/>
      <c r="J2338" s="45"/>
      <c r="K2338" s="45"/>
      <c r="L2338" s="45"/>
      <c r="M2338" s="45"/>
      <c r="N2338" s="45"/>
      <c r="O2338" s="45"/>
      <c r="P2338" s="45"/>
      <c r="Q2338" s="45"/>
      <c r="R2338" s="45"/>
      <c r="S2338" s="45"/>
      <c r="T2338" s="45"/>
      <c r="U2338" s="45"/>
    </row>
    <row r="2339">
      <c r="A2339" s="79" t="s">
        <v>19868</v>
      </c>
      <c r="B2339" s="45"/>
      <c r="C2339" s="79" t="s">
        <v>19869</v>
      </c>
      <c r="D2339" s="45"/>
      <c r="E2339" s="79" t="s">
        <v>5390</v>
      </c>
      <c r="F2339" s="79" t="s">
        <v>5425</v>
      </c>
      <c r="G2339" s="80" t="s">
        <v>96</v>
      </c>
      <c r="H2339" s="90">
        <v>1.196E-4</v>
      </c>
      <c r="I2339" s="45"/>
      <c r="J2339" s="45"/>
      <c r="K2339" s="45"/>
      <c r="L2339" s="45"/>
      <c r="M2339" s="45"/>
      <c r="N2339" s="45"/>
      <c r="O2339" s="45"/>
      <c r="P2339" s="45"/>
      <c r="Q2339" s="45"/>
      <c r="R2339" s="45"/>
      <c r="S2339" s="45"/>
      <c r="T2339" s="45"/>
      <c r="U2339" s="45"/>
    </row>
    <row r="2340">
      <c r="A2340" s="79" t="s">
        <v>19870</v>
      </c>
      <c r="B2340" s="45"/>
      <c r="C2340" s="79" t="s">
        <v>19871</v>
      </c>
      <c r="D2340" s="45"/>
      <c r="E2340" s="79" t="s">
        <v>5215</v>
      </c>
      <c r="F2340" s="79" t="s">
        <v>5300</v>
      </c>
      <c r="G2340" s="80" t="s">
        <v>96</v>
      </c>
      <c r="H2340" s="90">
        <v>1.196E-4</v>
      </c>
      <c r="I2340" s="45"/>
      <c r="J2340" s="45"/>
      <c r="K2340" s="45"/>
      <c r="L2340" s="45"/>
      <c r="M2340" s="45"/>
      <c r="N2340" s="45"/>
      <c r="O2340" s="45"/>
      <c r="P2340" s="45"/>
      <c r="Q2340" s="45"/>
      <c r="R2340" s="45"/>
      <c r="S2340" s="45"/>
      <c r="T2340" s="45"/>
      <c r="U2340" s="45"/>
    </row>
    <row r="2341">
      <c r="A2341" s="79" t="s">
        <v>19872</v>
      </c>
      <c r="B2341" s="45"/>
      <c r="C2341" s="79" t="s">
        <v>19873</v>
      </c>
      <c r="D2341" s="45"/>
      <c r="E2341" s="79" t="s">
        <v>6009</v>
      </c>
      <c r="F2341" s="79" t="s">
        <v>9414</v>
      </c>
      <c r="G2341" s="80" t="s">
        <v>96</v>
      </c>
      <c r="H2341" s="90">
        <v>1.196E-4</v>
      </c>
      <c r="I2341" s="45"/>
      <c r="J2341" s="45"/>
      <c r="K2341" s="45"/>
      <c r="L2341" s="45"/>
      <c r="M2341" s="45"/>
      <c r="N2341" s="45"/>
      <c r="O2341" s="45"/>
      <c r="P2341" s="45"/>
      <c r="Q2341" s="45"/>
      <c r="R2341" s="45"/>
      <c r="S2341" s="45"/>
      <c r="T2341" s="45"/>
      <c r="U2341" s="45"/>
    </row>
    <row r="2342">
      <c r="A2342" s="79" t="s">
        <v>19874</v>
      </c>
      <c r="B2342" s="45"/>
      <c r="C2342" s="79" t="s">
        <v>19875</v>
      </c>
      <c r="D2342" s="45"/>
      <c r="E2342" s="79" t="s">
        <v>5445</v>
      </c>
      <c r="F2342" s="79" t="s">
        <v>5300</v>
      </c>
      <c r="G2342" s="80" t="s">
        <v>96</v>
      </c>
      <c r="H2342" s="90">
        <v>1.196E-4</v>
      </c>
      <c r="I2342" s="45"/>
      <c r="J2342" s="45"/>
      <c r="K2342" s="45"/>
      <c r="L2342" s="45"/>
      <c r="M2342" s="45"/>
      <c r="N2342" s="45"/>
      <c r="O2342" s="45"/>
      <c r="P2342" s="45"/>
      <c r="Q2342" s="45"/>
      <c r="R2342" s="45"/>
      <c r="S2342" s="45"/>
      <c r="T2342" s="45"/>
      <c r="U2342" s="45"/>
    </row>
    <row r="2343">
      <c r="A2343" s="79" t="s">
        <v>19876</v>
      </c>
      <c r="B2343" s="45"/>
      <c r="C2343" s="79" t="s">
        <v>19877</v>
      </c>
      <c r="D2343" s="45"/>
      <c r="E2343" s="79" t="s">
        <v>5246</v>
      </c>
      <c r="F2343" s="79" t="s">
        <v>5300</v>
      </c>
      <c r="G2343" s="80" t="s">
        <v>96</v>
      </c>
      <c r="H2343" s="90">
        <v>1.195E-4</v>
      </c>
      <c r="I2343" s="45"/>
      <c r="J2343" s="45"/>
      <c r="K2343" s="45"/>
      <c r="L2343" s="45"/>
      <c r="M2343" s="45"/>
      <c r="N2343" s="45"/>
      <c r="O2343" s="45"/>
      <c r="P2343" s="45"/>
      <c r="Q2343" s="45"/>
      <c r="R2343" s="45"/>
      <c r="S2343" s="45"/>
      <c r="T2343" s="45"/>
      <c r="U2343" s="45"/>
    </row>
    <row r="2344">
      <c r="A2344" s="79" t="s">
        <v>19878</v>
      </c>
      <c r="B2344" s="45"/>
      <c r="C2344" s="79" t="s">
        <v>19879</v>
      </c>
      <c r="D2344" s="45"/>
      <c r="E2344" s="79" t="s">
        <v>5215</v>
      </c>
      <c r="F2344" s="79" t="s">
        <v>5300</v>
      </c>
      <c r="G2344" s="80" t="s">
        <v>96</v>
      </c>
      <c r="H2344" s="90">
        <v>1.195E-4</v>
      </c>
      <c r="I2344" s="45"/>
      <c r="J2344" s="45"/>
      <c r="K2344" s="45"/>
      <c r="L2344" s="45"/>
      <c r="M2344" s="45"/>
      <c r="N2344" s="45"/>
      <c r="O2344" s="45"/>
      <c r="P2344" s="45"/>
      <c r="Q2344" s="45"/>
      <c r="R2344" s="45"/>
      <c r="S2344" s="45"/>
      <c r="T2344" s="45"/>
      <c r="U2344" s="45"/>
    </row>
    <row r="2345">
      <c r="A2345" s="79" t="s">
        <v>19880</v>
      </c>
      <c r="B2345" s="45"/>
      <c r="C2345" s="79" t="s">
        <v>19881</v>
      </c>
      <c r="D2345" s="45"/>
      <c r="E2345" s="79" t="s">
        <v>5215</v>
      </c>
      <c r="F2345" s="79" t="s">
        <v>8784</v>
      </c>
      <c r="G2345" s="80" t="s">
        <v>96</v>
      </c>
      <c r="H2345" s="90">
        <v>1.195E-4</v>
      </c>
      <c r="I2345" s="45"/>
      <c r="J2345" s="45"/>
      <c r="K2345" s="45"/>
      <c r="L2345" s="45"/>
      <c r="M2345" s="45"/>
      <c r="N2345" s="45"/>
      <c r="O2345" s="45"/>
      <c r="P2345" s="45"/>
      <c r="Q2345" s="45"/>
      <c r="R2345" s="45"/>
      <c r="S2345" s="45"/>
      <c r="T2345" s="45"/>
      <c r="U2345" s="45"/>
    </row>
    <row r="2346">
      <c r="A2346" s="79" t="s">
        <v>19882</v>
      </c>
      <c r="B2346" s="45"/>
      <c r="C2346" s="79" t="s">
        <v>19883</v>
      </c>
      <c r="D2346" s="45"/>
      <c r="E2346" s="79" t="s">
        <v>5309</v>
      </c>
      <c r="F2346" s="79" t="s">
        <v>5836</v>
      </c>
      <c r="G2346" s="80" t="s">
        <v>96</v>
      </c>
      <c r="H2346" s="90">
        <v>1.194E-4</v>
      </c>
      <c r="I2346" s="45"/>
      <c r="J2346" s="45"/>
      <c r="K2346" s="45"/>
      <c r="L2346" s="45"/>
      <c r="M2346" s="45"/>
      <c r="N2346" s="45"/>
      <c r="O2346" s="45"/>
      <c r="P2346" s="45"/>
      <c r="Q2346" s="45"/>
      <c r="R2346" s="45"/>
      <c r="S2346" s="45"/>
      <c r="T2346" s="45"/>
      <c r="U2346" s="45"/>
    </row>
    <row r="2347">
      <c r="A2347" s="79" t="s">
        <v>19884</v>
      </c>
      <c r="B2347" s="45"/>
      <c r="C2347" s="79" t="s">
        <v>19885</v>
      </c>
      <c r="D2347" s="45"/>
      <c r="E2347" s="79" t="s">
        <v>6238</v>
      </c>
      <c r="F2347" s="79" t="s">
        <v>9513</v>
      </c>
      <c r="G2347" s="80" t="s">
        <v>96</v>
      </c>
      <c r="H2347" s="90">
        <v>1.193E-4</v>
      </c>
      <c r="I2347" s="45"/>
      <c r="J2347" s="45"/>
      <c r="K2347" s="45"/>
      <c r="L2347" s="45"/>
      <c r="M2347" s="45"/>
      <c r="N2347" s="45"/>
      <c r="O2347" s="45"/>
      <c r="P2347" s="45"/>
      <c r="Q2347" s="45"/>
      <c r="R2347" s="45"/>
      <c r="S2347" s="45"/>
      <c r="T2347" s="45"/>
      <c r="U2347" s="45"/>
    </row>
    <row r="2348">
      <c r="A2348" s="79" t="s">
        <v>19886</v>
      </c>
      <c r="B2348" s="45"/>
      <c r="C2348" s="79" t="s">
        <v>19887</v>
      </c>
      <c r="D2348" s="45"/>
      <c r="E2348" s="79" t="s">
        <v>7611</v>
      </c>
      <c r="F2348" s="79" t="s">
        <v>5300</v>
      </c>
      <c r="G2348" s="80" t="s">
        <v>96</v>
      </c>
      <c r="H2348" s="90">
        <v>1.193E-4</v>
      </c>
      <c r="I2348" s="45"/>
      <c r="J2348" s="45"/>
      <c r="K2348" s="45"/>
      <c r="L2348" s="45"/>
      <c r="M2348" s="45"/>
      <c r="N2348" s="45"/>
      <c r="O2348" s="45"/>
      <c r="P2348" s="45"/>
      <c r="Q2348" s="45"/>
      <c r="R2348" s="45"/>
      <c r="S2348" s="45"/>
      <c r="T2348" s="45"/>
      <c r="U2348" s="45"/>
    </row>
    <row r="2349">
      <c r="A2349" s="79" t="s">
        <v>19888</v>
      </c>
      <c r="B2349" s="45"/>
      <c r="C2349" s="79" t="s">
        <v>19889</v>
      </c>
      <c r="D2349" s="45"/>
      <c r="E2349" s="79" t="s">
        <v>5316</v>
      </c>
      <c r="F2349" s="79" t="s">
        <v>5425</v>
      </c>
      <c r="G2349" s="80" t="s">
        <v>96</v>
      </c>
      <c r="H2349" s="90">
        <v>1.192E-4</v>
      </c>
      <c r="I2349" s="45"/>
      <c r="J2349" s="45"/>
      <c r="K2349" s="45"/>
      <c r="L2349" s="45"/>
      <c r="M2349" s="45"/>
      <c r="N2349" s="45"/>
      <c r="O2349" s="45"/>
      <c r="P2349" s="45"/>
      <c r="Q2349" s="45"/>
      <c r="R2349" s="45"/>
      <c r="S2349" s="45"/>
      <c r="T2349" s="45"/>
      <c r="U2349" s="45"/>
    </row>
    <row r="2350">
      <c r="A2350" s="79" t="s">
        <v>19890</v>
      </c>
      <c r="B2350" s="45"/>
      <c r="C2350" s="79" t="s">
        <v>19891</v>
      </c>
      <c r="D2350" s="45"/>
      <c r="E2350" s="79" t="s">
        <v>6012</v>
      </c>
      <c r="F2350" s="79" t="s">
        <v>6988</v>
      </c>
      <c r="G2350" s="80" t="s">
        <v>96</v>
      </c>
      <c r="H2350" s="90">
        <v>1.192E-4</v>
      </c>
      <c r="I2350" s="45"/>
      <c r="J2350" s="45"/>
      <c r="K2350" s="45"/>
      <c r="L2350" s="45"/>
      <c r="M2350" s="45"/>
      <c r="N2350" s="45"/>
      <c r="O2350" s="45"/>
      <c r="P2350" s="45"/>
      <c r="Q2350" s="45"/>
      <c r="R2350" s="45"/>
      <c r="S2350" s="45"/>
      <c r="T2350" s="45"/>
      <c r="U2350" s="45"/>
    </row>
    <row r="2351">
      <c r="A2351" s="79" t="s">
        <v>19892</v>
      </c>
      <c r="B2351" s="45"/>
      <c r="C2351" s="79" t="s">
        <v>19893</v>
      </c>
      <c r="D2351" s="45"/>
      <c r="E2351" s="79" t="s">
        <v>5478</v>
      </c>
      <c r="F2351" s="79" t="s">
        <v>5300</v>
      </c>
      <c r="G2351" s="80" t="s">
        <v>96</v>
      </c>
      <c r="H2351" s="90">
        <v>1.19E-4</v>
      </c>
      <c r="I2351" s="45"/>
      <c r="J2351" s="45"/>
      <c r="K2351" s="45"/>
      <c r="L2351" s="45"/>
      <c r="M2351" s="45"/>
      <c r="N2351" s="45"/>
      <c r="O2351" s="45"/>
      <c r="P2351" s="45"/>
      <c r="Q2351" s="45"/>
      <c r="R2351" s="45"/>
      <c r="S2351" s="45"/>
      <c r="T2351" s="45"/>
      <c r="U2351" s="45"/>
    </row>
    <row r="2352">
      <c r="A2352" s="79" t="s">
        <v>19894</v>
      </c>
      <c r="B2352" s="45"/>
      <c r="C2352" s="79" t="s">
        <v>19895</v>
      </c>
      <c r="D2352" s="45"/>
      <c r="E2352" s="79" t="s">
        <v>5377</v>
      </c>
      <c r="F2352" s="79" t="s">
        <v>5425</v>
      </c>
      <c r="G2352" s="80" t="s">
        <v>96</v>
      </c>
      <c r="H2352" s="90">
        <v>1.189E-4</v>
      </c>
      <c r="I2352" s="45"/>
      <c r="J2352" s="45"/>
      <c r="K2352" s="45"/>
      <c r="L2352" s="45"/>
      <c r="M2352" s="45"/>
      <c r="N2352" s="45"/>
      <c r="O2352" s="45"/>
      <c r="P2352" s="45"/>
      <c r="Q2352" s="45"/>
      <c r="R2352" s="45"/>
      <c r="S2352" s="45"/>
      <c r="T2352" s="45"/>
      <c r="U2352" s="45"/>
    </row>
    <row r="2353">
      <c r="A2353" s="79" t="s">
        <v>19896</v>
      </c>
      <c r="B2353" s="45"/>
      <c r="C2353" s="79" t="s">
        <v>19897</v>
      </c>
      <c r="D2353" s="45"/>
      <c r="E2353" s="79" t="s">
        <v>5456</v>
      </c>
      <c r="F2353" s="79" t="s">
        <v>8784</v>
      </c>
      <c r="G2353" s="80" t="s">
        <v>96</v>
      </c>
      <c r="H2353" s="90">
        <v>1.187E-4</v>
      </c>
      <c r="I2353" s="45"/>
      <c r="J2353" s="45"/>
      <c r="K2353" s="45"/>
      <c r="L2353" s="45"/>
      <c r="M2353" s="45"/>
      <c r="N2353" s="45"/>
      <c r="O2353" s="45"/>
      <c r="P2353" s="45"/>
      <c r="Q2353" s="45"/>
      <c r="R2353" s="45"/>
      <c r="S2353" s="45"/>
      <c r="T2353" s="45"/>
      <c r="U2353" s="45"/>
    </row>
    <row r="2354">
      <c r="A2354" s="79" t="s">
        <v>19898</v>
      </c>
      <c r="B2354" s="45"/>
      <c r="C2354" s="79" t="s">
        <v>19899</v>
      </c>
      <c r="D2354" s="45"/>
      <c r="E2354" s="79" t="s">
        <v>5434</v>
      </c>
      <c r="F2354" s="79" t="s">
        <v>5300</v>
      </c>
      <c r="G2354" s="80" t="s">
        <v>96</v>
      </c>
      <c r="H2354" s="90">
        <v>1.187E-4</v>
      </c>
      <c r="I2354" s="45"/>
      <c r="J2354" s="45"/>
      <c r="K2354" s="45"/>
      <c r="L2354" s="45"/>
      <c r="M2354" s="45"/>
      <c r="N2354" s="45"/>
      <c r="O2354" s="45"/>
      <c r="P2354" s="45"/>
      <c r="Q2354" s="45"/>
      <c r="R2354" s="45"/>
      <c r="S2354" s="45"/>
      <c r="T2354" s="45"/>
      <c r="U2354" s="45"/>
    </row>
    <row r="2355">
      <c r="A2355" s="79" t="s">
        <v>19900</v>
      </c>
      <c r="B2355" s="45"/>
      <c r="C2355" s="79" t="s">
        <v>19901</v>
      </c>
      <c r="D2355" s="45"/>
      <c r="E2355" s="79" t="s">
        <v>5501</v>
      </c>
      <c r="F2355" s="79" t="s">
        <v>5836</v>
      </c>
      <c r="G2355" s="80" t="s">
        <v>96</v>
      </c>
      <c r="H2355" s="90">
        <v>1.186E-4</v>
      </c>
      <c r="I2355" s="45"/>
      <c r="J2355" s="45"/>
      <c r="K2355" s="45"/>
      <c r="L2355" s="45"/>
      <c r="M2355" s="45"/>
      <c r="N2355" s="45"/>
      <c r="O2355" s="45"/>
      <c r="P2355" s="45"/>
      <c r="Q2355" s="45"/>
      <c r="R2355" s="45"/>
      <c r="S2355" s="45"/>
      <c r="T2355" s="45"/>
      <c r="U2355" s="45"/>
    </row>
    <row r="2356">
      <c r="A2356" s="79" t="s">
        <v>19902</v>
      </c>
      <c r="B2356" s="45"/>
      <c r="C2356" s="79" t="s">
        <v>19903</v>
      </c>
      <c r="D2356" s="45"/>
      <c r="E2356" s="79" t="s">
        <v>6798</v>
      </c>
      <c r="F2356" s="79" t="s">
        <v>5836</v>
      </c>
      <c r="G2356" s="80" t="s">
        <v>96</v>
      </c>
      <c r="H2356" s="90">
        <v>1.186E-4</v>
      </c>
      <c r="I2356" s="45"/>
      <c r="J2356" s="45"/>
      <c r="K2356" s="45"/>
      <c r="L2356" s="45"/>
      <c r="M2356" s="45"/>
      <c r="N2356" s="45"/>
      <c r="O2356" s="45"/>
      <c r="P2356" s="45"/>
      <c r="Q2356" s="45"/>
      <c r="R2356" s="45"/>
      <c r="S2356" s="45"/>
      <c r="T2356" s="45"/>
      <c r="U2356" s="45"/>
    </row>
    <row r="2357">
      <c r="A2357" s="79" t="s">
        <v>19904</v>
      </c>
      <c r="B2357" s="45"/>
      <c r="C2357" s="79" t="s">
        <v>19905</v>
      </c>
      <c r="D2357" s="45"/>
      <c r="E2357" s="79" t="s">
        <v>5456</v>
      </c>
      <c r="F2357" s="79" t="s">
        <v>6210</v>
      </c>
      <c r="G2357" s="80" t="s">
        <v>96</v>
      </c>
      <c r="H2357" s="90">
        <v>1.185E-4</v>
      </c>
      <c r="I2357" s="45"/>
      <c r="J2357" s="45"/>
      <c r="K2357" s="45"/>
      <c r="L2357" s="45"/>
      <c r="M2357" s="45"/>
      <c r="N2357" s="45"/>
      <c r="O2357" s="45"/>
      <c r="P2357" s="45"/>
      <c r="Q2357" s="45"/>
      <c r="R2357" s="45"/>
      <c r="S2357" s="45"/>
      <c r="T2357" s="45"/>
      <c r="U2357" s="45"/>
    </row>
    <row r="2358">
      <c r="A2358" s="79" t="s">
        <v>19906</v>
      </c>
      <c r="B2358" s="45"/>
      <c r="C2358" s="79" t="s">
        <v>19907</v>
      </c>
      <c r="D2358" s="45"/>
      <c r="E2358" s="79" t="s">
        <v>5335</v>
      </c>
      <c r="F2358" s="79" t="s">
        <v>8784</v>
      </c>
      <c r="G2358" s="80" t="s">
        <v>96</v>
      </c>
      <c r="H2358" s="90">
        <v>1.185E-4</v>
      </c>
      <c r="I2358" s="45"/>
      <c r="J2358" s="45"/>
      <c r="K2358" s="45"/>
      <c r="L2358" s="45"/>
      <c r="M2358" s="45"/>
      <c r="N2358" s="45"/>
      <c r="O2358" s="45"/>
      <c r="P2358" s="45"/>
      <c r="Q2358" s="45"/>
      <c r="R2358" s="45"/>
      <c r="S2358" s="45"/>
      <c r="T2358" s="45"/>
      <c r="U2358" s="45"/>
    </row>
    <row r="2359">
      <c r="A2359" s="79" t="s">
        <v>19908</v>
      </c>
      <c r="B2359" s="45"/>
      <c r="C2359" s="79" t="s">
        <v>19909</v>
      </c>
      <c r="D2359" s="45"/>
      <c r="E2359" s="79" t="s">
        <v>5407</v>
      </c>
      <c r="F2359" s="79" t="s">
        <v>4095</v>
      </c>
      <c r="G2359" s="80" t="s">
        <v>96</v>
      </c>
      <c r="H2359" s="90">
        <v>1.183E-4</v>
      </c>
      <c r="I2359" s="45"/>
      <c r="J2359" s="45"/>
      <c r="K2359" s="45"/>
      <c r="L2359" s="45"/>
      <c r="M2359" s="45"/>
      <c r="N2359" s="45"/>
      <c r="O2359" s="45"/>
      <c r="P2359" s="45"/>
      <c r="Q2359" s="45"/>
      <c r="R2359" s="45"/>
      <c r="S2359" s="45"/>
      <c r="T2359" s="45"/>
      <c r="U2359" s="45"/>
    </row>
    <row r="2360">
      <c r="A2360" s="79" t="s">
        <v>19910</v>
      </c>
      <c r="B2360" s="45"/>
      <c r="C2360" s="79" t="s">
        <v>19911</v>
      </c>
      <c r="D2360" s="45"/>
      <c r="E2360" s="79" t="s">
        <v>5756</v>
      </c>
      <c r="F2360" s="79" t="s">
        <v>6210</v>
      </c>
      <c r="G2360" s="80" t="s">
        <v>96</v>
      </c>
      <c r="H2360" s="90">
        <v>1.18E-4</v>
      </c>
      <c r="I2360" s="45"/>
      <c r="J2360" s="45"/>
      <c r="K2360" s="45"/>
      <c r="L2360" s="45"/>
      <c r="M2360" s="45"/>
      <c r="N2360" s="45"/>
      <c r="O2360" s="45"/>
      <c r="P2360" s="45"/>
      <c r="Q2360" s="45"/>
      <c r="R2360" s="45"/>
      <c r="S2360" s="45"/>
      <c r="T2360" s="45"/>
      <c r="U2360" s="45"/>
    </row>
    <row r="2361">
      <c r="A2361" s="79" t="s">
        <v>19912</v>
      </c>
      <c r="B2361" s="45"/>
      <c r="C2361" s="79" t="s">
        <v>19913</v>
      </c>
      <c r="D2361" s="45"/>
      <c r="E2361" s="79" t="s">
        <v>5326</v>
      </c>
      <c r="F2361" s="79" t="s">
        <v>5425</v>
      </c>
      <c r="G2361" s="80" t="s">
        <v>96</v>
      </c>
      <c r="H2361" s="90">
        <v>1.18E-4</v>
      </c>
      <c r="I2361" s="45"/>
      <c r="J2361" s="45"/>
      <c r="K2361" s="45"/>
      <c r="L2361" s="45"/>
      <c r="M2361" s="45"/>
      <c r="N2361" s="45"/>
      <c r="O2361" s="45"/>
      <c r="P2361" s="45"/>
      <c r="Q2361" s="45"/>
      <c r="R2361" s="45"/>
      <c r="S2361" s="45"/>
      <c r="T2361" s="45"/>
      <c r="U2361" s="45"/>
    </row>
    <row r="2362">
      <c r="A2362" s="79" t="s">
        <v>11110</v>
      </c>
      <c r="B2362" s="45"/>
      <c r="C2362" s="79" t="s">
        <v>11111</v>
      </c>
      <c r="D2362" s="45"/>
      <c r="E2362" s="79" t="s">
        <v>5704</v>
      </c>
      <c r="F2362" s="79" t="s">
        <v>8784</v>
      </c>
      <c r="G2362" s="80" t="s">
        <v>96</v>
      </c>
      <c r="H2362" s="90">
        <v>1.18E-4</v>
      </c>
      <c r="I2362" s="45"/>
      <c r="J2362" s="45"/>
      <c r="K2362" s="45"/>
      <c r="L2362" s="45"/>
      <c r="M2362" s="45"/>
      <c r="N2362" s="45"/>
      <c r="O2362" s="45"/>
      <c r="P2362" s="45"/>
      <c r="Q2362" s="45"/>
      <c r="R2362" s="45"/>
      <c r="S2362" s="45"/>
      <c r="T2362" s="45"/>
      <c r="U2362" s="45"/>
    </row>
    <row r="2363">
      <c r="A2363" s="79" t="s">
        <v>19914</v>
      </c>
      <c r="B2363" s="45"/>
      <c r="C2363" s="79" t="s">
        <v>19915</v>
      </c>
      <c r="D2363" s="45"/>
      <c r="E2363" s="79" t="s">
        <v>5478</v>
      </c>
      <c r="F2363" s="79" t="s">
        <v>5300</v>
      </c>
      <c r="G2363" s="80" t="s">
        <v>96</v>
      </c>
      <c r="H2363" s="90">
        <v>1.178E-4</v>
      </c>
      <c r="I2363" s="45"/>
      <c r="J2363" s="45"/>
      <c r="K2363" s="45"/>
      <c r="L2363" s="45"/>
      <c r="M2363" s="45"/>
      <c r="N2363" s="45"/>
      <c r="O2363" s="45"/>
      <c r="P2363" s="45"/>
      <c r="Q2363" s="45"/>
      <c r="R2363" s="45"/>
      <c r="S2363" s="45"/>
      <c r="T2363" s="45"/>
      <c r="U2363" s="45"/>
    </row>
    <row r="2364">
      <c r="A2364" s="79" t="s">
        <v>19916</v>
      </c>
      <c r="B2364" s="45"/>
      <c r="C2364" s="79" t="s">
        <v>19917</v>
      </c>
      <c r="D2364" s="45"/>
      <c r="E2364" s="79" t="s">
        <v>5291</v>
      </c>
      <c r="F2364" s="79" t="s">
        <v>5300</v>
      </c>
      <c r="G2364" s="80" t="s">
        <v>96</v>
      </c>
      <c r="H2364" s="90">
        <v>1.178E-4</v>
      </c>
      <c r="I2364" s="45"/>
      <c r="J2364" s="45"/>
      <c r="K2364" s="45"/>
      <c r="L2364" s="45"/>
      <c r="M2364" s="45"/>
      <c r="N2364" s="45"/>
      <c r="O2364" s="45"/>
      <c r="P2364" s="45"/>
      <c r="Q2364" s="45"/>
      <c r="R2364" s="45"/>
      <c r="S2364" s="45"/>
      <c r="T2364" s="45"/>
      <c r="U2364" s="45"/>
    </row>
    <row r="2365">
      <c r="A2365" s="79" t="s">
        <v>19918</v>
      </c>
      <c r="B2365" s="45"/>
      <c r="C2365" s="79" t="s">
        <v>19919</v>
      </c>
      <c r="D2365" s="45"/>
      <c r="E2365" s="79" t="s">
        <v>5276</v>
      </c>
      <c r="F2365" s="79" t="s">
        <v>5300</v>
      </c>
      <c r="G2365" s="80" t="s">
        <v>96</v>
      </c>
      <c r="H2365" s="90">
        <v>1.177E-4</v>
      </c>
      <c r="I2365" s="45"/>
      <c r="J2365" s="45"/>
      <c r="K2365" s="45"/>
      <c r="L2365" s="45"/>
      <c r="M2365" s="45"/>
      <c r="N2365" s="45"/>
      <c r="O2365" s="45"/>
      <c r="P2365" s="45"/>
      <c r="Q2365" s="45"/>
      <c r="R2365" s="45"/>
      <c r="S2365" s="45"/>
      <c r="T2365" s="45"/>
      <c r="U2365" s="45"/>
    </row>
    <row r="2366">
      <c r="A2366" s="79" t="s">
        <v>19920</v>
      </c>
      <c r="B2366" s="45"/>
      <c r="C2366" s="79" t="s">
        <v>19921</v>
      </c>
      <c r="D2366" s="45"/>
      <c r="E2366" s="79" t="s">
        <v>5215</v>
      </c>
      <c r="F2366" s="79" t="s">
        <v>8784</v>
      </c>
      <c r="G2366" s="80" t="s">
        <v>96</v>
      </c>
      <c r="H2366" s="90">
        <v>1.176E-4</v>
      </c>
      <c r="I2366" s="45"/>
      <c r="J2366" s="45"/>
      <c r="K2366" s="45"/>
      <c r="L2366" s="45"/>
      <c r="M2366" s="45"/>
      <c r="N2366" s="45"/>
      <c r="O2366" s="45"/>
      <c r="P2366" s="45"/>
      <c r="Q2366" s="45"/>
      <c r="R2366" s="45"/>
      <c r="S2366" s="45"/>
      <c r="T2366" s="45"/>
      <c r="U2366" s="45"/>
    </row>
    <row r="2367">
      <c r="A2367" s="79" t="s">
        <v>19922</v>
      </c>
      <c r="B2367" s="45"/>
      <c r="C2367" s="79" t="s">
        <v>19923</v>
      </c>
      <c r="D2367" s="45"/>
      <c r="E2367" s="79" t="s">
        <v>5283</v>
      </c>
      <c r="F2367" s="79" t="s">
        <v>5300</v>
      </c>
      <c r="G2367" s="80" t="s">
        <v>96</v>
      </c>
      <c r="H2367" s="90">
        <v>1.174E-4</v>
      </c>
      <c r="I2367" s="45"/>
      <c r="J2367" s="45"/>
      <c r="K2367" s="45"/>
      <c r="L2367" s="45"/>
      <c r="M2367" s="45"/>
      <c r="N2367" s="45"/>
      <c r="O2367" s="45"/>
      <c r="P2367" s="45"/>
      <c r="Q2367" s="45"/>
      <c r="R2367" s="45"/>
      <c r="S2367" s="45"/>
      <c r="T2367" s="45"/>
      <c r="U2367" s="45"/>
    </row>
    <row r="2368">
      <c r="A2368" s="79" t="s">
        <v>19924</v>
      </c>
      <c r="B2368" s="45"/>
      <c r="C2368" s="79" t="s">
        <v>19925</v>
      </c>
      <c r="D2368" s="45"/>
      <c r="E2368" s="79" t="s">
        <v>6327</v>
      </c>
      <c r="F2368" s="79" t="s">
        <v>5300</v>
      </c>
      <c r="G2368" s="80" t="s">
        <v>96</v>
      </c>
      <c r="H2368" s="90">
        <v>1.173E-4</v>
      </c>
      <c r="I2368" s="45"/>
      <c r="J2368" s="45"/>
      <c r="K2368" s="45"/>
      <c r="L2368" s="45"/>
      <c r="M2368" s="45"/>
      <c r="N2368" s="45"/>
      <c r="O2368" s="45"/>
      <c r="P2368" s="45"/>
      <c r="Q2368" s="45"/>
      <c r="R2368" s="45"/>
      <c r="S2368" s="45"/>
      <c r="T2368" s="45"/>
      <c r="U2368" s="45"/>
    </row>
    <row r="2369">
      <c r="A2369" s="79" t="s">
        <v>19926</v>
      </c>
      <c r="B2369" s="45"/>
      <c r="C2369" s="79" t="s">
        <v>19927</v>
      </c>
      <c r="D2369" s="45"/>
      <c r="E2369" s="79" t="s">
        <v>5253</v>
      </c>
      <c r="F2369" s="79" t="s">
        <v>5300</v>
      </c>
      <c r="G2369" s="80" t="s">
        <v>96</v>
      </c>
      <c r="H2369" s="90">
        <v>1.172E-4</v>
      </c>
      <c r="I2369" s="45"/>
      <c r="J2369" s="45"/>
      <c r="K2369" s="45"/>
      <c r="L2369" s="45"/>
      <c r="M2369" s="45"/>
      <c r="N2369" s="45"/>
      <c r="O2369" s="45"/>
      <c r="P2369" s="45"/>
      <c r="Q2369" s="45"/>
      <c r="R2369" s="45"/>
      <c r="S2369" s="45"/>
      <c r="T2369" s="45"/>
      <c r="U2369" s="45"/>
    </row>
    <row r="2370">
      <c r="A2370" s="79" t="s">
        <v>19928</v>
      </c>
      <c r="B2370" s="45"/>
      <c r="C2370" s="79" t="s">
        <v>19929</v>
      </c>
      <c r="D2370" s="45"/>
      <c r="E2370" s="79" t="s">
        <v>5811</v>
      </c>
      <c r="F2370" s="79" t="s">
        <v>8784</v>
      </c>
      <c r="G2370" s="80" t="s">
        <v>96</v>
      </c>
      <c r="H2370" s="90">
        <v>1.171E-4</v>
      </c>
      <c r="I2370" s="45"/>
      <c r="J2370" s="45"/>
      <c r="K2370" s="45"/>
      <c r="L2370" s="45"/>
      <c r="M2370" s="45"/>
      <c r="N2370" s="45"/>
      <c r="O2370" s="45"/>
      <c r="P2370" s="45"/>
      <c r="Q2370" s="45"/>
      <c r="R2370" s="45"/>
      <c r="S2370" s="45"/>
      <c r="T2370" s="45"/>
      <c r="U2370" s="45"/>
    </row>
    <row r="2371">
      <c r="A2371" s="79" t="s">
        <v>19930</v>
      </c>
      <c r="B2371" s="45"/>
      <c r="C2371" s="79" t="s">
        <v>19931</v>
      </c>
      <c r="D2371" s="45"/>
      <c r="E2371" s="79" t="s">
        <v>5478</v>
      </c>
      <c r="F2371" s="79" t="s">
        <v>5300</v>
      </c>
      <c r="G2371" s="80" t="s">
        <v>96</v>
      </c>
      <c r="H2371" s="90">
        <v>1.171E-4</v>
      </c>
      <c r="I2371" s="45"/>
      <c r="J2371" s="45"/>
      <c r="K2371" s="45"/>
      <c r="L2371" s="45"/>
      <c r="M2371" s="45"/>
      <c r="N2371" s="45"/>
      <c r="O2371" s="45"/>
      <c r="P2371" s="45"/>
      <c r="Q2371" s="45"/>
      <c r="R2371" s="45"/>
      <c r="S2371" s="45"/>
      <c r="T2371" s="45"/>
      <c r="U2371" s="45"/>
    </row>
    <row r="2372">
      <c r="A2372" s="79" t="s">
        <v>19932</v>
      </c>
      <c r="B2372" s="45"/>
      <c r="C2372" s="79" t="s">
        <v>19933</v>
      </c>
      <c r="D2372" s="45"/>
      <c r="E2372" s="79" t="s">
        <v>5341</v>
      </c>
      <c r="F2372" s="79" t="s">
        <v>5836</v>
      </c>
      <c r="G2372" s="80" t="s">
        <v>96</v>
      </c>
      <c r="H2372" s="90">
        <v>1.17E-4</v>
      </c>
      <c r="I2372" s="45"/>
      <c r="J2372" s="45"/>
      <c r="K2372" s="45"/>
      <c r="L2372" s="45"/>
      <c r="M2372" s="45"/>
      <c r="N2372" s="45"/>
      <c r="O2372" s="45"/>
      <c r="P2372" s="45"/>
      <c r="Q2372" s="45"/>
      <c r="R2372" s="45"/>
      <c r="S2372" s="45"/>
      <c r="T2372" s="45"/>
      <c r="U2372" s="45"/>
    </row>
    <row r="2373">
      <c r="A2373" s="79" t="s">
        <v>19934</v>
      </c>
      <c r="B2373" s="45"/>
      <c r="C2373" s="79" t="s">
        <v>19935</v>
      </c>
      <c r="D2373" s="45"/>
      <c r="E2373" s="79" t="s">
        <v>5241</v>
      </c>
      <c r="F2373" s="79" t="s">
        <v>5836</v>
      </c>
      <c r="G2373" s="80" t="s">
        <v>96</v>
      </c>
      <c r="H2373" s="90">
        <v>1.17E-4</v>
      </c>
      <c r="I2373" s="45"/>
      <c r="J2373" s="45"/>
      <c r="K2373" s="45"/>
      <c r="L2373" s="45"/>
      <c r="M2373" s="45"/>
      <c r="N2373" s="45"/>
      <c r="O2373" s="45"/>
      <c r="P2373" s="45"/>
      <c r="Q2373" s="45"/>
      <c r="R2373" s="45"/>
      <c r="S2373" s="45"/>
      <c r="T2373" s="45"/>
      <c r="U2373" s="45"/>
    </row>
    <row r="2374">
      <c r="A2374" s="79" t="s">
        <v>19936</v>
      </c>
      <c r="B2374" s="45"/>
      <c r="C2374" s="79" t="s">
        <v>19937</v>
      </c>
      <c r="D2374" s="45"/>
      <c r="E2374" s="79" t="s">
        <v>5218</v>
      </c>
      <c r="F2374" s="79" t="s">
        <v>4436</v>
      </c>
      <c r="G2374" s="80" t="s">
        <v>96</v>
      </c>
      <c r="H2374" s="90">
        <v>1.17E-4</v>
      </c>
      <c r="I2374" s="45"/>
      <c r="J2374" s="45"/>
      <c r="K2374" s="45"/>
      <c r="L2374" s="45"/>
      <c r="M2374" s="45"/>
      <c r="N2374" s="45"/>
      <c r="O2374" s="45"/>
      <c r="P2374" s="45"/>
      <c r="Q2374" s="45"/>
      <c r="R2374" s="45"/>
      <c r="S2374" s="45"/>
      <c r="T2374" s="45"/>
      <c r="U2374" s="45"/>
    </row>
    <row r="2375">
      <c r="A2375" s="79" t="s">
        <v>10589</v>
      </c>
      <c r="B2375" s="45"/>
      <c r="C2375" s="79" t="s">
        <v>19938</v>
      </c>
      <c r="D2375" s="45"/>
      <c r="E2375" s="79" t="s">
        <v>5261</v>
      </c>
      <c r="F2375" s="79" t="s">
        <v>5300</v>
      </c>
      <c r="G2375" s="80" t="s">
        <v>96</v>
      </c>
      <c r="H2375" s="90">
        <v>1.169E-4</v>
      </c>
      <c r="I2375" s="45"/>
      <c r="J2375" s="45"/>
      <c r="K2375" s="45"/>
      <c r="L2375" s="45"/>
      <c r="M2375" s="45"/>
      <c r="N2375" s="45"/>
      <c r="O2375" s="45"/>
      <c r="P2375" s="45"/>
      <c r="Q2375" s="45"/>
      <c r="R2375" s="45"/>
      <c r="S2375" s="45"/>
      <c r="T2375" s="45"/>
      <c r="U2375" s="45"/>
    </row>
    <row r="2376">
      <c r="A2376" s="79" t="s">
        <v>19939</v>
      </c>
      <c r="B2376" s="45"/>
      <c r="C2376" s="79" t="s">
        <v>19940</v>
      </c>
      <c r="D2376" s="45"/>
      <c r="E2376" s="79" t="s">
        <v>5211</v>
      </c>
      <c r="F2376" s="79" t="s">
        <v>5836</v>
      </c>
      <c r="G2376" s="80" t="s">
        <v>96</v>
      </c>
      <c r="H2376" s="90">
        <v>1.168E-4</v>
      </c>
      <c r="I2376" s="45"/>
      <c r="J2376" s="45"/>
      <c r="K2376" s="45"/>
      <c r="L2376" s="45"/>
      <c r="M2376" s="45"/>
      <c r="N2376" s="45"/>
      <c r="O2376" s="45"/>
      <c r="P2376" s="45"/>
      <c r="Q2376" s="45"/>
      <c r="R2376" s="45"/>
      <c r="S2376" s="45"/>
      <c r="T2376" s="45"/>
      <c r="U2376" s="45"/>
    </row>
    <row r="2377">
      <c r="A2377" s="79" t="s">
        <v>19941</v>
      </c>
      <c r="B2377" s="45"/>
      <c r="C2377" s="79" t="s">
        <v>19942</v>
      </c>
      <c r="D2377" s="45"/>
      <c r="E2377" s="79" t="s">
        <v>5238</v>
      </c>
      <c r="F2377" s="79" t="s">
        <v>5836</v>
      </c>
      <c r="G2377" s="80" t="s">
        <v>96</v>
      </c>
      <c r="H2377" s="90">
        <v>1.168E-4</v>
      </c>
      <c r="I2377" s="45"/>
      <c r="J2377" s="45"/>
      <c r="K2377" s="45"/>
      <c r="L2377" s="45"/>
      <c r="M2377" s="45"/>
      <c r="N2377" s="45"/>
      <c r="O2377" s="45"/>
      <c r="P2377" s="45"/>
      <c r="Q2377" s="45"/>
      <c r="R2377" s="45"/>
      <c r="S2377" s="45"/>
      <c r="T2377" s="45"/>
      <c r="U2377" s="45"/>
    </row>
    <row r="2378">
      <c r="A2378" s="79" t="s">
        <v>19943</v>
      </c>
      <c r="B2378" s="45"/>
      <c r="C2378" s="79" t="s">
        <v>19944</v>
      </c>
      <c r="D2378" s="45"/>
      <c r="E2378" s="79" t="s">
        <v>5271</v>
      </c>
      <c r="F2378" s="79" t="s">
        <v>5300</v>
      </c>
      <c r="G2378" s="80" t="s">
        <v>96</v>
      </c>
      <c r="H2378" s="90">
        <v>1.167E-4</v>
      </c>
      <c r="I2378" s="45"/>
      <c r="J2378" s="45"/>
      <c r="K2378" s="45"/>
      <c r="L2378" s="45"/>
      <c r="M2378" s="45"/>
      <c r="N2378" s="45"/>
      <c r="O2378" s="45"/>
      <c r="P2378" s="45"/>
      <c r="Q2378" s="45"/>
      <c r="R2378" s="45"/>
      <c r="S2378" s="45"/>
      <c r="T2378" s="45"/>
      <c r="U2378" s="45"/>
    </row>
    <row r="2379">
      <c r="A2379" s="79" t="s">
        <v>19945</v>
      </c>
      <c r="B2379" s="45"/>
      <c r="C2379" s="79" t="s">
        <v>19946</v>
      </c>
      <c r="D2379" s="45"/>
      <c r="E2379" s="79" t="s">
        <v>5326</v>
      </c>
      <c r="F2379" s="79" t="s">
        <v>9617</v>
      </c>
      <c r="G2379" s="80" t="s">
        <v>96</v>
      </c>
      <c r="H2379" s="90">
        <v>1.167E-4</v>
      </c>
      <c r="I2379" s="45"/>
      <c r="J2379" s="45"/>
      <c r="K2379" s="45"/>
      <c r="L2379" s="45"/>
      <c r="M2379" s="45"/>
      <c r="N2379" s="45"/>
      <c r="O2379" s="45"/>
      <c r="P2379" s="45"/>
      <c r="Q2379" s="45"/>
      <c r="R2379" s="45"/>
      <c r="S2379" s="45"/>
      <c r="T2379" s="45"/>
      <c r="U2379" s="45"/>
    </row>
    <row r="2380">
      <c r="A2380" s="79" t="s">
        <v>19947</v>
      </c>
      <c r="B2380" s="45"/>
      <c r="C2380" s="79" t="s">
        <v>19948</v>
      </c>
      <c r="D2380" s="45"/>
      <c r="E2380" s="79" t="s">
        <v>7248</v>
      </c>
      <c r="F2380" s="79" t="s">
        <v>5836</v>
      </c>
      <c r="G2380" s="80" t="s">
        <v>96</v>
      </c>
      <c r="H2380" s="90">
        <v>1.166E-4</v>
      </c>
      <c r="I2380" s="45"/>
      <c r="J2380" s="45"/>
      <c r="K2380" s="45"/>
      <c r="L2380" s="45"/>
      <c r="M2380" s="45"/>
      <c r="N2380" s="45"/>
      <c r="O2380" s="45"/>
      <c r="P2380" s="45"/>
      <c r="Q2380" s="45"/>
      <c r="R2380" s="45"/>
      <c r="S2380" s="45"/>
      <c r="T2380" s="45"/>
      <c r="U2380" s="45"/>
    </row>
    <row r="2381">
      <c r="A2381" s="79" t="s">
        <v>19949</v>
      </c>
      <c r="B2381" s="45"/>
      <c r="C2381" s="79" t="s">
        <v>19950</v>
      </c>
      <c r="D2381" s="45"/>
      <c r="E2381" s="79" t="s">
        <v>5267</v>
      </c>
      <c r="F2381" s="79" t="s">
        <v>5300</v>
      </c>
      <c r="G2381" s="80" t="s">
        <v>96</v>
      </c>
      <c r="H2381" s="90">
        <v>1.162E-4</v>
      </c>
      <c r="I2381" s="45"/>
      <c r="J2381" s="45"/>
      <c r="K2381" s="45"/>
      <c r="L2381" s="45"/>
      <c r="M2381" s="45"/>
      <c r="N2381" s="45"/>
      <c r="O2381" s="45"/>
      <c r="P2381" s="45"/>
      <c r="Q2381" s="45"/>
      <c r="R2381" s="45"/>
      <c r="S2381" s="45"/>
      <c r="T2381" s="45"/>
      <c r="U2381" s="45"/>
    </row>
    <row r="2382">
      <c r="A2382" s="79" t="s">
        <v>19951</v>
      </c>
      <c r="B2382" s="45"/>
      <c r="C2382" s="79" t="s">
        <v>19952</v>
      </c>
      <c r="D2382" s="45"/>
      <c r="E2382" s="79" t="s">
        <v>5276</v>
      </c>
      <c r="F2382" s="79" t="s">
        <v>4095</v>
      </c>
      <c r="G2382" s="80" t="s">
        <v>96</v>
      </c>
      <c r="H2382" s="90">
        <v>1.162E-4</v>
      </c>
      <c r="I2382" s="45"/>
      <c r="J2382" s="45"/>
      <c r="K2382" s="45"/>
      <c r="L2382" s="45"/>
      <c r="M2382" s="45"/>
      <c r="N2382" s="45"/>
      <c r="O2382" s="45"/>
      <c r="P2382" s="45"/>
      <c r="Q2382" s="45"/>
      <c r="R2382" s="45"/>
      <c r="S2382" s="45"/>
      <c r="T2382" s="45"/>
      <c r="U2382" s="45"/>
    </row>
    <row r="2383">
      <c r="A2383" s="79" t="s">
        <v>19953</v>
      </c>
      <c r="B2383" s="45"/>
      <c r="C2383" s="79" t="s">
        <v>19954</v>
      </c>
      <c r="D2383" s="45"/>
      <c r="E2383" s="79" t="s">
        <v>5283</v>
      </c>
      <c r="F2383" s="79" t="s">
        <v>5300</v>
      </c>
      <c r="G2383" s="80" t="s">
        <v>96</v>
      </c>
      <c r="H2383" s="90">
        <v>1.162E-4</v>
      </c>
      <c r="I2383" s="45"/>
      <c r="J2383" s="45"/>
      <c r="K2383" s="45"/>
      <c r="L2383" s="45"/>
      <c r="M2383" s="45"/>
      <c r="N2383" s="45"/>
      <c r="O2383" s="45"/>
      <c r="P2383" s="45"/>
      <c r="Q2383" s="45"/>
      <c r="R2383" s="45"/>
      <c r="S2383" s="45"/>
      <c r="T2383" s="45"/>
      <c r="U2383" s="45"/>
    </row>
    <row r="2384">
      <c r="A2384" s="79" t="s">
        <v>19955</v>
      </c>
      <c r="B2384" s="45"/>
      <c r="C2384" s="79" t="s">
        <v>19956</v>
      </c>
      <c r="D2384" s="45"/>
      <c r="E2384" s="79" t="s">
        <v>5283</v>
      </c>
      <c r="F2384" s="79" t="s">
        <v>5300</v>
      </c>
      <c r="G2384" s="80" t="s">
        <v>96</v>
      </c>
      <c r="H2384" s="90">
        <v>1.162E-4</v>
      </c>
      <c r="I2384" s="45"/>
      <c r="J2384" s="45"/>
      <c r="K2384" s="45"/>
      <c r="L2384" s="45"/>
      <c r="M2384" s="45"/>
      <c r="N2384" s="45"/>
      <c r="O2384" s="45"/>
      <c r="P2384" s="45"/>
      <c r="Q2384" s="45"/>
      <c r="R2384" s="45"/>
      <c r="S2384" s="45"/>
      <c r="T2384" s="45"/>
      <c r="U2384" s="45"/>
    </row>
    <row r="2385">
      <c r="A2385" s="79" t="s">
        <v>10972</v>
      </c>
      <c r="B2385" s="45"/>
      <c r="C2385" s="79" t="s">
        <v>10973</v>
      </c>
      <c r="D2385" s="45"/>
      <c r="E2385" s="79" t="s">
        <v>5326</v>
      </c>
      <c r="F2385" s="79" t="s">
        <v>8784</v>
      </c>
      <c r="G2385" s="80" t="s">
        <v>96</v>
      </c>
      <c r="H2385" s="90">
        <v>1.16E-4</v>
      </c>
      <c r="I2385" s="45"/>
      <c r="J2385" s="45"/>
      <c r="K2385" s="45"/>
      <c r="L2385" s="45"/>
      <c r="M2385" s="45"/>
      <c r="N2385" s="45"/>
      <c r="O2385" s="45"/>
      <c r="P2385" s="45"/>
      <c r="Q2385" s="45"/>
      <c r="R2385" s="45"/>
      <c r="S2385" s="45"/>
      <c r="T2385" s="45"/>
      <c r="U2385" s="45"/>
    </row>
    <row r="2386">
      <c r="A2386" s="79" t="s">
        <v>19957</v>
      </c>
      <c r="B2386" s="45"/>
      <c r="C2386" s="79" t="s">
        <v>19958</v>
      </c>
      <c r="D2386" s="45"/>
      <c r="E2386" s="79" t="s">
        <v>5241</v>
      </c>
      <c r="F2386" s="79" t="s">
        <v>8784</v>
      </c>
      <c r="G2386" s="80" t="s">
        <v>96</v>
      </c>
      <c r="H2386" s="90">
        <v>1.16E-4</v>
      </c>
      <c r="I2386" s="45"/>
      <c r="J2386" s="45"/>
      <c r="K2386" s="45"/>
      <c r="L2386" s="45"/>
      <c r="M2386" s="45"/>
      <c r="N2386" s="45"/>
      <c r="O2386" s="45"/>
      <c r="P2386" s="45"/>
      <c r="Q2386" s="45"/>
      <c r="R2386" s="45"/>
      <c r="S2386" s="45"/>
      <c r="T2386" s="45"/>
      <c r="U2386" s="45"/>
    </row>
    <row r="2387">
      <c r="A2387" s="79" t="s">
        <v>19959</v>
      </c>
      <c r="B2387" s="45"/>
      <c r="C2387" s="79" t="s">
        <v>19960</v>
      </c>
      <c r="D2387" s="45"/>
      <c r="E2387" s="79" t="s">
        <v>5261</v>
      </c>
      <c r="F2387" s="79" t="s">
        <v>5300</v>
      </c>
      <c r="G2387" s="80" t="s">
        <v>96</v>
      </c>
      <c r="H2387" s="90">
        <v>1.16E-4</v>
      </c>
      <c r="I2387" s="45"/>
      <c r="J2387" s="45"/>
      <c r="K2387" s="45"/>
      <c r="L2387" s="45"/>
      <c r="M2387" s="45"/>
      <c r="N2387" s="45"/>
      <c r="O2387" s="45"/>
      <c r="P2387" s="45"/>
      <c r="Q2387" s="45"/>
      <c r="R2387" s="45"/>
      <c r="S2387" s="45"/>
      <c r="T2387" s="45"/>
      <c r="U2387" s="45"/>
    </row>
    <row r="2388">
      <c r="A2388" s="79" t="s">
        <v>19961</v>
      </c>
      <c r="B2388" s="45"/>
      <c r="C2388" s="79" t="s">
        <v>19962</v>
      </c>
      <c r="D2388" s="45"/>
      <c r="E2388" s="79" t="s">
        <v>5742</v>
      </c>
      <c r="F2388" s="79" t="s">
        <v>8784</v>
      </c>
      <c r="G2388" s="80" t="s">
        <v>96</v>
      </c>
      <c r="H2388" s="90">
        <v>1.159E-4</v>
      </c>
      <c r="I2388" s="45"/>
      <c r="J2388" s="45"/>
      <c r="K2388" s="45"/>
      <c r="L2388" s="45"/>
      <c r="M2388" s="45"/>
      <c r="N2388" s="45"/>
      <c r="O2388" s="45"/>
      <c r="P2388" s="45"/>
      <c r="Q2388" s="45"/>
      <c r="R2388" s="45"/>
      <c r="S2388" s="45"/>
      <c r="T2388" s="45"/>
      <c r="U2388" s="45"/>
    </row>
    <row r="2389">
      <c r="A2389" s="79" t="s">
        <v>11189</v>
      </c>
      <c r="B2389" s="45"/>
      <c r="C2389" s="79" t="s">
        <v>11190</v>
      </c>
      <c r="D2389" s="45"/>
      <c r="E2389" s="79" t="s">
        <v>5218</v>
      </c>
      <c r="F2389" s="79" t="s">
        <v>8784</v>
      </c>
      <c r="G2389" s="80" t="s">
        <v>96</v>
      </c>
      <c r="H2389" s="90">
        <v>1.159E-4</v>
      </c>
      <c r="I2389" s="45"/>
      <c r="J2389" s="45"/>
      <c r="K2389" s="45"/>
      <c r="L2389" s="45"/>
      <c r="M2389" s="45"/>
      <c r="N2389" s="45"/>
      <c r="O2389" s="45"/>
      <c r="P2389" s="45"/>
      <c r="Q2389" s="45"/>
      <c r="R2389" s="45"/>
      <c r="S2389" s="45"/>
      <c r="T2389" s="45"/>
      <c r="U2389" s="45"/>
    </row>
    <row r="2390">
      <c r="A2390" s="79" t="s">
        <v>19963</v>
      </c>
      <c r="B2390" s="45"/>
      <c r="C2390" s="79" t="s">
        <v>19964</v>
      </c>
      <c r="D2390" s="45"/>
      <c r="E2390" s="79" t="s">
        <v>5238</v>
      </c>
      <c r="F2390" s="79" t="s">
        <v>8784</v>
      </c>
      <c r="G2390" s="80" t="s">
        <v>96</v>
      </c>
      <c r="H2390" s="90">
        <v>1.159E-4</v>
      </c>
      <c r="I2390" s="45"/>
      <c r="J2390" s="45"/>
      <c r="K2390" s="45"/>
      <c r="L2390" s="45"/>
      <c r="M2390" s="45"/>
      <c r="N2390" s="45"/>
      <c r="O2390" s="45"/>
      <c r="P2390" s="45"/>
      <c r="Q2390" s="45"/>
      <c r="R2390" s="45"/>
      <c r="S2390" s="45"/>
      <c r="T2390" s="45"/>
      <c r="U2390" s="45"/>
    </row>
    <row r="2391">
      <c r="A2391" s="79" t="s">
        <v>19965</v>
      </c>
      <c r="B2391" s="45"/>
      <c r="C2391" s="79" t="s">
        <v>19966</v>
      </c>
      <c r="D2391" s="45"/>
      <c r="E2391" s="79" t="s">
        <v>5326</v>
      </c>
      <c r="F2391" s="79" t="s">
        <v>5300</v>
      </c>
      <c r="G2391" s="80" t="s">
        <v>96</v>
      </c>
      <c r="H2391" s="90">
        <v>1.159E-4</v>
      </c>
      <c r="I2391" s="45"/>
      <c r="J2391" s="45"/>
      <c r="K2391" s="45"/>
      <c r="L2391" s="45"/>
      <c r="M2391" s="45"/>
      <c r="N2391" s="45"/>
      <c r="O2391" s="45"/>
      <c r="P2391" s="45"/>
      <c r="Q2391" s="45"/>
      <c r="R2391" s="45"/>
      <c r="S2391" s="45"/>
      <c r="T2391" s="45"/>
      <c r="U2391" s="45"/>
    </row>
    <row r="2392">
      <c r="A2392" s="79" t="s">
        <v>19967</v>
      </c>
      <c r="B2392" s="45"/>
      <c r="C2392" s="79" t="s">
        <v>19968</v>
      </c>
      <c r="D2392" s="45"/>
      <c r="E2392" s="79" t="s">
        <v>5478</v>
      </c>
      <c r="F2392" s="79" t="s">
        <v>8759</v>
      </c>
      <c r="G2392" s="80" t="s">
        <v>96</v>
      </c>
      <c r="H2392" s="90">
        <v>1.156E-4</v>
      </c>
      <c r="I2392" s="45"/>
      <c r="J2392" s="45"/>
      <c r="K2392" s="45"/>
      <c r="L2392" s="45"/>
      <c r="M2392" s="45"/>
      <c r="N2392" s="45"/>
      <c r="O2392" s="45"/>
      <c r="P2392" s="45"/>
      <c r="Q2392" s="45"/>
      <c r="R2392" s="45"/>
      <c r="S2392" s="45"/>
      <c r="T2392" s="45"/>
      <c r="U2392" s="45"/>
    </row>
    <row r="2393">
      <c r="A2393" s="79" t="s">
        <v>11165</v>
      </c>
      <c r="B2393" s="45"/>
      <c r="C2393" s="79" t="s">
        <v>11166</v>
      </c>
      <c r="D2393" s="45"/>
      <c r="E2393" s="79" t="s">
        <v>5291</v>
      </c>
      <c r="F2393" s="79" t="s">
        <v>5277</v>
      </c>
      <c r="G2393" s="80" t="s">
        <v>96</v>
      </c>
      <c r="H2393" s="90">
        <v>1.156E-4</v>
      </c>
      <c r="I2393" s="45"/>
      <c r="J2393" s="45"/>
      <c r="K2393" s="45"/>
      <c r="L2393" s="45"/>
      <c r="M2393" s="45"/>
      <c r="N2393" s="45"/>
      <c r="O2393" s="45"/>
      <c r="P2393" s="45"/>
      <c r="Q2393" s="45"/>
      <c r="R2393" s="45"/>
      <c r="S2393" s="45"/>
      <c r="T2393" s="45"/>
      <c r="U2393" s="45"/>
    </row>
    <row r="2394">
      <c r="A2394" s="79" t="s">
        <v>19969</v>
      </c>
      <c r="B2394" s="45"/>
      <c r="C2394" s="79" t="s">
        <v>19970</v>
      </c>
      <c r="D2394" s="45"/>
      <c r="E2394" s="79" t="s">
        <v>5478</v>
      </c>
      <c r="F2394" s="79" t="s">
        <v>9021</v>
      </c>
      <c r="G2394" s="80" t="s">
        <v>96</v>
      </c>
      <c r="H2394" s="90">
        <v>1.155E-4</v>
      </c>
      <c r="I2394" s="45"/>
      <c r="J2394" s="45"/>
      <c r="K2394" s="45"/>
      <c r="L2394" s="45"/>
      <c r="M2394" s="45"/>
      <c r="N2394" s="45"/>
      <c r="O2394" s="45"/>
      <c r="P2394" s="45"/>
      <c r="Q2394" s="45"/>
      <c r="R2394" s="45"/>
      <c r="S2394" s="45"/>
      <c r="T2394" s="45"/>
      <c r="U2394" s="45"/>
    </row>
    <row r="2395">
      <c r="A2395" s="79" t="s">
        <v>19971</v>
      </c>
      <c r="B2395" s="45"/>
      <c r="C2395" s="79" t="s">
        <v>19972</v>
      </c>
      <c r="D2395" s="45"/>
      <c r="E2395" s="79" t="s">
        <v>5215</v>
      </c>
      <c r="F2395" s="79" t="s">
        <v>8784</v>
      </c>
      <c r="G2395" s="80" t="s">
        <v>96</v>
      </c>
      <c r="H2395" s="90">
        <v>1.154E-4</v>
      </c>
      <c r="I2395" s="45"/>
      <c r="J2395" s="45"/>
      <c r="K2395" s="45"/>
      <c r="L2395" s="45"/>
      <c r="M2395" s="45"/>
      <c r="N2395" s="45"/>
      <c r="O2395" s="45"/>
      <c r="P2395" s="45"/>
      <c r="Q2395" s="45"/>
      <c r="R2395" s="45"/>
      <c r="S2395" s="45"/>
      <c r="T2395" s="45"/>
      <c r="U2395" s="45"/>
    </row>
    <row r="2396">
      <c r="A2396" s="79" t="s">
        <v>19973</v>
      </c>
      <c r="B2396" s="45"/>
      <c r="C2396" s="79" t="s">
        <v>19974</v>
      </c>
      <c r="D2396" s="45"/>
      <c r="E2396" s="79" t="s">
        <v>5235</v>
      </c>
      <c r="F2396" s="79" t="s">
        <v>6220</v>
      </c>
      <c r="G2396" s="80" t="s">
        <v>96</v>
      </c>
      <c r="H2396" s="90">
        <v>1.153E-4</v>
      </c>
      <c r="I2396" s="45"/>
      <c r="J2396" s="45"/>
      <c r="K2396" s="45"/>
      <c r="L2396" s="45"/>
      <c r="M2396" s="45"/>
      <c r="N2396" s="45"/>
      <c r="O2396" s="45"/>
      <c r="P2396" s="45"/>
      <c r="Q2396" s="45"/>
      <c r="R2396" s="45"/>
      <c r="S2396" s="45"/>
      <c r="T2396" s="45"/>
      <c r="U2396" s="45"/>
    </row>
    <row r="2397">
      <c r="A2397" s="79" t="s">
        <v>18215</v>
      </c>
      <c r="B2397" s="45"/>
      <c r="C2397" s="79" t="s">
        <v>19975</v>
      </c>
      <c r="D2397" s="45"/>
      <c r="E2397" s="79" t="s">
        <v>5374</v>
      </c>
      <c r="F2397" s="79" t="s">
        <v>4357</v>
      </c>
      <c r="G2397" s="80" t="s">
        <v>96</v>
      </c>
      <c r="H2397" s="90">
        <v>1.152E-4</v>
      </c>
      <c r="I2397" s="45"/>
      <c r="J2397" s="45"/>
      <c r="K2397" s="45"/>
      <c r="L2397" s="45"/>
      <c r="M2397" s="45"/>
      <c r="N2397" s="45"/>
      <c r="O2397" s="45"/>
      <c r="P2397" s="45"/>
      <c r="Q2397" s="45"/>
      <c r="R2397" s="45"/>
      <c r="S2397" s="45"/>
      <c r="T2397" s="45"/>
      <c r="U2397" s="45"/>
    </row>
    <row r="2398">
      <c r="A2398" s="79" t="s">
        <v>19976</v>
      </c>
      <c r="B2398" s="45"/>
      <c r="C2398" s="79" t="s">
        <v>19977</v>
      </c>
      <c r="D2398" s="45"/>
      <c r="E2398" s="79" t="s">
        <v>5291</v>
      </c>
      <c r="F2398" s="79" t="s">
        <v>5941</v>
      </c>
      <c r="G2398" s="80" t="s">
        <v>96</v>
      </c>
      <c r="H2398" s="90">
        <v>1.152E-4</v>
      </c>
      <c r="I2398" s="45"/>
      <c r="J2398" s="45"/>
      <c r="K2398" s="45"/>
      <c r="L2398" s="45"/>
      <c r="M2398" s="45"/>
      <c r="N2398" s="45"/>
      <c r="O2398" s="45"/>
      <c r="P2398" s="45"/>
      <c r="Q2398" s="45"/>
      <c r="R2398" s="45"/>
      <c r="S2398" s="45"/>
      <c r="T2398" s="45"/>
      <c r="U2398" s="45"/>
    </row>
    <row r="2399">
      <c r="A2399" s="79" t="s">
        <v>19978</v>
      </c>
      <c r="B2399" s="45"/>
      <c r="C2399" s="79" t="s">
        <v>19979</v>
      </c>
      <c r="D2399" s="45"/>
      <c r="E2399" s="79" t="s">
        <v>5756</v>
      </c>
      <c r="F2399" s="79" t="s">
        <v>5425</v>
      </c>
      <c r="G2399" s="80" t="s">
        <v>96</v>
      </c>
      <c r="H2399" s="90">
        <v>1.152E-4</v>
      </c>
      <c r="I2399" s="45"/>
      <c r="J2399" s="45"/>
      <c r="K2399" s="45"/>
      <c r="L2399" s="45"/>
      <c r="M2399" s="45"/>
      <c r="N2399" s="45"/>
      <c r="O2399" s="45"/>
      <c r="P2399" s="45"/>
      <c r="Q2399" s="45"/>
      <c r="R2399" s="45"/>
      <c r="S2399" s="45"/>
      <c r="T2399" s="45"/>
      <c r="U2399" s="45"/>
    </row>
    <row r="2400">
      <c r="A2400" s="79" t="s">
        <v>19980</v>
      </c>
      <c r="B2400" s="45"/>
      <c r="C2400" s="79" t="s">
        <v>19981</v>
      </c>
      <c r="D2400" s="45"/>
      <c r="E2400" s="79" t="s">
        <v>5215</v>
      </c>
      <c r="F2400" s="79" t="s">
        <v>9299</v>
      </c>
      <c r="G2400" s="80" t="s">
        <v>96</v>
      </c>
      <c r="H2400" s="90">
        <v>1.15E-4</v>
      </c>
      <c r="I2400" s="45"/>
      <c r="J2400" s="45"/>
      <c r="K2400" s="45"/>
      <c r="L2400" s="45"/>
      <c r="M2400" s="45"/>
      <c r="N2400" s="45"/>
      <c r="O2400" s="45"/>
      <c r="P2400" s="45"/>
      <c r="Q2400" s="45"/>
      <c r="R2400" s="45"/>
      <c r="S2400" s="45"/>
      <c r="T2400" s="45"/>
      <c r="U2400" s="45"/>
    </row>
    <row r="2401">
      <c r="A2401" s="79" t="s">
        <v>19982</v>
      </c>
      <c r="B2401" s="45"/>
      <c r="C2401" s="79" t="s">
        <v>19983</v>
      </c>
      <c r="D2401" s="45"/>
      <c r="E2401" s="79" t="s">
        <v>5516</v>
      </c>
      <c r="F2401" s="79" t="s">
        <v>5300</v>
      </c>
      <c r="G2401" s="80" t="s">
        <v>96</v>
      </c>
      <c r="H2401" s="90">
        <v>1.149E-4</v>
      </c>
      <c r="I2401" s="45"/>
      <c r="J2401" s="45"/>
      <c r="K2401" s="45"/>
      <c r="L2401" s="45"/>
      <c r="M2401" s="45"/>
      <c r="N2401" s="45"/>
      <c r="O2401" s="45"/>
      <c r="P2401" s="45"/>
      <c r="Q2401" s="45"/>
      <c r="R2401" s="45"/>
      <c r="S2401" s="45"/>
      <c r="T2401" s="45"/>
      <c r="U2401" s="45"/>
    </row>
    <row r="2402">
      <c r="A2402" s="79" t="s">
        <v>19984</v>
      </c>
      <c r="B2402" s="45"/>
      <c r="C2402" s="79" t="s">
        <v>19985</v>
      </c>
      <c r="D2402" s="45"/>
      <c r="E2402" s="79" t="s">
        <v>5249</v>
      </c>
      <c r="F2402" s="79" t="s">
        <v>5300</v>
      </c>
      <c r="G2402" s="80" t="s">
        <v>96</v>
      </c>
      <c r="H2402" s="90">
        <v>1.147E-4</v>
      </c>
      <c r="I2402" s="45"/>
      <c r="J2402" s="45"/>
      <c r="K2402" s="45"/>
      <c r="L2402" s="45"/>
      <c r="M2402" s="45"/>
      <c r="N2402" s="45"/>
      <c r="O2402" s="45"/>
      <c r="P2402" s="45"/>
      <c r="Q2402" s="45"/>
      <c r="R2402" s="45"/>
      <c r="S2402" s="45"/>
      <c r="T2402" s="45"/>
      <c r="U2402" s="45"/>
    </row>
    <row r="2403">
      <c r="A2403" s="79" t="s">
        <v>19986</v>
      </c>
      <c r="B2403" s="45"/>
      <c r="C2403" s="79" t="s">
        <v>19987</v>
      </c>
      <c r="D2403" s="45"/>
      <c r="E2403" s="79" t="s">
        <v>5283</v>
      </c>
      <c r="F2403" s="79" t="s">
        <v>9021</v>
      </c>
      <c r="G2403" s="80" t="s">
        <v>96</v>
      </c>
      <c r="H2403" s="90">
        <v>1.146E-4</v>
      </c>
      <c r="I2403" s="45"/>
      <c r="J2403" s="45"/>
      <c r="K2403" s="45"/>
      <c r="L2403" s="45"/>
      <c r="M2403" s="45"/>
      <c r="N2403" s="45"/>
      <c r="O2403" s="45"/>
      <c r="P2403" s="45"/>
      <c r="Q2403" s="45"/>
      <c r="R2403" s="45"/>
      <c r="S2403" s="45"/>
      <c r="T2403" s="45"/>
      <c r="U2403" s="45"/>
    </row>
    <row r="2404">
      <c r="A2404" s="79" t="s">
        <v>17024</v>
      </c>
      <c r="B2404" s="45"/>
      <c r="C2404" s="79" t="s">
        <v>19988</v>
      </c>
      <c r="D2404" s="45"/>
      <c r="E2404" s="79" t="s">
        <v>5456</v>
      </c>
      <c r="F2404" s="79" t="s">
        <v>9617</v>
      </c>
      <c r="G2404" s="80" t="s">
        <v>96</v>
      </c>
      <c r="H2404" s="90">
        <v>1.146E-4</v>
      </c>
      <c r="I2404" s="45"/>
      <c r="J2404" s="45"/>
      <c r="K2404" s="45"/>
      <c r="L2404" s="45"/>
      <c r="M2404" s="45"/>
      <c r="N2404" s="45"/>
      <c r="O2404" s="45"/>
      <c r="P2404" s="45"/>
      <c r="Q2404" s="45"/>
      <c r="R2404" s="45"/>
      <c r="S2404" s="45"/>
      <c r="T2404" s="45"/>
      <c r="U2404" s="45"/>
    </row>
    <row r="2405">
      <c r="A2405" s="79" t="s">
        <v>19989</v>
      </c>
      <c r="B2405" s="45"/>
      <c r="C2405" s="79" t="s">
        <v>19990</v>
      </c>
      <c r="D2405" s="45"/>
      <c r="E2405" s="79" t="s">
        <v>5321</v>
      </c>
      <c r="F2405" s="79" t="s">
        <v>5300</v>
      </c>
      <c r="G2405" s="80" t="s">
        <v>96</v>
      </c>
      <c r="H2405" s="90">
        <v>1.145E-4</v>
      </c>
      <c r="I2405" s="45"/>
      <c r="J2405" s="45"/>
      <c r="K2405" s="45"/>
      <c r="L2405" s="45"/>
      <c r="M2405" s="45"/>
      <c r="N2405" s="45"/>
      <c r="O2405" s="45"/>
      <c r="P2405" s="45"/>
      <c r="Q2405" s="45"/>
      <c r="R2405" s="45"/>
      <c r="S2405" s="45"/>
      <c r="T2405" s="45"/>
      <c r="U2405" s="45"/>
    </row>
    <row r="2406">
      <c r="A2406" s="79" t="s">
        <v>19991</v>
      </c>
      <c r="B2406" s="45"/>
      <c r="C2406" s="79" t="s">
        <v>19992</v>
      </c>
      <c r="D2406" s="45"/>
      <c r="E2406" s="79" t="s">
        <v>5253</v>
      </c>
      <c r="F2406" s="79" t="s">
        <v>6220</v>
      </c>
      <c r="G2406" s="80" t="s">
        <v>96</v>
      </c>
      <c r="H2406" s="90">
        <v>1.145E-4</v>
      </c>
      <c r="I2406" s="45"/>
      <c r="J2406" s="45"/>
      <c r="K2406" s="45"/>
      <c r="L2406" s="45"/>
      <c r="M2406" s="45"/>
      <c r="N2406" s="45"/>
      <c r="O2406" s="45"/>
      <c r="P2406" s="45"/>
      <c r="Q2406" s="45"/>
      <c r="R2406" s="45"/>
      <c r="S2406" s="45"/>
      <c r="T2406" s="45"/>
      <c r="U2406" s="45"/>
    </row>
    <row r="2407">
      <c r="A2407" s="79" t="s">
        <v>19993</v>
      </c>
      <c r="B2407" s="45"/>
      <c r="C2407" s="79" t="s">
        <v>19994</v>
      </c>
      <c r="D2407" s="45"/>
      <c r="E2407" s="79" t="s">
        <v>5215</v>
      </c>
      <c r="F2407" s="79" t="s">
        <v>8784</v>
      </c>
      <c r="G2407" s="80" t="s">
        <v>96</v>
      </c>
      <c r="H2407" s="90">
        <v>1.144E-4</v>
      </c>
      <c r="I2407" s="45"/>
      <c r="J2407" s="45"/>
      <c r="K2407" s="45"/>
      <c r="L2407" s="45"/>
      <c r="M2407" s="45"/>
      <c r="N2407" s="45"/>
      <c r="O2407" s="45"/>
      <c r="P2407" s="45"/>
      <c r="Q2407" s="45"/>
      <c r="R2407" s="45"/>
      <c r="S2407" s="45"/>
      <c r="T2407" s="45"/>
      <c r="U2407" s="45"/>
    </row>
    <row r="2408">
      <c r="A2408" s="79" t="s">
        <v>19995</v>
      </c>
      <c r="B2408" s="45"/>
      <c r="C2408" s="79" t="s">
        <v>19996</v>
      </c>
      <c r="D2408" s="45"/>
      <c r="E2408" s="79" t="s">
        <v>5478</v>
      </c>
      <c r="F2408" s="79" t="s">
        <v>6988</v>
      </c>
      <c r="G2408" s="80" t="s">
        <v>96</v>
      </c>
      <c r="H2408" s="90">
        <v>1.144E-4</v>
      </c>
      <c r="I2408" s="45"/>
      <c r="J2408" s="45"/>
      <c r="K2408" s="45"/>
      <c r="L2408" s="45"/>
      <c r="M2408" s="45"/>
      <c r="N2408" s="45"/>
      <c r="O2408" s="45"/>
      <c r="P2408" s="45"/>
      <c r="Q2408" s="45"/>
      <c r="R2408" s="45"/>
      <c r="S2408" s="45"/>
      <c r="T2408" s="45"/>
      <c r="U2408" s="45"/>
    </row>
    <row r="2409">
      <c r="A2409" s="79" t="s">
        <v>19997</v>
      </c>
      <c r="B2409" s="45"/>
      <c r="C2409" s="79" t="s">
        <v>19998</v>
      </c>
      <c r="D2409" s="45"/>
      <c r="E2409" s="79" t="s">
        <v>9553</v>
      </c>
      <c r="F2409" s="79" t="s">
        <v>5941</v>
      </c>
      <c r="G2409" s="80" t="s">
        <v>96</v>
      </c>
      <c r="H2409" s="90">
        <v>1.143E-4</v>
      </c>
      <c r="I2409" s="45"/>
      <c r="J2409" s="45"/>
      <c r="K2409" s="45"/>
      <c r="L2409" s="45"/>
      <c r="M2409" s="45"/>
      <c r="N2409" s="45"/>
      <c r="O2409" s="45"/>
      <c r="P2409" s="45"/>
      <c r="Q2409" s="45"/>
      <c r="R2409" s="45"/>
      <c r="S2409" s="45"/>
      <c r="T2409" s="45"/>
      <c r="U2409" s="45"/>
    </row>
    <row r="2410">
      <c r="A2410" s="79" t="s">
        <v>19999</v>
      </c>
      <c r="B2410" s="45"/>
      <c r="C2410" s="79" t="s">
        <v>20000</v>
      </c>
      <c r="D2410" s="45"/>
      <c r="E2410" s="79" t="s">
        <v>5341</v>
      </c>
      <c r="F2410" s="79" t="s">
        <v>5300</v>
      </c>
      <c r="G2410" s="80" t="s">
        <v>96</v>
      </c>
      <c r="H2410" s="90">
        <v>1.142E-4</v>
      </c>
      <c r="I2410" s="45"/>
      <c r="J2410" s="45"/>
      <c r="K2410" s="45"/>
      <c r="L2410" s="45"/>
      <c r="M2410" s="45"/>
      <c r="N2410" s="45"/>
      <c r="O2410" s="45"/>
      <c r="P2410" s="45"/>
      <c r="Q2410" s="45"/>
      <c r="R2410" s="45"/>
      <c r="S2410" s="45"/>
      <c r="T2410" s="45"/>
      <c r="U2410" s="45"/>
    </row>
    <row r="2411">
      <c r="A2411" s="79" t="s">
        <v>20001</v>
      </c>
      <c r="B2411" s="45"/>
      <c r="C2411" s="79" t="s">
        <v>20002</v>
      </c>
      <c r="D2411" s="45"/>
      <c r="E2411" s="79" t="s">
        <v>5235</v>
      </c>
      <c r="F2411" s="79" t="s">
        <v>9908</v>
      </c>
      <c r="G2411" s="80" t="s">
        <v>96</v>
      </c>
      <c r="H2411" s="90">
        <v>1.141E-4</v>
      </c>
      <c r="I2411" s="45"/>
      <c r="J2411" s="45"/>
      <c r="K2411" s="45"/>
      <c r="L2411" s="45"/>
      <c r="M2411" s="45"/>
      <c r="N2411" s="45"/>
      <c r="O2411" s="45"/>
      <c r="P2411" s="45"/>
      <c r="Q2411" s="45"/>
      <c r="R2411" s="45"/>
      <c r="S2411" s="45"/>
      <c r="T2411" s="45"/>
      <c r="U2411" s="45"/>
    </row>
    <row r="2412">
      <c r="A2412" s="79" t="s">
        <v>20003</v>
      </c>
      <c r="B2412" s="45"/>
      <c r="C2412" s="79" t="s">
        <v>20004</v>
      </c>
      <c r="D2412" s="45"/>
      <c r="E2412" s="79" t="s">
        <v>5276</v>
      </c>
      <c r="F2412" s="79" t="s">
        <v>5300</v>
      </c>
      <c r="G2412" s="80" t="s">
        <v>96</v>
      </c>
      <c r="H2412" s="90">
        <v>1.141E-4</v>
      </c>
      <c r="I2412" s="45"/>
      <c r="J2412" s="45"/>
      <c r="K2412" s="45"/>
      <c r="L2412" s="45"/>
      <c r="M2412" s="45"/>
      <c r="N2412" s="45"/>
      <c r="O2412" s="45"/>
      <c r="P2412" s="45"/>
      <c r="Q2412" s="45"/>
      <c r="R2412" s="45"/>
      <c r="S2412" s="45"/>
      <c r="T2412" s="45"/>
      <c r="U2412" s="45"/>
    </row>
    <row r="2413">
      <c r="A2413" s="79" t="s">
        <v>20005</v>
      </c>
      <c r="B2413" s="45"/>
      <c r="C2413" s="79" t="s">
        <v>20006</v>
      </c>
      <c r="D2413" s="45"/>
      <c r="E2413" s="79" t="s">
        <v>5478</v>
      </c>
      <c r="F2413" s="79" t="s">
        <v>8759</v>
      </c>
      <c r="G2413" s="80" t="s">
        <v>96</v>
      </c>
      <c r="H2413" s="90">
        <v>1.139E-4</v>
      </c>
      <c r="I2413" s="45"/>
      <c r="J2413" s="45"/>
      <c r="K2413" s="45"/>
      <c r="L2413" s="45"/>
      <c r="M2413" s="45"/>
      <c r="N2413" s="45"/>
      <c r="O2413" s="45"/>
      <c r="P2413" s="45"/>
      <c r="Q2413" s="45"/>
      <c r="R2413" s="45"/>
      <c r="S2413" s="45"/>
      <c r="T2413" s="45"/>
      <c r="U2413" s="45"/>
    </row>
    <row r="2414">
      <c r="A2414" s="79" t="s">
        <v>4244</v>
      </c>
      <c r="B2414" s="45"/>
      <c r="C2414" s="79" t="s">
        <v>20007</v>
      </c>
      <c r="D2414" s="45"/>
      <c r="E2414" s="79" t="s">
        <v>5775</v>
      </c>
      <c r="F2414" s="79" t="s">
        <v>5836</v>
      </c>
      <c r="G2414" s="80" t="s">
        <v>96</v>
      </c>
      <c r="H2414" s="90">
        <v>1.138E-4</v>
      </c>
      <c r="I2414" s="45"/>
      <c r="J2414" s="45"/>
      <c r="K2414" s="45"/>
      <c r="L2414" s="45"/>
      <c r="M2414" s="45"/>
      <c r="N2414" s="45"/>
      <c r="O2414" s="45"/>
      <c r="P2414" s="45"/>
      <c r="Q2414" s="45"/>
      <c r="R2414" s="45"/>
      <c r="S2414" s="45"/>
      <c r="T2414" s="45"/>
      <c r="U2414" s="45"/>
    </row>
    <row r="2415">
      <c r="A2415" s="79" t="s">
        <v>5667</v>
      </c>
      <c r="B2415" s="45"/>
      <c r="C2415" s="79" t="s">
        <v>20008</v>
      </c>
      <c r="D2415" s="45"/>
      <c r="E2415" s="79" t="s">
        <v>6266</v>
      </c>
      <c r="F2415" s="79" t="s">
        <v>5268</v>
      </c>
      <c r="G2415" s="80" t="s">
        <v>96</v>
      </c>
      <c r="H2415" s="90">
        <v>1.136E-4</v>
      </c>
      <c r="I2415" s="45"/>
      <c r="J2415" s="45"/>
      <c r="K2415" s="45"/>
      <c r="L2415" s="45"/>
      <c r="M2415" s="45"/>
      <c r="N2415" s="45"/>
      <c r="O2415" s="45"/>
      <c r="P2415" s="45"/>
      <c r="Q2415" s="45"/>
      <c r="R2415" s="45"/>
      <c r="S2415" s="45"/>
      <c r="T2415" s="45"/>
      <c r="U2415" s="45"/>
    </row>
    <row r="2416">
      <c r="A2416" s="79" t="s">
        <v>20009</v>
      </c>
      <c r="B2416" s="45"/>
      <c r="C2416" s="79" t="s">
        <v>20010</v>
      </c>
      <c r="D2416" s="45"/>
      <c r="E2416" s="79" t="s">
        <v>7248</v>
      </c>
      <c r="F2416" s="79" t="s">
        <v>4436</v>
      </c>
      <c r="G2416" s="80" t="s">
        <v>96</v>
      </c>
      <c r="H2416" s="90">
        <v>1.135E-4</v>
      </c>
      <c r="I2416" s="45"/>
      <c r="J2416" s="45"/>
      <c r="K2416" s="45"/>
      <c r="L2416" s="45"/>
      <c r="M2416" s="45"/>
      <c r="N2416" s="45"/>
      <c r="O2416" s="45"/>
      <c r="P2416" s="45"/>
      <c r="Q2416" s="45"/>
      <c r="R2416" s="45"/>
      <c r="S2416" s="45"/>
      <c r="T2416" s="45"/>
      <c r="U2416" s="45"/>
    </row>
    <row r="2417">
      <c r="A2417" s="79" t="s">
        <v>20011</v>
      </c>
      <c r="B2417" s="45"/>
      <c r="C2417" s="79" t="s">
        <v>20012</v>
      </c>
      <c r="D2417" s="45"/>
      <c r="E2417" s="79" t="s">
        <v>5459</v>
      </c>
      <c r="F2417" s="79" t="s">
        <v>5747</v>
      </c>
      <c r="G2417" s="80" t="s">
        <v>96</v>
      </c>
      <c r="H2417" s="90">
        <v>1.135E-4</v>
      </c>
      <c r="I2417" s="45"/>
      <c r="J2417" s="45"/>
      <c r="K2417" s="45"/>
      <c r="L2417" s="45"/>
      <c r="M2417" s="45"/>
      <c r="N2417" s="45"/>
      <c r="O2417" s="45"/>
      <c r="P2417" s="45"/>
      <c r="Q2417" s="45"/>
      <c r="R2417" s="45"/>
      <c r="S2417" s="45"/>
      <c r="T2417" s="45"/>
      <c r="U2417" s="45"/>
    </row>
    <row r="2418">
      <c r="A2418" s="79" t="s">
        <v>20013</v>
      </c>
      <c r="B2418" s="45"/>
      <c r="C2418" s="79" t="s">
        <v>20014</v>
      </c>
      <c r="D2418" s="45"/>
      <c r="E2418" s="79" t="s">
        <v>5422</v>
      </c>
      <c r="F2418" s="79" t="s">
        <v>5300</v>
      </c>
      <c r="G2418" s="80" t="s">
        <v>96</v>
      </c>
      <c r="H2418" s="90">
        <v>1.134E-4</v>
      </c>
      <c r="I2418" s="45"/>
      <c r="J2418" s="45"/>
      <c r="K2418" s="45"/>
      <c r="L2418" s="45"/>
      <c r="M2418" s="45"/>
      <c r="N2418" s="45"/>
      <c r="O2418" s="45"/>
      <c r="P2418" s="45"/>
      <c r="Q2418" s="45"/>
      <c r="R2418" s="45"/>
      <c r="S2418" s="45"/>
      <c r="T2418" s="45"/>
      <c r="U2418" s="45"/>
    </row>
    <row r="2419">
      <c r="A2419" s="79" t="s">
        <v>20015</v>
      </c>
      <c r="B2419" s="45"/>
      <c r="C2419" s="79" t="s">
        <v>20016</v>
      </c>
      <c r="D2419" s="45"/>
      <c r="E2419" s="79" t="s">
        <v>5478</v>
      </c>
      <c r="F2419" s="79" t="s">
        <v>5300</v>
      </c>
      <c r="G2419" s="80" t="s">
        <v>96</v>
      </c>
      <c r="H2419" s="90">
        <v>1.133E-4</v>
      </c>
      <c r="I2419" s="45"/>
      <c r="J2419" s="45"/>
      <c r="K2419" s="45"/>
      <c r="L2419" s="45"/>
      <c r="M2419" s="45"/>
      <c r="N2419" s="45"/>
      <c r="O2419" s="45"/>
      <c r="P2419" s="45"/>
      <c r="Q2419" s="45"/>
      <c r="R2419" s="45"/>
      <c r="S2419" s="45"/>
      <c r="T2419" s="45"/>
      <c r="U2419" s="45"/>
    </row>
    <row r="2420">
      <c r="A2420" s="79" t="s">
        <v>20017</v>
      </c>
      <c r="B2420" s="45"/>
      <c r="C2420" s="79" t="s">
        <v>20018</v>
      </c>
      <c r="D2420" s="45"/>
      <c r="E2420" s="79" t="s">
        <v>5609</v>
      </c>
      <c r="F2420" s="79" t="s">
        <v>5300</v>
      </c>
      <c r="G2420" s="80" t="s">
        <v>96</v>
      </c>
      <c r="H2420" s="90">
        <v>1.132E-4</v>
      </c>
      <c r="I2420" s="45"/>
      <c r="J2420" s="45"/>
      <c r="K2420" s="45"/>
      <c r="L2420" s="45"/>
      <c r="M2420" s="45"/>
      <c r="N2420" s="45"/>
      <c r="O2420" s="45"/>
      <c r="P2420" s="45"/>
      <c r="Q2420" s="45"/>
      <c r="R2420" s="45"/>
      <c r="S2420" s="45"/>
      <c r="T2420" s="45"/>
      <c r="U2420" s="45"/>
    </row>
    <row r="2421">
      <c r="A2421" s="79" t="s">
        <v>20019</v>
      </c>
      <c r="B2421" s="45"/>
      <c r="C2421" s="79" t="s">
        <v>20020</v>
      </c>
      <c r="D2421" s="45"/>
      <c r="E2421" s="79" t="s">
        <v>6157</v>
      </c>
      <c r="F2421" s="79" t="s">
        <v>8784</v>
      </c>
      <c r="G2421" s="80" t="s">
        <v>96</v>
      </c>
      <c r="H2421" s="90">
        <v>1.132E-4</v>
      </c>
      <c r="I2421" s="45"/>
      <c r="J2421" s="45"/>
      <c r="K2421" s="45"/>
      <c r="L2421" s="45"/>
      <c r="M2421" s="45"/>
      <c r="N2421" s="45"/>
      <c r="O2421" s="45"/>
      <c r="P2421" s="45"/>
      <c r="Q2421" s="45"/>
      <c r="R2421" s="45"/>
      <c r="S2421" s="45"/>
      <c r="T2421" s="45"/>
      <c r="U2421" s="45"/>
    </row>
    <row r="2422">
      <c r="A2422" s="79" t="s">
        <v>20021</v>
      </c>
      <c r="B2422" s="45"/>
      <c r="C2422" s="79" t="s">
        <v>20022</v>
      </c>
      <c r="D2422" s="45"/>
      <c r="E2422" s="79" t="s">
        <v>5624</v>
      </c>
      <c r="F2422" s="79" t="s">
        <v>5300</v>
      </c>
      <c r="G2422" s="80" t="s">
        <v>96</v>
      </c>
      <c r="H2422" s="90">
        <v>1.131E-4</v>
      </c>
      <c r="I2422" s="45"/>
      <c r="J2422" s="45"/>
      <c r="K2422" s="45"/>
      <c r="L2422" s="45"/>
      <c r="M2422" s="45"/>
      <c r="N2422" s="45"/>
      <c r="O2422" s="45"/>
      <c r="P2422" s="45"/>
      <c r="Q2422" s="45"/>
      <c r="R2422" s="45"/>
      <c r="S2422" s="45"/>
      <c r="T2422" s="45"/>
      <c r="U2422" s="45"/>
    </row>
    <row r="2423">
      <c r="A2423" s="79" t="s">
        <v>20023</v>
      </c>
      <c r="B2423" s="45"/>
      <c r="C2423" s="79" t="s">
        <v>20024</v>
      </c>
      <c r="D2423" s="45"/>
      <c r="E2423" s="79" t="s">
        <v>5215</v>
      </c>
      <c r="F2423" s="79" t="s">
        <v>5300</v>
      </c>
      <c r="G2423" s="80" t="s">
        <v>96</v>
      </c>
      <c r="H2423" s="90">
        <v>1.13E-4</v>
      </c>
      <c r="I2423" s="45"/>
      <c r="J2423" s="45"/>
      <c r="K2423" s="45"/>
      <c r="L2423" s="45"/>
      <c r="M2423" s="45"/>
      <c r="N2423" s="45"/>
      <c r="O2423" s="45"/>
      <c r="P2423" s="45"/>
      <c r="Q2423" s="45"/>
      <c r="R2423" s="45"/>
      <c r="S2423" s="45"/>
      <c r="T2423" s="45"/>
      <c r="U2423" s="45"/>
    </row>
    <row r="2424">
      <c r="A2424" s="79" t="s">
        <v>17576</v>
      </c>
      <c r="B2424" s="45"/>
      <c r="C2424" s="79" t="s">
        <v>20025</v>
      </c>
      <c r="D2424" s="45"/>
      <c r="E2424" s="79" t="s">
        <v>7248</v>
      </c>
      <c r="F2424" s="79" t="s">
        <v>5836</v>
      </c>
      <c r="G2424" s="80" t="s">
        <v>96</v>
      </c>
      <c r="H2424" s="90">
        <v>1.13E-4</v>
      </c>
      <c r="I2424" s="45"/>
      <c r="J2424" s="45"/>
      <c r="K2424" s="45"/>
      <c r="L2424" s="45"/>
      <c r="M2424" s="45"/>
      <c r="N2424" s="45"/>
      <c r="O2424" s="45"/>
      <c r="P2424" s="45"/>
      <c r="Q2424" s="45"/>
      <c r="R2424" s="45"/>
      <c r="S2424" s="45"/>
      <c r="T2424" s="45"/>
      <c r="U2424" s="45"/>
    </row>
    <row r="2425">
      <c r="A2425" s="79" t="s">
        <v>20026</v>
      </c>
      <c r="B2425" s="45"/>
      <c r="C2425" s="79" t="s">
        <v>20027</v>
      </c>
      <c r="D2425" s="45"/>
      <c r="E2425" s="79" t="s">
        <v>5450</v>
      </c>
      <c r="F2425" s="79" t="s">
        <v>5300</v>
      </c>
      <c r="G2425" s="80" t="s">
        <v>96</v>
      </c>
      <c r="H2425" s="90">
        <v>1.129E-4</v>
      </c>
      <c r="I2425" s="45"/>
      <c r="J2425" s="45"/>
      <c r="K2425" s="45"/>
      <c r="L2425" s="45"/>
      <c r="M2425" s="45"/>
      <c r="N2425" s="45"/>
      <c r="O2425" s="45"/>
      <c r="P2425" s="45"/>
      <c r="Q2425" s="45"/>
      <c r="R2425" s="45"/>
      <c r="S2425" s="45"/>
      <c r="T2425" s="45"/>
      <c r="U2425" s="45"/>
    </row>
    <row r="2426">
      <c r="A2426" s="79" t="s">
        <v>20028</v>
      </c>
      <c r="B2426" s="45"/>
      <c r="C2426" s="79" t="s">
        <v>20029</v>
      </c>
      <c r="D2426" s="45"/>
      <c r="E2426" s="79" t="s">
        <v>5478</v>
      </c>
      <c r="F2426" s="79" t="s">
        <v>5300</v>
      </c>
      <c r="G2426" s="80" t="s">
        <v>96</v>
      </c>
      <c r="H2426" s="90">
        <v>1.129E-4</v>
      </c>
      <c r="I2426" s="45"/>
      <c r="J2426" s="45"/>
      <c r="K2426" s="45"/>
      <c r="L2426" s="45"/>
      <c r="M2426" s="45"/>
      <c r="N2426" s="45"/>
      <c r="O2426" s="45"/>
      <c r="P2426" s="45"/>
      <c r="Q2426" s="45"/>
      <c r="R2426" s="45"/>
      <c r="S2426" s="45"/>
      <c r="T2426" s="45"/>
      <c r="U2426" s="45"/>
    </row>
    <row r="2427">
      <c r="A2427" s="79" t="s">
        <v>20030</v>
      </c>
      <c r="B2427" s="45"/>
      <c r="C2427" s="79" t="s">
        <v>20031</v>
      </c>
      <c r="D2427" s="45"/>
      <c r="E2427" s="79" t="s">
        <v>5407</v>
      </c>
      <c r="F2427" s="79" t="s">
        <v>8759</v>
      </c>
      <c r="G2427" s="80" t="s">
        <v>96</v>
      </c>
      <c r="H2427" s="90">
        <v>1.129E-4</v>
      </c>
      <c r="I2427" s="45"/>
      <c r="J2427" s="45"/>
      <c r="K2427" s="45"/>
      <c r="L2427" s="45"/>
      <c r="M2427" s="45"/>
      <c r="N2427" s="45"/>
      <c r="O2427" s="45"/>
      <c r="P2427" s="45"/>
      <c r="Q2427" s="45"/>
      <c r="R2427" s="45"/>
      <c r="S2427" s="45"/>
      <c r="T2427" s="45"/>
      <c r="U2427" s="45"/>
    </row>
    <row r="2428">
      <c r="A2428" s="79" t="s">
        <v>20032</v>
      </c>
      <c r="B2428" s="45"/>
      <c r="C2428" s="79" t="s">
        <v>20033</v>
      </c>
      <c r="D2428" s="45"/>
      <c r="E2428" s="79" t="s">
        <v>5291</v>
      </c>
      <c r="F2428" s="79" t="s">
        <v>5836</v>
      </c>
      <c r="G2428" s="80" t="s">
        <v>96</v>
      </c>
      <c r="H2428" s="90">
        <v>1.128E-4</v>
      </c>
      <c r="I2428" s="45"/>
      <c r="J2428" s="45"/>
      <c r="K2428" s="45"/>
      <c r="L2428" s="45"/>
      <c r="M2428" s="45"/>
      <c r="N2428" s="45"/>
      <c r="O2428" s="45"/>
      <c r="P2428" s="45"/>
      <c r="Q2428" s="45"/>
      <c r="R2428" s="45"/>
      <c r="S2428" s="45"/>
      <c r="T2428" s="45"/>
      <c r="U2428" s="45"/>
    </row>
    <row r="2429">
      <c r="A2429" s="79" t="s">
        <v>20034</v>
      </c>
      <c r="B2429" s="45"/>
      <c r="C2429" s="79" t="s">
        <v>20035</v>
      </c>
      <c r="D2429" s="45"/>
      <c r="E2429" s="79" t="s">
        <v>5374</v>
      </c>
      <c r="F2429" s="79" t="s">
        <v>5300</v>
      </c>
      <c r="G2429" s="80" t="s">
        <v>96</v>
      </c>
      <c r="H2429" s="90">
        <v>1.127E-4</v>
      </c>
      <c r="I2429" s="45"/>
      <c r="J2429" s="45"/>
      <c r="K2429" s="45"/>
      <c r="L2429" s="45"/>
      <c r="M2429" s="45"/>
      <c r="N2429" s="45"/>
      <c r="O2429" s="45"/>
      <c r="P2429" s="45"/>
      <c r="Q2429" s="45"/>
      <c r="R2429" s="45"/>
      <c r="S2429" s="45"/>
      <c r="T2429" s="45"/>
      <c r="U2429" s="45"/>
    </row>
    <row r="2430">
      <c r="A2430" s="79" t="s">
        <v>20036</v>
      </c>
      <c r="B2430" s="45"/>
      <c r="C2430" s="79" t="s">
        <v>20037</v>
      </c>
      <c r="D2430" s="45"/>
      <c r="E2430" s="79" t="s">
        <v>5215</v>
      </c>
      <c r="F2430" s="79" t="s">
        <v>6988</v>
      </c>
      <c r="G2430" s="80" t="s">
        <v>96</v>
      </c>
      <c r="H2430" s="90">
        <v>1.126E-4</v>
      </c>
      <c r="I2430" s="45"/>
      <c r="J2430" s="45"/>
      <c r="K2430" s="45"/>
      <c r="L2430" s="45"/>
      <c r="M2430" s="45"/>
      <c r="N2430" s="45"/>
      <c r="O2430" s="45"/>
      <c r="P2430" s="45"/>
      <c r="Q2430" s="45"/>
      <c r="R2430" s="45"/>
      <c r="S2430" s="45"/>
      <c r="T2430" s="45"/>
      <c r="U2430" s="45"/>
    </row>
    <row r="2431">
      <c r="A2431" s="79" t="s">
        <v>20038</v>
      </c>
      <c r="B2431" s="45"/>
      <c r="C2431" s="79" t="s">
        <v>20039</v>
      </c>
      <c r="D2431" s="45"/>
      <c r="E2431" s="79" t="s">
        <v>10125</v>
      </c>
      <c r="F2431" s="79" t="s">
        <v>5300</v>
      </c>
      <c r="G2431" s="80" t="s">
        <v>96</v>
      </c>
      <c r="H2431" s="90">
        <v>1.125E-4</v>
      </c>
      <c r="I2431" s="45"/>
      <c r="J2431" s="45"/>
      <c r="K2431" s="45"/>
      <c r="L2431" s="45"/>
      <c r="M2431" s="45"/>
      <c r="N2431" s="45"/>
      <c r="O2431" s="45"/>
      <c r="P2431" s="45"/>
      <c r="Q2431" s="45"/>
      <c r="R2431" s="45"/>
      <c r="S2431" s="45"/>
      <c r="T2431" s="45"/>
      <c r="U2431" s="45"/>
    </row>
    <row r="2432">
      <c r="A2432" s="79" t="s">
        <v>20040</v>
      </c>
      <c r="B2432" s="45"/>
      <c r="C2432" s="79" t="s">
        <v>20041</v>
      </c>
      <c r="D2432" s="45"/>
      <c r="E2432" s="79" t="s">
        <v>5283</v>
      </c>
      <c r="F2432" s="79" t="s">
        <v>9021</v>
      </c>
      <c r="G2432" s="80" t="s">
        <v>96</v>
      </c>
      <c r="H2432" s="90">
        <v>1.125E-4</v>
      </c>
      <c r="I2432" s="45"/>
      <c r="J2432" s="45"/>
      <c r="K2432" s="45"/>
      <c r="L2432" s="45"/>
      <c r="M2432" s="45"/>
      <c r="N2432" s="45"/>
      <c r="O2432" s="45"/>
      <c r="P2432" s="45"/>
      <c r="Q2432" s="45"/>
      <c r="R2432" s="45"/>
      <c r="S2432" s="45"/>
      <c r="T2432" s="45"/>
      <c r="U2432" s="45"/>
    </row>
    <row r="2433">
      <c r="A2433" s="79" t="s">
        <v>20042</v>
      </c>
      <c r="B2433" s="45"/>
      <c r="C2433" s="79" t="s">
        <v>20043</v>
      </c>
      <c r="D2433" s="45"/>
      <c r="E2433" s="79" t="s">
        <v>5434</v>
      </c>
      <c r="F2433" s="79" t="s">
        <v>8784</v>
      </c>
      <c r="G2433" s="80" t="s">
        <v>96</v>
      </c>
      <c r="H2433" s="90">
        <v>1.122E-4</v>
      </c>
      <c r="I2433" s="45"/>
      <c r="J2433" s="45"/>
      <c r="K2433" s="45"/>
      <c r="L2433" s="45"/>
      <c r="M2433" s="45"/>
      <c r="N2433" s="45"/>
      <c r="O2433" s="45"/>
      <c r="P2433" s="45"/>
      <c r="Q2433" s="45"/>
      <c r="R2433" s="45"/>
      <c r="S2433" s="45"/>
      <c r="T2433" s="45"/>
      <c r="U2433" s="45"/>
    </row>
    <row r="2434">
      <c r="A2434" s="79" t="s">
        <v>20044</v>
      </c>
      <c r="B2434" s="45"/>
      <c r="C2434" s="79" t="s">
        <v>20045</v>
      </c>
      <c r="D2434" s="45"/>
      <c r="E2434" s="79" t="s">
        <v>5561</v>
      </c>
      <c r="F2434" s="79" t="s">
        <v>5941</v>
      </c>
      <c r="G2434" s="80" t="s">
        <v>96</v>
      </c>
      <c r="H2434" s="90">
        <v>1.122E-4</v>
      </c>
      <c r="I2434" s="45"/>
      <c r="J2434" s="45"/>
      <c r="K2434" s="45"/>
      <c r="L2434" s="45"/>
      <c r="M2434" s="45"/>
      <c r="N2434" s="45"/>
      <c r="O2434" s="45"/>
      <c r="P2434" s="45"/>
      <c r="Q2434" s="45"/>
      <c r="R2434" s="45"/>
      <c r="S2434" s="45"/>
      <c r="T2434" s="45"/>
      <c r="U2434" s="45"/>
    </row>
    <row r="2435">
      <c r="A2435" s="79" t="s">
        <v>10868</v>
      </c>
      <c r="B2435" s="45"/>
      <c r="C2435" s="79" t="s">
        <v>10869</v>
      </c>
      <c r="D2435" s="45"/>
      <c r="E2435" s="79" t="s">
        <v>5467</v>
      </c>
      <c r="F2435" s="79" t="s">
        <v>8784</v>
      </c>
      <c r="G2435" s="80" t="s">
        <v>96</v>
      </c>
      <c r="H2435" s="90">
        <v>1.122E-4</v>
      </c>
      <c r="I2435" s="45"/>
      <c r="J2435" s="45"/>
      <c r="K2435" s="45"/>
      <c r="L2435" s="45"/>
      <c r="M2435" s="45"/>
      <c r="N2435" s="45"/>
      <c r="O2435" s="45"/>
      <c r="P2435" s="45"/>
      <c r="Q2435" s="45"/>
      <c r="R2435" s="45"/>
      <c r="S2435" s="45"/>
      <c r="T2435" s="45"/>
      <c r="U2435" s="45"/>
    </row>
    <row r="2436">
      <c r="A2436" s="79" t="s">
        <v>20046</v>
      </c>
      <c r="B2436" s="45"/>
      <c r="C2436" s="79" t="s">
        <v>20047</v>
      </c>
      <c r="D2436" s="45"/>
      <c r="E2436" s="79" t="s">
        <v>5211</v>
      </c>
      <c r="F2436" s="79" t="s">
        <v>5300</v>
      </c>
      <c r="G2436" s="80" t="s">
        <v>96</v>
      </c>
      <c r="H2436" s="90">
        <v>1.122E-4</v>
      </c>
      <c r="I2436" s="45"/>
      <c r="J2436" s="45"/>
      <c r="K2436" s="45"/>
      <c r="L2436" s="45"/>
      <c r="M2436" s="45"/>
      <c r="N2436" s="45"/>
      <c r="O2436" s="45"/>
      <c r="P2436" s="45"/>
      <c r="Q2436" s="45"/>
      <c r="R2436" s="45"/>
      <c r="S2436" s="45"/>
      <c r="T2436" s="45"/>
      <c r="U2436" s="45"/>
    </row>
    <row r="2437">
      <c r="A2437" s="79" t="s">
        <v>20048</v>
      </c>
      <c r="B2437" s="45"/>
      <c r="C2437" s="79" t="s">
        <v>20049</v>
      </c>
      <c r="D2437" s="45"/>
      <c r="E2437" s="79" t="s">
        <v>6514</v>
      </c>
      <c r="F2437" s="79" t="s">
        <v>5941</v>
      </c>
      <c r="G2437" s="80" t="s">
        <v>96</v>
      </c>
      <c r="H2437" s="90">
        <v>1.121E-4</v>
      </c>
      <c r="I2437" s="45"/>
      <c r="J2437" s="45"/>
      <c r="K2437" s="45"/>
      <c r="L2437" s="45"/>
      <c r="M2437" s="45"/>
      <c r="N2437" s="45"/>
      <c r="O2437" s="45"/>
      <c r="P2437" s="45"/>
      <c r="Q2437" s="45"/>
      <c r="R2437" s="45"/>
      <c r="S2437" s="45"/>
      <c r="T2437" s="45"/>
      <c r="U2437" s="45"/>
    </row>
    <row r="2438">
      <c r="A2438" s="79" t="s">
        <v>17924</v>
      </c>
      <c r="B2438" s="45"/>
      <c r="C2438" s="79" t="s">
        <v>20050</v>
      </c>
      <c r="D2438" s="45"/>
      <c r="E2438" s="79" t="s">
        <v>7360</v>
      </c>
      <c r="F2438" s="79" t="s">
        <v>5300</v>
      </c>
      <c r="G2438" s="80" t="s">
        <v>96</v>
      </c>
      <c r="H2438" s="90">
        <v>1.12E-4</v>
      </c>
      <c r="I2438" s="45"/>
      <c r="J2438" s="45"/>
      <c r="K2438" s="45"/>
      <c r="L2438" s="45"/>
      <c r="M2438" s="45"/>
      <c r="N2438" s="45"/>
      <c r="O2438" s="45"/>
      <c r="P2438" s="45"/>
      <c r="Q2438" s="45"/>
      <c r="R2438" s="45"/>
      <c r="S2438" s="45"/>
      <c r="T2438" s="45"/>
      <c r="U2438" s="45"/>
    </row>
    <row r="2439">
      <c r="A2439" s="79" t="s">
        <v>20051</v>
      </c>
      <c r="B2439" s="45"/>
      <c r="C2439" s="79" t="s">
        <v>20052</v>
      </c>
      <c r="D2439" s="45"/>
      <c r="E2439" s="79" t="s">
        <v>5291</v>
      </c>
      <c r="F2439" s="79" t="s">
        <v>8784</v>
      </c>
      <c r="G2439" s="80" t="s">
        <v>96</v>
      </c>
      <c r="H2439" s="90">
        <v>1.117E-4</v>
      </c>
      <c r="I2439" s="45"/>
      <c r="J2439" s="45"/>
      <c r="K2439" s="45"/>
      <c r="L2439" s="45"/>
      <c r="M2439" s="45"/>
      <c r="N2439" s="45"/>
      <c r="O2439" s="45"/>
      <c r="P2439" s="45"/>
      <c r="Q2439" s="45"/>
      <c r="R2439" s="45"/>
      <c r="S2439" s="45"/>
      <c r="T2439" s="45"/>
      <c r="U2439" s="45"/>
    </row>
    <row r="2440">
      <c r="A2440" s="79" t="s">
        <v>20053</v>
      </c>
      <c r="B2440" s="45"/>
      <c r="C2440" s="79" t="s">
        <v>20054</v>
      </c>
      <c r="D2440" s="45"/>
      <c r="E2440" s="79" t="s">
        <v>5215</v>
      </c>
      <c r="F2440" s="79" t="s">
        <v>5300</v>
      </c>
      <c r="G2440" s="80" t="s">
        <v>96</v>
      </c>
      <c r="H2440" s="90">
        <v>1.117E-4</v>
      </c>
      <c r="I2440" s="45"/>
      <c r="J2440" s="45"/>
      <c r="K2440" s="45"/>
      <c r="L2440" s="45"/>
      <c r="M2440" s="45"/>
      <c r="N2440" s="45"/>
      <c r="O2440" s="45"/>
      <c r="P2440" s="45"/>
      <c r="Q2440" s="45"/>
      <c r="R2440" s="45"/>
      <c r="S2440" s="45"/>
      <c r="T2440" s="45"/>
      <c r="U2440" s="45"/>
    </row>
    <row r="2441">
      <c r="A2441" s="79" t="s">
        <v>20055</v>
      </c>
      <c r="B2441" s="45"/>
      <c r="C2441" s="79" t="s">
        <v>20056</v>
      </c>
      <c r="D2441" s="45"/>
      <c r="E2441" s="79" t="s">
        <v>5229</v>
      </c>
      <c r="F2441" s="79" t="s">
        <v>4357</v>
      </c>
      <c r="G2441" s="80" t="s">
        <v>96</v>
      </c>
      <c r="H2441" s="90">
        <v>1.117E-4</v>
      </c>
      <c r="I2441" s="45"/>
      <c r="J2441" s="45"/>
      <c r="K2441" s="45"/>
      <c r="L2441" s="45"/>
      <c r="M2441" s="45"/>
      <c r="N2441" s="45"/>
      <c r="O2441" s="45"/>
      <c r="P2441" s="45"/>
      <c r="Q2441" s="45"/>
      <c r="R2441" s="45"/>
      <c r="S2441" s="45"/>
      <c r="T2441" s="45"/>
      <c r="U2441" s="45"/>
    </row>
    <row r="2442">
      <c r="A2442" s="79" t="s">
        <v>20057</v>
      </c>
      <c r="B2442" s="45"/>
      <c r="C2442" s="79" t="s">
        <v>20058</v>
      </c>
      <c r="D2442" s="45"/>
      <c r="E2442" s="79" t="s">
        <v>5258</v>
      </c>
      <c r="F2442" s="79" t="s">
        <v>5836</v>
      </c>
      <c r="G2442" s="80" t="s">
        <v>96</v>
      </c>
      <c r="H2442" s="90">
        <v>1.115E-4</v>
      </c>
      <c r="I2442" s="45"/>
      <c r="J2442" s="45"/>
      <c r="K2442" s="45"/>
      <c r="L2442" s="45"/>
      <c r="M2442" s="45"/>
      <c r="N2442" s="45"/>
      <c r="O2442" s="45"/>
      <c r="P2442" s="45"/>
      <c r="Q2442" s="45"/>
      <c r="R2442" s="45"/>
      <c r="S2442" s="45"/>
      <c r="T2442" s="45"/>
      <c r="U2442" s="45"/>
    </row>
    <row r="2443">
      <c r="A2443" s="79" t="s">
        <v>20059</v>
      </c>
      <c r="B2443" s="45"/>
      <c r="C2443" s="79" t="s">
        <v>20060</v>
      </c>
      <c r="D2443" s="45"/>
      <c r="E2443" s="79" t="s">
        <v>5434</v>
      </c>
      <c r="F2443" s="79" t="s">
        <v>8784</v>
      </c>
      <c r="G2443" s="80" t="s">
        <v>96</v>
      </c>
      <c r="H2443" s="90">
        <v>1.115E-4</v>
      </c>
      <c r="I2443" s="45"/>
      <c r="J2443" s="45"/>
      <c r="K2443" s="45"/>
      <c r="L2443" s="45"/>
      <c r="M2443" s="45"/>
      <c r="N2443" s="45"/>
      <c r="O2443" s="45"/>
      <c r="P2443" s="45"/>
      <c r="Q2443" s="45"/>
      <c r="R2443" s="45"/>
      <c r="S2443" s="45"/>
      <c r="T2443" s="45"/>
      <c r="U2443" s="45"/>
    </row>
    <row r="2444">
      <c r="A2444" s="79" t="s">
        <v>20061</v>
      </c>
      <c r="B2444" s="45"/>
      <c r="C2444" s="79" t="s">
        <v>20062</v>
      </c>
      <c r="D2444" s="45"/>
      <c r="E2444" s="79" t="s">
        <v>5215</v>
      </c>
      <c r="F2444" s="79" t="s">
        <v>5300</v>
      </c>
      <c r="G2444" s="80" t="s">
        <v>96</v>
      </c>
      <c r="H2444" s="90">
        <v>1.115E-4</v>
      </c>
      <c r="I2444" s="45"/>
      <c r="J2444" s="45"/>
      <c r="K2444" s="45"/>
      <c r="L2444" s="45"/>
      <c r="M2444" s="45"/>
      <c r="N2444" s="45"/>
      <c r="O2444" s="45"/>
      <c r="P2444" s="45"/>
      <c r="Q2444" s="45"/>
      <c r="R2444" s="45"/>
      <c r="S2444" s="45"/>
      <c r="T2444" s="45"/>
      <c r="U2444" s="45"/>
    </row>
    <row r="2445">
      <c r="A2445" s="79" t="s">
        <v>20063</v>
      </c>
      <c r="B2445" s="45"/>
      <c r="C2445" s="79" t="s">
        <v>20064</v>
      </c>
      <c r="D2445" s="45"/>
      <c r="E2445" s="79" t="s">
        <v>5735</v>
      </c>
      <c r="F2445" s="79" t="s">
        <v>8784</v>
      </c>
      <c r="G2445" s="80" t="s">
        <v>96</v>
      </c>
      <c r="H2445" s="90">
        <v>1.111E-4</v>
      </c>
      <c r="I2445" s="45"/>
      <c r="J2445" s="45"/>
      <c r="K2445" s="45"/>
      <c r="L2445" s="45"/>
      <c r="M2445" s="45"/>
      <c r="N2445" s="45"/>
      <c r="O2445" s="45"/>
      <c r="P2445" s="45"/>
      <c r="Q2445" s="45"/>
      <c r="R2445" s="45"/>
      <c r="S2445" s="45"/>
      <c r="T2445" s="45"/>
      <c r="U2445" s="45"/>
    </row>
    <row r="2446">
      <c r="A2446" s="79" t="s">
        <v>20065</v>
      </c>
      <c r="B2446" s="45"/>
      <c r="C2446" s="79" t="s">
        <v>20066</v>
      </c>
      <c r="D2446" s="45"/>
      <c r="E2446" s="79" t="s">
        <v>5456</v>
      </c>
      <c r="F2446" s="79" t="s">
        <v>5300</v>
      </c>
      <c r="G2446" s="80" t="s">
        <v>96</v>
      </c>
      <c r="H2446" s="90">
        <v>1.109E-4</v>
      </c>
      <c r="I2446" s="45"/>
      <c r="J2446" s="45"/>
      <c r="K2446" s="45"/>
      <c r="L2446" s="45"/>
      <c r="M2446" s="45"/>
      <c r="N2446" s="45"/>
      <c r="O2446" s="45"/>
      <c r="P2446" s="45"/>
      <c r="Q2446" s="45"/>
      <c r="R2446" s="45"/>
      <c r="S2446" s="45"/>
      <c r="T2446" s="45"/>
      <c r="U2446" s="45"/>
    </row>
    <row r="2447">
      <c r="A2447" s="79" t="s">
        <v>20067</v>
      </c>
      <c r="B2447" s="45"/>
      <c r="C2447" s="79" t="s">
        <v>20068</v>
      </c>
      <c r="D2447" s="45"/>
      <c r="E2447" s="79" t="s">
        <v>5238</v>
      </c>
      <c r="F2447" s="79" t="s">
        <v>5300</v>
      </c>
      <c r="G2447" s="80" t="s">
        <v>96</v>
      </c>
      <c r="H2447" s="90">
        <v>1.108E-4</v>
      </c>
      <c r="I2447" s="45"/>
      <c r="J2447" s="45"/>
      <c r="K2447" s="45"/>
      <c r="L2447" s="45"/>
      <c r="M2447" s="45"/>
      <c r="N2447" s="45"/>
      <c r="O2447" s="45"/>
      <c r="P2447" s="45"/>
      <c r="Q2447" s="45"/>
      <c r="R2447" s="45"/>
      <c r="S2447" s="45"/>
      <c r="T2447" s="45"/>
      <c r="U2447" s="45"/>
    </row>
    <row r="2448">
      <c r="A2448" s="79" t="s">
        <v>20069</v>
      </c>
      <c r="B2448" s="45"/>
      <c r="C2448" s="79" t="s">
        <v>20070</v>
      </c>
      <c r="D2448" s="45"/>
      <c r="E2448" s="79" t="s">
        <v>8851</v>
      </c>
      <c r="F2448" s="79" t="s">
        <v>8784</v>
      </c>
      <c r="G2448" s="80" t="s">
        <v>96</v>
      </c>
      <c r="H2448" s="90">
        <v>1.108E-4</v>
      </c>
      <c r="I2448" s="45"/>
      <c r="J2448" s="45"/>
      <c r="K2448" s="45"/>
      <c r="L2448" s="45"/>
      <c r="M2448" s="45"/>
      <c r="N2448" s="45"/>
      <c r="O2448" s="45"/>
      <c r="P2448" s="45"/>
      <c r="Q2448" s="45"/>
      <c r="R2448" s="45"/>
      <c r="S2448" s="45"/>
      <c r="T2448" s="45"/>
      <c r="U2448" s="45"/>
    </row>
    <row r="2449">
      <c r="A2449" s="79" t="s">
        <v>10665</v>
      </c>
      <c r="B2449" s="45"/>
      <c r="C2449" s="79" t="s">
        <v>10666</v>
      </c>
      <c r="D2449" s="45"/>
      <c r="E2449" s="79" t="s">
        <v>5366</v>
      </c>
      <c r="F2449" s="79" t="s">
        <v>8784</v>
      </c>
      <c r="G2449" s="80" t="s">
        <v>96</v>
      </c>
      <c r="H2449" s="90">
        <v>1.107E-4</v>
      </c>
      <c r="I2449" s="45"/>
      <c r="J2449" s="45"/>
      <c r="K2449" s="45"/>
      <c r="L2449" s="45"/>
      <c r="M2449" s="45"/>
      <c r="N2449" s="45"/>
      <c r="O2449" s="45"/>
      <c r="P2449" s="45"/>
      <c r="Q2449" s="45"/>
      <c r="R2449" s="45"/>
      <c r="S2449" s="45"/>
      <c r="T2449" s="45"/>
      <c r="U2449" s="45"/>
    </row>
    <row r="2450">
      <c r="A2450" s="79" t="s">
        <v>20071</v>
      </c>
      <c r="B2450" s="45"/>
      <c r="C2450" s="79" t="s">
        <v>20072</v>
      </c>
      <c r="D2450" s="45"/>
      <c r="E2450" s="79" t="s">
        <v>9959</v>
      </c>
      <c r="F2450" s="79" t="s">
        <v>5836</v>
      </c>
      <c r="G2450" s="80" t="s">
        <v>96</v>
      </c>
      <c r="H2450" s="90">
        <v>1.106E-4</v>
      </c>
      <c r="I2450" s="45"/>
      <c r="J2450" s="45"/>
      <c r="K2450" s="45"/>
      <c r="L2450" s="45"/>
      <c r="M2450" s="45"/>
      <c r="N2450" s="45"/>
      <c r="O2450" s="45"/>
      <c r="P2450" s="45"/>
      <c r="Q2450" s="45"/>
      <c r="R2450" s="45"/>
      <c r="S2450" s="45"/>
      <c r="T2450" s="45"/>
      <c r="U2450" s="45"/>
    </row>
    <row r="2451">
      <c r="A2451" s="79" t="s">
        <v>20073</v>
      </c>
      <c r="B2451" s="45"/>
      <c r="C2451" s="79" t="s">
        <v>20074</v>
      </c>
      <c r="D2451" s="45"/>
      <c r="E2451" s="79" t="s">
        <v>6130</v>
      </c>
      <c r="F2451" s="79" t="s">
        <v>8784</v>
      </c>
      <c r="G2451" s="80" t="s">
        <v>96</v>
      </c>
      <c r="H2451" s="90">
        <v>1.105E-4</v>
      </c>
      <c r="I2451" s="45"/>
      <c r="J2451" s="45"/>
      <c r="K2451" s="45"/>
      <c r="L2451" s="45"/>
      <c r="M2451" s="45"/>
      <c r="N2451" s="45"/>
      <c r="O2451" s="45"/>
      <c r="P2451" s="45"/>
      <c r="Q2451" s="45"/>
      <c r="R2451" s="45"/>
      <c r="S2451" s="45"/>
      <c r="T2451" s="45"/>
      <c r="U2451" s="45"/>
    </row>
    <row r="2452">
      <c r="A2452" s="79" t="s">
        <v>20075</v>
      </c>
      <c r="B2452" s="45"/>
      <c r="C2452" s="79" t="s">
        <v>20076</v>
      </c>
      <c r="D2452" s="45"/>
      <c r="E2452" s="79" t="s">
        <v>5513</v>
      </c>
      <c r="F2452" s="79" t="s">
        <v>8784</v>
      </c>
      <c r="G2452" s="80" t="s">
        <v>96</v>
      </c>
      <c r="H2452" s="90">
        <v>1.104E-4</v>
      </c>
      <c r="I2452" s="45"/>
      <c r="J2452" s="45"/>
      <c r="K2452" s="45"/>
      <c r="L2452" s="45"/>
      <c r="M2452" s="45"/>
      <c r="N2452" s="45"/>
      <c r="O2452" s="45"/>
      <c r="P2452" s="45"/>
      <c r="Q2452" s="45"/>
      <c r="R2452" s="45"/>
      <c r="S2452" s="45"/>
      <c r="T2452" s="45"/>
      <c r="U2452" s="45"/>
    </row>
    <row r="2453">
      <c r="A2453" s="79" t="s">
        <v>20077</v>
      </c>
      <c r="B2453" s="45"/>
      <c r="C2453" s="79" t="s">
        <v>20078</v>
      </c>
      <c r="D2453" s="45"/>
      <c r="E2453" s="79" t="s">
        <v>5215</v>
      </c>
      <c r="F2453" s="79" t="s">
        <v>5300</v>
      </c>
      <c r="G2453" s="80" t="s">
        <v>96</v>
      </c>
      <c r="H2453" s="90">
        <v>1.103E-4</v>
      </c>
      <c r="I2453" s="45"/>
      <c r="J2453" s="45"/>
      <c r="K2453" s="45"/>
      <c r="L2453" s="45"/>
      <c r="M2453" s="45"/>
      <c r="N2453" s="45"/>
      <c r="O2453" s="45"/>
      <c r="P2453" s="45"/>
      <c r="Q2453" s="45"/>
      <c r="R2453" s="45"/>
      <c r="S2453" s="45"/>
      <c r="T2453" s="45"/>
      <c r="U2453" s="45"/>
    </row>
    <row r="2454">
      <c r="A2454" s="79" t="s">
        <v>20079</v>
      </c>
      <c r="B2454" s="45"/>
      <c r="C2454" s="79" t="s">
        <v>20080</v>
      </c>
      <c r="D2454" s="45"/>
      <c r="E2454" s="79" t="s">
        <v>5215</v>
      </c>
      <c r="F2454" s="79" t="s">
        <v>8784</v>
      </c>
      <c r="G2454" s="80" t="s">
        <v>96</v>
      </c>
      <c r="H2454" s="90">
        <v>1.102E-4</v>
      </c>
      <c r="I2454" s="45"/>
      <c r="J2454" s="45"/>
      <c r="K2454" s="45"/>
      <c r="L2454" s="45"/>
      <c r="M2454" s="45"/>
      <c r="N2454" s="45"/>
      <c r="O2454" s="45"/>
      <c r="P2454" s="45"/>
      <c r="Q2454" s="45"/>
      <c r="R2454" s="45"/>
      <c r="S2454" s="45"/>
      <c r="T2454" s="45"/>
      <c r="U2454" s="45"/>
    </row>
    <row r="2455">
      <c r="A2455" s="79" t="s">
        <v>20081</v>
      </c>
      <c r="B2455" s="45"/>
      <c r="C2455" s="79" t="s">
        <v>20082</v>
      </c>
      <c r="D2455" s="45"/>
      <c r="E2455" s="79" t="s">
        <v>5641</v>
      </c>
      <c r="F2455" s="79" t="s">
        <v>5300</v>
      </c>
      <c r="G2455" s="80" t="s">
        <v>96</v>
      </c>
      <c r="H2455" s="90">
        <v>1.101E-4</v>
      </c>
      <c r="I2455" s="45"/>
      <c r="J2455" s="45"/>
      <c r="K2455" s="45"/>
      <c r="L2455" s="45"/>
      <c r="M2455" s="45"/>
      <c r="N2455" s="45"/>
      <c r="O2455" s="45"/>
      <c r="P2455" s="45"/>
      <c r="Q2455" s="45"/>
      <c r="R2455" s="45"/>
      <c r="S2455" s="45"/>
      <c r="T2455" s="45"/>
      <c r="U2455" s="45"/>
    </row>
    <row r="2456">
      <c r="A2456" s="79" t="s">
        <v>20083</v>
      </c>
      <c r="B2456" s="45"/>
      <c r="C2456" s="79" t="s">
        <v>20084</v>
      </c>
      <c r="D2456" s="45"/>
      <c r="E2456" s="79" t="s">
        <v>6130</v>
      </c>
      <c r="F2456" s="79" t="s">
        <v>8759</v>
      </c>
      <c r="G2456" s="80" t="s">
        <v>96</v>
      </c>
      <c r="H2456" s="90">
        <v>1.1E-4</v>
      </c>
      <c r="I2456" s="45"/>
      <c r="J2456" s="45"/>
      <c r="K2456" s="45"/>
      <c r="L2456" s="45"/>
      <c r="M2456" s="45"/>
      <c r="N2456" s="45"/>
      <c r="O2456" s="45"/>
      <c r="P2456" s="45"/>
      <c r="Q2456" s="45"/>
      <c r="R2456" s="45"/>
      <c r="S2456" s="45"/>
      <c r="T2456" s="45"/>
      <c r="U2456" s="45"/>
    </row>
    <row r="2457">
      <c r="A2457" s="79" t="s">
        <v>20085</v>
      </c>
      <c r="B2457" s="45"/>
      <c r="C2457" s="79" t="s">
        <v>20086</v>
      </c>
      <c r="D2457" s="45"/>
      <c r="E2457" s="79" t="s">
        <v>6130</v>
      </c>
      <c r="F2457" s="79" t="s">
        <v>9021</v>
      </c>
      <c r="G2457" s="80" t="s">
        <v>96</v>
      </c>
      <c r="H2457" s="90">
        <v>1.1E-4</v>
      </c>
      <c r="I2457" s="45"/>
      <c r="J2457" s="45"/>
      <c r="K2457" s="45"/>
      <c r="L2457" s="45"/>
      <c r="M2457" s="45"/>
      <c r="N2457" s="45"/>
      <c r="O2457" s="45"/>
      <c r="P2457" s="45"/>
      <c r="Q2457" s="45"/>
      <c r="R2457" s="45"/>
      <c r="S2457" s="45"/>
      <c r="T2457" s="45"/>
      <c r="U2457" s="45"/>
    </row>
    <row r="2458">
      <c r="A2458" s="79" t="s">
        <v>20087</v>
      </c>
      <c r="B2458" s="45"/>
      <c r="C2458" s="79" t="s">
        <v>20088</v>
      </c>
      <c r="D2458" s="45"/>
      <c r="E2458" s="79" t="s">
        <v>5246</v>
      </c>
      <c r="F2458" s="79" t="s">
        <v>5300</v>
      </c>
      <c r="G2458" s="80" t="s">
        <v>96</v>
      </c>
      <c r="H2458" s="90">
        <v>1.1E-4</v>
      </c>
      <c r="I2458" s="45"/>
      <c r="J2458" s="45"/>
      <c r="K2458" s="45"/>
      <c r="L2458" s="45"/>
      <c r="M2458" s="45"/>
      <c r="N2458" s="45"/>
      <c r="O2458" s="45"/>
      <c r="P2458" s="45"/>
      <c r="Q2458" s="45"/>
      <c r="R2458" s="45"/>
      <c r="S2458" s="45"/>
      <c r="T2458" s="45"/>
      <c r="U2458" s="45"/>
    </row>
    <row r="2459">
      <c r="A2459" s="79" t="s">
        <v>20089</v>
      </c>
      <c r="B2459" s="45"/>
      <c r="C2459" s="79" t="s">
        <v>20090</v>
      </c>
      <c r="D2459" s="45"/>
      <c r="E2459" s="79" t="s">
        <v>5276</v>
      </c>
      <c r="F2459" s="79" t="s">
        <v>9513</v>
      </c>
      <c r="G2459" s="80" t="s">
        <v>96</v>
      </c>
      <c r="H2459" s="90">
        <v>1.099E-4</v>
      </c>
      <c r="I2459" s="45"/>
      <c r="J2459" s="45"/>
      <c r="K2459" s="45"/>
      <c r="L2459" s="45"/>
      <c r="M2459" s="45"/>
      <c r="N2459" s="45"/>
      <c r="O2459" s="45"/>
      <c r="P2459" s="45"/>
      <c r="Q2459" s="45"/>
      <c r="R2459" s="45"/>
      <c r="S2459" s="45"/>
      <c r="T2459" s="45"/>
      <c r="U2459" s="45"/>
    </row>
    <row r="2460">
      <c r="A2460" s="79" t="s">
        <v>20091</v>
      </c>
      <c r="B2460" s="45"/>
      <c r="C2460" s="79" t="s">
        <v>20092</v>
      </c>
      <c r="D2460" s="45"/>
      <c r="E2460" s="79" t="s">
        <v>5211</v>
      </c>
      <c r="F2460" s="79" t="s">
        <v>5836</v>
      </c>
      <c r="G2460" s="80" t="s">
        <v>96</v>
      </c>
      <c r="H2460" s="90">
        <v>1.099E-4</v>
      </c>
      <c r="I2460" s="45"/>
      <c r="J2460" s="45"/>
      <c r="K2460" s="45"/>
      <c r="L2460" s="45"/>
      <c r="M2460" s="45"/>
      <c r="N2460" s="45"/>
      <c r="O2460" s="45"/>
      <c r="P2460" s="45"/>
      <c r="Q2460" s="45"/>
      <c r="R2460" s="45"/>
      <c r="S2460" s="45"/>
      <c r="T2460" s="45"/>
      <c r="U2460" s="45"/>
    </row>
    <row r="2461">
      <c r="A2461" s="79" t="s">
        <v>20093</v>
      </c>
      <c r="B2461" s="45"/>
      <c r="C2461" s="79" t="s">
        <v>20094</v>
      </c>
      <c r="D2461" s="45"/>
      <c r="E2461" s="79" t="s">
        <v>5516</v>
      </c>
      <c r="F2461" s="79" t="s">
        <v>9021</v>
      </c>
      <c r="G2461" s="80" t="s">
        <v>96</v>
      </c>
      <c r="H2461" s="90">
        <v>1.099E-4</v>
      </c>
      <c r="I2461" s="45"/>
      <c r="J2461" s="45"/>
      <c r="K2461" s="45"/>
      <c r="L2461" s="45"/>
      <c r="M2461" s="45"/>
      <c r="N2461" s="45"/>
      <c r="O2461" s="45"/>
      <c r="P2461" s="45"/>
      <c r="Q2461" s="45"/>
      <c r="R2461" s="45"/>
      <c r="S2461" s="45"/>
      <c r="T2461" s="45"/>
      <c r="U2461" s="45"/>
    </row>
    <row r="2462">
      <c r="A2462" s="79" t="s">
        <v>20095</v>
      </c>
      <c r="B2462" s="45"/>
      <c r="C2462" s="79" t="s">
        <v>20096</v>
      </c>
      <c r="D2462" s="45"/>
      <c r="E2462" s="79" t="s">
        <v>7611</v>
      </c>
      <c r="F2462" s="79" t="s">
        <v>5425</v>
      </c>
      <c r="G2462" s="80" t="s">
        <v>96</v>
      </c>
      <c r="H2462" s="90">
        <v>1.098E-4</v>
      </c>
      <c r="I2462" s="45"/>
      <c r="J2462" s="45"/>
      <c r="K2462" s="45"/>
      <c r="L2462" s="45"/>
      <c r="M2462" s="45"/>
      <c r="N2462" s="45"/>
      <c r="O2462" s="45"/>
      <c r="P2462" s="45"/>
      <c r="Q2462" s="45"/>
      <c r="R2462" s="45"/>
      <c r="S2462" s="45"/>
      <c r="T2462" s="45"/>
      <c r="U2462" s="45"/>
    </row>
    <row r="2463">
      <c r="A2463" s="79" t="s">
        <v>20097</v>
      </c>
      <c r="B2463" s="45"/>
      <c r="C2463" s="79" t="s">
        <v>20098</v>
      </c>
      <c r="D2463" s="45"/>
      <c r="E2463" s="79" t="s">
        <v>5478</v>
      </c>
      <c r="F2463" s="79" t="s">
        <v>5300</v>
      </c>
      <c r="G2463" s="80" t="s">
        <v>96</v>
      </c>
      <c r="H2463" s="90">
        <v>1.095E-4</v>
      </c>
      <c r="I2463" s="45"/>
      <c r="J2463" s="45"/>
      <c r="K2463" s="45"/>
      <c r="L2463" s="45"/>
      <c r="M2463" s="45"/>
      <c r="N2463" s="45"/>
      <c r="O2463" s="45"/>
      <c r="P2463" s="45"/>
      <c r="Q2463" s="45"/>
      <c r="R2463" s="45"/>
      <c r="S2463" s="45"/>
      <c r="T2463" s="45"/>
      <c r="U2463" s="45"/>
    </row>
    <row r="2464">
      <c r="A2464" s="79" t="s">
        <v>20099</v>
      </c>
      <c r="B2464" s="45"/>
      <c r="C2464" s="79" t="s">
        <v>20100</v>
      </c>
      <c r="D2464" s="45"/>
      <c r="E2464" s="79" t="s">
        <v>6729</v>
      </c>
      <c r="F2464" s="79" t="s">
        <v>9021</v>
      </c>
      <c r="G2464" s="80" t="s">
        <v>96</v>
      </c>
      <c r="H2464" s="90">
        <v>1.093E-4</v>
      </c>
      <c r="I2464" s="45"/>
      <c r="J2464" s="45"/>
      <c r="K2464" s="45"/>
      <c r="L2464" s="45"/>
      <c r="M2464" s="45"/>
      <c r="N2464" s="45"/>
      <c r="O2464" s="45"/>
      <c r="P2464" s="45"/>
      <c r="Q2464" s="45"/>
      <c r="R2464" s="45"/>
      <c r="S2464" s="45"/>
      <c r="T2464" s="45"/>
      <c r="U2464" s="45"/>
    </row>
    <row r="2465">
      <c r="A2465" s="79" t="s">
        <v>20101</v>
      </c>
      <c r="B2465" s="45"/>
      <c r="C2465" s="79" t="s">
        <v>20102</v>
      </c>
      <c r="D2465" s="45"/>
      <c r="E2465" s="79" t="s">
        <v>9810</v>
      </c>
      <c r="F2465" s="79" t="s">
        <v>5300</v>
      </c>
      <c r="G2465" s="80" t="s">
        <v>96</v>
      </c>
      <c r="H2465" s="90">
        <v>1.091E-4</v>
      </c>
      <c r="I2465" s="45"/>
      <c r="J2465" s="45"/>
      <c r="K2465" s="45"/>
      <c r="L2465" s="45"/>
      <c r="M2465" s="45"/>
      <c r="N2465" s="45"/>
      <c r="O2465" s="45"/>
      <c r="P2465" s="45"/>
      <c r="Q2465" s="45"/>
      <c r="R2465" s="45"/>
      <c r="S2465" s="45"/>
      <c r="T2465" s="45"/>
      <c r="U2465" s="45"/>
    </row>
    <row r="2466">
      <c r="A2466" s="79" t="s">
        <v>20103</v>
      </c>
      <c r="B2466" s="45"/>
      <c r="C2466" s="79" t="s">
        <v>20104</v>
      </c>
      <c r="D2466" s="45"/>
      <c r="E2466" s="79" t="s">
        <v>5366</v>
      </c>
      <c r="F2466" s="79" t="s">
        <v>5425</v>
      </c>
      <c r="G2466" s="80" t="s">
        <v>96</v>
      </c>
      <c r="H2466" s="90">
        <v>1.09E-4</v>
      </c>
      <c r="I2466" s="45"/>
      <c r="J2466" s="45"/>
      <c r="K2466" s="45"/>
      <c r="L2466" s="45"/>
      <c r="M2466" s="45"/>
      <c r="N2466" s="45"/>
      <c r="O2466" s="45"/>
      <c r="P2466" s="45"/>
      <c r="Q2466" s="45"/>
      <c r="R2466" s="45"/>
      <c r="S2466" s="45"/>
      <c r="T2466" s="45"/>
      <c r="U2466" s="45"/>
    </row>
    <row r="2467">
      <c r="A2467" s="79" t="s">
        <v>20105</v>
      </c>
      <c r="B2467" s="45"/>
      <c r="C2467" s="79" t="s">
        <v>20106</v>
      </c>
      <c r="D2467" s="45"/>
      <c r="E2467" s="79" t="s">
        <v>5215</v>
      </c>
      <c r="F2467" s="79" t="s">
        <v>5300</v>
      </c>
      <c r="G2467" s="80" t="s">
        <v>96</v>
      </c>
      <c r="H2467" s="90">
        <v>1.089E-4</v>
      </c>
      <c r="I2467" s="45"/>
      <c r="J2467" s="45"/>
      <c r="K2467" s="45"/>
      <c r="L2467" s="45"/>
      <c r="M2467" s="45"/>
      <c r="N2467" s="45"/>
      <c r="O2467" s="45"/>
      <c r="P2467" s="45"/>
      <c r="Q2467" s="45"/>
      <c r="R2467" s="45"/>
      <c r="S2467" s="45"/>
      <c r="T2467" s="45"/>
      <c r="U2467" s="45"/>
    </row>
    <row r="2468">
      <c r="A2468" s="79" t="s">
        <v>20107</v>
      </c>
      <c r="B2468" s="45"/>
      <c r="C2468" s="79" t="s">
        <v>20108</v>
      </c>
      <c r="D2468" s="45"/>
      <c r="E2468" s="79" t="s">
        <v>5390</v>
      </c>
      <c r="F2468" s="79" t="s">
        <v>8784</v>
      </c>
      <c r="G2468" s="80" t="s">
        <v>96</v>
      </c>
      <c r="H2468" s="90">
        <v>1.089E-4</v>
      </c>
      <c r="I2468" s="45"/>
      <c r="J2468" s="45"/>
      <c r="K2468" s="45"/>
      <c r="L2468" s="45"/>
      <c r="M2468" s="45"/>
      <c r="N2468" s="45"/>
      <c r="O2468" s="45"/>
      <c r="P2468" s="45"/>
      <c r="Q2468" s="45"/>
      <c r="R2468" s="45"/>
      <c r="S2468" s="45"/>
      <c r="T2468" s="45"/>
      <c r="U2468" s="45"/>
    </row>
    <row r="2469">
      <c r="A2469" s="79" t="s">
        <v>20109</v>
      </c>
      <c r="B2469" s="45"/>
      <c r="C2469" s="79" t="s">
        <v>20110</v>
      </c>
      <c r="D2469" s="45"/>
      <c r="E2469" s="79" t="s">
        <v>5395</v>
      </c>
      <c r="F2469" s="79" t="s">
        <v>9021</v>
      </c>
      <c r="G2469" s="80" t="s">
        <v>96</v>
      </c>
      <c r="H2469" s="90">
        <v>1.089E-4</v>
      </c>
      <c r="I2469" s="45"/>
      <c r="J2469" s="45"/>
      <c r="K2469" s="45"/>
      <c r="L2469" s="45"/>
      <c r="M2469" s="45"/>
      <c r="N2469" s="45"/>
      <c r="O2469" s="45"/>
      <c r="P2469" s="45"/>
      <c r="Q2469" s="45"/>
      <c r="R2469" s="45"/>
      <c r="S2469" s="45"/>
      <c r="T2469" s="45"/>
      <c r="U2469" s="45"/>
    </row>
    <row r="2470">
      <c r="A2470" s="79" t="s">
        <v>20111</v>
      </c>
      <c r="B2470" s="45"/>
      <c r="C2470" s="79" t="s">
        <v>20112</v>
      </c>
      <c r="D2470" s="45"/>
      <c r="E2470" s="79" t="s">
        <v>5341</v>
      </c>
      <c r="F2470" s="79" t="s">
        <v>5941</v>
      </c>
      <c r="G2470" s="80" t="s">
        <v>96</v>
      </c>
      <c r="H2470" s="90">
        <v>1.088E-4</v>
      </c>
      <c r="I2470" s="45"/>
      <c r="J2470" s="45"/>
      <c r="K2470" s="45"/>
      <c r="L2470" s="45"/>
      <c r="M2470" s="45"/>
      <c r="N2470" s="45"/>
      <c r="O2470" s="45"/>
      <c r="P2470" s="45"/>
      <c r="Q2470" s="45"/>
      <c r="R2470" s="45"/>
      <c r="S2470" s="45"/>
      <c r="T2470" s="45"/>
      <c r="U2470" s="45"/>
    </row>
    <row r="2471">
      <c r="A2471" s="79" t="s">
        <v>20113</v>
      </c>
      <c r="B2471" s="45"/>
      <c r="C2471" s="79" t="s">
        <v>20114</v>
      </c>
      <c r="D2471" s="45"/>
      <c r="E2471" s="79" t="s">
        <v>5374</v>
      </c>
      <c r="F2471" s="79" t="s">
        <v>9299</v>
      </c>
      <c r="G2471" s="80" t="s">
        <v>96</v>
      </c>
      <c r="H2471" s="90">
        <v>1.087E-4</v>
      </c>
      <c r="I2471" s="45"/>
      <c r="J2471" s="45"/>
      <c r="K2471" s="45"/>
      <c r="L2471" s="45"/>
      <c r="M2471" s="45"/>
      <c r="N2471" s="45"/>
      <c r="O2471" s="45"/>
      <c r="P2471" s="45"/>
      <c r="Q2471" s="45"/>
      <c r="R2471" s="45"/>
      <c r="S2471" s="45"/>
      <c r="T2471" s="45"/>
      <c r="U2471" s="45"/>
    </row>
    <row r="2472">
      <c r="A2472" s="79" t="s">
        <v>20115</v>
      </c>
      <c r="B2472" s="45"/>
      <c r="C2472" s="79" t="s">
        <v>20116</v>
      </c>
      <c r="D2472" s="45"/>
      <c r="E2472" s="79" t="s">
        <v>6514</v>
      </c>
      <c r="F2472" s="79" t="s">
        <v>5300</v>
      </c>
      <c r="G2472" s="80" t="s">
        <v>96</v>
      </c>
      <c r="H2472" s="90">
        <v>1.087E-4</v>
      </c>
      <c r="I2472" s="45"/>
      <c r="J2472" s="45"/>
      <c r="K2472" s="45"/>
      <c r="L2472" s="45"/>
      <c r="M2472" s="45"/>
      <c r="N2472" s="45"/>
      <c r="O2472" s="45"/>
      <c r="P2472" s="45"/>
      <c r="Q2472" s="45"/>
      <c r="R2472" s="45"/>
      <c r="S2472" s="45"/>
      <c r="T2472" s="45"/>
      <c r="U2472" s="45"/>
    </row>
    <row r="2473">
      <c r="A2473" s="79" t="s">
        <v>10908</v>
      </c>
      <c r="B2473" s="45"/>
      <c r="C2473" s="79" t="s">
        <v>10909</v>
      </c>
      <c r="D2473" s="45"/>
      <c r="E2473" s="79" t="s">
        <v>6115</v>
      </c>
      <c r="F2473" s="79" t="s">
        <v>8784</v>
      </c>
      <c r="G2473" s="80" t="s">
        <v>96</v>
      </c>
      <c r="H2473" s="90">
        <v>1.085E-4</v>
      </c>
      <c r="I2473" s="45"/>
      <c r="J2473" s="45"/>
      <c r="K2473" s="45"/>
      <c r="L2473" s="45"/>
      <c r="M2473" s="45"/>
      <c r="N2473" s="45"/>
      <c r="O2473" s="45"/>
      <c r="P2473" s="45"/>
      <c r="Q2473" s="45"/>
      <c r="R2473" s="45"/>
      <c r="S2473" s="45"/>
      <c r="T2473" s="45"/>
      <c r="U2473" s="45"/>
    </row>
    <row r="2474">
      <c r="A2474" s="79" t="s">
        <v>20117</v>
      </c>
      <c r="B2474" s="45"/>
      <c r="C2474" s="79" t="s">
        <v>20118</v>
      </c>
      <c r="D2474" s="45"/>
      <c r="E2474" s="79" t="s">
        <v>5335</v>
      </c>
      <c r="F2474" s="79" t="s">
        <v>8784</v>
      </c>
      <c r="G2474" s="80" t="s">
        <v>96</v>
      </c>
      <c r="H2474" s="90">
        <v>1.085E-4</v>
      </c>
      <c r="I2474" s="45"/>
      <c r="J2474" s="45"/>
      <c r="K2474" s="45"/>
      <c r="L2474" s="45"/>
      <c r="M2474" s="45"/>
      <c r="N2474" s="45"/>
      <c r="O2474" s="45"/>
      <c r="P2474" s="45"/>
      <c r="Q2474" s="45"/>
      <c r="R2474" s="45"/>
      <c r="S2474" s="45"/>
      <c r="T2474" s="45"/>
      <c r="U2474" s="45"/>
    </row>
    <row r="2475">
      <c r="A2475" s="79" t="s">
        <v>20119</v>
      </c>
      <c r="B2475" s="45"/>
      <c r="C2475" s="79" t="s">
        <v>20120</v>
      </c>
      <c r="D2475" s="45"/>
      <c r="E2475" s="79" t="s">
        <v>7248</v>
      </c>
      <c r="F2475" s="79" t="s">
        <v>5300</v>
      </c>
      <c r="G2475" s="80" t="s">
        <v>96</v>
      </c>
      <c r="H2475" s="90">
        <v>1.085E-4</v>
      </c>
      <c r="I2475" s="45"/>
      <c r="J2475" s="45"/>
      <c r="K2475" s="45"/>
      <c r="L2475" s="45"/>
      <c r="M2475" s="45"/>
      <c r="N2475" s="45"/>
      <c r="O2475" s="45"/>
      <c r="P2475" s="45"/>
      <c r="Q2475" s="45"/>
      <c r="R2475" s="45"/>
      <c r="S2475" s="45"/>
      <c r="T2475" s="45"/>
      <c r="U2475" s="45"/>
    </row>
    <row r="2476">
      <c r="A2476" s="79" t="s">
        <v>6858</v>
      </c>
      <c r="B2476" s="45"/>
      <c r="C2476" s="79" t="s">
        <v>20121</v>
      </c>
      <c r="D2476" s="45"/>
      <c r="E2476" s="79" t="s">
        <v>5578</v>
      </c>
      <c r="F2476" s="79" t="s">
        <v>4357</v>
      </c>
      <c r="G2476" s="80" t="s">
        <v>96</v>
      </c>
      <c r="H2476" s="90">
        <v>1.085E-4</v>
      </c>
      <c r="I2476" s="45"/>
      <c r="J2476" s="45"/>
      <c r="K2476" s="45"/>
      <c r="L2476" s="45"/>
      <c r="M2476" s="45"/>
      <c r="N2476" s="45"/>
      <c r="O2476" s="45"/>
      <c r="P2476" s="45"/>
      <c r="Q2476" s="45"/>
      <c r="R2476" s="45"/>
      <c r="S2476" s="45"/>
      <c r="T2476" s="45"/>
      <c r="U2476" s="45"/>
    </row>
    <row r="2477">
      <c r="A2477" s="79" t="s">
        <v>20122</v>
      </c>
      <c r="B2477" s="45"/>
      <c r="C2477" s="79" t="s">
        <v>20123</v>
      </c>
      <c r="D2477" s="45"/>
      <c r="E2477" s="79" t="s">
        <v>5478</v>
      </c>
      <c r="F2477" s="79" t="s">
        <v>5300</v>
      </c>
      <c r="G2477" s="80" t="s">
        <v>96</v>
      </c>
      <c r="H2477" s="90">
        <v>1.084E-4</v>
      </c>
      <c r="I2477" s="45"/>
      <c r="J2477" s="45"/>
      <c r="K2477" s="45"/>
      <c r="L2477" s="45"/>
      <c r="M2477" s="45"/>
      <c r="N2477" s="45"/>
      <c r="O2477" s="45"/>
      <c r="P2477" s="45"/>
      <c r="Q2477" s="45"/>
      <c r="R2477" s="45"/>
      <c r="S2477" s="45"/>
      <c r="T2477" s="45"/>
      <c r="U2477" s="45"/>
    </row>
    <row r="2478">
      <c r="A2478" s="79" t="s">
        <v>20124</v>
      </c>
      <c r="B2478" s="45"/>
      <c r="C2478" s="79" t="s">
        <v>20125</v>
      </c>
      <c r="D2478" s="45"/>
      <c r="E2478" s="79" t="s">
        <v>5215</v>
      </c>
      <c r="F2478" s="79" t="s">
        <v>5300</v>
      </c>
      <c r="G2478" s="80" t="s">
        <v>96</v>
      </c>
      <c r="H2478" s="90">
        <v>1.084E-4</v>
      </c>
      <c r="I2478" s="45"/>
      <c r="J2478" s="45"/>
      <c r="K2478" s="45"/>
      <c r="L2478" s="45"/>
      <c r="M2478" s="45"/>
      <c r="N2478" s="45"/>
      <c r="O2478" s="45"/>
      <c r="P2478" s="45"/>
      <c r="Q2478" s="45"/>
      <c r="R2478" s="45"/>
      <c r="S2478" s="45"/>
      <c r="T2478" s="45"/>
      <c r="U2478" s="45"/>
    </row>
    <row r="2479">
      <c r="A2479" s="79" t="s">
        <v>20126</v>
      </c>
      <c r="B2479" s="45"/>
      <c r="C2479" s="79" t="s">
        <v>20127</v>
      </c>
      <c r="D2479" s="45"/>
      <c r="E2479" s="79" t="s">
        <v>6327</v>
      </c>
      <c r="F2479" s="79" t="s">
        <v>8784</v>
      </c>
      <c r="G2479" s="80" t="s">
        <v>96</v>
      </c>
      <c r="H2479" s="90">
        <v>1.083E-4</v>
      </c>
      <c r="I2479" s="45"/>
      <c r="J2479" s="45"/>
      <c r="K2479" s="45"/>
      <c r="L2479" s="45"/>
      <c r="M2479" s="45"/>
      <c r="N2479" s="45"/>
      <c r="O2479" s="45"/>
      <c r="P2479" s="45"/>
      <c r="Q2479" s="45"/>
      <c r="R2479" s="45"/>
      <c r="S2479" s="45"/>
      <c r="T2479" s="45"/>
      <c r="U2479" s="45"/>
    </row>
    <row r="2480">
      <c r="A2480" s="79" t="s">
        <v>20128</v>
      </c>
      <c r="B2480" s="45"/>
      <c r="C2480" s="79" t="s">
        <v>11094</v>
      </c>
      <c r="D2480" s="45"/>
      <c r="E2480" s="79" t="s">
        <v>5218</v>
      </c>
      <c r="F2480" s="79" t="s">
        <v>8767</v>
      </c>
      <c r="G2480" s="80" t="s">
        <v>96</v>
      </c>
      <c r="H2480" s="90">
        <v>1.082E-4</v>
      </c>
      <c r="I2480" s="45"/>
      <c r="J2480" s="45"/>
      <c r="K2480" s="45"/>
      <c r="L2480" s="45"/>
      <c r="M2480" s="45"/>
      <c r="N2480" s="45"/>
      <c r="O2480" s="45"/>
      <c r="P2480" s="45"/>
      <c r="Q2480" s="45"/>
      <c r="R2480" s="45"/>
      <c r="S2480" s="45"/>
      <c r="T2480" s="45"/>
      <c r="U2480" s="45"/>
    </row>
    <row r="2481">
      <c r="A2481" s="79" t="s">
        <v>20129</v>
      </c>
      <c r="B2481" s="45"/>
      <c r="C2481" s="79" t="s">
        <v>20130</v>
      </c>
      <c r="D2481" s="45"/>
      <c r="E2481" s="79" t="s">
        <v>5456</v>
      </c>
      <c r="F2481" s="79" t="s">
        <v>8784</v>
      </c>
      <c r="G2481" s="80" t="s">
        <v>96</v>
      </c>
      <c r="H2481" s="90">
        <v>1.082E-4</v>
      </c>
      <c r="I2481" s="45"/>
      <c r="J2481" s="45"/>
      <c r="K2481" s="45"/>
      <c r="L2481" s="45"/>
      <c r="M2481" s="45"/>
      <c r="N2481" s="45"/>
      <c r="O2481" s="45"/>
      <c r="P2481" s="45"/>
      <c r="Q2481" s="45"/>
      <c r="R2481" s="45"/>
      <c r="S2481" s="45"/>
      <c r="T2481" s="45"/>
      <c r="U2481" s="45"/>
    </row>
    <row r="2482">
      <c r="A2482" s="79" t="s">
        <v>20131</v>
      </c>
      <c r="B2482" s="45"/>
      <c r="C2482" s="79" t="s">
        <v>20132</v>
      </c>
      <c r="D2482" s="45"/>
      <c r="E2482" s="79" t="s">
        <v>6759</v>
      </c>
      <c r="F2482" s="79" t="s">
        <v>5300</v>
      </c>
      <c r="G2482" s="80" t="s">
        <v>96</v>
      </c>
      <c r="H2482" s="90">
        <v>1.082E-4</v>
      </c>
      <c r="I2482" s="45"/>
      <c r="J2482" s="45"/>
      <c r="K2482" s="45"/>
      <c r="L2482" s="45"/>
      <c r="M2482" s="45"/>
      <c r="N2482" s="45"/>
      <c r="O2482" s="45"/>
      <c r="P2482" s="45"/>
      <c r="Q2482" s="45"/>
      <c r="R2482" s="45"/>
      <c r="S2482" s="45"/>
      <c r="T2482" s="45"/>
      <c r="U2482" s="45"/>
    </row>
    <row r="2483">
      <c r="A2483" s="79" t="s">
        <v>20133</v>
      </c>
      <c r="B2483" s="45"/>
      <c r="C2483" s="79" t="s">
        <v>20134</v>
      </c>
      <c r="D2483" s="45"/>
      <c r="E2483" s="79" t="s">
        <v>6172</v>
      </c>
      <c r="F2483" s="79" t="s">
        <v>6988</v>
      </c>
      <c r="G2483" s="80" t="s">
        <v>96</v>
      </c>
      <c r="H2483" s="90">
        <v>1.082E-4</v>
      </c>
      <c r="I2483" s="45"/>
      <c r="J2483" s="45"/>
      <c r="K2483" s="45"/>
      <c r="L2483" s="45"/>
      <c r="M2483" s="45"/>
      <c r="N2483" s="45"/>
      <c r="O2483" s="45"/>
      <c r="P2483" s="45"/>
      <c r="Q2483" s="45"/>
      <c r="R2483" s="45"/>
      <c r="S2483" s="45"/>
      <c r="T2483" s="45"/>
      <c r="U2483" s="45"/>
    </row>
    <row r="2484">
      <c r="A2484" s="79" t="s">
        <v>20135</v>
      </c>
      <c r="B2484" s="45"/>
      <c r="C2484" s="79" t="s">
        <v>20136</v>
      </c>
      <c r="D2484" s="45"/>
      <c r="E2484" s="79" t="s">
        <v>5578</v>
      </c>
      <c r="F2484" s="79" t="s">
        <v>8784</v>
      </c>
      <c r="G2484" s="80" t="s">
        <v>96</v>
      </c>
      <c r="H2484" s="90">
        <v>1.079E-4</v>
      </c>
      <c r="I2484" s="45"/>
      <c r="J2484" s="45"/>
      <c r="K2484" s="45"/>
      <c r="L2484" s="45"/>
      <c r="M2484" s="45"/>
      <c r="N2484" s="45"/>
      <c r="O2484" s="45"/>
      <c r="P2484" s="45"/>
      <c r="Q2484" s="45"/>
      <c r="R2484" s="45"/>
      <c r="S2484" s="45"/>
      <c r="T2484" s="45"/>
      <c r="U2484" s="45"/>
    </row>
    <row r="2485">
      <c r="A2485" s="79" t="s">
        <v>20137</v>
      </c>
      <c r="B2485" s="45"/>
      <c r="C2485" s="79" t="s">
        <v>20138</v>
      </c>
      <c r="D2485" s="45"/>
      <c r="E2485" s="79" t="s">
        <v>9937</v>
      </c>
      <c r="F2485" s="79" t="s">
        <v>5300</v>
      </c>
      <c r="G2485" s="80" t="s">
        <v>96</v>
      </c>
      <c r="H2485" s="90">
        <v>1.078E-4</v>
      </c>
      <c r="I2485" s="45"/>
      <c r="J2485" s="45"/>
      <c r="K2485" s="45"/>
      <c r="L2485" s="45"/>
      <c r="M2485" s="45"/>
      <c r="N2485" s="45"/>
      <c r="O2485" s="45"/>
      <c r="P2485" s="45"/>
      <c r="Q2485" s="45"/>
      <c r="R2485" s="45"/>
      <c r="S2485" s="45"/>
      <c r="T2485" s="45"/>
      <c r="U2485" s="45"/>
    </row>
    <row r="2486">
      <c r="A2486" s="79" t="s">
        <v>20139</v>
      </c>
      <c r="B2486" s="45"/>
      <c r="C2486" s="79" t="s">
        <v>20140</v>
      </c>
      <c r="D2486" s="45"/>
      <c r="E2486" s="79" t="s">
        <v>5456</v>
      </c>
      <c r="F2486" s="79" t="s">
        <v>5836</v>
      </c>
      <c r="G2486" s="80" t="s">
        <v>96</v>
      </c>
      <c r="H2486" s="90">
        <v>1.078E-4</v>
      </c>
      <c r="I2486" s="45"/>
      <c r="J2486" s="45"/>
      <c r="K2486" s="45"/>
      <c r="L2486" s="45"/>
      <c r="M2486" s="45"/>
      <c r="N2486" s="45"/>
      <c r="O2486" s="45"/>
      <c r="P2486" s="45"/>
      <c r="Q2486" s="45"/>
      <c r="R2486" s="45"/>
      <c r="S2486" s="45"/>
      <c r="T2486" s="45"/>
      <c r="U2486" s="45"/>
    </row>
    <row r="2487">
      <c r="A2487" s="79" t="s">
        <v>20141</v>
      </c>
      <c r="B2487" s="45"/>
      <c r="C2487" s="79" t="s">
        <v>20142</v>
      </c>
      <c r="D2487" s="45"/>
      <c r="E2487" s="79" t="s">
        <v>5756</v>
      </c>
      <c r="F2487" s="79" t="s">
        <v>5300</v>
      </c>
      <c r="G2487" s="80" t="s">
        <v>96</v>
      </c>
      <c r="H2487" s="90">
        <v>1.078E-4</v>
      </c>
      <c r="I2487" s="45"/>
      <c r="J2487" s="45"/>
      <c r="K2487" s="45"/>
      <c r="L2487" s="45"/>
      <c r="M2487" s="45"/>
      <c r="N2487" s="45"/>
      <c r="O2487" s="45"/>
      <c r="P2487" s="45"/>
      <c r="Q2487" s="45"/>
      <c r="R2487" s="45"/>
      <c r="S2487" s="45"/>
      <c r="T2487" s="45"/>
      <c r="U2487" s="45"/>
    </row>
    <row r="2488">
      <c r="A2488" s="79" t="s">
        <v>20143</v>
      </c>
      <c r="B2488" s="45"/>
      <c r="C2488" s="79" t="s">
        <v>20144</v>
      </c>
      <c r="D2488" s="45"/>
      <c r="E2488" s="79" t="s">
        <v>5624</v>
      </c>
      <c r="F2488" s="79" t="s">
        <v>8784</v>
      </c>
      <c r="G2488" s="80" t="s">
        <v>96</v>
      </c>
      <c r="H2488" s="90">
        <v>1.078E-4</v>
      </c>
      <c r="I2488" s="45"/>
      <c r="J2488" s="45"/>
      <c r="K2488" s="45"/>
      <c r="L2488" s="45"/>
      <c r="M2488" s="45"/>
      <c r="N2488" s="45"/>
      <c r="O2488" s="45"/>
      <c r="P2488" s="45"/>
      <c r="Q2488" s="45"/>
      <c r="R2488" s="45"/>
      <c r="S2488" s="45"/>
      <c r="T2488" s="45"/>
      <c r="U2488" s="45"/>
    </row>
    <row r="2489">
      <c r="A2489" s="79" t="s">
        <v>20145</v>
      </c>
      <c r="B2489" s="45"/>
      <c r="C2489" s="79" t="s">
        <v>20146</v>
      </c>
      <c r="D2489" s="45"/>
      <c r="E2489" s="79" t="s">
        <v>5459</v>
      </c>
      <c r="F2489" s="79" t="s">
        <v>5300</v>
      </c>
      <c r="G2489" s="80" t="s">
        <v>96</v>
      </c>
      <c r="H2489" s="90">
        <v>1.078E-4</v>
      </c>
      <c r="I2489" s="45"/>
      <c r="J2489" s="45"/>
      <c r="K2489" s="45"/>
      <c r="L2489" s="45"/>
      <c r="M2489" s="45"/>
      <c r="N2489" s="45"/>
      <c r="O2489" s="45"/>
      <c r="P2489" s="45"/>
      <c r="Q2489" s="45"/>
      <c r="R2489" s="45"/>
      <c r="S2489" s="45"/>
      <c r="T2489" s="45"/>
      <c r="U2489" s="45"/>
    </row>
    <row r="2490">
      <c r="A2490" s="79" t="s">
        <v>20147</v>
      </c>
      <c r="B2490" s="45"/>
      <c r="C2490" s="79" t="s">
        <v>20148</v>
      </c>
      <c r="D2490" s="45"/>
      <c r="E2490" s="79" t="s">
        <v>5238</v>
      </c>
      <c r="F2490" s="79" t="s">
        <v>8784</v>
      </c>
      <c r="G2490" s="80" t="s">
        <v>96</v>
      </c>
      <c r="H2490" s="90">
        <v>1.077E-4</v>
      </c>
      <c r="I2490" s="45"/>
      <c r="J2490" s="45"/>
      <c r="K2490" s="45"/>
      <c r="L2490" s="45"/>
      <c r="M2490" s="45"/>
      <c r="N2490" s="45"/>
      <c r="O2490" s="45"/>
      <c r="P2490" s="45"/>
      <c r="Q2490" s="45"/>
      <c r="R2490" s="45"/>
      <c r="S2490" s="45"/>
      <c r="T2490" s="45"/>
      <c r="U2490" s="45"/>
    </row>
    <row r="2491">
      <c r="A2491" s="79" t="s">
        <v>20149</v>
      </c>
      <c r="B2491" s="45"/>
      <c r="C2491" s="79" t="s">
        <v>20150</v>
      </c>
      <c r="D2491" s="45"/>
      <c r="E2491" s="79" t="s">
        <v>6389</v>
      </c>
      <c r="F2491" s="79" t="s">
        <v>8784</v>
      </c>
      <c r="G2491" s="80" t="s">
        <v>96</v>
      </c>
      <c r="H2491" s="90">
        <v>1.077E-4</v>
      </c>
      <c r="I2491" s="45"/>
      <c r="J2491" s="45"/>
      <c r="K2491" s="45"/>
      <c r="L2491" s="45"/>
      <c r="M2491" s="45"/>
      <c r="N2491" s="45"/>
      <c r="O2491" s="45"/>
      <c r="P2491" s="45"/>
      <c r="Q2491" s="45"/>
      <c r="R2491" s="45"/>
      <c r="S2491" s="45"/>
      <c r="T2491" s="45"/>
      <c r="U2491" s="45"/>
    </row>
    <row r="2492">
      <c r="A2492" s="79" t="s">
        <v>20151</v>
      </c>
      <c r="B2492" s="45"/>
      <c r="C2492" s="79" t="s">
        <v>20152</v>
      </c>
      <c r="D2492" s="45"/>
      <c r="E2492" s="79" t="s">
        <v>5404</v>
      </c>
      <c r="F2492" s="79" t="s">
        <v>5300</v>
      </c>
      <c r="G2492" s="80" t="s">
        <v>96</v>
      </c>
      <c r="H2492" s="90">
        <v>1.076E-4</v>
      </c>
      <c r="I2492" s="45"/>
      <c r="J2492" s="45"/>
      <c r="K2492" s="45"/>
      <c r="L2492" s="45"/>
      <c r="M2492" s="45"/>
      <c r="N2492" s="45"/>
      <c r="O2492" s="45"/>
      <c r="P2492" s="45"/>
      <c r="Q2492" s="45"/>
      <c r="R2492" s="45"/>
      <c r="S2492" s="45"/>
      <c r="T2492" s="45"/>
      <c r="U2492" s="45"/>
    </row>
    <row r="2493">
      <c r="A2493" s="79" t="s">
        <v>20153</v>
      </c>
      <c r="B2493" s="45"/>
      <c r="C2493" s="79" t="s">
        <v>20154</v>
      </c>
      <c r="D2493" s="45"/>
      <c r="E2493" s="79" t="s">
        <v>9810</v>
      </c>
      <c r="F2493" s="79" t="s">
        <v>5300</v>
      </c>
      <c r="G2493" s="80" t="s">
        <v>96</v>
      </c>
      <c r="H2493" s="90">
        <v>1.075E-4</v>
      </c>
      <c r="I2493" s="45"/>
      <c r="J2493" s="45"/>
      <c r="K2493" s="45"/>
      <c r="L2493" s="45"/>
      <c r="M2493" s="45"/>
      <c r="N2493" s="45"/>
      <c r="O2493" s="45"/>
      <c r="P2493" s="45"/>
      <c r="Q2493" s="45"/>
      <c r="R2493" s="45"/>
      <c r="S2493" s="45"/>
      <c r="T2493" s="45"/>
      <c r="U2493" s="45"/>
    </row>
    <row r="2494">
      <c r="A2494" s="79" t="s">
        <v>20155</v>
      </c>
      <c r="B2494" s="45"/>
      <c r="C2494" s="79" t="s">
        <v>20156</v>
      </c>
      <c r="D2494" s="45"/>
      <c r="E2494" s="79" t="s">
        <v>5261</v>
      </c>
      <c r="F2494" s="79" t="s">
        <v>6210</v>
      </c>
      <c r="G2494" s="80" t="s">
        <v>96</v>
      </c>
      <c r="H2494" s="90">
        <v>1.075E-4</v>
      </c>
      <c r="I2494" s="45"/>
      <c r="J2494" s="45"/>
      <c r="K2494" s="45"/>
      <c r="L2494" s="45"/>
      <c r="M2494" s="45"/>
      <c r="N2494" s="45"/>
      <c r="O2494" s="45"/>
      <c r="P2494" s="45"/>
      <c r="Q2494" s="45"/>
      <c r="R2494" s="45"/>
      <c r="S2494" s="45"/>
      <c r="T2494" s="45"/>
      <c r="U2494" s="45"/>
    </row>
    <row r="2495">
      <c r="A2495" s="79" t="s">
        <v>20157</v>
      </c>
      <c r="B2495" s="45"/>
      <c r="C2495" s="79" t="s">
        <v>20158</v>
      </c>
      <c r="D2495" s="45"/>
      <c r="E2495" s="79" t="s">
        <v>5283</v>
      </c>
      <c r="F2495" s="79" t="s">
        <v>5300</v>
      </c>
      <c r="G2495" s="80" t="s">
        <v>96</v>
      </c>
      <c r="H2495" s="90">
        <v>1.074E-4</v>
      </c>
      <c r="I2495" s="45"/>
      <c r="J2495" s="45"/>
      <c r="K2495" s="45"/>
      <c r="L2495" s="45"/>
      <c r="M2495" s="45"/>
      <c r="N2495" s="45"/>
      <c r="O2495" s="45"/>
      <c r="P2495" s="45"/>
      <c r="Q2495" s="45"/>
      <c r="R2495" s="45"/>
      <c r="S2495" s="45"/>
      <c r="T2495" s="45"/>
      <c r="U2495" s="45"/>
    </row>
    <row r="2496">
      <c r="A2496" s="79" t="s">
        <v>20159</v>
      </c>
      <c r="B2496" s="45"/>
      <c r="C2496" s="79" t="s">
        <v>20160</v>
      </c>
      <c r="D2496" s="45"/>
      <c r="E2496" s="79" t="s">
        <v>5366</v>
      </c>
      <c r="F2496" s="79" t="s">
        <v>5300</v>
      </c>
      <c r="G2496" s="80" t="s">
        <v>96</v>
      </c>
      <c r="H2496" s="90">
        <v>1.074E-4</v>
      </c>
      <c r="I2496" s="45"/>
      <c r="J2496" s="45"/>
      <c r="K2496" s="45"/>
      <c r="L2496" s="45"/>
      <c r="M2496" s="45"/>
      <c r="N2496" s="45"/>
      <c r="O2496" s="45"/>
      <c r="P2496" s="45"/>
      <c r="Q2496" s="45"/>
      <c r="R2496" s="45"/>
      <c r="S2496" s="45"/>
      <c r="T2496" s="45"/>
      <c r="U2496" s="45"/>
    </row>
    <row r="2497">
      <c r="A2497" s="79" t="s">
        <v>20161</v>
      </c>
      <c r="B2497" s="45"/>
      <c r="C2497" s="79" t="s">
        <v>20162</v>
      </c>
      <c r="D2497" s="45"/>
      <c r="E2497" s="79" t="s">
        <v>5276</v>
      </c>
      <c r="F2497" s="79" t="s">
        <v>5300</v>
      </c>
      <c r="G2497" s="80" t="s">
        <v>96</v>
      </c>
      <c r="H2497" s="90">
        <v>1.072E-4</v>
      </c>
      <c r="I2497" s="45"/>
      <c r="J2497" s="45"/>
      <c r="K2497" s="45"/>
      <c r="L2497" s="45"/>
      <c r="M2497" s="45"/>
      <c r="N2497" s="45"/>
      <c r="O2497" s="45"/>
      <c r="P2497" s="45"/>
      <c r="Q2497" s="45"/>
      <c r="R2497" s="45"/>
      <c r="S2497" s="45"/>
      <c r="T2497" s="45"/>
      <c r="U2497" s="45"/>
    </row>
    <row r="2498">
      <c r="A2498" s="79" t="s">
        <v>20163</v>
      </c>
      <c r="B2498" s="45"/>
      <c r="C2498" s="79" t="s">
        <v>20164</v>
      </c>
      <c r="D2498" s="45"/>
      <c r="E2498" s="79" t="s">
        <v>5291</v>
      </c>
      <c r="F2498" s="79" t="s">
        <v>9414</v>
      </c>
      <c r="G2498" s="80" t="s">
        <v>96</v>
      </c>
      <c r="H2498" s="90">
        <v>1.072E-4</v>
      </c>
      <c r="I2498" s="45"/>
      <c r="J2498" s="45"/>
      <c r="K2498" s="45"/>
      <c r="L2498" s="45"/>
      <c r="M2498" s="45"/>
      <c r="N2498" s="45"/>
      <c r="O2498" s="45"/>
      <c r="P2498" s="45"/>
      <c r="Q2498" s="45"/>
      <c r="R2498" s="45"/>
      <c r="S2498" s="45"/>
      <c r="T2498" s="45"/>
      <c r="U2498" s="45"/>
    </row>
    <row r="2499">
      <c r="A2499" s="79" t="s">
        <v>20165</v>
      </c>
      <c r="B2499" s="45"/>
      <c r="C2499" s="79" t="s">
        <v>20166</v>
      </c>
      <c r="D2499" s="45"/>
      <c r="E2499" s="79" t="s">
        <v>5235</v>
      </c>
      <c r="F2499" s="79" t="s">
        <v>5300</v>
      </c>
      <c r="G2499" s="80" t="s">
        <v>96</v>
      </c>
      <c r="H2499" s="90">
        <v>1.07E-4</v>
      </c>
      <c r="I2499" s="45"/>
      <c r="J2499" s="45"/>
      <c r="K2499" s="45"/>
      <c r="L2499" s="45"/>
      <c r="M2499" s="45"/>
      <c r="N2499" s="45"/>
      <c r="O2499" s="45"/>
      <c r="P2499" s="45"/>
      <c r="Q2499" s="45"/>
      <c r="R2499" s="45"/>
      <c r="S2499" s="45"/>
      <c r="T2499" s="45"/>
      <c r="U2499" s="45"/>
    </row>
    <row r="2500">
      <c r="A2500" s="79" t="s">
        <v>20167</v>
      </c>
      <c r="B2500" s="45"/>
      <c r="C2500" s="79" t="s">
        <v>20168</v>
      </c>
      <c r="D2500" s="45"/>
      <c r="E2500" s="79" t="s">
        <v>5759</v>
      </c>
      <c r="F2500" s="79" t="s">
        <v>5300</v>
      </c>
      <c r="G2500" s="80" t="s">
        <v>96</v>
      </c>
      <c r="H2500" s="90">
        <v>1.07E-4</v>
      </c>
      <c r="I2500" s="45"/>
      <c r="J2500" s="45"/>
      <c r="K2500" s="45"/>
      <c r="L2500" s="45"/>
      <c r="M2500" s="45"/>
      <c r="N2500" s="45"/>
      <c r="O2500" s="45"/>
      <c r="P2500" s="45"/>
      <c r="Q2500" s="45"/>
      <c r="R2500" s="45"/>
      <c r="S2500" s="45"/>
      <c r="T2500" s="45"/>
      <c r="U2500" s="45"/>
    </row>
    <row r="2501">
      <c r="A2501" s="79" t="s">
        <v>20169</v>
      </c>
      <c r="B2501" s="45"/>
      <c r="C2501" s="79" t="s">
        <v>20170</v>
      </c>
      <c r="D2501" s="45"/>
      <c r="E2501" s="79" t="s">
        <v>8110</v>
      </c>
      <c r="F2501" s="79" t="s">
        <v>8784</v>
      </c>
      <c r="G2501" s="80" t="s">
        <v>96</v>
      </c>
      <c r="H2501" s="90">
        <v>1.069E-4</v>
      </c>
      <c r="I2501" s="45"/>
      <c r="J2501" s="45"/>
      <c r="K2501" s="45"/>
      <c r="L2501" s="45"/>
      <c r="M2501" s="45"/>
      <c r="N2501" s="45"/>
      <c r="O2501" s="45"/>
      <c r="P2501" s="45"/>
      <c r="Q2501" s="45"/>
      <c r="R2501" s="45"/>
      <c r="S2501" s="45"/>
      <c r="T2501" s="45"/>
      <c r="U2501" s="45"/>
    </row>
    <row r="2502">
      <c r="A2502" s="79" t="s">
        <v>20171</v>
      </c>
      <c r="B2502" s="45"/>
      <c r="C2502" s="79" t="s">
        <v>20172</v>
      </c>
      <c r="D2502" s="45"/>
      <c r="E2502" s="79" t="s">
        <v>5589</v>
      </c>
      <c r="F2502" s="79" t="s">
        <v>8784</v>
      </c>
      <c r="G2502" s="80" t="s">
        <v>96</v>
      </c>
      <c r="H2502" s="90">
        <v>1.069E-4</v>
      </c>
      <c r="I2502" s="45"/>
      <c r="J2502" s="45"/>
      <c r="K2502" s="45"/>
      <c r="L2502" s="45"/>
      <c r="M2502" s="45"/>
      <c r="N2502" s="45"/>
      <c r="O2502" s="45"/>
      <c r="P2502" s="45"/>
      <c r="Q2502" s="45"/>
      <c r="R2502" s="45"/>
      <c r="S2502" s="45"/>
      <c r="T2502" s="45"/>
      <c r="U2502" s="45"/>
    </row>
    <row r="2503">
      <c r="A2503" s="79" t="s">
        <v>5317</v>
      </c>
      <c r="B2503" s="45"/>
      <c r="C2503" s="79" t="s">
        <v>20173</v>
      </c>
      <c r="D2503" s="45"/>
      <c r="E2503" s="79" t="s">
        <v>5316</v>
      </c>
      <c r="F2503" s="79" t="s">
        <v>5941</v>
      </c>
      <c r="G2503" s="80" t="s">
        <v>96</v>
      </c>
      <c r="H2503" s="90">
        <v>1.067E-4</v>
      </c>
      <c r="I2503" s="45"/>
      <c r="J2503" s="45"/>
      <c r="K2503" s="45"/>
      <c r="L2503" s="45"/>
      <c r="M2503" s="45"/>
      <c r="N2503" s="45"/>
      <c r="O2503" s="45"/>
      <c r="P2503" s="45"/>
      <c r="Q2503" s="45"/>
      <c r="R2503" s="45"/>
      <c r="S2503" s="45"/>
      <c r="T2503" s="45"/>
      <c r="U2503" s="45"/>
    </row>
    <row r="2504">
      <c r="A2504" s="79" t="s">
        <v>20174</v>
      </c>
      <c r="B2504" s="45"/>
      <c r="C2504" s="79" t="s">
        <v>20175</v>
      </c>
      <c r="D2504" s="45"/>
      <c r="E2504" s="79" t="s">
        <v>5249</v>
      </c>
      <c r="F2504" s="79" t="s">
        <v>5941</v>
      </c>
      <c r="G2504" s="80" t="s">
        <v>96</v>
      </c>
      <c r="H2504" s="90">
        <v>1.067E-4</v>
      </c>
      <c r="I2504" s="45"/>
      <c r="J2504" s="45"/>
      <c r="K2504" s="45"/>
      <c r="L2504" s="45"/>
      <c r="M2504" s="45"/>
      <c r="N2504" s="45"/>
      <c r="O2504" s="45"/>
      <c r="P2504" s="45"/>
      <c r="Q2504" s="45"/>
      <c r="R2504" s="45"/>
      <c r="S2504" s="45"/>
      <c r="T2504" s="45"/>
      <c r="U2504" s="45"/>
    </row>
    <row r="2505">
      <c r="A2505" s="79" t="s">
        <v>20176</v>
      </c>
      <c r="B2505" s="45"/>
      <c r="C2505" s="79" t="s">
        <v>20177</v>
      </c>
      <c r="D2505" s="45"/>
      <c r="E2505" s="79" t="s">
        <v>5445</v>
      </c>
      <c r="F2505" s="79" t="s">
        <v>5300</v>
      </c>
      <c r="G2505" s="80" t="s">
        <v>96</v>
      </c>
      <c r="H2505" s="90">
        <v>1.066E-4</v>
      </c>
      <c r="I2505" s="45"/>
      <c r="J2505" s="45"/>
      <c r="K2505" s="45"/>
      <c r="L2505" s="45"/>
      <c r="M2505" s="45"/>
      <c r="N2505" s="45"/>
      <c r="O2505" s="45"/>
      <c r="P2505" s="45"/>
      <c r="Q2505" s="45"/>
      <c r="R2505" s="45"/>
      <c r="S2505" s="45"/>
      <c r="T2505" s="45"/>
      <c r="U2505" s="45"/>
    </row>
    <row r="2506">
      <c r="A2506" s="79" t="s">
        <v>10982</v>
      </c>
      <c r="B2506" s="45"/>
      <c r="C2506" s="79" t="s">
        <v>10983</v>
      </c>
      <c r="D2506" s="45"/>
      <c r="E2506" s="79" t="s">
        <v>9221</v>
      </c>
      <c r="F2506" s="79" t="s">
        <v>8784</v>
      </c>
      <c r="G2506" s="80" t="s">
        <v>96</v>
      </c>
      <c r="H2506" s="90">
        <v>1.066E-4</v>
      </c>
      <c r="I2506" s="45"/>
      <c r="J2506" s="45"/>
      <c r="K2506" s="45"/>
      <c r="L2506" s="45"/>
      <c r="M2506" s="45"/>
      <c r="N2506" s="45"/>
      <c r="O2506" s="45"/>
      <c r="P2506" s="45"/>
      <c r="Q2506" s="45"/>
      <c r="R2506" s="45"/>
      <c r="S2506" s="45"/>
      <c r="T2506" s="45"/>
      <c r="U2506" s="45"/>
    </row>
    <row r="2507">
      <c r="A2507" s="79" t="s">
        <v>20178</v>
      </c>
      <c r="B2507" s="45"/>
      <c r="C2507" s="79" t="s">
        <v>20179</v>
      </c>
      <c r="D2507" s="45"/>
      <c r="E2507" s="79" t="s">
        <v>6130</v>
      </c>
      <c r="F2507" s="79" t="s">
        <v>5300</v>
      </c>
      <c r="G2507" s="80" t="s">
        <v>96</v>
      </c>
      <c r="H2507" s="90">
        <v>1.066E-4</v>
      </c>
      <c r="I2507" s="45"/>
      <c r="J2507" s="45"/>
      <c r="K2507" s="45"/>
      <c r="L2507" s="45"/>
      <c r="M2507" s="45"/>
      <c r="N2507" s="45"/>
      <c r="O2507" s="45"/>
      <c r="P2507" s="45"/>
      <c r="Q2507" s="45"/>
      <c r="R2507" s="45"/>
      <c r="S2507" s="45"/>
      <c r="T2507" s="45"/>
      <c r="U2507" s="45"/>
    </row>
    <row r="2508">
      <c r="A2508" s="79" t="s">
        <v>20180</v>
      </c>
      <c r="B2508" s="45"/>
      <c r="C2508" s="79" t="s">
        <v>20181</v>
      </c>
      <c r="D2508" s="45"/>
      <c r="E2508" s="79" t="s">
        <v>5450</v>
      </c>
      <c r="F2508" s="79" t="s">
        <v>5300</v>
      </c>
      <c r="G2508" s="80" t="s">
        <v>96</v>
      </c>
      <c r="H2508" s="90">
        <v>1.066E-4</v>
      </c>
      <c r="I2508" s="45"/>
      <c r="J2508" s="45"/>
      <c r="K2508" s="45"/>
      <c r="L2508" s="45"/>
      <c r="M2508" s="45"/>
      <c r="N2508" s="45"/>
      <c r="O2508" s="45"/>
      <c r="P2508" s="45"/>
      <c r="Q2508" s="45"/>
      <c r="R2508" s="45"/>
      <c r="S2508" s="45"/>
      <c r="T2508" s="45"/>
      <c r="U2508" s="45"/>
    </row>
    <row r="2509">
      <c r="A2509" s="79" t="s">
        <v>20182</v>
      </c>
      <c r="B2509" s="45"/>
      <c r="C2509" s="79" t="s">
        <v>20183</v>
      </c>
      <c r="D2509" s="45"/>
      <c r="E2509" s="79" t="s">
        <v>5215</v>
      </c>
      <c r="F2509" s="79" t="s">
        <v>8784</v>
      </c>
      <c r="G2509" s="80" t="s">
        <v>96</v>
      </c>
      <c r="H2509" s="90">
        <v>1.064E-4</v>
      </c>
      <c r="I2509" s="45"/>
      <c r="J2509" s="45"/>
      <c r="K2509" s="45"/>
      <c r="L2509" s="45"/>
      <c r="M2509" s="45"/>
      <c r="N2509" s="45"/>
      <c r="O2509" s="45"/>
      <c r="P2509" s="45"/>
      <c r="Q2509" s="45"/>
      <c r="R2509" s="45"/>
      <c r="S2509" s="45"/>
      <c r="T2509" s="45"/>
      <c r="U2509" s="45"/>
    </row>
    <row r="2510">
      <c r="A2510" s="79" t="s">
        <v>6124</v>
      </c>
      <c r="B2510" s="45"/>
      <c r="C2510" s="79" t="s">
        <v>11158</v>
      </c>
      <c r="D2510" s="45"/>
      <c r="E2510" s="79" t="s">
        <v>5395</v>
      </c>
      <c r="F2510" s="79" t="s">
        <v>8784</v>
      </c>
      <c r="G2510" s="80" t="s">
        <v>96</v>
      </c>
      <c r="H2510" s="90">
        <v>1.064E-4</v>
      </c>
      <c r="I2510" s="45"/>
      <c r="J2510" s="45"/>
      <c r="K2510" s="45"/>
      <c r="L2510" s="45"/>
      <c r="M2510" s="45"/>
      <c r="N2510" s="45"/>
      <c r="O2510" s="45"/>
      <c r="P2510" s="45"/>
      <c r="Q2510" s="45"/>
      <c r="R2510" s="45"/>
      <c r="S2510" s="45"/>
      <c r="T2510" s="45"/>
      <c r="U2510" s="45"/>
    </row>
    <row r="2511">
      <c r="A2511" s="79" t="s">
        <v>16330</v>
      </c>
      <c r="B2511" s="45"/>
      <c r="C2511" s="79" t="s">
        <v>20184</v>
      </c>
      <c r="D2511" s="45"/>
      <c r="E2511" s="79" t="s">
        <v>5404</v>
      </c>
      <c r="F2511" s="79" t="s">
        <v>5425</v>
      </c>
      <c r="G2511" s="80" t="s">
        <v>96</v>
      </c>
      <c r="H2511" s="90">
        <v>1.063E-4</v>
      </c>
      <c r="I2511" s="45"/>
      <c r="J2511" s="45"/>
      <c r="K2511" s="45"/>
      <c r="L2511" s="45"/>
      <c r="M2511" s="45"/>
      <c r="N2511" s="45"/>
      <c r="O2511" s="45"/>
      <c r="P2511" s="45"/>
      <c r="Q2511" s="45"/>
      <c r="R2511" s="45"/>
      <c r="S2511" s="45"/>
      <c r="T2511" s="45"/>
      <c r="U2511" s="45"/>
    </row>
    <row r="2512">
      <c r="A2512" s="79" t="s">
        <v>20185</v>
      </c>
      <c r="B2512" s="45"/>
      <c r="C2512" s="79" t="s">
        <v>20186</v>
      </c>
      <c r="D2512" s="45"/>
      <c r="E2512" s="79" t="s">
        <v>5478</v>
      </c>
      <c r="F2512" s="79" t="s">
        <v>5300</v>
      </c>
      <c r="G2512" s="80" t="s">
        <v>96</v>
      </c>
      <c r="H2512" s="90">
        <v>1.061E-4</v>
      </c>
      <c r="I2512" s="45"/>
      <c r="J2512" s="45"/>
      <c r="K2512" s="45"/>
      <c r="L2512" s="45"/>
      <c r="M2512" s="45"/>
      <c r="N2512" s="45"/>
      <c r="O2512" s="45"/>
      <c r="P2512" s="45"/>
      <c r="Q2512" s="45"/>
      <c r="R2512" s="45"/>
      <c r="S2512" s="45"/>
      <c r="T2512" s="45"/>
      <c r="U2512" s="45"/>
    </row>
    <row r="2513">
      <c r="A2513" s="79" t="s">
        <v>20187</v>
      </c>
      <c r="B2513" s="45"/>
      <c r="C2513" s="79" t="s">
        <v>20188</v>
      </c>
      <c r="D2513" s="45"/>
      <c r="E2513" s="79" t="s">
        <v>5561</v>
      </c>
      <c r="F2513" s="79" t="s">
        <v>9021</v>
      </c>
      <c r="G2513" s="80" t="s">
        <v>96</v>
      </c>
      <c r="H2513" s="90">
        <v>1.06E-4</v>
      </c>
      <c r="I2513" s="45"/>
      <c r="J2513" s="45"/>
      <c r="K2513" s="45"/>
      <c r="L2513" s="45"/>
      <c r="M2513" s="45"/>
      <c r="N2513" s="45"/>
      <c r="O2513" s="45"/>
      <c r="P2513" s="45"/>
      <c r="Q2513" s="45"/>
      <c r="R2513" s="45"/>
      <c r="S2513" s="45"/>
      <c r="T2513" s="45"/>
      <c r="U2513" s="45"/>
    </row>
    <row r="2514">
      <c r="A2514" s="79" t="s">
        <v>20189</v>
      </c>
      <c r="B2514" s="45"/>
      <c r="C2514" s="79" t="s">
        <v>20190</v>
      </c>
      <c r="D2514" s="45"/>
      <c r="E2514" s="79" t="s">
        <v>7169</v>
      </c>
      <c r="F2514" s="79" t="s">
        <v>8784</v>
      </c>
      <c r="G2514" s="80" t="s">
        <v>96</v>
      </c>
      <c r="H2514" s="90">
        <v>1.06E-4</v>
      </c>
      <c r="I2514" s="45"/>
      <c r="J2514" s="45"/>
      <c r="K2514" s="45"/>
      <c r="L2514" s="45"/>
      <c r="M2514" s="45"/>
      <c r="N2514" s="45"/>
      <c r="O2514" s="45"/>
      <c r="P2514" s="45"/>
      <c r="Q2514" s="45"/>
      <c r="R2514" s="45"/>
      <c r="S2514" s="45"/>
      <c r="T2514" s="45"/>
      <c r="U2514" s="45"/>
    </row>
    <row r="2515">
      <c r="A2515" s="79" t="s">
        <v>20191</v>
      </c>
      <c r="B2515" s="45"/>
      <c r="C2515" s="79" t="s">
        <v>20192</v>
      </c>
      <c r="D2515" s="45"/>
      <c r="E2515" s="79" t="s">
        <v>5215</v>
      </c>
      <c r="F2515" s="79" t="s">
        <v>5300</v>
      </c>
      <c r="G2515" s="80" t="s">
        <v>96</v>
      </c>
      <c r="H2515" s="90">
        <v>1.06E-4</v>
      </c>
      <c r="I2515" s="45"/>
      <c r="J2515" s="45"/>
      <c r="K2515" s="45"/>
      <c r="L2515" s="45"/>
      <c r="M2515" s="45"/>
      <c r="N2515" s="45"/>
      <c r="O2515" s="45"/>
      <c r="P2515" s="45"/>
      <c r="Q2515" s="45"/>
      <c r="R2515" s="45"/>
      <c r="S2515" s="45"/>
      <c r="T2515" s="45"/>
      <c r="U2515" s="45"/>
    </row>
    <row r="2516">
      <c r="A2516" s="79" t="s">
        <v>20193</v>
      </c>
      <c r="B2516" s="45"/>
      <c r="C2516" s="79" t="s">
        <v>20194</v>
      </c>
      <c r="D2516" s="45"/>
      <c r="E2516" s="79" t="s">
        <v>9553</v>
      </c>
      <c r="F2516" s="79" t="s">
        <v>5300</v>
      </c>
      <c r="G2516" s="80" t="s">
        <v>96</v>
      </c>
      <c r="H2516" s="90">
        <v>1.059E-4</v>
      </c>
      <c r="I2516" s="45"/>
      <c r="J2516" s="45"/>
      <c r="K2516" s="45"/>
      <c r="L2516" s="45"/>
      <c r="M2516" s="45"/>
      <c r="N2516" s="45"/>
      <c r="O2516" s="45"/>
      <c r="P2516" s="45"/>
      <c r="Q2516" s="45"/>
      <c r="R2516" s="45"/>
      <c r="S2516" s="45"/>
      <c r="T2516" s="45"/>
      <c r="U2516" s="45"/>
    </row>
    <row r="2517">
      <c r="A2517" s="79" t="s">
        <v>20195</v>
      </c>
      <c r="B2517" s="45"/>
      <c r="C2517" s="79" t="s">
        <v>20196</v>
      </c>
      <c r="D2517" s="45"/>
      <c r="E2517" s="79" t="s">
        <v>5456</v>
      </c>
      <c r="F2517" s="79" t="s">
        <v>8784</v>
      </c>
      <c r="G2517" s="80" t="s">
        <v>96</v>
      </c>
      <c r="H2517" s="90">
        <v>1.059E-4</v>
      </c>
      <c r="I2517" s="45"/>
      <c r="J2517" s="45"/>
      <c r="K2517" s="45"/>
      <c r="L2517" s="45"/>
      <c r="M2517" s="45"/>
      <c r="N2517" s="45"/>
      <c r="O2517" s="45"/>
      <c r="P2517" s="45"/>
      <c r="Q2517" s="45"/>
      <c r="R2517" s="45"/>
      <c r="S2517" s="45"/>
      <c r="T2517" s="45"/>
      <c r="U2517" s="45"/>
    </row>
    <row r="2518">
      <c r="A2518" s="79" t="s">
        <v>20197</v>
      </c>
      <c r="B2518" s="45"/>
      <c r="C2518" s="79" t="s">
        <v>20198</v>
      </c>
      <c r="D2518" s="45"/>
      <c r="E2518" s="79" t="s">
        <v>6009</v>
      </c>
      <c r="F2518" s="79" t="s">
        <v>5300</v>
      </c>
      <c r="G2518" s="80" t="s">
        <v>96</v>
      </c>
      <c r="H2518" s="90">
        <v>1.059E-4</v>
      </c>
      <c r="I2518" s="45"/>
      <c r="J2518" s="45"/>
      <c r="K2518" s="45"/>
      <c r="L2518" s="45"/>
      <c r="M2518" s="45"/>
      <c r="N2518" s="45"/>
      <c r="O2518" s="45"/>
      <c r="P2518" s="45"/>
      <c r="Q2518" s="45"/>
      <c r="R2518" s="45"/>
      <c r="S2518" s="45"/>
      <c r="T2518" s="45"/>
      <c r="U2518" s="45"/>
    </row>
    <row r="2519">
      <c r="A2519" s="79" t="s">
        <v>20199</v>
      </c>
      <c r="B2519" s="45"/>
      <c r="C2519" s="79" t="s">
        <v>20200</v>
      </c>
      <c r="D2519" s="45"/>
      <c r="E2519" s="79" t="s">
        <v>5961</v>
      </c>
      <c r="F2519" s="79" t="s">
        <v>8784</v>
      </c>
      <c r="G2519" s="80" t="s">
        <v>96</v>
      </c>
      <c r="H2519" s="90">
        <v>1.058E-4</v>
      </c>
      <c r="I2519" s="45"/>
      <c r="J2519" s="45"/>
      <c r="K2519" s="45"/>
      <c r="L2519" s="45"/>
      <c r="M2519" s="45"/>
      <c r="N2519" s="45"/>
      <c r="O2519" s="45"/>
      <c r="P2519" s="45"/>
      <c r="Q2519" s="45"/>
      <c r="R2519" s="45"/>
      <c r="S2519" s="45"/>
      <c r="T2519" s="45"/>
      <c r="U2519" s="45"/>
    </row>
    <row r="2520">
      <c r="A2520" s="79" t="s">
        <v>20201</v>
      </c>
      <c r="B2520" s="45"/>
      <c r="C2520" s="79" t="s">
        <v>20202</v>
      </c>
      <c r="D2520" s="45"/>
      <c r="E2520" s="79" t="s">
        <v>5321</v>
      </c>
      <c r="F2520" s="79" t="s">
        <v>5300</v>
      </c>
      <c r="G2520" s="80" t="s">
        <v>96</v>
      </c>
      <c r="H2520" s="90">
        <v>1.056E-4</v>
      </c>
      <c r="I2520" s="45"/>
      <c r="J2520" s="45"/>
      <c r="K2520" s="45"/>
      <c r="L2520" s="45"/>
      <c r="M2520" s="45"/>
      <c r="N2520" s="45"/>
      <c r="O2520" s="45"/>
      <c r="P2520" s="45"/>
      <c r="Q2520" s="45"/>
      <c r="R2520" s="45"/>
      <c r="S2520" s="45"/>
      <c r="T2520" s="45"/>
      <c r="U2520" s="45"/>
    </row>
    <row r="2521">
      <c r="A2521" s="79" t="s">
        <v>20203</v>
      </c>
      <c r="B2521" s="45"/>
      <c r="C2521" s="79" t="s">
        <v>20204</v>
      </c>
      <c r="D2521" s="45"/>
      <c r="E2521" s="79" t="s">
        <v>7248</v>
      </c>
      <c r="F2521" s="79" t="s">
        <v>5836</v>
      </c>
      <c r="G2521" s="80" t="s">
        <v>96</v>
      </c>
      <c r="H2521" s="90">
        <v>1.056E-4</v>
      </c>
      <c r="I2521" s="45"/>
      <c r="J2521" s="45"/>
      <c r="K2521" s="45"/>
      <c r="L2521" s="45"/>
      <c r="M2521" s="45"/>
      <c r="N2521" s="45"/>
      <c r="O2521" s="45"/>
      <c r="P2521" s="45"/>
      <c r="Q2521" s="45"/>
      <c r="R2521" s="45"/>
      <c r="S2521" s="45"/>
      <c r="T2521" s="45"/>
      <c r="U2521" s="45"/>
    </row>
    <row r="2522">
      <c r="A2522" s="79" t="s">
        <v>20205</v>
      </c>
      <c r="B2522" s="45"/>
      <c r="C2522" s="79" t="s">
        <v>20206</v>
      </c>
      <c r="D2522" s="45"/>
      <c r="E2522" s="79" t="s">
        <v>5276</v>
      </c>
      <c r="F2522" s="79" t="s">
        <v>5747</v>
      </c>
      <c r="G2522" s="80" t="s">
        <v>96</v>
      </c>
      <c r="H2522" s="90">
        <v>1.055E-4</v>
      </c>
      <c r="I2522" s="45"/>
      <c r="J2522" s="45"/>
      <c r="K2522" s="45"/>
      <c r="L2522" s="45"/>
      <c r="M2522" s="45"/>
      <c r="N2522" s="45"/>
      <c r="O2522" s="45"/>
      <c r="P2522" s="45"/>
      <c r="Q2522" s="45"/>
      <c r="R2522" s="45"/>
      <c r="S2522" s="45"/>
      <c r="T2522" s="45"/>
      <c r="U2522" s="45"/>
    </row>
    <row r="2523">
      <c r="A2523" s="79" t="s">
        <v>20207</v>
      </c>
      <c r="B2523" s="45"/>
      <c r="C2523" s="79" t="s">
        <v>20208</v>
      </c>
      <c r="D2523" s="45"/>
      <c r="E2523" s="79" t="s">
        <v>5366</v>
      </c>
      <c r="F2523" s="79" t="s">
        <v>8784</v>
      </c>
      <c r="G2523" s="80" t="s">
        <v>96</v>
      </c>
      <c r="H2523" s="90">
        <v>1.055E-4</v>
      </c>
      <c r="I2523" s="45"/>
      <c r="J2523" s="45"/>
      <c r="K2523" s="45"/>
      <c r="L2523" s="45"/>
      <c r="M2523" s="45"/>
      <c r="N2523" s="45"/>
      <c r="O2523" s="45"/>
      <c r="P2523" s="45"/>
      <c r="Q2523" s="45"/>
      <c r="R2523" s="45"/>
      <c r="S2523" s="45"/>
      <c r="T2523" s="45"/>
      <c r="U2523" s="45"/>
    </row>
    <row r="2524">
      <c r="A2524" s="79" t="s">
        <v>20209</v>
      </c>
      <c r="B2524" s="45"/>
      <c r="C2524" s="79" t="s">
        <v>20210</v>
      </c>
      <c r="D2524" s="45"/>
      <c r="E2524" s="79" t="s">
        <v>8110</v>
      </c>
      <c r="F2524" s="79" t="s">
        <v>5300</v>
      </c>
      <c r="G2524" s="80" t="s">
        <v>96</v>
      </c>
      <c r="H2524" s="90">
        <v>1.055E-4</v>
      </c>
      <c r="I2524" s="45"/>
      <c r="J2524" s="45"/>
      <c r="K2524" s="45"/>
      <c r="L2524" s="45"/>
      <c r="M2524" s="45"/>
      <c r="N2524" s="45"/>
      <c r="O2524" s="45"/>
      <c r="P2524" s="45"/>
      <c r="Q2524" s="45"/>
      <c r="R2524" s="45"/>
      <c r="S2524" s="45"/>
      <c r="T2524" s="45"/>
      <c r="U2524" s="45"/>
    </row>
    <row r="2525">
      <c r="A2525" s="79" t="s">
        <v>20211</v>
      </c>
      <c r="B2525" s="45"/>
      <c r="C2525" s="79" t="s">
        <v>20212</v>
      </c>
      <c r="D2525" s="45"/>
      <c r="E2525" s="79" t="s">
        <v>7611</v>
      </c>
      <c r="F2525" s="79" t="s">
        <v>5747</v>
      </c>
      <c r="G2525" s="80" t="s">
        <v>96</v>
      </c>
      <c r="H2525" s="90">
        <v>1.053E-4</v>
      </c>
      <c r="I2525" s="45"/>
      <c r="J2525" s="45"/>
      <c r="K2525" s="45"/>
      <c r="L2525" s="45"/>
      <c r="M2525" s="45"/>
      <c r="N2525" s="45"/>
      <c r="O2525" s="45"/>
      <c r="P2525" s="45"/>
      <c r="Q2525" s="45"/>
      <c r="R2525" s="45"/>
      <c r="S2525" s="45"/>
      <c r="T2525" s="45"/>
      <c r="U2525" s="45"/>
    </row>
    <row r="2526">
      <c r="A2526" s="79" t="s">
        <v>20213</v>
      </c>
      <c r="B2526" s="45"/>
      <c r="C2526" s="79" t="s">
        <v>20214</v>
      </c>
      <c r="D2526" s="45"/>
      <c r="E2526" s="79" t="s">
        <v>5215</v>
      </c>
      <c r="F2526" s="79" t="s">
        <v>5300</v>
      </c>
      <c r="G2526" s="80" t="s">
        <v>96</v>
      </c>
      <c r="H2526" s="90">
        <v>1.052E-4</v>
      </c>
      <c r="I2526" s="45"/>
      <c r="J2526" s="45"/>
      <c r="K2526" s="45"/>
      <c r="L2526" s="45"/>
      <c r="M2526" s="45"/>
      <c r="N2526" s="45"/>
      <c r="O2526" s="45"/>
      <c r="P2526" s="45"/>
      <c r="Q2526" s="45"/>
      <c r="R2526" s="45"/>
      <c r="S2526" s="45"/>
      <c r="T2526" s="45"/>
      <c r="U2526" s="45"/>
    </row>
    <row r="2527">
      <c r="A2527" s="79" t="s">
        <v>20215</v>
      </c>
      <c r="B2527" s="45"/>
      <c r="C2527" s="79" t="s">
        <v>20216</v>
      </c>
      <c r="D2527" s="45"/>
      <c r="E2527" s="79" t="s">
        <v>6480</v>
      </c>
      <c r="F2527" s="79" t="s">
        <v>8784</v>
      </c>
      <c r="G2527" s="80" t="s">
        <v>96</v>
      </c>
      <c r="H2527" s="90">
        <v>1.05E-4</v>
      </c>
      <c r="I2527" s="45"/>
      <c r="J2527" s="45"/>
      <c r="K2527" s="45"/>
      <c r="L2527" s="45"/>
      <c r="M2527" s="45"/>
      <c r="N2527" s="45"/>
      <c r="O2527" s="45"/>
      <c r="P2527" s="45"/>
      <c r="Q2527" s="45"/>
      <c r="R2527" s="45"/>
      <c r="S2527" s="45"/>
      <c r="T2527" s="45"/>
      <c r="U2527" s="45"/>
    </row>
    <row r="2528">
      <c r="A2528" s="79" t="s">
        <v>20217</v>
      </c>
      <c r="B2528" s="45"/>
      <c r="C2528" s="79" t="s">
        <v>20218</v>
      </c>
      <c r="D2528" s="45"/>
      <c r="E2528" s="79" t="s">
        <v>5855</v>
      </c>
      <c r="F2528" s="79" t="s">
        <v>5941</v>
      </c>
      <c r="G2528" s="80" t="s">
        <v>96</v>
      </c>
      <c r="H2528" s="90">
        <v>1.049E-4</v>
      </c>
      <c r="I2528" s="45"/>
      <c r="J2528" s="45"/>
      <c r="K2528" s="45"/>
      <c r="L2528" s="45"/>
      <c r="M2528" s="45"/>
      <c r="N2528" s="45"/>
      <c r="O2528" s="45"/>
      <c r="P2528" s="45"/>
      <c r="Q2528" s="45"/>
      <c r="R2528" s="45"/>
      <c r="S2528" s="45"/>
      <c r="T2528" s="45"/>
      <c r="U2528" s="45"/>
    </row>
    <row r="2529">
      <c r="A2529" s="79" t="s">
        <v>20219</v>
      </c>
      <c r="B2529" s="45"/>
      <c r="C2529" s="79" t="s">
        <v>20220</v>
      </c>
      <c r="D2529" s="45"/>
      <c r="E2529" s="79" t="s">
        <v>5215</v>
      </c>
      <c r="F2529" s="79" t="s">
        <v>5300</v>
      </c>
      <c r="G2529" s="80" t="s">
        <v>96</v>
      </c>
      <c r="H2529" s="90">
        <v>1.049E-4</v>
      </c>
      <c r="I2529" s="45"/>
      <c r="J2529" s="45"/>
      <c r="K2529" s="45"/>
      <c r="L2529" s="45"/>
      <c r="M2529" s="45"/>
      <c r="N2529" s="45"/>
      <c r="O2529" s="45"/>
      <c r="P2529" s="45"/>
      <c r="Q2529" s="45"/>
      <c r="R2529" s="45"/>
      <c r="S2529" s="45"/>
      <c r="T2529" s="45"/>
      <c r="U2529" s="45"/>
    </row>
    <row r="2530">
      <c r="A2530" s="79" t="s">
        <v>20221</v>
      </c>
      <c r="B2530" s="45"/>
      <c r="C2530" s="79" t="s">
        <v>20222</v>
      </c>
      <c r="D2530" s="45"/>
      <c r="E2530" s="79" t="s">
        <v>5456</v>
      </c>
      <c r="F2530" s="79" t="s">
        <v>5425</v>
      </c>
      <c r="G2530" s="80" t="s">
        <v>96</v>
      </c>
      <c r="H2530" s="90">
        <v>1.048E-4</v>
      </c>
      <c r="I2530" s="45"/>
      <c r="J2530" s="45"/>
      <c r="K2530" s="45"/>
      <c r="L2530" s="45"/>
      <c r="M2530" s="45"/>
      <c r="N2530" s="45"/>
      <c r="O2530" s="45"/>
      <c r="P2530" s="45"/>
      <c r="Q2530" s="45"/>
      <c r="R2530" s="45"/>
      <c r="S2530" s="45"/>
      <c r="T2530" s="45"/>
      <c r="U2530" s="45"/>
    </row>
    <row r="2531">
      <c r="A2531" s="79" t="s">
        <v>20223</v>
      </c>
      <c r="B2531" s="45"/>
      <c r="C2531" s="79" t="s">
        <v>20224</v>
      </c>
      <c r="D2531" s="45"/>
      <c r="E2531" s="79" t="s">
        <v>6172</v>
      </c>
      <c r="F2531" s="79" t="s">
        <v>5747</v>
      </c>
      <c r="G2531" s="80" t="s">
        <v>96</v>
      </c>
      <c r="H2531" s="90">
        <v>1.047E-4</v>
      </c>
      <c r="I2531" s="45"/>
      <c r="J2531" s="45"/>
      <c r="K2531" s="45"/>
      <c r="L2531" s="45"/>
      <c r="M2531" s="45"/>
      <c r="N2531" s="45"/>
      <c r="O2531" s="45"/>
      <c r="P2531" s="45"/>
      <c r="Q2531" s="45"/>
      <c r="R2531" s="45"/>
      <c r="S2531" s="45"/>
      <c r="T2531" s="45"/>
      <c r="U2531" s="45"/>
    </row>
    <row r="2532">
      <c r="A2532" s="79" t="s">
        <v>20225</v>
      </c>
      <c r="B2532" s="45"/>
      <c r="C2532" s="79" t="s">
        <v>20226</v>
      </c>
      <c r="D2532" s="45"/>
      <c r="E2532" s="79" t="s">
        <v>5215</v>
      </c>
      <c r="F2532" s="79" t="s">
        <v>5300</v>
      </c>
      <c r="G2532" s="80" t="s">
        <v>96</v>
      </c>
      <c r="H2532" s="90">
        <v>1.046E-4</v>
      </c>
      <c r="I2532" s="45"/>
      <c r="J2532" s="45"/>
      <c r="K2532" s="45"/>
      <c r="L2532" s="45"/>
      <c r="M2532" s="45"/>
      <c r="N2532" s="45"/>
      <c r="O2532" s="45"/>
      <c r="P2532" s="45"/>
      <c r="Q2532" s="45"/>
      <c r="R2532" s="45"/>
      <c r="S2532" s="45"/>
      <c r="T2532" s="45"/>
      <c r="U2532" s="45"/>
    </row>
    <row r="2533">
      <c r="A2533" s="79" t="s">
        <v>20227</v>
      </c>
      <c r="B2533" s="45"/>
      <c r="C2533" s="79" t="s">
        <v>20228</v>
      </c>
      <c r="D2533" s="45"/>
      <c r="E2533" s="79" t="s">
        <v>5478</v>
      </c>
      <c r="F2533" s="79" t="s">
        <v>5300</v>
      </c>
      <c r="G2533" s="80" t="s">
        <v>96</v>
      </c>
      <c r="H2533" s="90">
        <v>1.046E-4</v>
      </c>
      <c r="I2533" s="45"/>
      <c r="J2533" s="45"/>
      <c r="K2533" s="45"/>
      <c r="L2533" s="45"/>
      <c r="M2533" s="45"/>
      <c r="N2533" s="45"/>
      <c r="O2533" s="45"/>
      <c r="P2533" s="45"/>
      <c r="Q2533" s="45"/>
      <c r="R2533" s="45"/>
      <c r="S2533" s="45"/>
      <c r="T2533" s="45"/>
      <c r="U2533" s="45"/>
    </row>
    <row r="2534">
      <c r="A2534" s="79" t="s">
        <v>20229</v>
      </c>
      <c r="B2534" s="45"/>
      <c r="C2534" s="79" t="s">
        <v>20230</v>
      </c>
      <c r="D2534" s="45"/>
      <c r="E2534" s="79" t="s">
        <v>5382</v>
      </c>
      <c r="F2534" s="79" t="s">
        <v>5747</v>
      </c>
      <c r="G2534" s="80" t="s">
        <v>96</v>
      </c>
      <c r="H2534" s="90">
        <v>1.044E-4</v>
      </c>
      <c r="I2534" s="45"/>
      <c r="J2534" s="45"/>
      <c r="K2534" s="45"/>
      <c r="L2534" s="45"/>
      <c r="M2534" s="45"/>
      <c r="N2534" s="45"/>
      <c r="O2534" s="45"/>
      <c r="P2534" s="45"/>
      <c r="Q2534" s="45"/>
      <c r="R2534" s="45"/>
      <c r="S2534" s="45"/>
      <c r="T2534" s="45"/>
      <c r="U2534" s="45"/>
    </row>
    <row r="2535">
      <c r="A2535" s="79" t="s">
        <v>20231</v>
      </c>
      <c r="B2535" s="45"/>
      <c r="C2535" s="79" t="s">
        <v>20232</v>
      </c>
      <c r="D2535" s="45"/>
      <c r="E2535" s="79" t="s">
        <v>5434</v>
      </c>
      <c r="F2535" s="79" t="s">
        <v>8784</v>
      </c>
      <c r="G2535" s="80" t="s">
        <v>96</v>
      </c>
      <c r="H2535" s="90">
        <v>1.044E-4</v>
      </c>
      <c r="I2535" s="45"/>
      <c r="J2535" s="45"/>
      <c r="K2535" s="45"/>
      <c r="L2535" s="45"/>
      <c r="M2535" s="45"/>
      <c r="N2535" s="45"/>
      <c r="O2535" s="45"/>
      <c r="P2535" s="45"/>
      <c r="Q2535" s="45"/>
      <c r="R2535" s="45"/>
      <c r="S2535" s="45"/>
      <c r="T2535" s="45"/>
      <c r="U2535" s="45"/>
    </row>
    <row r="2536">
      <c r="A2536" s="79" t="s">
        <v>20233</v>
      </c>
      <c r="B2536" s="45"/>
      <c r="C2536" s="79" t="s">
        <v>20234</v>
      </c>
      <c r="D2536" s="45"/>
      <c r="E2536" s="79" t="s">
        <v>5218</v>
      </c>
      <c r="F2536" s="79" t="s">
        <v>5300</v>
      </c>
      <c r="G2536" s="80" t="s">
        <v>96</v>
      </c>
      <c r="H2536" s="90">
        <v>1.044E-4</v>
      </c>
      <c r="I2536" s="45"/>
      <c r="J2536" s="45"/>
      <c r="K2536" s="45"/>
      <c r="L2536" s="45"/>
      <c r="M2536" s="45"/>
      <c r="N2536" s="45"/>
      <c r="O2536" s="45"/>
      <c r="P2536" s="45"/>
      <c r="Q2536" s="45"/>
      <c r="R2536" s="45"/>
      <c r="S2536" s="45"/>
      <c r="T2536" s="45"/>
      <c r="U2536" s="45"/>
    </row>
    <row r="2537">
      <c r="A2537" s="79" t="s">
        <v>20235</v>
      </c>
      <c r="B2537" s="45"/>
      <c r="C2537" s="79" t="s">
        <v>20236</v>
      </c>
      <c r="D2537" s="45"/>
      <c r="E2537" s="79" t="s">
        <v>5456</v>
      </c>
      <c r="F2537" s="79" t="s">
        <v>8784</v>
      </c>
      <c r="G2537" s="80" t="s">
        <v>96</v>
      </c>
      <c r="H2537" s="90">
        <v>1.042E-4</v>
      </c>
      <c r="I2537" s="45"/>
      <c r="J2537" s="45"/>
      <c r="K2537" s="45"/>
      <c r="L2537" s="45"/>
      <c r="M2537" s="45"/>
      <c r="N2537" s="45"/>
      <c r="O2537" s="45"/>
      <c r="P2537" s="45"/>
      <c r="Q2537" s="45"/>
      <c r="R2537" s="45"/>
      <c r="S2537" s="45"/>
      <c r="T2537" s="45"/>
      <c r="U2537" s="45"/>
    </row>
    <row r="2538">
      <c r="A2538" s="79" t="s">
        <v>20237</v>
      </c>
      <c r="B2538" s="45"/>
      <c r="C2538" s="79" t="s">
        <v>20238</v>
      </c>
      <c r="D2538" s="45"/>
      <c r="E2538" s="79" t="s">
        <v>5235</v>
      </c>
      <c r="F2538" s="79" t="s">
        <v>5300</v>
      </c>
      <c r="G2538" s="80" t="s">
        <v>96</v>
      </c>
      <c r="H2538" s="90">
        <v>1.04E-4</v>
      </c>
      <c r="I2538" s="45"/>
      <c r="J2538" s="45"/>
      <c r="K2538" s="45"/>
      <c r="L2538" s="45"/>
      <c r="M2538" s="45"/>
      <c r="N2538" s="45"/>
      <c r="O2538" s="45"/>
      <c r="P2538" s="45"/>
      <c r="Q2538" s="45"/>
      <c r="R2538" s="45"/>
      <c r="S2538" s="45"/>
      <c r="T2538" s="45"/>
      <c r="U2538" s="45"/>
    </row>
    <row r="2539">
      <c r="A2539" s="79" t="s">
        <v>20239</v>
      </c>
      <c r="B2539" s="45"/>
      <c r="C2539" s="79" t="s">
        <v>20240</v>
      </c>
      <c r="D2539" s="45"/>
      <c r="E2539" s="79" t="s">
        <v>5374</v>
      </c>
      <c r="F2539" s="79" t="s">
        <v>5425</v>
      </c>
      <c r="G2539" s="80" t="s">
        <v>96</v>
      </c>
      <c r="H2539" s="90">
        <v>1.04E-4</v>
      </c>
      <c r="I2539" s="45"/>
      <c r="J2539" s="45"/>
      <c r="K2539" s="45"/>
      <c r="L2539" s="45"/>
      <c r="M2539" s="45"/>
      <c r="N2539" s="45"/>
      <c r="O2539" s="45"/>
      <c r="P2539" s="45"/>
      <c r="Q2539" s="45"/>
      <c r="R2539" s="45"/>
      <c r="S2539" s="45"/>
      <c r="T2539" s="45"/>
      <c r="U2539" s="45"/>
    </row>
    <row r="2540">
      <c r="A2540" s="79" t="s">
        <v>20241</v>
      </c>
      <c r="B2540" s="45"/>
      <c r="C2540" s="79" t="s">
        <v>20242</v>
      </c>
      <c r="D2540" s="45"/>
      <c r="E2540" s="79" t="s">
        <v>6514</v>
      </c>
      <c r="F2540" s="79" t="s">
        <v>5300</v>
      </c>
      <c r="G2540" s="80" t="s">
        <v>96</v>
      </c>
      <c r="H2540" s="90">
        <v>1.04E-4</v>
      </c>
      <c r="I2540" s="45"/>
      <c r="J2540" s="45"/>
      <c r="K2540" s="45"/>
      <c r="L2540" s="45"/>
      <c r="M2540" s="45"/>
      <c r="N2540" s="45"/>
      <c r="O2540" s="45"/>
      <c r="P2540" s="45"/>
      <c r="Q2540" s="45"/>
      <c r="R2540" s="45"/>
      <c r="S2540" s="45"/>
      <c r="T2540" s="45"/>
      <c r="U2540" s="45"/>
    </row>
    <row r="2541">
      <c r="A2541" s="79" t="s">
        <v>20243</v>
      </c>
      <c r="B2541" s="45"/>
      <c r="C2541" s="79" t="s">
        <v>20244</v>
      </c>
      <c r="D2541" s="45"/>
      <c r="E2541" s="79" t="s">
        <v>5249</v>
      </c>
      <c r="F2541" s="79" t="s">
        <v>9513</v>
      </c>
      <c r="G2541" s="80" t="s">
        <v>96</v>
      </c>
      <c r="H2541" s="90">
        <v>1.039E-4</v>
      </c>
      <c r="I2541" s="45"/>
      <c r="J2541" s="45"/>
      <c r="K2541" s="45"/>
      <c r="L2541" s="45"/>
      <c r="M2541" s="45"/>
      <c r="N2541" s="45"/>
      <c r="O2541" s="45"/>
      <c r="P2541" s="45"/>
      <c r="Q2541" s="45"/>
      <c r="R2541" s="45"/>
      <c r="S2541" s="45"/>
      <c r="T2541" s="45"/>
      <c r="U2541" s="45"/>
    </row>
    <row r="2542">
      <c r="A2542" s="79" t="s">
        <v>20245</v>
      </c>
      <c r="B2542" s="45"/>
      <c r="C2542" s="79" t="s">
        <v>20246</v>
      </c>
      <c r="D2542" s="45"/>
      <c r="E2542" s="79" t="s">
        <v>5624</v>
      </c>
      <c r="F2542" s="79" t="s">
        <v>5836</v>
      </c>
      <c r="G2542" s="80" t="s">
        <v>96</v>
      </c>
      <c r="H2542" s="90">
        <v>1.039E-4</v>
      </c>
      <c r="I2542" s="45"/>
      <c r="J2542" s="45"/>
      <c r="K2542" s="45"/>
      <c r="L2542" s="45"/>
      <c r="M2542" s="45"/>
      <c r="N2542" s="45"/>
      <c r="O2542" s="45"/>
      <c r="P2542" s="45"/>
      <c r="Q2542" s="45"/>
      <c r="R2542" s="45"/>
      <c r="S2542" s="45"/>
      <c r="T2542" s="45"/>
      <c r="U2542" s="45"/>
    </row>
    <row r="2543">
      <c r="A2543" s="79" t="s">
        <v>20247</v>
      </c>
      <c r="B2543" s="45"/>
      <c r="C2543" s="79" t="s">
        <v>20248</v>
      </c>
      <c r="D2543" s="45"/>
      <c r="E2543" s="79" t="s">
        <v>5341</v>
      </c>
      <c r="F2543" s="79" t="s">
        <v>5300</v>
      </c>
      <c r="G2543" s="80" t="s">
        <v>96</v>
      </c>
      <c r="H2543" s="90">
        <v>1.039E-4</v>
      </c>
      <c r="I2543" s="45"/>
      <c r="J2543" s="45"/>
      <c r="K2543" s="45"/>
      <c r="L2543" s="45"/>
      <c r="M2543" s="45"/>
      <c r="N2543" s="45"/>
      <c r="O2543" s="45"/>
      <c r="P2543" s="45"/>
      <c r="Q2543" s="45"/>
      <c r="R2543" s="45"/>
      <c r="S2543" s="45"/>
      <c r="T2543" s="45"/>
      <c r="U2543" s="45"/>
    </row>
    <row r="2544">
      <c r="A2544" s="79" t="s">
        <v>11128</v>
      </c>
      <c r="B2544" s="45"/>
      <c r="C2544" s="79" t="s">
        <v>11129</v>
      </c>
      <c r="D2544" s="45"/>
      <c r="E2544" s="79" t="s">
        <v>6327</v>
      </c>
      <c r="F2544" s="79" t="s">
        <v>8784</v>
      </c>
      <c r="G2544" s="80" t="s">
        <v>96</v>
      </c>
      <c r="H2544" s="90">
        <v>1.038E-4</v>
      </c>
      <c r="I2544" s="45"/>
      <c r="J2544" s="45"/>
      <c r="K2544" s="45"/>
      <c r="L2544" s="45"/>
      <c r="M2544" s="45"/>
      <c r="N2544" s="45"/>
      <c r="O2544" s="45"/>
      <c r="P2544" s="45"/>
      <c r="Q2544" s="45"/>
      <c r="R2544" s="45"/>
      <c r="S2544" s="45"/>
      <c r="T2544" s="45"/>
      <c r="U2544" s="45"/>
    </row>
    <row r="2545">
      <c r="A2545" s="79" t="s">
        <v>20249</v>
      </c>
      <c r="B2545" s="45"/>
      <c r="C2545" s="79" t="s">
        <v>20250</v>
      </c>
      <c r="D2545" s="45"/>
      <c r="E2545" s="79" t="s">
        <v>5395</v>
      </c>
      <c r="F2545" s="79" t="s">
        <v>8784</v>
      </c>
      <c r="G2545" s="80" t="s">
        <v>96</v>
      </c>
      <c r="H2545" s="90">
        <v>1.038E-4</v>
      </c>
      <c r="I2545" s="45"/>
      <c r="J2545" s="45"/>
      <c r="K2545" s="45"/>
      <c r="L2545" s="45"/>
      <c r="M2545" s="45"/>
      <c r="N2545" s="45"/>
      <c r="O2545" s="45"/>
      <c r="P2545" s="45"/>
      <c r="Q2545" s="45"/>
      <c r="R2545" s="45"/>
      <c r="S2545" s="45"/>
      <c r="T2545" s="45"/>
      <c r="U2545" s="45"/>
    </row>
    <row r="2546">
      <c r="A2546" s="79" t="s">
        <v>20251</v>
      </c>
      <c r="B2546" s="45"/>
      <c r="C2546" s="79" t="s">
        <v>20252</v>
      </c>
      <c r="D2546" s="45"/>
      <c r="E2546" s="79" t="s">
        <v>6130</v>
      </c>
      <c r="F2546" s="79" t="s">
        <v>8784</v>
      </c>
      <c r="G2546" s="80" t="s">
        <v>96</v>
      </c>
      <c r="H2546" s="90">
        <v>1.038E-4</v>
      </c>
      <c r="I2546" s="45"/>
      <c r="J2546" s="45"/>
      <c r="K2546" s="45"/>
      <c r="L2546" s="45"/>
      <c r="M2546" s="45"/>
      <c r="N2546" s="45"/>
      <c r="O2546" s="45"/>
      <c r="P2546" s="45"/>
      <c r="Q2546" s="45"/>
      <c r="R2546" s="45"/>
      <c r="S2546" s="45"/>
      <c r="T2546" s="45"/>
      <c r="U2546" s="45"/>
    </row>
    <row r="2547">
      <c r="A2547" s="79" t="s">
        <v>20253</v>
      </c>
      <c r="B2547" s="45"/>
      <c r="C2547" s="79" t="s">
        <v>20254</v>
      </c>
      <c r="D2547" s="45"/>
      <c r="E2547" s="79" t="s">
        <v>5516</v>
      </c>
      <c r="F2547" s="79" t="s">
        <v>8784</v>
      </c>
      <c r="G2547" s="80" t="s">
        <v>96</v>
      </c>
      <c r="H2547" s="90">
        <v>1.036E-4</v>
      </c>
      <c r="I2547" s="45"/>
      <c r="J2547" s="45"/>
      <c r="K2547" s="45"/>
      <c r="L2547" s="45"/>
      <c r="M2547" s="45"/>
      <c r="N2547" s="45"/>
      <c r="O2547" s="45"/>
      <c r="P2547" s="45"/>
      <c r="Q2547" s="45"/>
      <c r="R2547" s="45"/>
      <c r="S2547" s="45"/>
      <c r="T2547" s="45"/>
      <c r="U2547" s="45"/>
    </row>
    <row r="2548">
      <c r="A2548" s="79" t="s">
        <v>20255</v>
      </c>
      <c r="B2548" s="45"/>
      <c r="C2548" s="79" t="s">
        <v>20256</v>
      </c>
      <c r="D2548" s="45"/>
      <c r="E2548" s="79" t="s">
        <v>5775</v>
      </c>
      <c r="F2548" s="79" t="s">
        <v>5300</v>
      </c>
      <c r="G2548" s="80" t="s">
        <v>96</v>
      </c>
      <c r="H2548" s="90">
        <v>1.035E-4</v>
      </c>
      <c r="I2548" s="45"/>
      <c r="J2548" s="45"/>
      <c r="K2548" s="45"/>
      <c r="L2548" s="45"/>
      <c r="M2548" s="45"/>
      <c r="N2548" s="45"/>
      <c r="O2548" s="45"/>
      <c r="P2548" s="45"/>
      <c r="Q2548" s="45"/>
      <c r="R2548" s="45"/>
      <c r="S2548" s="45"/>
      <c r="T2548" s="45"/>
      <c r="U2548" s="45"/>
    </row>
    <row r="2549">
      <c r="A2549" s="79" t="s">
        <v>20257</v>
      </c>
      <c r="B2549" s="45"/>
      <c r="C2549" s="79" t="s">
        <v>20258</v>
      </c>
      <c r="D2549" s="45"/>
      <c r="E2549" s="79" t="s">
        <v>5501</v>
      </c>
      <c r="F2549" s="79" t="s">
        <v>5300</v>
      </c>
      <c r="G2549" s="80" t="s">
        <v>96</v>
      </c>
      <c r="H2549" s="90">
        <v>1.033E-4</v>
      </c>
      <c r="I2549" s="45"/>
      <c r="J2549" s="45"/>
      <c r="K2549" s="45"/>
      <c r="L2549" s="45"/>
      <c r="M2549" s="45"/>
      <c r="N2549" s="45"/>
      <c r="O2549" s="45"/>
      <c r="P2549" s="45"/>
      <c r="Q2549" s="45"/>
      <c r="R2549" s="45"/>
      <c r="S2549" s="45"/>
      <c r="T2549" s="45"/>
      <c r="U2549" s="45"/>
    </row>
    <row r="2550">
      <c r="A2550" s="79" t="s">
        <v>20259</v>
      </c>
      <c r="B2550" s="45"/>
      <c r="C2550" s="79" t="s">
        <v>20260</v>
      </c>
      <c r="D2550" s="45"/>
      <c r="E2550" s="79" t="s">
        <v>5253</v>
      </c>
      <c r="F2550" s="79" t="s">
        <v>8784</v>
      </c>
      <c r="G2550" s="80" t="s">
        <v>96</v>
      </c>
      <c r="H2550" s="90">
        <v>1.029E-4</v>
      </c>
      <c r="I2550" s="45"/>
      <c r="J2550" s="45"/>
      <c r="K2550" s="45"/>
      <c r="L2550" s="45"/>
      <c r="M2550" s="45"/>
      <c r="N2550" s="45"/>
      <c r="O2550" s="45"/>
      <c r="P2550" s="45"/>
      <c r="Q2550" s="45"/>
      <c r="R2550" s="45"/>
      <c r="S2550" s="45"/>
      <c r="T2550" s="45"/>
      <c r="U2550" s="45"/>
    </row>
    <row r="2551">
      <c r="A2551" s="79" t="s">
        <v>20261</v>
      </c>
      <c r="B2551" s="45"/>
      <c r="C2551" s="79" t="s">
        <v>20262</v>
      </c>
      <c r="D2551" s="45"/>
      <c r="E2551" s="79" t="s">
        <v>5450</v>
      </c>
      <c r="F2551" s="79" t="s">
        <v>5300</v>
      </c>
      <c r="G2551" s="80" t="s">
        <v>96</v>
      </c>
      <c r="H2551" s="90">
        <v>1.029E-4</v>
      </c>
      <c r="I2551" s="45"/>
      <c r="J2551" s="45"/>
      <c r="K2551" s="45"/>
      <c r="L2551" s="45"/>
      <c r="M2551" s="45"/>
      <c r="N2551" s="45"/>
      <c r="O2551" s="45"/>
      <c r="P2551" s="45"/>
      <c r="Q2551" s="45"/>
      <c r="R2551" s="45"/>
      <c r="S2551" s="45"/>
      <c r="T2551" s="45"/>
      <c r="U2551" s="45"/>
    </row>
    <row r="2552">
      <c r="A2552" s="79" t="s">
        <v>20263</v>
      </c>
      <c r="B2552" s="45"/>
      <c r="C2552" s="79" t="s">
        <v>20264</v>
      </c>
      <c r="D2552" s="45"/>
      <c r="E2552" s="79" t="s">
        <v>7611</v>
      </c>
      <c r="F2552" s="79" t="s">
        <v>8759</v>
      </c>
      <c r="G2552" s="80" t="s">
        <v>96</v>
      </c>
      <c r="H2552" s="90">
        <v>1.029E-4</v>
      </c>
      <c r="I2552" s="45"/>
      <c r="J2552" s="45"/>
      <c r="K2552" s="45"/>
      <c r="L2552" s="45"/>
      <c r="M2552" s="45"/>
      <c r="N2552" s="45"/>
      <c r="O2552" s="45"/>
      <c r="P2552" s="45"/>
      <c r="Q2552" s="45"/>
      <c r="R2552" s="45"/>
      <c r="S2552" s="45"/>
      <c r="T2552" s="45"/>
      <c r="U2552" s="45"/>
    </row>
    <row r="2553">
      <c r="A2553" s="79" t="s">
        <v>20265</v>
      </c>
      <c r="B2553" s="45"/>
      <c r="C2553" s="79" t="s">
        <v>20266</v>
      </c>
      <c r="D2553" s="45"/>
      <c r="E2553" s="79" t="s">
        <v>5478</v>
      </c>
      <c r="F2553" s="79" t="s">
        <v>5300</v>
      </c>
      <c r="G2553" s="80" t="s">
        <v>96</v>
      </c>
      <c r="H2553" s="90">
        <v>1.028E-4</v>
      </c>
      <c r="I2553" s="45"/>
      <c r="J2553" s="45"/>
      <c r="K2553" s="45"/>
      <c r="L2553" s="45"/>
      <c r="M2553" s="45"/>
      <c r="N2553" s="45"/>
      <c r="O2553" s="45"/>
      <c r="P2553" s="45"/>
      <c r="Q2553" s="45"/>
      <c r="R2553" s="45"/>
      <c r="S2553" s="45"/>
      <c r="T2553" s="45"/>
      <c r="U2553" s="45"/>
    </row>
    <row r="2554">
      <c r="A2554" s="79" t="s">
        <v>20267</v>
      </c>
      <c r="B2554" s="45"/>
      <c r="C2554" s="79" t="s">
        <v>20268</v>
      </c>
      <c r="D2554" s="45"/>
      <c r="E2554" s="79" t="s">
        <v>5335</v>
      </c>
      <c r="F2554" s="79" t="s">
        <v>5300</v>
      </c>
      <c r="G2554" s="80" t="s">
        <v>96</v>
      </c>
      <c r="H2554" s="90">
        <v>1.028E-4</v>
      </c>
      <c r="I2554" s="45"/>
      <c r="J2554" s="45"/>
      <c r="K2554" s="45"/>
      <c r="L2554" s="45"/>
      <c r="M2554" s="45"/>
      <c r="N2554" s="45"/>
      <c r="O2554" s="45"/>
      <c r="P2554" s="45"/>
      <c r="Q2554" s="45"/>
      <c r="R2554" s="45"/>
      <c r="S2554" s="45"/>
      <c r="T2554" s="45"/>
      <c r="U2554" s="45"/>
    </row>
    <row r="2555">
      <c r="A2555" s="79" t="s">
        <v>20269</v>
      </c>
      <c r="B2555" s="45"/>
      <c r="C2555" s="79" t="s">
        <v>20270</v>
      </c>
      <c r="D2555" s="45"/>
      <c r="E2555" s="79" t="s">
        <v>5759</v>
      </c>
      <c r="F2555" s="79" t="s">
        <v>5300</v>
      </c>
      <c r="G2555" s="80" t="s">
        <v>96</v>
      </c>
      <c r="H2555" s="90">
        <v>1.025E-4</v>
      </c>
      <c r="I2555" s="45"/>
      <c r="J2555" s="45"/>
      <c r="K2555" s="45"/>
      <c r="L2555" s="45"/>
      <c r="M2555" s="45"/>
      <c r="N2555" s="45"/>
      <c r="O2555" s="45"/>
      <c r="P2555" s="45"/>
      <c r="Q2555" s="45"/>
      <c r="R2555" s="45"/>
      <c r="S2555" s="45"/>
      <c r="T2555" s="45"/>
      <c r="U2555" s="45"/>
    </row>
    <row r="2556">
      <c r="A2556" s="79" t="s">
        <v>20271</v>
      </c>
      <c r="B2556" s="45"/>
      <c r="C2556" s="79" t="s">
        <v>20272</v>
      </c>
      <c r="D2556" s="45"/>
      <c r="E2556" s="79" t="s">
        <v>6801</v>
      </c>
      <c r="F2556" s="79" t="s">
        <v>8784</v>
      </c>
      <c r="G2556" s="80" t="s">
        <v>96</v>
      </c>
      <c r="H2556" s="90">
        <v>1.024E-4</v>
      </c>
      <c r="I2556" s="45"/>
      <c r="J2556" s="45"/>
      <c r="K2556" s="45"/>
      <c r="L2556" s="45"/>
      <c r="M2556" s="45"/>
      <c r="N2556" s="45"/>
      <c r="O2556" s="45"/>
      <c r="P2556" s="45"/>
      <c r="Q2556" s="45"/>
      <c r="R2556" s="45"/>
      <c r="S2556" s="45"/>
      <c r="T2556" s="45"/>
      <c r="U2556" s="45"/>
    </row>
    <row r="2557">
      <c r="A2557" s="79" t="s">
        <v>20273</v>
      </c>
      <c r="B2557" s="45"/>
      <c r="C2557" s="79" t="s">
        <v>20274</v>
      </c>
      <c r="D2557" s="45"/>
      <c r="E2557" s="79" t="s">
        <v>5218</v>
      </c>
      <c r="F2557" s="79" t="s">
        <v>5300</v>
      </c>
      <c r="G2557" s="80" t="s">
        <v>96</v>
      </c>
      <c r="H2557" s="90">
        <v>1.024E-4</v>
      </c>
      <c r="I2557" s="45"/>
      <c r="J2557" s="45"/>
      <c r="K2557" s="45"/>
      <c r="L2557" s="45"/>
      <c r="M2557" s="45"/>
      <c r="N2557" s="45"/>
      <c r="O2557" s="45"/>
      <c r="P2557" s="45"/>
      <c r="Q2557" s="45"/>
      <c r="R2557" s="45"/>
      <c r="S2557" s="45"/>
      <c r="T2557" s="45"/>
      <c r="U2557" s="45"/>
    </row>
    <row r="2558">
      <c r="A2558" s="79" t="s">
        <v>20275</v>
      </c>
      <c r="B2558" s="45"/>
      <c r="C2558" s="79" t="s">
        <v>20276</v>
      </c>
      <c r="D2558" s="45"/>
      <c r="E2558" s="79" t="s">
        <v>5445</v>
      </c>
      <c r="F2558" s="79" t="s">
        <v>9513</v>
      </c>
      <c r="G2558" s="80" t="s">
        <v>96</v>
      </c>
      <c r="H2558" s="90">
        <v>1.024E-4</v>
      </c>
      <c r="I2558" s="45"/>
      <c r="J2558" s="45"/>
      <c r="K2558" s="45"/>
      <c r="L2558" s="45"/>
      <c r="M2558" s="45"/>
      <c r="N2558" s="45"/>
      <c r="O2558" s="45"/>
      <c r="P2558" s="45"/>
      <c r="Q2558" s="45"/>
      <c r="R2558" s="45"/>
      <c r="S2558" s="45"/>
      <c r="T2558" s="45"/>
      <c r="U2558" s="45"/>
    </row>
    <row r="2559">
      <c r="A2559" s="79" t="s">
        <v>20277</v>
      </c>
      <c r="B2559" s="45"/>
      <c r="C2559" s="79" t="s">
        <v>20278</v>
      </c>
      <c r="D2559" s="45"/>
      <c r="E2559" s="79" t="s">
        <v>5589</v>
      </c>
      <c r="F2559" s="79" t="s">
        <v>5300</v>
      </c>
      <c r="G2559" s="80" t="s">
        <v>96</v>
      </c>
      <c r="H2559" s="90">
        <v>1.024E-4</v>
      </c>
      <c r="I2559" s="45"/>
      <c r="J2559" s="45"/>
      <c r="K2559" s="45"/>
      <c r="L2559" s="45"/>
      <c r="M2559" s="45"/>
      <c r="N2559" s="45"/>
      <c r="O2559" s="45"/>
      <c r="P2559" s="45"/>
      <c r="Q2559" s="45"/>
      <c r="R2559" s="45"/>
      <c r="S2559" s="45"/>
      <c r="T2559" s="45"/>
      <c r="U2559" s="45"/>
    </row>
    <row r="2560">
      <c r="A2560" s="79" t="s">
        <v>20279</v>
      </c>
      <c r="B2560" s="45"/>
      <c r="C2560" s="79" t="s">
        <v>20280</v>
      </c>
      <c r="D2560" s="45"/>
      <c r="E2560" s="79" t="s">
        <v>8110</v>
      </c>
      <c r="F2560" s="79" t="s">
        <v>8784</v>
      </c>
      <c r="G2560" s="80" t="s">
        <v>96</v>
      </c>
      <c r="H2560" s="90">
        <v>1.022E-4</v>
      </c>
      <c r="I2560" s="45"/>
      <c r="J2560" s="45"/>
      <c r="K2560" s="45"/>
      <c r="L2560" s="45"/>
      <c r="M2560" s="45"/>
      <c r="N2560" s="45"/>
      <c r="O2560" s="45"/>
      <c r="P2560" s="45"/>
      <c r="Q2560" s="45"/>
      <c r="R2560" s="45"/>
      <c r="S2560" s="45"/>
      <c r="T2560" s="45"/>
      <c r="U2560" s="45"/>
    </row>
    <row r="2561">
      <c r="A2561" s="79" t="s">
        <v>20281</v>
      </c>
      <c r="B2561" s="45"/>
      <c r="C2561" s="79" t="s">
        <v>20282</v>
      </c>
      <c r="D2561" s="45"/>
      <c r="E2561" s="79" t="s">
        <v>5215</v>
      </c>
      <c r="F2561" s="79" t="s">
        <v>5300</v>
      </c>
      <c r="G2561" s="80" t="s">
        <v>96</v>
      </c>
      <c r="H2561" s="90">
        <v>1.022E-4</v>
      </c>
      <c r="I2561" s="45"/>
      <c r="J2561" s="45"/>
      <c r="K2561" s="45"/>
      <c r="L2561" s="45"/>
      <c r="M2561" s="45"/>
      <c r="N2561" s="45"/>
      <c r="O2561" s="45"/>
      <c r="P2561" s="45"/>
      <c r="Q2561" s="45"/>
      <c r="R2561" s="45"/>
      <c r="S2561" s="45"/>
      <c r="T2561" s="45"/>
      <c r="U2561" s="45"/>
    </row>
    <row r="2562">
      <c r="A2562" s="79" t="s">
        <v>20283</v>
      </c>
      <c r="B2562" s="45"/>
      <c r="C2562" s="79" t="s">
        <v>20284</v>
      </c>
      <c r="D2562" s="45"/>
      <c r="E2562" s="79" t="s">
        <v>6472</v>
      </c>
      <c r="F2562" s="79" t="s">
        <v>9021</v>
      </c>
      <c r="G2562" s="80" t="s">
        <v>96</v>
      </c>
      <c r="H2562" s="90">
        <v>1.022E-4</v>
      </c>
      <c r="I2562" s="45"/>
      <c r="J2562" s="45"/>
      <c r="K2562" s="45"/>
      <c r="L2562" s="45"/>
      <c r="M2562" s="45"/>
      <c r="N2562" s="45"/>
      <c r="O2562" s="45"/>
      <c r="P2562" s="45"/>
      <c r="Q2562" s="45"/>
      <c r="R2562" s="45"/>
      <c r="S2562" s="45"/>
      <c r="T2562" s="45"/>
      <c r="U2562" s="45"/>
    </row>
    <row r="2563">
      <c r="A2563" s="79" t="s">
        <v>20285</v>
      </c>
      <c r="B2563" s="45"/>
      <c r="C2563" s="79" t="s">
        <v>20286</v>
      </c>
      <c r="D2563" s="45"/>
      <c r="E2563" s="79" t="s">
        <v>5855</v>
      </c>
      <c r="F2563" s="79" t="s">
        <v>5747</v>
      </c>
      <c r="G2563" s="80" t="s">
        <v>96</v>
      </c>
      <c r="H2563" s="90">
        <v>1.022E-4</v>
      </c>
      <c r="I2563" s="45"/>
      <c r="J2563" s="45"/>
      <c r="K2563" s="45"/>
      <c r="L2563" s="45"/>
      <c r="M2563" s="45"/>
      <c r="N2563" s="45"/>
      <c r="O2563" s="45"/>
      <c r="P2563" s="45"/>
      <c r="Q2563" s="45"/>
      <c r="R2563" s="45"/>
      <c r="S2563" s="45"/>
      <c r="T2563" s="45"/>
      <c r="U2563" s="45"/>
    </row>
    <row r="2564">
      <c r="A2564" s="79" t="s">
        <v>20287</v>
      </c>
      <c r="B2564" s="45"/>
      <c r="C2564" s="79" t="s">
        <v>20288</v>
      </c>
      <c r="D2564" s="45"/>
      <c r="E2564" s="79" t="s">
        <v>5407</v>
      </c>
      <c r="F2564" s="79" t="s">
        <v>4095</v>
      </c>
      <c r="G2564" s="80" t="s">
        <v>96</v>
      </c>
      <c r="H2564" s="90">
        <v>1.021E-4</v>
      </c>
      <c r="I2564" s="45"/>
      <c r="J2564" s="45"/>
      <c r="K2564" s="45"/>
      <c r="L2564" s="45"/>
      <c r="M2564" s="45"/>
      <c r="N2564" s="45"/>
      <c r="O2564" s="45"/>
      <c r="P2564" s="45"/>
      <c r="Q2564" s="45"/>
      <c r="R2564" s="45"/>
      <c r="S2564" s="45"/>
      <c r="T2564" s="45"/>
      <c r="U2564" s="45"/>
    </row>
    <row r="2565">
      <c r="A2565" s="79" t="s">
        <v>20289</v>
      </c>
      <c r="B2565" s="45"/>
      <c r="C2565" s="79" t="s">
        <v>20290</v>
      </c>
      <c r="D2565" s="45"/>
      <c r="E2565" s="79" t="s">
        <v>5691</v>
      </c>
      <c r="F2565" s="79" t="s">
        <v>5300</v>
      </c>
      <c r="G2565" s="80" t="s">
        <v>96</v>
      </c>
      <c r="H2565" s="90">
        <v>1.019E-4</v>
      </c>
      <c r="I2565" s="45"/>
      <c r="J2565" s="45"/>
      <c r="K2565" s="45"/>
      <c r="L2565" s="45"/>
      <c r="M2565" s="45"/>
      <c r="N2565" s="45"/>
      <c r="O2565" s="45"/>
      <c r="P2565" s="45"/>
      <c r="Q2565" s="45"/>
      <c r="R2565" s="45"/>
      <c r="S2565" s="45"/>
      <c r="T2565" s="45"/>
      <c r="U2565" s="45"/>
    </row>
    <row r="2566">
      <c r="A2566" s="79" t="s">
        <v>20291</v>
      </c>
      <c r="B2566" s="45"/>
      <c r="C2566" s="79" t="s">
        <v>20292</v>
      </c>
      <c r="D2566" s="45"/>
      <c r="E2566" s="79" t="s">
        <v>5964</v>
      </c>
      <c r="F2566" s="79" t="s">
        <v>5300</v>
      </c>
      <c r="G2566" s="80" t="s">
        <v>96</v>
      </c>
      <c r="H2566" s="90">
        <v>1.018E-4</v>
      </c>
      <c r="I2566" s="45"/>
      <c r="J2566" s="45"/>
      <c r="K2566" s="45"/>
      <c r="L2566" s="45"/>
      <c r="M2566" s="45"/>
      <c r="N2566" s="45"/>
      <c r="O2566" s="45"/>
      <c r="P2566" s="45"/>
      <c r="Q2566" s="45"/>
      <c r="R2566" s="45"/>
      <c r="S2566" s="45"/>
      <c r="T2566" s="45"/>
      <c r="U2566" s="45"/>
    </row>
    <row r="2567">
      <c r="A2567" s="79" t="s">
        <v>20293</v>
      </c>
      <c r="B2567" s="45"/>
      <c r="C2567" s="79" t="s">
        <v>20294</v>
      </c>
      <c r="D2567" s="45"/>
      <c r="E2567" s="79" t="s">
        <v>5276</v>
      </c>
      <c r="F2567" s="79" t="s">
        <v>5300</v>
      </c>
      <c r="G2567" s="80" t="s">
        <v>96</v>
      </c>
      <c r="H2567" s="90">
        <v>1.018E-4</v>
      </c>
      <c r="I2567" s="45"/>
      <c r="J2567" s="45"/>
      <c r="K2567" s="45"/>
      <c r="L2567" s="45"/>
      <c r="M2567" s="45"/>
      <c r="N2567" s="45"/>
      <c r="O2567" s="45"/>
      <c r="P2567" s="45"/>
      <c r="Q2567" s="45"/>
      <c r="R2567" s="45"/>
      <c r="S2567" s="45"/>
      <c r="T2567" s="45"/>
      <c r="U2567" s="45"/>
    </row>
    <row r="2568">
      <c r="A2568" s="79" t="s">
        <v>20295</v>
      </c>
      <c r="B2568" s="45"/>
      <c r="C2568" s="79" t="s">
        <v>20296</v>
      </c>
      <c r="D2568" s="45"/>
      <c r="E2568" s="79" t="s">
        <v>7236</v>
      </c>
      <c r="F2568" s="79" t="s">
        <v>8784</v>
      </c>
      <c r="G2568" s="80" t="s">
        <v>96</v>
      </c>
      <c r="H2568" s="90">
        <v>1.015E-4</v>
      </c>
      <c r="I2568" s="45"/>
      <c r="J2568" s="45"/>
      <c r="K2568" s="45"/>
      <c r="L2568" s="45"/>
      <c r="M2568" s="45"/>
      <c r="N2568" s="45"/>
      <c r="O2568" s="45"/>
      <c r="P2568" s="45"/>
      <c r="Q2568" s="45"/>
      <c r="R2568" s="45"/>
      <c r="S2568" s="45"/>
      <c r="T2568" s="45"/>
      <c r="U2568" s="45"/>
    </row>
    <row r="2569">
      <c r="A2569" s="79" t="s">
        <v>20297</v>
      </c>
      <c r="B2569" s="45"/>
      <c r="C2569" s="79" t="s">
        <v>20298</v>
      </c>
      <c r="D2569" s="45"/>
      <c r="E2569" s="79" t="s">
        <v>5407</v>
      </c>
      <c r="F2569" s="79" t="s">
        <v>5836</v>
      </c>
      <c r="G2569" s="80" t="s">
        <v>96</v>
      </c>
      <c r="H2569" s="90">
        <v>1.014E-4</v>
      </c>
      <c r="I2569" s="45"/>
      <c r="J2569" s="45"/>
      <c r="K2569" s="45"/>
      <c r="L2569" s="45"/>
      <c r="M2569" s="45"/>
      <c r="N2569" s="45"/>
      <c r="O2569" s="45"/>
      <c r="P2569" s="45"/>
      <c r="Q2569" s="45"/>
      <c r="R2569" s="45"/>
      <c r="S2569" s="45"/>
      <c r="T2569" s="45"/>
      <c r="U2569" s="45"/>
    </row>
    <row r="2570">
      <c r="A2570" s="79" t="s">
        <v>20299</v>
      </c>
      <c r="B2570" s="45"/>
      <c r="C2570" s="79" t="s">
        <v>20300</v>
      </c>
      <c r="D2570" s="45"/>
      <c r="E2570" s="79" t="s">
        <v>5961</v>
      </c>
      <c r="F2570" s="79" t="s">
        <v>5300</v>
      </c>
      <c r="G2570" s="80" t="s">
        <v>96</v>
      </c>
      <c r="H2570" s="90">
        <v>1.014E-4</v>
      </c>
      <c r="I2570" s="45"/>
      <c r="J2570" s="45"/>
      <c r="K2570" s="45"/>
      <c r="L2570" s="45"/>
      <c r="M2570" s="45"/>
      <c r="N2570" s="45"/>
      <c r="O2570" s="45"/>
      <c r="P2570" s="45"/>
      <c r="Q2570" s="45"/>
      <c r="R2570" s="45"/>
      <c r="S2570" s="45"/>
      <c r="T2570" s="45"/>
      <c r="U2570" s="45"/>
    </row>
    <row r="2571">
      <c r="A2571" s="79" t="s">
        <v>6294</v>
      </c>
      <c r="B2571" s="45"/>
      <c r="C2571" s="79" t="s">
        <v>20301</v>
      </c>
      <c r="D2571" s="45"/>
      <c r="E2571" s="79" t="s">
        <v>5395</v>
      </c>
      <c r="F2571" s="79" t="s">
        <v>5425</v>
      </c>
      <c r="G2571" s="80" t="s">
        <v>96</v>
      </c>
      <c r="H2571" s="90">
        <v>1.014E-4</v>
      </c>
      <c r="I2571" s="45"/>
      <c r="J2571" s="45"/>
      <c r="K2571" s="45"/>
      <c r="L2571" s="45"/>
      <c r="M2571" s="45"/>
      <c r="N2571" s="45"/>
      <c r="O2571" s="45"/>
      <c r="P2571" s="45"/>
      <c r="Q2571" s="45"/>
      <c r="R2571" s="45"/>
      <c r="S2571" s="45"/>
      <c r="T2571" s="45"/>
      <c r="U2571" s="45"/>
    </row>
    <row r="2572">
      <c r="A2572" s="79" t="s">
        <v>20302</v>
      </c>
      <c r="B2572" s="45"/>
      <c r="C2572" s="79" t="s">
        <v>20303</v>
      </c>
      <c r="D2572" s="45"/>
      <c r="E2572" s="79" t="s">
        <v>5715</v>
      </c>
      <c r="F2572" s="79" t="s">
        <v>8784</v>
      </c>
      <c r="G2572" s="80" t="s">
        <v>96</v>
      </c>
      <c r="H2572" s="90">
        <v>1.013E-4</v>
      </c>
      <c r="I2572" s="45"/>
      <c r="J2572" s="45"/>
      <c r="K2572" s="45"/>
      <c r="L2572" s="45"/>
      <c r="M2572" s="45"/>
      <c r="N2572" s="45"/>
      <c r="O2572" s="45"/>
      <c r="P2572" s="45"/>
      <c r="Q2572" s="45"/>
      <c r="R2572" s="45"/>
      <c r="S2572" s="45"/>
      <c r="T2572" s="45"/>
      <c r="U2572" s="45"/>
    </row>
    <row r="2573">
      <c r="A2573" s="79" t="s">
        <v>5858</v>
      </c>
      <c r="B2573" s="45"/>
      <c r="C2573" s="79" t="s">
        <v>20304</v>
      </c>
      <c r="D2573" s="45"/>
      <c r="E2573" s="79" t="s">
        <v>5335</v>
      </c>
      <c r="F2573" s="79" t="s">
        <v>5300</v>
      </c>
      <c r="G2573" s="80" t="s">
        <v>96</v>
      </c>
      <c r="H2573" s="90">
        <v>1.013E-4</v>
      </c>
      <c r="I2573" s="45"/>
      <c r="J2573" s="45"/>
      <c r="K2573" s="45"/>
      <c r="L2573" s="45"/>
      <c r="M2573" s="45"/>
      <c r="N2573" s="45"/>
      <c r="O2573" s="45"/>
      <c r="P2573" s="45"/>
      <c r="Q2573" s="45"/>
      <c r="R2573" s="45"/>
      <c r="S2573" s="45"/>
      <c r="T2573" s="45"/>
      <c r="U2573" s="45"/>
    </row>
    <row r="2574">
      <c r="A2574" s="79" t="s">
        <v>20305</v>
      </c>
      <c r="B2574" s="45"/>
      <c r="C2574" s="79" t="s">
        <v>20306</v>
      </c>
      <c r="D2574" s="45"/>
      <c r="E2574" s="79" t="s">
        <v>5478</v>
      </c>
      <c r="F2574" s="79" t="s">
        <v>4095</v>
      </c>
      <c r="G2574" s="80" t="s">
        <v>96</v>
      </c>
      <c r="H2574" s="90">
        <v>1.012E-4</v>
      </c>
      <c r="I2574" s="45"/>
      <c r="J2574" s="45"/>
      <c r="K2574" s="45"/>
      <c r="L2574" s="45"/>
      <c r="M2574" s="45"/>
      <c r="N2574" s="45"/>
      <c r="O2574" s="45"/>
      <c r="P2574" s="45"/>
      <c r="Q2574" s="45"/>
      <c r="R2574" s="45"/>
      <c r="S2574" s="45"/>
      <c r="T2574" s="45"/>
      <c r="U2574" s="45"/>
    </row>
    <row r="2575">
      <c r="A2575" s="79" t="s">
        <v>20307</v>
      </c>
      <c r="B2575" s="45"/>
      <c r="C2575" s="79" t="s">
        <v>20308</v>
      </c>
      <c r="D2575" s="45"/>
      <c r="E2575" s="79" t="s">
        <v>6012</v>
      </c>
      <c r="F2575" s="79" t="s">
        <v>4095</v>
      </c>
      <c r="G2575" s="80" t="s">
        <v>96</v>
      </c>
      <c r="H2575" s="90">
        <v>1.011E-4</v>
      </c>
      <c r="I2575" s="45"/>
      <c r="J2575" s="45"/>
      <c r="K2575" s="45"/>
      <c r="L2575" s="45"/>
      <c r="M2575" s="45"/>
      <c r="N2575" s="45"/>
      <c r="O2575" s="45"/>
      <c r="P2575" s="45"/>
      <c r="Q2575" s="45"/>
      <c r="R2575" s="45"/>
      <c r="S2575" s="45"/>
      <c r="T2575" s="45"/>
      <c r="U2575" s="45"/>
    </row>
    <row r="2576">
      <c r="A2576" s="79" t="s">
        <v>20309</v>
      </c>
      <c r="B2576" s="45"/>
      <c r="C2576" s="79" t="s">
        <v>20310</v>
      </c>
      <c r="D2576" s="45"/>
      <c r="E2576" s="79" t="s">
        <v>5276</v>
      </c>
      <c r="F2576" s="79" t="s">
        <v>5836</v>
      </c>
      <c r="G2576" s="80" t="s">
        <v>96</v>
      </c>
      <c r="H2576" s="90">
        <v>1.01E-4</v>
      </c>
      <c r="I2576" s="45"/>
      <c r="J2576" s="45"/>
      <c r="K2576" s="45"/>
      <c r="L2576" s="45"/>
      <c r="M2576" s="45"/>
      <c r="N2576" s="45"/>
      <c r="O2576" s="45"/>
      <c r="P2576" s="45"/>
      <c r="Q2576" s="45"/>
      <c r="R2576" s="45"/>
      <c r="S2576" s="45"/>
      <c r="T2576" s="45"/>
      <c r="U2576" s="45"/>
    </row>
    <row r="2577">
      <c r="A2577" s="79" t="s">
        <v>20311</v>
      </c>
      <c r="B2577" s="45"/>
      <c r="C2577" s="79" t="s">
        <v>20312</v>
      </c>
      <c r="D2577" s="45"/>
      <c r="E2577" s="79" t="s">
        <v>5366</v>
      </c>
      <c r="F2577" s="79" t="s">
        <v>8784</v>
      </c>
      <c r="G2577" s="80" t="s">
        <v>96</v>
      </c>
      <c r="H2577" s="90">
        <v>1.009E-4</v>
      </c>
      <c r="I2577" s="45"/>
      <c r="J2577" s="45"/>
      <c r="K2577" s="45"/>
      <c r="L2577" s="45"/>
      <c r="M2577" s="45"/>
      <c r="N2577" s="45"/>
      <c r="O2577" s="45"/>
      <c r="P2577" s="45"/>
      <c r="Q2577" s="45"/>
      <c r="R2577" s="45"/>
      <c r="S2577" s="45"/>
      <c r="T2577" s="45"/>
      <c r="U2577" s="45"/>
    </row>
    <row r="2578">
      <c r="A2578" s="79" t="s">
        <v>20313</v>
      </c>
      <c r="B2578" s="45"/>
      <c r="C2578" s="79" t="s">
        <v>20314</v>
      </c>
      <c r="D2578" s="45"/>
      <c r="E2578" s="79" t="s">
        <v>5215</v>
      </c>
      <c r="F2578" s="79" t="s">
        <v>5300</v>
      </c>
      <c r="G2578" s="80" t="s">
        <v>96</v>
      </c>
      <c r="H2578" s="90">
        <v>1.008E-4</v>
      </c>
      <c r="I2578" s="45"/>
      <c r="J2578" s="45"/>
      <c r="K2578" s="45"/>
      <c r="L2578" s="45"/>
      <c r="M2578" s="45"/>
      <c r="N2578" s="45"/>
      <c r="O2578" s="45"/>
      <c r="P2578" s="45"/>
      <c r="Q2578" s="45"/>
      <c r="R2578" s="45"/>
      <c r="S2578" s="45"/>
      <c r="T2578" s="45"/>
      <c r="U2578" s="45"/>
    </row>
    <row r="2579">
      <c r="A2579" s="79" t="s">
        <v>20315</v>
      </c>
      <c r="B2579" s="45"/>
      <c r="C2579" s="79" t="s">
        <v>20316</v>
      </c>
      <c r="D2579" s="45"/>
      <c r="E2579" s="79" t="s">
        <v>5215</v>
      </c>
      <c r="F2579" s="79" t="s">
        <v>5300</v>
      </c>
      <c r="G2579" s="80" t="s">
        <v>96</v>
      </c>
      <c r="H2579" s="90">
        <v>1.008E-4</v>
      </c>
      <c r="I2579" s="45"/>
      <c r="J2579" s="45"/>
      <c r="K2579" s="45"/>
      <c r="L2579" s="45"/>
      <c r="M2579" s="45"/>
      <c r="N2579" s="45"/>
      <c r="O2579" s="45"/>
      <c r="P2579" s="45"/>
      <c r="Q2579" s="45"/>
      <c r="R2579" s="45"/>
      <c r="S2579" s="45"/>
      <c r="T2579" s="45"/>
      <c r="U2579" s="45"/>
    </row>
    <row r="2580">
      <c r="A2580" s="79" t="s">
        <v>20317</v>
      </c>
      <c r="B2580" s="45"/>
      <c r="C2580" s="79" t="s">
        <v>20318</v>
      </c>
      <c r="D2580" s="45"/>
      <c r="E2580" s="79" t="s">
        <v>5395</v>
      </c>
      <c r="F2580" s="79" t="s">
        <v>5300</v>
      </c>
      <c r="G2580" s="80" t="s">
        <v>96</v>
      </c>
      <c r="H2580" s="90">
        <v>1.006E-4</v>
      </c>
      <c r="I2580" s="45"/>
      <c r="J2580" s="45"/>
      <c r="K2580" s="45"/>
      <c r="L2580" s="45"/>
      <c r="M2580" s="45"/>
      <c r="N2580" s="45"/>
      <c r="O2580" s="45"/>
      <c r="P2580" s="45"/>
      <c r="Q2580" s="45"/>
      <c r="R2580" s="45"/>
      <c r="S2580" s="45"/>
      <c r="T2580" s="45"/>
      <c r="U2580" s="45"/>
    </row>
    <row r="2581">
      <c r="A2581" s="79" t="s">
        <v>20319</v>
      </c>
      <c r="B2581" s="45"/>
      <c r="C2581" s="79" t="s">
        <v>20320</v>
      </c>
      <c r="D2581" s="45"/>
      <c r="E2581" s="79" t="s">
        <v>6487</v>
      </c>
      <c r="F2581" s="79" t="s">
        <v>5300</v>
      </c>
      <c r="G2581" s="80" t="s">
        <v>96</v>
      </c>
      <c r="H2581" s="90">
        <v>1.004E-4</v>
      </c>
      <c r="I2581" s="45"/>
      <c r="J2581" s="45"/>
      <c r="K2581" s="45"/>
      <c r="L2581" s="45"/>
      <c r="M2581" s="45"/>
      <c r="N2581" s="45"/>
      <c r="O2581" s="45"/>
      <c r="P2581" s="45"/>
      <c r="Q2581" s="45"/>
      <c r="R2581" s="45"/>
      <c r="S2581" s="45"/>
      <c r="T2581" s="45"/>
      <c r="U2581" s="45"/>
    </row>
    <row r="2582">
      <c r="A2582" s="79" t="s">
        <v>20321</v>
      </c>
      <c r="B2582" s="45"/>
      <c r="C2582" s="79" t="s">
        <v>20322</v>
      </c>
      <c r="D2582" s="45"/>
      <c r="E2582" s="79" t="s">
        <v>5215</v>
      </c>
      <c r="F2582" s="79" t="s">
        <v>5300</v>
      </c>
      <c r="G2582" s="80" t="s">
        <v>96</v>
      </c>
      <c r="H2582" s="90">
        <v>1.003E-4</v>
      </c>
      <c r="I2582" s="45"/>
      <c r="J2582" s="45"/>
      <c r="K2582" s="45"/>
      <c r="L2582" s="45"/>
      <c r="M2582" s="45"/>
      <c r="N2582" s="45"/>
      <c r="O2582" s="45"/>
      <c r="P2582" s="45"/>
      <c r="Q2582" s="45"/>
      <c r="R2582" s="45"/>
      <c r="S2582" s="45"/>
      <c r="T2582" s="45"/>
      <c r="U2582" s="45"/>
    </row>
    <row r="2583">
      <c r="A2583" s="79" t="s">
        <v>16249</v>
      </c>
      <c r="B2583" s="45"/>
      <c r="C2583" s="79" t="s">
        <v>20323</v>
      </c>
      <c r="D2583" s="45"/>
      <c r="E2583" s="79" t="s">
        <v>5211</v>
      </c>
      <c r="F2583" s="79" t="s">
        <v>5836</v>
      </c>
      <c r="G2583" s="80" t="s">
        <v>96</v>
      </c>
      <c r="H2583" s="90">
        <v>1.001E-4</v>
      </c>
      <c r="I2583" s="45"/>
      <c r="J2583" s="45"/>
      <c r="K2583" s="45"/>
      <c r="L2583" s="45"/>
      <c r="M2583" s="45"/>
      <c r="N2583" s="45"/>
      <c r="O2583" s="45"/>
      <c r="P2583" s="45"/>
      <c r="Q2583" s="45"/>
      <c r="R2583" s="45"/>
      <c r="S2583" s="45"/>
      <c r="T2583" s="45"/>
      <c r="U2583" s="45"/>
    </row>
    <row r="2584">
      <c r="A2584" s="79" t="s">
        <v>20324</v>
      </c>
      <c r="B2584" s="45"/>
      <c r="C2584" s="79" t="s">
        <v>20325</v>
      </c>
      <c r="D2584" s="45"/>
      <c r="E2584" s="79" t="s">
        <v>9189</v>
      </c>
      <c r="F2584" s="79" t="s">
        <v>5268</v>
      </c>
      <c r="G2584" s="80" t="s">
        <v>96</v>
      </c>
      <c r="H2584" s="90">
        <v>1.001E-4</v>
      </c>
      <c r="I2584" s="45"/>
      <c r="J2584" s="45"/>
      <c r="K2584" s="45"/>
      <c r="L2584" s="45"/>
      <c r="M2584" s="45"/>
      <c r="N2584" s="45"/>
      <c r="O2584" s="45"/>
      <c r="P2584" s="45"/>
      <c r="Q2584" s="45"/>
      <c r="R2584" s="45"/>
      <c r="S2584" s="45"/>
      <c r="T2584" s="45"/>
      <c r="U2584" s="45"/>
    </row>
    <row r="2585">
      <c r="A2585" s="79" t="s">
        <v>20326</v>
      </c>
      <c r="B2585" s="45"/>
      <c r="C2585" s="79" t="s">
        <v>20327</v>
      </c>
      <c r="D2585" s="45"/>
      <c r="E2585" s="79" t="s">
        <v>5501</v>
      </c>
      <c r="F2585" s="79" t="s">
        <v>8784</v>
      </c>
      <c r="G2585" s="80" t="s">
        <v>96</v>
      </c>
      <c r="H2585" s="90">
        <v>1.0E-4</v>
      </c>
      <c r="I2585" s="45"/>
      <c r="J2585" s="45"/>
      <c r="K2585" s="45"/>
      <c r="L2585" s="45"/>
      <c r="M2585" s="45"/>
      <c r="N2585" s="45"/>
      <c r="O2585" s="45"/>
      <c r="P2585" s="45"/>
      <c r="Q2585" s="45"/>
      <c r="R2585" s="45"/>
      <c r="S2585" s="45"/>
      <c r="T2585" s="45"/>
      <c r="U2585" s="45"/>
    </row>
    <row r="2586">
      <c r="A2586" s="79" t="s">
        <v>20328</v>
      </c>
      <c r="B2586" s="45"/>
      <c r="C2586" s="79" t="s">
        <v>20329</v>
      </c>
      <c r="D2586" s="45"/>
      <c r="E2586" s="79" t="s">
        <v>6389</v>
      </c>
      <c r="F2586" s="79" t="s">
        <v>9299</v>
      </c>
      <c r="G2586" s="80" t="s">
        <v>96</v>
      </c>
      <c r="H2586" s="90">
        <v>9.99E-5</v>
      </c>
      <c r="I2586" s="45"/>
      <c r="J2586" s="45"/>
      <c r="K2586" s="45"/>
      <c r="L2586" s="45"/>
      <c r="M2586" s="45"/>
      <c r="N2586" s="45"/>
      <c r="O2586" s="45"/>
      <c r="P2586" s="45"/>
      <c r="Q2586" s="45"/>
      <c r="R2586" s="45"/>
      <c r="S2586" s="45"/>
      <c r="T2586" s="45"/>
      <c r="U2586" s="45"/>
    </row>
    <row r="2587">
      <c r="A2587" s="79" t="s">
        <v>20330</v>
      </c>
      <c r="B2587" s="45"/>
      <c r="C2587" s="79" t="s">
        <v>20331</v>
      </c>
      <c r="D2587" s="45"/>
      <c r="E2587" s="79" t="s">
        <v>5422</v>
      </c>
      <c r="F2587" s="79" t="s">
        <v>4095</v>
      </c>
      <c r="G2587" s="80" t="s">
        <v>96</v>
      </c>
      <c r="H2587" s="90">
        <v>9.99E-5</v>
      </c>
      <c r="I2587" s="45"/>
      <c r="J2587" s="45"/>
      <c r="K2587" s="45"/>
      <c r="L2587" s="45"/>
      <c r="M2587" s="45"/>
      <c r="N2587" s="45"/>
      <c r="O2587" s="45"/>
      <c r="P2587" s="45"/>
      <c r="Q2587" s="45"/>
      <c r="R2587" s="45"/>
      <c r="S2587" s="45"/>
      <c r="T2587" s="45"/>
      <c r="U2587" s="45"/>
    </row>
    <row r="2588">
      <c r="A2588" s="79" t="s">
        <v>20332</v>
      </c>
      <c r="B2588" s="45"/>
      <c r="C2588" s="79" t="s">
        <v>20333</v>
      </c>
      <c r="D2588" s="45"/>
      <c r="E2588" s="79" t="s">
        <v>5478</v>
      </c>
      <c r="F2588" s="79" t="s">
        <v>5300</v>
      </c>
      <c r="G2588" s="80" t="s">
        <v>96</v>
      </c>
      <c r="H2588" s="90">
        <v>9.98E-5</v>
      </c>
      <c r="I2588" s="45"/>
      <c r="J2588" s="45"/>
      <c r="K2588" s="45"/>
      <c r="L2588" s="45"/>
      <c r="M2588" s="45"/>
      <c r="N2588" s="45"/>
      <c r="O2588" s="45"/>
      <c r="P2588" s="45"/>
      <c r="Q2588" s="45"/>
      <c r="R2588" s="45"/>
      <c r="S2588" s="45"/>
      <c r="T2588" s="45"/>
      <c r="U2588" s="45"/>
    </row>
    <row r="2589">
      <c r="A2589" s="79" t="s">
        <v>20334</v>
      </c>
      <c r="B2589" s="45"/>
      <c r="C2589" s="79" t="s">
        <v>20335</v>
      </c>
      <c r="D2589" s="45"/>
      <c r="E2589" s="79" t="s">
        <v>5478</v>
      </c>
      <c r="F2589" s="79" t="s">
        <v>5300</v>
      </c>
      <c r="G2589" s="80" t="s">
        <v>96</v>
      </c>
      <c r="H2589" s="90">
        <v>9.98E-5</v>
      </c>
      <c r="I2589" s="45"/>
      <c r="J2589" s="45"/>
      <c r="K2589" s="45"/>
      <c r="L2589" s="45"/>
      <c r="M2589" s="45"/>
      <c r="N2589" s="45"/>
      <c r="O2589" s="45"/>
      <c r="P2589" s="45"/>
      <c r="Q2589" s="45"/>
      <c r="R2589" s="45"/>
      <c r="S2589" s="45"/>
      <c r="T2589" s="45"/>
      <c r="U2589" s="45"/>
    </row>
    <row r="2590">
      <c r="A2590" s="79" t="s">
        <v>20336</v>
      </c>
      <c r="B2590" s="45"/>
      <c r="C2590" s="79" t="s">
        <v>20337</v>
      </c>
      <c r="D2590" s="45"/>
      <c r="E2590" s="79" t="s">
        <v>5501</v>
      </c>
      <c r="F2590" s="79" t="s">
        <v>5300</v>
      </c>
      <c r="G2590" s="80" t="s">
        <v>96</v>
      </c>
      <c r="H2590" s="90">
        <v>9.97E-5</v>
      </c>
      <c r="I2590" s="45"/>
      <c r="J2590" s="45"/>
      <c r="K2590" s="45"/>
      <c r="L2590" s="45"/>
      <c r="M2590" s="45"/>
      <c r="N2590" s="45"/>
      <c r="O2590" s="45"/>
      <c r="P2590" s="45"/>
      <c r="Q2590" s="45"/>
      <c r="R2590" s="45"/>
      <c r="S2590" s="45"/>
      <c r="T2590" s="45"/>
      <c r="U2590" s="45"/>
    </row>
    <row r="2591">
      <c r="A2591" s="79" t="s">
        <v>20338</v>
      </c>
      <c r="B2591" s="45"/>
      <c r="C2591" s="79" t="s">
        <v>20339</v>
      </c>
      <c r="D2591" s="45"/>
      <c r="E2591" s="79" t="s">
        <v>5742</v>
      </c>
      <c r="F2591" s="79" t="s">
        <v>5300</v>
      </c>
      <c r="G2591" s="80" t="s">
        <v>96</v>
      </c>
      <c r="H2591" s="90">
        <v>9.97E-5</v>
      </c>
      <c r="I2591" s="45"/>
      <c r="J2591" s="45"/>
      <c r="K2591" s="45"/>
      <c r="L2591" s="45"/>
      <c r="M2591" s="45"/>
      <c r="N2591" s="45"/>
      <c r="O2591" s="45"/>
      <c r="P2591" s="45"/>
      <c r="Q2591" s="45"/>
      <c r="R2591" s="45"/>
      <c r="S2591" s="45"/>
      <c r="T2591" s="45"/>
      <c r="U2591" s="45"/>
    </row>
    <row r="2592">
      <c r="A2592" s="79" t="s">
        <v>20340</v>
      </c>
      <c r="B2592" s="45"/>
      <c r="C2592" s="79" t="s">
        <v>20341</v>
      </c>
      <c r="D2592" s="45"/>
      <c r="E2592" s="79" t="s">
        <v>5338</v>
      </c>
      <c r="F2592" s="79" t="s">
        <v>8784</v>
      </c>
      <c r="G2592" s="80" t="s">
        <v>96</v>
      </c>
      <c r="H2592" s="90">
        <v>9.97E-5</v>
      </c>
      <c r="I2592" s="45"/>
      <c r="J2592" s="45"/>
      <c r="K2592" s="45"/>
      <c r="L2592" s="45"/>
      <c r="M2592" s="45"/>
      <c r="N2592" s="45"/>
      <c r="O2592" s="45"/>
      <c r="P2592" s="45"/>
      <c r="Q2592" s="45"/>
      <c r="R2592" s="45"/>
      <c r="S2592" s="45"/>
      <c r="T2592" s="45"/>
      <c r="U2592" s="45"/>
    </row>
    <row r="2593">
      <c r="A2593" s="79" t="s">
        <v>20342</v>
      </c>
      <c r="B2593" s="45"/>
      <c r="C2593" s="79" t="s">
        <v>20343</v>
      </c>
      <c r="D2593" s="45"/>
      <c r="E2593" s="79" t="s">
        <v>6480</v>
      </c>
      <c r="F2593" s="79" t="s">
        <v>6698</v>
      </c>
      <c r="G2593" s="80" t="s">
        <v>96</v>
      </c>
      <c r="H2593" s="90">
        <v>9.97E-5</v>
      </c>
      <c r="I2593" s="45"/>
      <c r="J2593" s="45"/>
      <c r="K2593" s="45"/>
      <c r="L2593" s="45"/>
      <c r="M2593" s="45"/>
      <c r="N2593" s="45"/>
      <c r="O2593" s="45"/>
      <c r="P2593" s="45"/>
      <c r="Q2593" s="45"/>
      <c r="R2593" s="45"/>
      <c r="S2593" s="45"/>
      <c r="T2593" s="45"/>
      <c r="U2593" s="45"/>
    </row>
    <row r="2594">
      <c r="A2594" s="79" t="s">
        <v>20344</v>
      </c>
      <c r="B2594" s="45"/>
      <c r="C2594" s="79" t="s">
        <v>20345</v>
      </c>
      <c r="D2594" s="45"/>
      <c r="E2594" s="79" t="s">
        <v>5321</v>
      </c>
      <c r="F2594" s="79" t="s">
        <v>9414</v>
      </c>
      <c r="G2594" s="80" t="s">
        <v>96</v>
      </c>
      <c r="H2594" s="90">
        <v>9.96E-5</v>
      </c>
      <c r="I2594" s="45"/>
      <c r="J2594" s="45"/>
      <c r="K2594" s="45"/>
      <c r="L2594" s="45"/>
      <c r="M2594" s="45"/>
      <c r="N2594" s="45"/>
      <c r="O2594" s="45"/>
      <c r="P2594" s="45"/>
      <c r="Q2594" s="45"/>
      <c r="R2594" s="45"/>
      <c r="S2594" s="45"/>
      <c r="T2594" s="45"/>
      <c r="U2594" s="45"/>
    </row>
    <row r="2595">
      <c r="A2595" s="79" t="s">
        <v>11181</v>
      </c>
      <c r="B2595" s="45"/>
      <c r="C2595" s="79" t="s">
        <v>11182</v>
      </c>
      <c r="D2595" s="45"/>
      <c r="E2595" s="79" t="s">
        <v>5404</v>
      </c>
      <c r="F2595" s="79" t="s">
        <v>8784</v>
      </c>
      <c r="G2595" s="80" t="s">
        <v>96</v>
      </c>
      <c r="H2595" s="90">
        <v>9.96E-5</v>
      </c>
      <c r="I2595" s="45"/>
      <c r="J2595" s="45"/>
      <c r="K2595" s="45"/>
      <c r="L2595" s="45"/>
      <c r="M2595" s="45"/>
      <c r="N2595" s="45"/>
      <c r="O2595" s="45"/>
      <c r="P2595" s="45"/>
      <c r="Q2595" s="45"/>
      <c r="R2595" s="45"/>
      <c r="S2595" s="45"/>
      <c r="T2595" s="45"/>
      <c r="U2595" s="45"/>
    </row>
    <row r="2596">
      <c r="A2596" s="79" t="s">
        <v>20346</v>
      </c>
      <c r="B2596" s="45"/>
      <c r="C2596" s="79" t="s">
        <v>20347</v>
      </c>
      <c r="D2596" s="45"/>
      <c r="E2596" s="79" t="s">
        <v>5357</v>
      </c>
      <c r="F2596" s="79" t="s">
        <v>4357</v>
      </c>
      <c r="G2596" s="80" t="s">
        <v>96</v>
      </c>
      <c r="H2596" s="90">
        <v>9.95E-5</v>
      </c>
      <c r="I2596" s="45"/>
      <c r="J2596" s="45"/>
      <c r="K2596" s="45"/>
      <c r="L2596" s="45"/>
      <c r="M2596" s="45"/>
      <c r="N2596" s="45"/>
      <c r="O2596" s="45"/>
      <c r="P2596" s="45"/>
      <c r="Q2596" s="45"/>
      <c r="R2596" s="45"/>
      <c r="S2596" s="45"/>
      <c r="T2596" s="45"/>
      <c r="U2596" s="45"/>
    </row>
    <row r="2597">
      <c r="A2597" s="79" t="s">
        <v>20348</v>
      </c>
      <c r="B2597" s="45"/>
      <c r="C2597" s="79" t="s">
        <v>20349</v>
      </c>
      <c r="D2597" s="45"/>
      <c r="E2597" s="79" t="s">
        <v>9039</v>
      </c>
      <c r="F2597" s="79" t="s">
        <v>5300</v>
      </c>
      <c r="G2597" s="80" t="s">
        <v>96</v>
      </c>
      <c r="H2597" s="90">
        <v>9.95E-5</v>
      </c>
      <c r="I2597" s="45"/>
      <c r="J2597" s="45"/>
      <c r="K2597" s="45"/>
      <c r="L2597" s="45"/>
      <c r="M2597" s="45"/>
      <c r="N2597" s="45"/>
      <c r="O2597" s="45"/>
      <c r="P2597" s="45"/>
      <c r="Q2597" s="45"/>
      <c r="R2597" s="45"/>
      <c r="S2597" s="45"/>
      <c r="T2597" s="45"/>
      <c r="U2597" s="45"/>
    </row>
    <row r="2598">
      <c r="A2598" s="79" t="s">
        <v>20350</v>
      </c>
      <c r="B2598" s="45"/>
      <c r="C2598" s="79" t="s">
        <v>20351</v>
      </c>
      <c r="D2598" s="45"/>
      <c r="E2598" s="79" t="s">
        <v>7251</v>
      </c>
      <c r="F2598" s="79" t="s">
        <v>5300</v>
      </c>
      <c r="G2598" s="80" t="s">
        <v>96</v>
      </c>
      <c r="H2598" s="90">
        <v>9.94E-5</v>
      </c>
      <c r="I2598" s="45"/>
      <c r="J2598" s="45"/>
      <c r="K2598" s="45"/>
      <c r="L2598" s="45"/>
      <c r="M2598" s="45"/>
      <c r="N2598" s="45"/>
      <c r="O2598" s="45"/>
      <c r="P2598" s="45"/>
      <c r="Q2598" s="45"/>
      <c r="R2598" s="45"/>
      <c r="S2598" s="45"/>
      <c r="T2598" s="45"/>
      <c r="U2598" s="45"/>
    </row>
    <row r="2599">
      <c r="A2599" s="79" t="s">
        <v>20352</v>
      </c>
      <c r="B2599" s="45"/>
      <c r="C2599" s="79" t="s">
        <v>20353</v>
      </c>
      <c r="D2599" s="45"/>
      <c r="E2599" s="79" t="s">
        <v>5478</v>
      </c>
      <c r="F2599" s="79" t="s">
        <v>5300</v>
      </c>
      <c r="G2599" s="80" t="s">
        <v>96</v>
      </c>
      <c r="H2599" s="90">
        <v>9.93E-5</v>
      </c>
      <c r="I2599" s="45"/>
      <c r="J2599" s="45"/>
      <c r="K2599" s="45"/>
      <c r="L2599" s="45"/>
      <c r="M2599" s="45"/>
      <c r="N2599" s="45"/>
      <c r="O2599" s="45"/>
      <c r="P2599" s="45"/>
      <c r="Q2599" s="45"/>
      <c r="R2599" s="45"/>
      <c r="S2599" s="45"/>
      <c r="T2599" s="45"/>
      <c r="U2599" s="45"/>
    </row>
    <row r="2600">
      <c r="A2600" s="79" t="s">
        <v>20354</v>
      </c>
      <c r="B2600" s="45"/>
      <c r="C2600" s="79" t="s">
        <v>20355</v>
      </c>
      <c r="D2600" s="45"/>
      <c r="E2600" s="79" t="s">
        <v>5868</v>
      </c>
      <c r="F2600" s="79" t="s">
        <v>8784</v>
      </c>
      <c r="G2600" s="80" t="s">
        <v>96</v>
      </c>
      <c r="H2600" s="90">
        <v>9.93E-5</v>
      </c>
      <c r="I2600" s="45"/>
      <c r="J2600" s="45"/>
      <c r="K2600" s="45"/>
      <c r="L2600" s="45"/>
      <c r="M2600" s="45"/>
      <c r="N2600" s="45"/>
      <c r="O2600" s="45"/>
      <c r="P2600" s="45"/>
      <c r="Q2600" s="45"/>
      <c r="R2600" s="45"/>
      <c r="S2600" s="45"/>
      <c r="T2600" s="45"/>
      <c r="U2600" s="45"/>
    </row>
    <row r="2601">
      <c r="A2601" s="79" t="s">
        <v>20356</v>
      </c>
      <c r="B2601" s="45"/>
      <c r="C2601" s="79" t="s">
        <v>20357</v>
      </c>
      <c r="D2601" s="45"/>
      <c r="E2601" s="79" t="s">
        <v>5267</v>
      </c>
      <c r="F2601" s="79" t="s">
        <v>5300</v>
      </c>
      <c r="G2601" s="80" t="s">
        <v>96</v>
      </c>
      <c r="H2601" s="90">
        <v>9.93E-5</v>
      </c>
      <c r="I2601" s="45"/>
      <c r="J2601" s="45"/>
      <c r="K2601" s="45"/>
      <c r="L2601" s="45"/>
      <c r="M2601" s="45"/>
      <c r="N2601" s="45"/>
      <c r="O2601" s="45"/>
      <c r="P2601" s="45"/>
      <c r="Q2601" s="45"/>
      <c r="R2601" s="45"/>
      <c r="S2601" s="45"/>
      <c r="T2601" s="45"/>
      <c r="U2601" s="45"/>
    </row>
    <row r="2602">
      <c r="A2602" s="79" t="s">
        <v>20358</v>
      </c>
      <c r="B2602" s="45"/>
      <c r="C2602" s="79" t="s">
        <v>20359</v>
      </c>
      <c r="D2602" s="45"/>
      <c r="E2602" s="79" t="s">
        <v>5226</v>
      </c>
      <c r="F2602" s="79" t="s">
        <v>5836</v>
      </c>
      <c r="G2602" s="80" t="s">
        <v>96</v>
      </c>
      <c r="H2602" s="90">
        <v>9.92E-5</v>
      </c>
      <c r="I2602" s="45"/>
      <c r="J2602" s="45"/>
      <c r="K2602" s="45"/>
      <c r="L2602" s="45"/>
      <c r="M2602" s="45"/>
      <c r="N2602" s="45"/>
      <c r="O2602" s="45"/>
      <c r="P2602" s="45"/>
      <c r="Q2602" s="45"/>
      <c r="R2602" s="45"/>
      <c r="S2602" s="45"/>
      <c r="T2602" s="45"/>
      <c r="U2602" s="45"/>
    </row>
    <row r="2603">
      <c r="A2603" s="79" t="s">
        <v>6555</v>
      </c>
      <c r="B2603" s="45"/>
      <c r="C2603" s="79" t="s">
        <v>20360</v>
      </c>
      <c r="D2603" s="45"/>
      <c r="E2603" s="79" t="s">
        <v>5434</v>
      </c>
      <c r="F2603" s="79" t="s">
        <v>5300</v>
      </c>
      <c r="G2603" s="80" t="s">
        <v>96</v>
      </c>
      <c r="H2603" s="90">
        <v>9.87E-5</v>
      </c>
      <c r="I2603" s="45"/>
      <c r="J2603" s="45"/>
      <c r="K2603" s="45"/>
      <c r="L2603" s="45"/>
      <c r="M2603" s="45"/>
      <c r="N2603" s="45"/>
      <c r="O2603" s="45"/>
      <c r="P2603" s="45"/>
      <c r="Q2603" s="45"/>
      <c r="R2603" s="45"/>
      <c r="S2603" s="45"/>
      <c r="T2603" s="45"/>
      <c r="U2603" s="45"/>
    </row>
    <row r="2604">
      <c r="A2604" s="79" t="s">
        <v>20361</v>
      </c>
      <c r="B2604" s="45"/>
      <c r="C2604" s="79" t="s">
        <v>20362</v>
      </c>
      <c r="D2604" s="45"/>
      <c r="E2604" s="79" t="s">
        <v>5561</v>
      </c>
      <c r="F2604" s="79" t="s">
        <v>9299</v>
      </c>
      <c r="G2604" s="80" t="s">
        <v>96</v>
      </c>
      <c r="H2604" s="90">
        <v>9.87E-5</v>
      </c>
      <c r="I2604" s="45"/>
      <c r="J2604" s="45"/>
      <c r="K2604" s="45"/>
      <c r="L2604" s="45"/>
      <c r="M2604" s="45"/>
      <c r="N2604" s="45"/>
      <c r="O2604" s="45"/>
      <c r="P2604" s="45"/>
      <c r="Q2604" s="45"/>
      <c r="R2604" s="45"/>
      <c r="S2604" s="45"/>
      <c r="T2604" s="45"/>
      <c r="U2604" s="45"/>
    </row>
    <row r="2605">
      <c r="A2605" s="79" t="s">
        <v>20363</v>
      </c>
      <c r="B2605" s="45"/>
      <c r="C2605" s="79" t="s">
        <v>20364</v>
      </c>
      <c r="D2605" s="45"/>
      <c r="E2605" s="79" t="s">
        <v>5326</v>
      </c>
      <c r="F2605" s="79" t="s">
        <v>9513</v>
      </c>
      <c r="G2605" s="80" t="s">
        <v>96</v>
      </c>
      <c r="H2605" s="90">
        <v>9.86E-5</v>
      </c>
      <c r="I2605" s="45"/>
      <c r="J2605" s="45"/>
      <c r="K2605" s="45"/>
      <c r="L2605" s="45"/>
      <c r="M2605" s="45"/>
      <c r="N2605" s="45"/>
      <c r="O2605" s="45"/>
      <c r="P2605" s="45"/>
      <c r="Q2605" s="45"/>
      <c r="R2605" s="45"/>
      <c r="S2605" s="45"/>
      <c r="T2605" s="45"/>
      <c r="U2605" s="45"/>
    </row>
    <row r="2606">
      <c r="A2606" s="79" t="s">
        <v>20365</v>
      </c>
      <c r="B2606" s="45"/>
      <c r="C2606" s="79" t="s">
        <v>20366</v>
      </c>
      <c r="D2606" s="45"/>
      <c r="E2606" s="79" t="s">
        <v>5407</v>
      </c>
      <c r="F2606" s="79" t="s">
        <v>5300</v>
      </c>
      <c r="G2606" s="80" t="s">
        <v>96</v>
      </c>
      <c r="H2606" s="90">
        <v>9.86E-5</v>
      </c>
      <c r="I2606" s="45"/>
      <c r="J2606" s="45"/>
      <c r="K2606" s="45"/>
      <c r="L2606" s="45"/>
      <c r="M2606" s="45"/>
      <c r="N2606" s="45"/>
      <c r="O2606" s="45"/>
      <c r="P2606" s="45"/>
      <c r="Q2606" s="45"/>
      <c r="R2606" s="45"/>
      <c r="S2606" s="45"/>
      <c r="T2606" s="45"/>
      <c r="U2606" s="45"/>
    </row>
    <row r="2607">
      <c r="A2607" s="79" t="s">
        <v>20367</v>
      </c>
      <c r="B2607" s="45"/>
      <c r="C2607" s="79" t="s">
        <v>20368</v>
      </c>
      <c r="D2607" s="45"/>
      <c r="E2607" s="79" t="s">
        <v>5276</v>
      </c>
      <c r="F2607" s="79" t="s">
        <v>8784</v>
      </c>
      <c r="G2607" s="80" t="s">
        <v>96</v>
      </c>
      <c r="H2607" s="90">
        <v>9.84E-5</v>
      </c>
      <c r="I2607" s="45"/>
      <c r="J2607" s="45"/>
      <c r="K2607" s="45"/>
      <c r="L2607" s="45"/>
      <c r="M2607" s="45"/>
      <c r="N2607" s="45"/>
      <c r="O2607" s="45"/>
      <c r="P2607" s="45"/>
      <c r="Q2607" s="45"/>
      <c r="R2607" s="45"/>
      <c r="S2607" s="45"/>
      <c r="T2607" s="45"/>
      <c r="U2607" s="45"/>
    </row>
    <row r="2608">
      <c r="A2608" s="79" t="s">
        <v>20369</v>
      </c>
      <c r="B2608" s="45"/>
      <c r="C2608" s="79" t="s">
        <v>20370</v>
      </c>
      <c r="D2608" s="45"/>
      <c r="E2608" s="79" t="s">
        <v>5276</v>
      </c>
      <c r="F2608" s="79" t="s">
        <v>5747</v>
      </c>
      <c r="G2608" s="80" t="s">
        <v>96</v>
      </c>
      <c r="H2608" s="90">
        <v>9.84E-5</v>
      </c>
      <c r="I2608" s="45"/>
      <c r="J2608" s="45"/>
      <c r="K2608" s="45"/>
      <c r="L2608" s="45"/>
      <c r="M2608" s="45"/>
      <c r="N2608" s="45"/>
      <c r="O2608" s="45"/>
      <c r="P2608" s="45"/>
      <c r="Q2608" s="45"/>
      <c r="R2608" s="45"/>
      <c r="S2608" s="45"/>
      <c r="T2608" s="45"/>
      <c r="U2608" s="45"/>
    </row>
    <row r="2609">
      <c r="A2609" s="79" t="s">
        <v>20371</v>
      </c>
      <c r="B2609" s="45"/>
      <c r="C2609" s="79" t="s">
        <v>20372</v>
      </c>
      <c r="D2609" s="45"/>
      <c r="E2609" s="79" t="s">
        <v>5735</v>
      </c>
      <c r="F2609" s="79" t="s">
        <v>8784</v>
      </c>
      <c r="G2609" s="80" t="s">
        <v>96</v>
      </c>
      <c r="H2609" s="90">
        <v>9.82E-5</v>
      </c>
      <c r="I2609" s="45"/>
      <c r="J2609" s="45"/>
      <c r="K2609" s="45"/>
      <c r="L2609" s="45"/>
      <c r="M2609" s="45"/>
      <c r="N2609" s="45"/>
      <c r="O2609" s="45"/>
      <c r="P2609" s="45"/>
      <c r="Q2609" s="45"/>
      <c r="R2609" s="45"/>
      <c r="S2609" s="45"/>
      <c r="T2609" s="45"/>
      <c r="U2609" s="45"/>
    </row>
    <row r="2610">
      <c r="A2610" s="79" t="s">
        <v>20373</v>
      </c>
      <c r="B2610" s="45"/>
      <c r="C2610" s="79" t="s">
        <v>20374</v>
      </c>
      <c r="D2610" s="45"/>
      <c r="E2610" s="79" t="s">
        <v>5215</v>
      </c>
      <c r="F2610" s="79" t="s">
        <v>5300</v>
      </c>
      <c r="G2610" s="80" t="s">
        <v>96</v>
      </c>
      <c r="H2610" s="90">
        <v>9.81E-5</v>
      </c>
      <c r="I2610" s="45"/>
      <c r="J2610" s="45"/>
      <c r="K2610" s="45"/>
      <c r="L2610" s="45"/>
      <c r="M2610" s="45"/>
      <c r="N2610" s="45"/>
      <c r="O2610" s="45"/>
      <c r="P2610" s="45"/>
      <c r="Q2610" s="45"/>
      <c r="R2610" s="45"/>
      <c r="S2610" s="45"/>
      <c r="T2610" s="45"/>
      <c r="U2610" s="45"/>
    </row>
    <row r="2611">
      <c r="A2611" s="79" t="s">
        <v>20375</v>
      </c>
      <c r="B2611" s="45"/>
      <c r="C2611" s="79" t="s">
        <v>20376</v>
      </c>
      <c r="D2611" s="45"/>
      <c r="E2611" s="79" t="s">
        <v>5267</v>
      </c>
      <c r="F2611" s="79" t="s">
        <v>8784</v>
      </c>
      <c r="G2611" s="80" t="s">
        <v>96</v>
      </c>
      <c r="H2611" s="90">
        <v>9.81E-5</v>
      </c>
      <c r="I2611" s="45"/>
      <c r="J2611" s="45"/>
      <c r="K2611" s="45"/>
      <c r="L2611" s="45"/>
      <c r="M2611" s="45"/>
      <c r="N2611" s="45"/>
      <c r="O2611" s="45"/>
      <c r="P2611" s="45"/>
      <c r="Q2611" s="45"/>
      <c r="R2611" s="45"/>
      <c r="S2611" s="45"/>
      <c r="T2611" s="45"/>
      <c r="U2611" s="45"/>
    </row>
    <row r="2612">
      <c r="A2612" s="79" t="s">
        <v>20377</v>
      </c>
      <c r="B2612" s="45"/>
      <c r="C2612" s="79" t="s">
        <v>20378</v>
      </c>
      <c r="D2612" s="45"/>
      <c r="E2612" s="79" t="s">
        <v>5407</v>
      </c>
      <c r="F2612" s="79" t="s">
        <v>5300</v>
      </c>
      <c r="G2612" s="80" t="s">
        <v>96</v>
      </c>
      <c r="H2612" s="90">
        <v>9.81E-5</v>
      </c>
      <c r="I2612" s="45"/>
      <c r="J2612" s="45"/>
      <c r="K2612" s="45"/>
      <c r="L2612" s="45"/>
      <c r="M2612" s="45"/>
      <c r="N2612" s="45"/>
      <c r="O2612" s="45"/>
      <c r="P2612" s="45"/>
      <c r="Q2612" s="45"/>
      <c r="R2612" s="45"/>
      <c r="S2612" s="45"/>
      <c r="T2612" s="45"/>
      <c r="U2612" s="45"/>
    </row>
    <row r="2613">
      <c r="A2613" s="79" t="s">
        <v>20379</v>
      </c>
      <c r="B2613" s="45"/>
      <c r="C2613" s="79" t="s">
        <v>20380</v>
      </c>
      <c r="D2613" s="45"/>
      <c r="E2613" s="79" t="s">
        <v>5735</v>
      </c>
      <c r="F2613" s="79" t="s">
        <v>8784</v>
      </c>
      <c r="G2613" s="80" t="s">
        <v>96</v>
      </c>
      <c r="H2613" s="90">
        <v>9.81E-5</v>
      </c>
      <c r="I2613" s="45"/>
      <c r="J2613" s="45"/>
      <c r="K2613" s="45"/>
      <c r="L2613" s="45"/>
      <c r="M2613" s="45"/>
      <c r="N2613" s="45"/>
      <c r="O2613" s="45"/>
      <c r="P2613" s="45"/>
      <c r="Q2613" s="45"/>
      <c r="R2613" s="45"/>
      <c r="S2613" s="45"/>
      <c r="T2613" s="45"/>
      <c r="U2613" s="45"/>
    </row>
    <row r="2614">
      <c r="A2614" s="79" t="s">
        <v>20381</v>
      </c>
      <c r="B2614" s="45"/>
      <c r="C2614" s="79" t="s">
        <v>20382</v>
      </c>
      <c r="D2614" s="45"/>
      <c r="E2614" s="79" t="s">
        <v>6115</v>
      </c>
      <c r="F2614" s="79" t="s">
        <v>5300</v>
      </c>
      <c r="G2614" s="80" t="s">
        <v>96</v>
      </c>
      <c r="H2614" s="90">
        <v>9.8E-5</v>
      </c>
      <c r="I2614" s="45"/>
      <c r="J2614" s="45"/>
      <c r="K2614" s="45"/>
      <c r="L2614" s="45"/>
      <c r="M2614" s="45"/>
      <c r="N2614" s="45"/>
      <c r="O2614" s="45"/>
      <c r="P2614" s="45"/>
      <c r="Q2614" s="45"/>
      <c r="R2614" s="45"/>
      <c r="S2614" s="45"/>
      <c r="T2614" s="45"/>
      <c r="U2614" s="45"/>
    </row>
    <row r="2615">
      <c r="A2615" s="79" t="s">
        <v>20383</v>
      </c>
      <c r="B2615" s="45"/>
      <c r="C2615" s="79" t="s">
        <v>20384</v>
      </c>
      <c r="D2615" s="45"/>
      <c r="E2615" s="79" t="s">
        <v>5478</v>
      </c>
      <c r="F2615" s="79" t="s">
        <v>5300</v>
      </c>
      <c r="G2615" s="80" t="s">
        <v>96</v>
      </c>
      <c r="H2615" s="90">
        <v>9.78E-5</v>
      </c>
      <c r="I2615" s="45"/>
      <c r="J2615" s="45"/>
      <c r="K2615" s="45"/>
      <c r="L2615" s="45"/>
      <c r="M2615" s="45"/>
      <c r="N2615" s="45"/>
      <c r="O2615" s="45"/>
      <c r="P2615" s="45"/>
      <c r="Q2615" s="45"/>
      <c r="R2615" s="45"/>
      <c r="S2615" s="45"/>
      <c r="T2615" s="45"/>
      <c r="U2615" s="45"/>
    </row>
    <row r="2616">
      <c r="A2616" s="79" t="s">
        <v>20385</v>
      </c>
      <c r="B2616" s="45"/>
      <c r="C2616" s="79" t="s">
        <v>20386</v>
      </c>
      <c r="D2616" s="45"/>
      <c r="E2616" s="79" t="s">
        <v>5374</v>
      </c>
      <c r="F2616" s="79" t="s">
        <v>5300</v>
      </c>
      <c r="G2616" s="80" t="s">
        <v>96</v>
      </c>
      <c r="H2616" s="90">
        <v>9.78E-5</v>
      </c>
      <c r="I2616" s="45"/>
      <c r="J2616" s="45"/>
      <c r="K2616" s="45"/>
      <c r="L2616" s="45"/>
      <c r="M2616" s="45"/>
      <c r="N2616" s="45"/>
      <c r="O2616" s="45"/>
      <c r="P2616" s="45"/>
      <c r="Q2616" s="45"/>
      <c r="R2616" s="45"/>
      <c r="S2616" s="45"/>
      <c r="T2616" s="45"/>
      <c r="U2616" s="45"/>
    </row>
    <row r="2617">
      <c r="A2617" s="79" t="s">
        <v>20387</v>
      </c>
      <c r="B2617" s="45"/>
      <c r="C2617" s="79" t="s">
        <v>20388</v>
      </c>
      <c r="D2617" s="45"/>
      <c r="E2617" s="79" t="s">
        <v>5341</v>
      </c>
      <c r="F2617" s="79" t="s">
        <v>8784</v>
      </c>
      <c r="G2617" s="80" t="s">
        <v>96</v>
      </c>
      <c r="H2617" s="90">
        <v>9.78E-5</v>
      </c>
      <c r="I2617" s="45"/>
      <c r="J2617" s="45"/>
      <c r="K2617" s="45"/>
      <c r="L2617" s="45"/>
      <c r="M2617" s="45"/>
      <c r="N2617" s="45"/>
      <c r="O2617" s="45"/>
      <c r="P2617" s="45"/>
      <c r="Q2617" s="45"/>
      <c r="R2617" s="45"/>
      <c r="S2617" s="45"/>
      <c r="T2617" s="45"/>
      <c r="U2617" s="45"/>
    </row>
    <row r="2618">
      <c r="A2618" s="79" t="s">
        <v>20389</v>
      </c>
      <c r="B2618" s="45"/>
      <c r="C2618" s="79" t="s">
        <v>20390</v>
      </c>
      <c r="D2618" s="45"/>
      <c r="E2618" s="79" t="s">
        <v>7248</v>
      </c>
      <c r="F2618" s="79" t="s">
        <v>5300</v>
      </c>
      <c r="G2618" s="80" t="s">
        <v>96</v>
      </c>
      <c r="H2618" s="90">
        <v>9.78E-5</v>
      </c>
      <c r="I2618" s="45"/>
      <c r="J2618" s="45"/>
      <c r="K2618" s="45"/>
      <c r="L2618" s="45"/>
      <c r="M2618" s="45"/>
      <c r="N2618" s="45"/>
      <c r="O2618" s="45"/>
      <c r="P2618" s="45"/>
      <c r="Q2618" s="45"/>
      <c r="R2618" s="45"/>
      <c r="S2618" s="45"/>
      <c r="T2618" s="45"/>
      <c r="U2618" s="45"/>
    </row>
    <row r="2619">
      <c r="A2619" s="79" t="s">
        <v>20391</v>
      </c>
      <c r="B2619" s="45"/>
      <c r="C2619" s="79" t="s">
        <v>20392</v>
      </c>
      <c r="D2619" s="45"/>
      <c r="E2619" s="79" t="s">
        <v>5564</v>
      </c>
      <c r="F2619" s="79" t="s">
        <v>5425</v>
      </c>
      <c r="G2619" s="80" t="s">
        <v>96</v>
      </c>
      <c r="H2619" s="90">
        <v>9.78E-5</v>
      </c>
      <c r="I2619" s="45"/>
      <c r="J2619" s="45"/>
      <c r="K2619" s="45"/>
      <c r="L2619" s="45"/>
      <c r="M2619" s="45"/>
      <c r="N2619" s="45"/>
      <c r="O2619" s="45"/>
      <c r="P2619" s="45"/>
      <c r="Q2619" s="45"/>
      <c r="R2619" s="45"/>
      <c r="S2619" s="45"/>
      <c r="T2619" s="45"/>
      <c r="U2619" s="45"/>
    </row>
    <row r="2620">
      <c r="A2620" s="79" t="s">
        <v>7496</v>
      </c>
      <c r="B2620" s="45"/>
      <c r="C2620" s="79" t="s">
        <v>11053</v>
      </c>
      <c r="D2620" s="45"/>
      <c r="E2620" s="79" t="s">
        <v>5434</v>
      </c>
      <c r="F2620" s="79" t="s">
        <v>8784</v>
      </c>
      <c r="G2620" s="80" t="s">
        <v>96</v>
      </c>
      <c r="H2620" s="90">
        <v>9.77E-5</v>
      </c>
      <c r="I2620" s="45"/>
      <c r="J2620" s="45"/>
      <c r="K2620" s="45"/>
      <c r="L2620" s="45"/>
      <c r="M2620" s="45"/>
      <c r="N2620" s="45"/>
      <c r="O2620" s="45"/>
      <c r="P2620" s="45"/>
      <c r="Q2620" s="45"/>
      <c r="R2620" s="45"/>
      <c r="S2620" s="45"/>
      <c r="T2620" s="45"/>
      <c r="U2620" s="45"/>
    </row>
    <row r="2621">
      <c r="A2621" s="79" t="s">
        <v>17465</v>
      </c>
      <c r="B2621" s="45"/>
      <c r="C2621" s="79" t="s">
        <v>20393</v>
      </c>
      <c r="D2621" s="45"/>
      <c r="E2621" s="79" t="s">
        <v>5704</v>
      </c>
      <c r="F2621" s="79" t="s">
        <v>5300</v>
      </c>
      <c r="G2621" s="80" t="s">
        <v>96</v>
      </c>
      <c r="H2621" s="90">
        <v>9.77E-5</v>
      </c>
      <c r="I2621" s="45"/>
      <c r="J2621" s="45"/>
      <c r="K2621" s="45"/>
      <c r="L2621" s="45"/>
      <c r="M2621" s="45"/>
      <c r="N2621" s="45"/>
      <c r="O2621" s="45"/>
      <c r="P2621" s="45"/>
      <c r="Q2621" s="45"/>
      <c r="R2621" s="45"/>
      <c r="S2621" s="45"/>
      <c r="T2621" s="45"/>
      <c r="U2621" s="45"/>
    </row>
    <row r="2622">
      <c r="A2622" s="79" t="s">
        <v>11183</v>
      </c>
      <c r="B2622" s="45"/>
      <c r="C2622" s="79" t="s">
        <v>11184</v>
      </c>
      <c r="D2622" s="45"/>
      <c r="E2622" s="79" t="s">
        <v>5218</v>
      </c>
      <c r="F2622" s="79" t="s">
        <v>8784</v>
      </c>
      <c r="G2622" s="80" t="s">
        <v>96</v>
      </c>
      <c r="H2622" s="90">
        <v>9.77E-5</v>
      </c>
      <c r="I2622" s="45"/>
      <c r="J2622" s="45"/>
      <c r="K2622" s="45"/>
      <c r="L2622" s="45"/>
      <c r="M2622" s="45"/>
      <c r="N2622" s="45"/>
      <c r="O2622" s="45"/>
      <c r="P2622" s="45"/>
      <c r="Q2622" s="45"/>
      <c r="R2622" s="45"/>
      <c r="S2622" s="45"/>
      <c r="T2622" s="45"/>
      <c r="U2622" s="45"/>
    </row>
    <row r="2623">
      <c r="A2623" s="79" t="s">
        <v>20394</v>
      </c>
      <c r="B2623" s="45"/>
      <c r="C2623" s="79" t="s">
        <v>20395</v>
      </c>
      <c r="D2623" s="45"/>
      <c r="E2623" s="79" t="s">
        <v>5478</v>
      </c>
      <c r="F2623" s="79" t="s">
        <v>6988</v>
      </c>
      <c r="G2623" s="80" t="s">
        <v>96</v>
      </c>
      <c r="H2623" s="90">
        <v>9.76E-5</v>
      </c>
      <c r="I2623" s="45"/>
      <c r="J2623" s="45"/>
      <c r="K2623" s="45"/>
      <c r="L2623" s="45"/>
      <c r="M2623" s="45"/>
      <c r="N2623" s="45"/>
      <c r="O2623" s="45"/>
      <c r="P2623" s="45"/>
      <c r="Q2623" s="45"/>
      <c r="R2623" s="45"/>
      <c r="S2623" s="45"/>
      <c r="T2623" s="45"/>
      <c r="U2623" s="45"/>
    </row>
    <row r="2624">
      <c r="A2624" s="79" t="s">
        <v>20396</v>
      </c>
      <c r="B2624" s="45"/>
      <c r="C2624" s="79" t="s">
        <v>20397</v>
      </c>
      <c r="D2624" s="45"/>
      <c r="E2624" s="79" t="s">
        <v>5868</v>
      </c>
      <c r="F2624" s="79" t="s">
        <v>8784</v>
      </c>
      <c r="G2624" s="80" t="s">
        <v>96</v>
      </c>
      <c r="H2624" s="90">
        <v>9.76E-5</v>
      </c>
      <c r="I2624" s="45"/>
      <c r="J2624" s="45"/>
      <c r="K2624" s="45"/>
      <c r="L2624" s="45"/>
      <c r="M2624" s="45"/>
      <c r="N2624" s="45"/>
      <c r="O2624" s="45"/>
      <c r="P2624" s="45"/>
      <c r="Q2624" s="45"/>
      <c r="R2624" s="45"/>
      <c r="S2624" s="45"/>
      <c r="T2624" s="45"/>
      <c r="U2624" s="45"/>
    </row>
    <row r="2625">
      <c r="A2625" s="79" t="s">
        <v>20398</v>
      </c>
      <c r="B2625" s="45"/>
      <c r="C2625" s="79" t="s">
        <v>20399</v>
      </c>
      <c r="D2625" s="45"/>
      <c r="E2625" s="79" t="s">
        <v>5691</v>
      </c>
      <c r="F2625" s="79" t="s">
        <v>5300</v>
      </c>
      <c r="G2625" s="80" t="s">
        <v>96</v>
      </c>
      <c r="H2625" s="90">
        <v>9.75E-5</v>
      </c>
      <c r="I2625" s="45"/>
      <c r="J2625" s="45"/>
      <c r="K2625" s="45"/>
      <c r="L2625" s="45"/>
      <c r="M2625" s="45"/>
      <c r="N2625" s="45"/>
      <c r="O2625" s="45"/>
      <c r="P2625" s="45"/>
      <c r="Q2625" s="45"/>
      <c r="R2625" s="45"/>
      <c r="S2625" s="45"/>
      <c r="T2625" s="45"/>
      <c r="U2625" s="45"/>
    </row>
    <row r="2626">
      <c r="A2626" s="79" t="s">
        <v>20400</v>
      </c>
      <c r="B2626" s="45"/>
      <c r="C2626" s="79" t="s">
        <v>20401</v>
      </c>
      <c r="D2626" s="45"/>
      <c r="E2626" s="79" t="s">
        <v>5609</v>
      </c>
      <c r="F2626" s="79" t="s">
        <v>5300</v>
      </c>
      <c r="G2626" s="80" t="s">
        <v>96</v>
      </c>
      <c r="H2626" s="90">
        <v>9.75E-5</v>
      </c>
      <c r="I2626" s="45"/>
      <c r="J2626" s="45"/>
      <c r="K2626" s="45"/>
      <c r="L2626" s="45"/>
      <c r="M2626" s="45"/>
      <c r="N2626" s="45"/>
      <c r="O2626" s="45"/>
      <c r="P2626" s="45"/>
      <c r="Q2626" s="45"/>
      <c r="R2626" s="45"/>
      <c r="S2626" s="45"/>
      <c r="T2626" s="45"/>
      <c r="U2626" s="45"/>
    </row>
    <row r="2627">
      <c r="A2627" s="79" t="s">
        <v>20402</v>
      </c>
      <c r="B2627" s="45"/>
      <c r="C2627" s="79" t="s">
        <v>20403</v>
      </c>
      <c r="D2627" s="45"/>
      <c r="E2627" s="79" t="s">
        <v>5478</v>
      </c>
      <c r="F2627" s="79" t="s">
        <v>5300</v>
      </c>
      <c r="G2627" s="80" t="s">
        <v>96</v>
      </c>
      <c r="H2627" s="90">
        <v>9.7E-5</v>
      </c>
      <c r="I2627" s="45"/>
      <c r="J2627" s="45"/>
      <c r="K2627" s="45"/>
      <c r="L2627" s="45"/>
      <c r="M2627" s="45"/>
      <c r="N2627" s="45"/>
      <c r="O2627" s="45"/>
      <c r="P2627" s="45"/>
      <c r="Q2627" s="45"/>
      <c r="R2627" s="45"/>
      <c r="S2627" s="45"/>
      <c r="T2627" s="45"/>
      <c r="U2627" s="45"/>
    </row>
    <row r="2628">
      <c r="A2628" s="79" t="s">
        <v>20404</v>
      </c>
      <c r="B2628" s="45"/>
      <c r="C2628" s="79" t="s">
        <v>20405</v>
      </c>
      <c r="D2628" s="45"/>
      <c r="E2628" s="79" t="s">
        <v>5390</v>
      </c>
      <c r="F2628" s="79" t="s">
        <v>9021</v>
      </c>
      <c r="G2628" s="80" t="s">
        <v>96</v>
      </c>
      <c r="H2628" s="90">
        <v>9.7E-5</v>
      </c>
      <c r="I2628" s="45"/>
      <c r="J2628" s="45"/>
      <c r="K2628" s="45"/>
      <c r="L2628" s="45"/>
      <c r="M2628" s="45"/>
      <c r="N2628" s="45"/>
      <c r="O2628" s="45"/>
      <c r="P2628" s="45"/>
      <c r="Q2628" s="45"/>
      <c r="R2628" s="45"/>
      <c r="S2628" s="45"/>
      <c r="T2628" s="45"/>
      <c r="U2628" s="45"/>
    </row>
    <row r="2629">
      <c r="A2629" s="79" t="s">
        <v>20406</v>
      </c>
      <c r="B2629" s="45"/>
      <c r="C2629" s="79" t="s">
        <v>20407</v>
      </c>
      <c r="D2629" s="45"/>
      <c r="E2629" s="79" t="s">
        <v>5354</v>
      </c>
      <c r="F2629" s="79" t="s">
        <v>5300</v>
      </c>
      <c r="G2629" s="80" t="s">
        <v>96</v>
      </c>
      <c r="H2629" s="90">
        <v>9.68E-5</v>
      </c>
      <c r="I2629" s="45"/>
      <c r="J2629" s="45"/>
      <c r="K2629" s="45"/>
      <c r="L2629" s="45"/>
      <c r="M2629" s="45"/>
      <c r="N2629" s="45"/>
      <c r="O2629" s="45"/>
      <c r="P2629" s="45"/>
      <c r="Q2629" s="45"/>
      <c r="R2629" s="45"/>
      <c r="S2629" s="45"/>
      <c r="T2629" s="45"/>
      <c r="U2629" s="45"/>
    </row>
    <row r="2630">
      <c r="A2630" s="79" t="s">
        <v>20408</v>
      </c>
      <c r="B2630" s="45"/>
      <c r="C2630" s="79" t="s">
        <v>20409</v>
      </c>
      <c r="D2630" s="45"/>
      <c r="E2630" s="79" t="s">
        <v>6389</v>
      </c>
      <c r="F2630" s="79" t="s">
        <v>9021</v>
      </c>
      <c r="G2630" s="80" t="s">
        <v>96</v>
      </c>
      <c r="H2630" s="90">
        <v>9.67E-5</v>
      </c>
      <c r="I2630" s="45"/>
      <c r="J2630" s="45"/>
      <c r="K2630" s="45"/>
      <c r="L2630" s="45"/>
      <c r="M2630" s="45"/>
      <c r="N2630" s="45"/>
      <c r="O2630" s="45"/>
      <c r="P2630" s="45"/>
      <c r="Q2630" s="45"/>
      <c r="R2630" s="45"/>
      <c r="S2630" s="45"/>
      <c r="T2630" s="45"/>
      <c r="U2630" s="45"/>
    </row>
    <row r="2631">
      <c r="A2631" s="79" t="s">
        <v>20410</v>
      </c>
      <c r="B2631" s="45"/>
      <c r="C2631" s="79" t="s">
        <v>20411</v>
      </c>
      <c r="D2631" s="45"/>
      <c r="E2631" s="79" t="s">
        <v>5390</v>
      </c>
      <c r="F2631" s="79" t="s">
        <v>9021</v>
      </c>
      <c r="G2631" s="80" t="s">
        <v>96</v>
      </c>
      <c r="H2631" s="90">
        <v>9.66E-5</v>
      </c>
      <c r="I2631" s="45"/>
      <c r="J2631" s="45"/>
      <c r="K2631" s="45"/>
      <c r="L2631" s="45"/>
      <c r="M2631" s="45"/>
      <c r="N2631" s="45"/>
      <c r="O2631" s="45"/>
      <c r="P2631" s="45"/>
      <c r="Q2631" s="45"/>
      <c r="R2631" s="45"/>
      <c r="S2631" s="45"/>
      <c r="T2631" s="45"/>
      <c r="U2631" s="45"/>
    </row>
    <row r="2632">
      <c r="A2632" s="79" t="s">
        <v>20412</v>
      </c>
      <c r="B2632" s="45"/>
      <c r="C2632" s="79" t="s">
        <v>20413</v>
      </c>
      <c r="D2632" s="45"/>
      <c r="E2632" s="79" t="s">
        <v>6416</v>
      </c>
      <c r="F2632" s="79" t="s">
        <v>5836</v>
      </c>
      <c r="G2632" s="80" t="s">
        <v>96</v>
      </c>
      <c r="H2632" s="90">
        <v>9.66E-5</v>
      </c>
      <c r="I2632" s="45"/>
      <c r="J2632" s="45"/>
      <c r="K2632" s="45"/>
      <c r="L2632" s="45"/>
      <c r="M2632" s="45"/>
      <c r="N2632" s="45"/>
      <c r="O2632" s="45"/>
      <c r="P2632" s="45"/>
      <c r="Q2632" s="45"/>
      <c r="R2632" s="45"/>
      <c r="S2632" s="45"/>
      <c r="T2632" s="45"/>
      <c r="U2632" s="45"/>
    </row>
    <row r="2633">
      <c r="A2633" s="79" t="s">
        <v>20414</v>
      </c>
      <c r="B2633" s="45"/>
      <c r="C2633" s="79" t="s">
        <v>20415</v>
      </c>
      <c r="D2633" s="45"/>
      <c r="E2633" s="79" t="s">
        <v>5366</v>
      </c>
      <c r="F2633" s="79" t="s">
        <v>9299</v>
      </c>
      <c r="G2633" s="80" t="s">
        <v>96</v>
      </c>
      <c r="H2633" s="90">
        <v>9.64E-5</v>
      </c>
      <c r="I2633" s="45"/>
      <c r="J2633" s="45"/>
      <c r="K2633" s="45"/>
      <c r="L2633" s="45"/>
      <c r="M2633" s="45"/>
      <c r="N2633" s="45"/>
      <c r="O2633" s="45"/>
      <c r="P2633" s="45"/>
      <c r="Q2633" s="45"/>
      <c r="R2633" s="45"/>
      <c r="S2633" s="45"/>
      <c r="T2633" s="45"/>
      <c r="U2633" s="45"/>
    </row>
    <row r="2634">
      <c r="A2634" s="79" t="s">
        <v>20416</v>
      </c>
      <c r="B2634" s="45"/>
      <c r="C2634" s="79" t="s">
        <v>20417</v>
      </c>
      <c r="D2634" s="45"/>
      <c r="E2634" s="79" t="s">
        <v>5395</v>
      </c>
      <c r="F2634" s="79" t="s">
        <v>5425</v>
      </c>
      <c r="G2634" s="80" t="s">
        <v>96</v>
      </c>
      <c r="H2634" s="90">
        <v>9.64E-5</v>
      </c>
      <c r="I2634" s="45"/>
      <c r="J2634" s="45"/>
      <c r="K2634" s="45"/>
      <c r="L2634" s="45"/>
      <c r="M2634" s="45"/>
      <c r="N2634" s="45"/>
      <c r="O2634" s="45"/>
      <c r="P2634" s="45"/>
      <c r="Q2634" s="45"/>
      <c r="R2634" s="45"/>
      <c r="S2634" s="45"/>
      <c r="T2634" s="45"/>
      <c r="U2634" s="45"/>
    </row>
    <row r="2635">
      <c r="A2635" s="79" t="s">
        <v>11248</v>
      </c>
      <c r="B2635" s="45"/>
      <c r="C2635" s="79" t="s">
        <v>20418</v>
      </c>
      <c r="D2635" s="45"/>
      <c r="E2635" s="79" t="s">
        <v>5309</v>
      </c>
      <c r="F2635" s="79" t="s">
        <v>5277</v>
      </c>
      <c r="G2635" s="80" t="s">
        <v>96</v>
      </c>
      <c r="H2635" s="90">
        <v>9.63E-5</v>
      </c>
      <c r="I2635" s="45"/>
      <c r="J2635" s="45"/>
      <c r="K2635" s="45"/>
      <c r="L2635" s="45"/>
      <c r="M2635" s="45"/>
      <c r="N2635" s="45"/>
      <c r="O2635" s="45"/>
      <c r="P2635" s="45"/>
      <c r="Q2635" s="45"/>
      <c r="R2635" s="45"/>
      <c r="S2635" s="45"/>
      <c r="T2635" s="45"/>
      <c r="U2635" s="45"/>
    </row>
    <row r="2636">
      <c r="A2636" s="79" t="s">
        <v>20419</v>
      </c>
      <c r="B2636" s="45"/>
      <c r="C2636" s="79" t="s">
        <v>20420</v>
      </c>
      <c r="D2636" s="45"/>
      <c r="E2636" s="79" t="s">
        <v>5715</v>
      </c>
      <c r="F2636" s="79" t="s">
        <v>5300</v>
      </c>
      <c r="G2636" s="80" t="s">
        <v>96</v>
      </c>
      <c r="H2636" s="90">
        <v>9.63E-5</v>
      </c>
      <c r="I2636" s="45"/>
      <c r="J2636" s="45"/>
      <c r="K2636" s="45"/>
      <c r="L2636" s="45"/>
      <c r="M2636" s="45"/>
      <c r="N2636" s="45"/>
      <c r="O2636" s="45"/>
      <c r="P2636" s="45"/>
      <c r="Q2636" s="45"/>
      <c r="R2636" s="45"/>
      <c r="S2636" s="45"/>
      <c r="T2636" s="45"/>
      <c r="U2636" s="45"/>
    </row>
    <row r="2637">
      <c r="A2637" s="79" t="s">
        <v>20421</v>
      </c>
      <c r="B2637" s="45"/>
      <c r="C2637" s="79" t="s">
        <v>20422</v>
      </c>
      <c r="D2637" s="45"/>
      <c r="E2637" s="79" t="s">
        <v>5366</v>
      </c>
      <c r="F2637" s="79" t="s">
        <v>5300</v>
      </c>
      <c r="G2637" s="80" t="s">
        <v>96</v>
      </c>
      <c r="H2637" s="90">
        <v>9.63E-5</v>
      </c>
      <c r="I2637" s="45"/>
      <c r="J2637" s="45"/>
      <c r="K2637" s="45"/>
      <c r="L2637" s="45"/>
      <c r="M2637" s="45"/>
      <c r="N2637" s="45"/>
      <c r="O2637" s="45"/>
      <c r="P2637" s="45"/>
      <c r="Q2637" s="45"/>
      <c r="R2637" s="45"/>
      <c r="S2637" s="45"/>
      <c r="T2637" s="45"/>
      <c r="U2637" s="45"/>
    </row>
    <row r="2638">
      <c r="A2638" s="79" t="s">
        <v>20423</v>
      </c>
      <c r="B2638" s="45"/>
      <c r="C2638" s="79" t="s">
        <v>20424</v>
      </c>
      <c r="D2638" s="45"/>
      <c r="E2638" s="79" t="s">
        <v>5276</v>
      </c>
      <c r="F2638" s="79" t="s">
        <v>5300</v>
      </c>
      <c r="G2638" s="80" t="s">
        <v>96</v>
      </c>
      <c r="H2638" s="90">
        <v>9.62E-5</v>
      </c>
      <c r="I2638" s="45"/>
      <c r="J2638" s="45"/>
      <c r="K2638" s="45"/>
      <c r="L2638" s="45"/>
      <c r="M2638" s="45"/>
      <c r="N2638" s="45"/>
      <c r="O2638" s="45"/>
      <c r="P2638" s="45"/>
      <c r="Q2638" s="45"/>
      <c r="R2638" s="45"/>
      <c r="S2638" s="45"/>
      <c r="T2638" s="45"/>
      <c r="U2638" s="45"/>
    </row>
    <row r="2639">
      <c r="A2639" s="79" t="s">
        <v>20425</v>
      </c>
      <c r="B2639" s="45"/>
      <c r="C2639" s="79" t="s">
        <v>20426</v>
      </c>
      <c r="D2639" s="45"/>
      <c r="E2639" s="79" t="s">
        <v>5326</v>
      </c>
      <c r="F2639" s="79" t="s">
        <v>5300</v>
      </c>
      <c r="G2639" s="80" t="s">
        <v>96</v>
      </c>
      <c r="H2639" s="90">
        <v>9.61E-5</v>
      </c>
      <c r="I2639" s="45"/>
      <c r="J2639" s="45"/>
      <c r="K2639" s="45"/>
      <c r="L2639" s="45"/>
      <c r="M2639" s="45"/>
      <c r="N2639" s="45"/>
      <c r="O2639" s="45"/>
      <c r="P2639" s="45"/>
      <c r="Q2639" s="45"/>
      <c r="R2639" s="45"/>
      <c r="S2639" s="45"/>
      <c r="T2639" s="45"/>
      <c r="U2639" s="45"/>
    </row>
    <row r="2640">
      <c r="A2640" s="79" t="s">
        <v>20427</v>
      </c>
      <c r="B2640" s="45"/>
      <c r="C2640" s="79" t="s">
        <v>20428</v>
      </c>
      <c r="D2640" s="45"/>
      <c r="E2640" s="79" t="s">
        <v>5775</v>
      </c>
      <c r="F2640" s="79" t="s">
        <v>5300</v>
      </c>
      <c r="G2640" s="80" t="s">
        <v>96</v>
      </c>
      <c r="H2640" s="90">
        <v>9.61E-5</v>
      </c>
      <c r="I2640" s="45"/>
      <c r="J2640" s="45"/>
      <c r="K2640" s="45"/>
      <c r="L2640" s="45"/>
      <c r="M2640" s="45"/>
      <c r="N2640" s="45"/>
      <c r="O2640" s="45"/>
      <c r="P2640" s="45"/>
      <c r="Q2640" s="45"/>
      <c r="R2640" s="45"/>
      <c r="S2640" s="45"/>
      <c r="T2640" s="45"/>
      <c r="U2640" s="45"/>
    </row>
    <row r="2641">
      <c r="A2641" s="79" t="s">
        <v>20429</v>
      </c>
      <c r="B2641" s="45"/>
      <c r="C2641" s="79" t="s">
        <v>20430</v>
      </c>
      <c r="D2641" s="45"/>
      <c r="E2641" s="79" t="s">
        <v>10530</v>
      </c>
      <c r="F2641" s="79" t="s">
        <v>8784</v>
      </c>
      <c r="G2641" s="80" t="s">
        <v>96</v>
      </c>
      <c r="H2641" s="90">
        <v>9.61E-5</v>
      </c>
      <c r="I2641" s="45"/>
      <c r="J2641" s="45"/>
      <c r="K2641" s="45"/>
      <c r="L2641" s="45"/>
      <c r="M2641" s="45"/>
      <c r="N2641" s="45"/>
      <c r="O2641" s="45"/>
      <c r="P2641" s="45"/>
      <c r="Q2641" s="45"/>
      <c r="R2641" s="45"/>
      <c r="S2641" s="45"/>
      <c r="T2641" s="45"/>
      <c r="U2641" s="45"/>
    </row>
    <row r="2642">
      <c r="A2642" s="79" t="s">
        <v>7210</v>
      </c>
      <c r="B2642" s="45"/>
      <c r="C2642" s="79" t="s">
        <v>20431</v>
      </c>
      <c r="D2642" s="45"/>
      <c r="E2642" s="79" t="s">
        <v>6012</v>
      </c>
      <c r="F2642" s="79" t="s">
        <v>8784</v>
      </c>
      <c r="G2642" s="80" t="s">
        <v>96</v>
      </c>
      <c r="H2642" s="90">
        <v>9.61E-5</v>
      </c>
      <c r="I2642" s="45"/>
      <c r="J2642" s="45"/>
      <c r="K2642" s="45"/>
      <c r="L2642" s="45"/>
      <c r="M2642" s="45"/>
      <c r="N2642" s="45"/>
      <c r="O2642" s="45"/>
      <c r="P2642" s="45"/>
      <c r="Q2642" s="45"/>
      <c r="R2642" s="45"/>
      <c r="S2642" s="45"/>
      <c r="T2642" s="45"/>
      <c r="U2642" s="45"/>
    </row>
    <row r="2643">
      <c r="A2643" s="79" t="s">
        <v>20432</v>
      </c>
      <c r="B2643" s="45"/>
      <c r="C2643" s="79" t="s">
        <v>20433</v>
      </c>
      <c r="D2643" s="45"/>
      <c r="E2643" s="79" t="s">
        <v>5624</v>
      </c>
      <c r="F2643" s="79" t="s">
        <v>8784</v>
      </c>
      <c r="G2643" s="80" t="s">
        <v>96</v>
      </c>
      <c r="H2643" s="90">
        <v>9.6E-5</v>
      </c>
      <c r="I2643" s="45"/>
      <c r="J2643" s="45"/>
      <c r="K2643" s="45"/>
      <c r="L2643" s="45"/>
      <c r="M2643" s="45"/>
      <c r="N2643" s="45"/>
      <c r="O2643" s="45"/>
      <c r="P2643" s="45"/>
      <c r="Q2643" s="45"/>
      <c r="R2643" s="45"/>
      <c r="S2643" s="45"/>
      <c r="T2643" s="45"/>
      <c r="U2643" s="45"/>
    </row>
    <row r="2644">
      <c r="A2644" s="79" t="s">
        <v>20434</v>
      </c>
      <c r="B2644" s="45"/>
      <c r="C2644" s="79" t="s">
        <v>20435</v>
      </c>
      <c r="D2644" s="45"/>
      <c r="E2644" s="79" t="s">
        <v>5366</v>
      </c>
      <c r="F2644" s="79" t="s">
        <v>8759</v>
      </c>
      <c r="G2644" s="80" t="s">
        <v>96</v>
      </c>
      <c r="H2644" s="90">
        <v>9.6E-5</v>
      </c>
      <c r="I2644" s="45"/>
      <c r="J2644" s="45"/>
      <c r="K2644" s="45"/>
      <c r="L2644" s="45"/>
      <c r="M2644" s="45"/>
      <c r="N2644" s="45"/>
      <c r="O2644" s="45"/>
      <c r="P2644" s="45"/>
      <c r="Q2644" s="45"/>
      <c r="R2644" s="45"/>
      <c r="S2644" s="45"/>
      <c r="T2644" s="45"/>
      <c r="U2644" s="45"/>
    </row>
    <row r="2645">
      <c r="A2645" s="79" t="s">
        <v>20436</v>
      </c>
      <c r="B2645" s="45"/>
      <c r="C2645" s="79" t="s">
        <v>20437</v>
      </c>
      <c r="D2645" s="45"/>
      <c r="E2645" s="79" t="s">
        <v>5235</v>
      </c>
      <c r="F2645" s="79" t="s">
        <v>5300</v>
      </c>
      <c r="G2645" s="80" t="s">
        <v>96</v>
      </c>
      <c r="H2645" s="90">
        <v>9.59E-5</v>
      </c>
      <c r="I2645" s="45"/>
      <c r="J2645" s="45"/>
      <c r="K2645" s="45"/>
      <c r="L2645" s="45"/>
      <c r="M2645" s="45"/>
      <c r="N2645" s="45"/>
      <c r="O2645" s="45"/>
      <c r="P2645" s="45"/>
      <c r="Q2645" s="45"/>
      <c r="R2645" s="45"/>
      <c r="S2645" s="45"/>
      <c r="T2645" s="45"/>
      <c r="U2645" s="45"/>
    </row>
    <row r="2646">
      <c r="A2646" s="79" t="s">
        <v>20438</v>
      </c>
      <c r="B2646" s="45"/>
      <c r="C2646" s="79" t="s">
        <v>20439</v>
      </c>
      <c r="D2646" s="45"/>
      <c r="E2646" s="79" t="s">
        <v>5868</v>
      </c>
      <c r="F2646" s="79" t="s">
        <v>5300</v>
      </c>
      <c r="G2646" s="80" t="s">
        <v>96</v>
      </c>
      <c r="H2646" s="90">
        <v>9.59E-5</v>
      </c>
      <c r="I2646" s="45"/>
      <c r="J2646" s="45"/>
      <c r="K2646" s="45"/>
      <c r="L2646" s="45"/>
      <c r="M2646" s="45"/>
      <c r="N2646" s="45"/>
      <c r="O2646" s="45"/>
      <c r="P2646" s="45"/>
      <c r="Q2646" s="45"/>
      <c r="R2646" s="45"/>
      <c r="S2646" s="45"/>
      <c r="T2646" s="45"/>
      <c r="U2646" s="45"/>
    </row>
    <row r="2647">
      <c r="A2647" s="79" t="s">
        <v>20440</v>
      </c>
      <c r="B2647" s="45"/>
      <c r="C2647" s="79" t="s">
        <v>20441</v>
      </c>
      <c r="D2647" s="45"/>
      <c r="E2647" s="79" t="s">
        <v>5215</v>
      </c>
      <c r="F2647" s="79" t="s">
        <v>8784</v>
      </c>
      <c r="G2647" s="80" t="s">
        <v>96</v>
      </c>
      <c r="H2647" s="90">
        <v>9.59E-5</v>
      </c>
      <c r="I2647" s="45"/>
      <c r="J2647" s="45"/>
      <c r="K2647" s="45"/>
      <c r="L2647" s="45"/>
      <c r="M2647" s="45"/>
      <c r="N2647" s="45"/>
      <c r="O2647" s="45"/>
      <c r="P2647" s="45"/>
      <c r="Q2647" s="45"/>
      <c r="R2647" s="45"/>
      <c r="S2647" s="45"/>
      <c r="T2647" s="45"/>
      <c r="U2647" s="45"/>
    </row>
    <row r="2648">
      <c r="A2648" s="79" t="s">
        <v>20442</v>
      </c>
      <c r="B2648" s="45"/>
      <c r="C2648" s="79" t="s">
        <v>20443</v>
      </c>
      <c r="D2648" s="45"/>
      <c r="E2648" s="79" t="s">
        <v>5276</v>
      </c>
      <c r="F2648" s="79" t="s">
        <v>8784</v>
      </c>
      <c r="G2648" s="80" t="s">
        <v>96</v>
      </c>
      <c r="H2648" s="90">
        <v>9.58E-5</v>
      </c>
      <c r="I2648" s="45"/>
      <c r="J2648" s="45"/>
      <c r="K2648" s="45"/>
      <c r="L2648" s="45"/>
      <c r="M2648" s="45"/>
      <c r="N2648" s="45"/>
      <c r="O2648" s="45"/>
      <c r="P2648" s="45"/>
      <c r="Q2648" s="45"/>
      <c r="R2648" s="45"/>
      <c r="S2648" s="45"/>
      <c r="T2648" s="45"/>
      <c r="U2648" s="45"/>
    </row>
    <row r="2649">
      <c r="A2649" s="79" t="s">
        <v>20444</v>
      </c>
      <c r="B2649" s="45"/>
      <c r="C2649" s="79" t="s">
        <v>20445</v>
      </c>
      <c r="D2649" s="45"/>
      <c r="E2649" s="79" t="s">
        <v>5407</v>
      </c>
      <c r="F2649" s="79" t="s">
        <v>5425</v>
      </c>
      <c r="G2649" s="80" t="s">
        <v>96</v>
      </c>
      <c r="H2649" s="90">
        <v>9.55E-5</v>
      </c>
      <c r="I2649" s="45"/>
      <c r="J2649" s="45"/>
      <c r="K2649" s="45"/>
      <c r="L2649" s="45"/>
      <c r="M2649" s="45"/>
      <c r="N2649" s="45"/>
      <c r="O2649" s="45"/>
      <c r="P2649" s="45"/>
      <c r="Q2649" s="45"/>
      <c r="R2649" s="45"/>
      <c r="S2649" s="45"/>
      <c r="T2649" s="45"/>
      <c r="U2649" s="45"/>
    </row>
    <row r="2650">
      <c r="A2650" s="79" t="s">
        <v>20446</v>
      </c>
      <c r="B2650" s="45"/>
      <c r="C2650" s="79" t="s">
        <v>20447</v>
      </c>
      <c r="D2650" s="45"/>
      <c r="E2650" s="79" t="s">
        <v>5283</v>
      </c>
      <c r="F2650" s="79" t="s">
        <v>9513</v>
      </c>
      <c r="G2650" s="80" t="s">
        <v>96</v>
      </c>
      <c r="H2650" s="90">
        <v>9.54E-5</v>
      </c>
      <c r="I2650" s="45"/>
      <c r="J2650" s="45"/>
      <c r="K2650" s="45"/>
      <c r="L2650" s="45"/>
      <c r="M2650" s="45"/>
      <c r="N2650" s="45"/>
      <c r="O2650" s="45"/>
      <c r="P2650" s="45"/>
      <c r="Q2650" s="45"/>
      <c r="R2650" s="45"/>
      <c r="S2650" s="45"/>
      <c r="T2650" s="45"/>
      <c r="U2650" s="45"/>
    </row>
    <row r="2651">
      <c r="A2651" s="79" t="s">
        <v>20448</v>
      </c>
      <c r="B2651" s="45"/>
      <c r="C2651" s="79" t="s">
        <v>20449</v>
      </c>
      <c r="D2651" s="45"/>
      <c r="E2651" s="79" t="s">
        <v>6472</v>
      </c>
      <c r="F2651" s="79" t="s">
        <v>5300</v>
      </c>
      <c r="G2651" s="80" t="s">
        <v>96</v>
      </c>
      <c r="H2651" s="90">
        <v>9.54E-5</v>
      </c>
      <c r="I2651" s="45"/>
      <c r="J2651" s="45"/>
      <c r="K2651" s="45"/>
      <c r="L2651" s="45"/>
      <c r="M2651" s="45"/>
      <c r="N2651" s="45"/>
      <c r="O2651" s="45"/>
      <c r="P2651" s="45"/>
      <c r="Q2651" s="45"/>
      <c r="R2651" s="45"/>
      <c r="S2651" s="45"/>
      <c r="T2651" s="45"/>
      <c r="U2651" s="45"/>
    </row>
    <row r="2652">
      <c r="A2652" s="79" t="s">
        <v>20450</v>
      </c>
      <c r="B2652" s="45"/>
      <c r="C2652" s="79" t="s">
        <v>20451</v>
      </c>
      <c r="D2652" s="45"/>
      <c r="E2652" s="79" t="s">
        <v>5964</v>
      </c>
      <c r="F2652" s="79" t="s">
        <v>8784</v>
      </c>
      <c r="G2652" s="80" t="s">
        <v>96</v>
      </c>
      <c r="H2652" s="90">
        <v>9.52E-5</v>
      </c>
      <c r="I2652" s="45"/>
      <c r="J2652" s="45"/>
      <c r="K2652" s="45"/>
      <c r="L2652" s="45"/>
      <c r="M2652" s="45"/>
      <c r="N2652" s="45"/>
      <c r="O2652" s="45"/>
      <c r="P2652" s="45"/>
      <c r="Q2652" s="45"/>
      <c r="R2652" s="45"/>
      <c r="S2652" s="45"/>
      <c r="T2652" s="45"/>
      <c r="U2652" s="45"/>
    </row>
    <row r="2653">
      <c r="A2653" s="79" t="s">
        <v>20452</v>
      </c>
      <c r="B2653" s="45"/>
      <c r="C2653" s="79" t="s">
        <v>20453</v>
      </c>
      <c r="D2653" s="45"/>
      <c r="E2653" s="79" t="s">
        <v>5578</v>
      </c>
      <c r="F2653" s="79" t="s">
        <v>8784</v>
      </c>
      <c r="G2653" s="80" t="s">
        <v>96</v>
      </c>
      <c r="H2653" s="90">
        <v>9.51E-5</v>
      </c>
      <c r="I2653" s="45"/>
      <c r="J2653" s="45"/>
      <c r="K2653" s="45"/>
      <c r="L2653" s="45"/>
      <c r="M2653" s="45"/>
      <c r="N2653" s="45"/>
      <c r="O2653" s="45"/>
      <c r="P2653" s="45"/>
      <c r="Q2653" s="45"/>
      <c r="R2653" s="45"/>
      <c r="S2653" s="45"/>
      <c r="T2653" s="45"/>
      <c r="U2653" s="45"/>
    </row>
    <row r="2654">
      <c r="A2654" s="79" t="s">
        <v>20454</v>
      </c>
      <c r="B2654" s="45"/>
      <c r="C2654" s="79" t="s">
        <v>20455</v>
      </c>
      <c r="D2654" s="45"/>
      <c r="E2654" s="79" t="s">
        <v>6931</v>
      </c>
      <c r="F2654" s="79" t="s">
        <v>8784</v>
      </c>
      <c r="G2654" s="80" t="s">
        <v>96</v>
      </c>
      <c r="H2654" s="90">
        <v>9.51E-5</v>
      </c>
      <c r="I2654" s="45"/>
      <c r="J2654" s="45"/>
      <c r="K2654" s="45"/>
      <c r="L2654" s="45"/>
      <c r="M2654" s="45"/>
      <c r="N2654" s="45"/>
      <c r="O2654" s="45"/>
      <c r="P2654" s="45"/>
      <c r="Q2654" s="45"/>
      <c r="R2654" s="45"/>
      <c r="S2654" s="45"/>
      <c r="T2654" s="45"/>
      <c r="U2654" s="45"/>
    </row>
    <row r="2655">
      <c r="A2655" s="79" t="s">
        <v>20456</v>
      </c>
      <c r="B2655" s="45"/>
      <c r="C2655" s="79" t="s">
        <v>20457</v>
      </c>
      <c r="D2655" s="45"/>
      <c r="E2655" s="79" t="s">
        <v>6115</v>
      </c>
      <c r="F2655" s="79" t="s">
        <v>8784</v>
      </c>
      <c r="G2655" s="80" t="s">
        <v>96</v>
      </c>
      <c r="H2655" s="90">
        <v>9.5E-5</v>
      </c>
      <c r="I2655" s="45"/>
      <c r="J2655" s="45"/>
      <c r="K2655" s="45"/>
      <c r="L2655" s="45"/>
      <c r="M2655" s="45"/>
      <c r="N2655" s="45"/>
      <c r="O2655" s="45"/>
      <c r="P2655" s="45"/>
      <c r="Q2655" s="45"/>
      <c r="R2655" s="45"/>
      <c r="S2655" s="45"/>
      <c r="T2655" s="45"/>
      <c r="U2655" s="45"/>
    </row>
    <row r="2656">
      <c r="A2656" s="79" t="s">
        <v>20458</v>
      </c>
      <c r="B2656" s="45"/>
      <c r="C2656" s="79" t="s">
        <v>20459</v>
      </c>
      <c r="D2656" s="45"/>
      <c r="E2656" s="79" t="s">
        <v>5261</v>
      </c>
      <c r="F2656" s="79" t="s">
        <v>5300</v>
      </c>
      <c r="G2656" s="80" t="s">
        <v>96</v>
      </c>
      <c r="H2656" s="90">
        <v>9.49E-5</v>
      </c>
      <c r="I2656" s="45"/>
      <c r="J2656" s="45"/>
      <c r="K2656" s="45"/>
      <c r="L2656" s="45"/>
      <c r="M2656" s="45"/>
      <c r="N2656" s="45"/>
      <c r="O2656" s="45"/>
      <c r="P2656" s="45"/>
      <c r="Q2656" s="45"/>
      <c r="R2656" s="45"/>
      <c r="S2656" s="45"/>
      <c r="T2656" s="45"/>
      <c r="U2656" s="45"/>
    </row>
    <row r="2657">
      <c r="A2657" s="79" t="s">
        <v>20460</v>
      </c>
      <c r="B2657" s="45"/>
      <c r="C2657" s="79" t="s">
        <v>20461</v>
      </c>
      <c r="D2657" s="45"/>
      <c r="E2657" s="79" t="s">
        <v>9144</v>
      </c>
      <c r="F2657" s="79" t="s">
        <v>6210</v>
      </c>
      <c r="G2657" s="80" t="s">
        <v>96</v>
      </c>
      <c r="H2657" s="90">
        <v>9.49E-5</v>
      </c>
      <c r="I2657" s="45"/>
      <c r="J2657" s="45"/>
      <c r="K2657" s="45"/>
      <c r="L2657" s="45"/>
      <c r="M2657" s="45"/>
      <c r="N2657" s="45"/>
      <c r="O2657" s="45"/>
      <c r="P2657" s="45"/>
      <c r="Q2657" s="45"/>
      <c r="R2657" s="45"/>
      <c r="S2657" s="45"/>
      <c r="T2657" s="45"/>
      <c r="U2657" s="45"/>
    </row>
    <row r="2658">
      <c r="A2658" s="79" t="s">
        <v>7463</v>
      </c>
      <c r="B2658" s="45"/>
      <c r="C2658" s="79" t="s">
        <v>20462</v>
      </c>
      <c r="D2658" s="45"/>
      <c r="E2658" s="79" t="s">
        <v>10231</v>
      </c>
      <c r="F2658" s="79" t="s">
        <v>9299</v>
      </c>
      <c r="G2658" s="80" t="s">
        <v>96</v>
      </c>
      <c r="H2658" s="90">
        <v>9.49E-5</v>
      </c>
      <c r="I2658" s="45"/>
      <c r="J2658" s="45"/>
      <c r="K2658" s="45"/>
      <c r="L2658" s="45"/>
      <c r="M2658" s="45"/>
      <c r="N2658" s="45"/>
      <c r="O2658" s="45"/>
      <c r="P2658" s="45"/>
      <c r="Q2658" s="45"/>
      <c r="R2658" s="45"/>
      <c r="S2658" s="45"/>
      <c r="T2658" s="45"/>
      <c r="U2658" s="45"/>
    </row>
    <row r="2659">
      <c r="A2659" s="79" t="s">
        <v>20463</v>
      </c>
      <c r="B2659" s="45"/>
      <c r="C2659" s="79" t="s">
        <v>20464</v>
      </c>
      <c r="D2659" s="45"/>
      <c r="E2659" s="79" t="s">
        <v>5335</v>
      </c>
      <c r="F2659" s="79" t="s">
        <v>8784</v>
      </c>
      <c r="G2659" s="80" t="s">
        <v>96</v>
      </c>
      <c r="H2659" s="90">
        <v>9.49E-5</v>
      </c>
      <c r="I2659" s="45"/>
      <c r="J2659" s="45"/>
      <c r="K2659" s="45"/>
      <c r="L2659" s="45"/>
      <c r="M2659" s="45"/>
      <c r="N2659" s="45"/>
      <c r="O2659" s="45"/>
      <c r="P2659" s="45"/>
      <c r="Q2659" s="45"/>
      <c r="R2659" s="45"/>
      <c r="S2659" s="45"/>
      <c r="T2659" s="45"/>
      <c r="U2659" s="45"/>
    </row>
    <row r="2660">
      <c r="A2660" s="79" t="s">
        <v>20465</v>
      </c>
      <c r="B2660" s="45"/>
      <c r="C2660" s="79" t="s">
        <v>20466</v>
      </c>
      <c r="D2660" s="45"/>
      <c r="E2660" s="79" t="s">
        <v>5961</v>
      </c>
      <c r="F2660" s="79" t="s">
        <v>5927</v>
      </c>
      <c r="G2660" s="80" t="s">
        <v>96</v>
      </c>
      <c r="H2660" s="90">
        <v>9.47E-5</v>
      </c>
      <c r="I2660" s="45"/>
      <c r="J2660" s="45"/>
      <c r="K2660" s="45"/>
      <c r="L2660" s="45"/>
      <c r="M2660" s="45"/>
      <c r="N2660" s="45"/>
      <c r="O2660" s="45"/>
      <c r="P2660" s="45"/>
      <c r="Q2660" s="45"/>
      <c r="R2660" s="45"/>
      <c r="S2660" s="45"/>
      <c r="T2660" s="45"/>
      <c r="U2660" s="45"/>
    </row>
    <row r="2661">
      <c r="A2661" s="79" t="s">
        <v>20467</v>
      </c>
      <c r="B2661" s="45"/>
      <c r="C2661" s="79" t="s">
        <v>20468</v>
      </c>
      <c r="D2661" s="45"/>
      <c r="E2661" s="79" t="s">
        <v>5321</v>
      </c>
      <c r="F2661" s="79" t="s">
        <v>5836</v>
      </c>
      <c r="G2661" s="80" t="s">
        <v>96</v>
      </c>
      <c r="H2661" s="90">
        <v>9.46E-5</v>
      </c>
      <c r="I2661" s="45"/>
      <c r="J2661" s="45"/>
      <c r="K2661" s="45"/>
      <c r="L2661" s="45"/>
      <c r="M2661" s="45"/>
      <c r="N2661" s="45"/>
      <c r="O2661" s="45"/>
      <c r="P2661" s="45"/>
      <c r="Q2661" s="45"/>
      <c r="R2661" s="45"/>
      <c r="S2661" s="45"/>
      <c r="T2661" s="45"/>
      <c r="U2661" s="45"/>
    </row>
    <row r="2662">
      <c r="A2662" s="79" t="s">
        <v>20469</v>
      </c>
      <c r="B2662" s="45"/>
      <c r="C2662" s="79" t="s">
        <v>20470</v>
      </c>
      <c r="D2662" s="45"/>
      <c r="E2662" s="79" t="s">
        <v>5650</v>
      </c>
      <c r="F2662" s="79" t="s">
        <v>8759</v>
      </c>
      <c r="G2662" s="80" t="s">
        <v>96</v>
      </c>
      <c r="H2662" s="90">
        <v>9.46E-5</v>
      </c>
      <c r="I2662" s="45"/>
      <c r="J2662" s="45"/>
      <c r="K2662" s="45"/>
      <c r="L2662" s="45"/>
      <c r="M2662" s="45"/>
      <c r="N2662" s="45"/>
      <c r="O2662" s="45"/>
      <c r="P2662" s="45"/>
      <c r="Q2662" s="45"/>
      <c r="R2662" s="45"/>
      <c r="S2662" s="45"/>
      <c r="T2662" s="45"/>
      <c r="U2662" s="45"/>
    </row>
    <row r="2663">
      <c r="A2663" s="79" t="s">
        <v>20471</v>
      </c>
      <c r="B2663" s="45"/>
      <c r="C2663" s="79" t="s">
        <v>20472</v>
      </c>
      <c r="D2663" s="45"/>
      <c r="E2663" s="79" t="s">
        <v>5215</v>
      </c>
      <c r="F2663" s="79" t="s">
        <v>5300</v>
      </c>
      <c r="G2663" s="80" t="s">
        <v>96</v>
      </c>
      <c r="H2663" s="90">
        <v>9.46E-5</v>
      </c>
      <c r="I2663" s="45"/>
      <c r="J2663" s="45"/>
      <c r="K2663" s="45"/>
      <c r="L2663" s="45"/>
      <c r="M2663" s="45"/>
      <c r="N2663" s="45"/>
      <c r="O2663" s="45"/>
      <c r="P2663" s="45"/>
      <c r="Q2663" s="45"/>
      <c r="R2663" s="45"/>
      <c r="S2663" s="45"/>
      <c r="T2663" s="45"/>
      <c r="U2663" s="45"/>
    </row>
    <row r="2664">
      <c r="A2664" s="79" t="s">
        <v>20473</v>
      </c>
      <c r="B2664" s="45"/>
      <c r="C2664" s="79" t="s">
        <v>20474</v>
      </c>
      <c r="D2664" s="45"/>
      <c r="E2664" s="79" t="s">
        <v>5377</v>
      </c>
      <c r="F2664" s="79" t="s">
        <v>8784</v>
      </c>
      <c r="G2664" s="80" t="s">
        <v>96</v>
      </c>
      <c r="H2664" s="90">
        <v>9.46E-5</v>
      </c>
      <c r="I2664" s="45"/>
      <c r="J2664" s="45"/>
      <c r="K2664" s="45"/>
      <c r="L2664" s="45"/>
      <c r="M2664" s="45"/>
      <c r="N2664" s="45"/>
      <c r="O2664" s="45"/>
      <c r="P2664" s="45"/>
      <c r="Q2664" s="45"/>
      <c r="R2664" s="45"/>
      <c r="S2664" s="45"/>
      <c r="T2664" s="45"/>
      <c r="U2664" s="45"/>
    </row>
    <row r="2665">
      <c r="A2665" s="79" t="s">
        <v>20475</v>
      </c>
      <c r="B2665" s="45"/>
      <c r="C2665" s="79" t="s">
        <v>20476</v>
      </c>
      <c r="D2665" s="45"/>
      <c r="E2665" s="79" t="s">
        <v>5276</v>
      </c>
      <c r="F2665" s="79" t="s">
        <v>5300</v>
      </c>
      <c r="G2665" s="80" t="s">
        <v>96</v>
      </c>
      <c r="H2665" s="90">
        <v>9.46E-5</v>
      </c>
      <c r="I2665" s="45"/>
      <c r="J2665" s="45"/>
      <c r="K2665" s="45"/>
      <c r="L2665" s="45"/>
      <c r="M2665" s="45"/>
      <c r="N2665" s="45"/>
      <c r="O2665" s="45"/>
      <c r="P2665" s="45"/>
      <c r="Q2665" s="45"/>
      <c r="R2665" s="45"/>
      <c r="S2665" s="45"/>
      <c r="T2665" s="45"/>
      <c r="U2665" s="45"/>
    </row>
    <row r="2666">
      <c r="A2666" s="79" t="s">
        <v>20477</v>
      </c>
      <c r="B2666" s="45"/>
      <c r="C2666" s="79" t="s">
        <v>20478</v>
      </c>
      <c r="D2666" s="45"/>
      <c r="E2666" s="79" t="s">
        <v>5501</v>
      </c>
      <c r="F2666" s="79" t="s">
        <v>4095</v>
      </c>
      <c r="G2666" s="80" t="s">
        <v>96</v>
      </c>
      <c r="H2666" s="90">
        <v>9.44E-5</v>
      </c>
      <c r="I2666" s="45"/>
      <c r="J2666" s="45"/>
      <c r="K2666" s="45"/>
      <c r="L2666" s="45"/>
      <c r="M2666" s="45"/>
      <c r="N2666" s="45"/>
      <c r="O2666" s="45"/>
      <c r="P2666" s="45"/>
      <c r="Q2666" s="45"/>
      <c r="R2666" s="45"/>
      <c r="S2666" s="45"/>
      <c r="T2666" s="45"/>
      <c r="U2666" s="45"/>
    </row>
    <row r="2667">
      <c r="A2667" s="79" t="s">
        <v>20479</v>
      </c>
      <c r="B2667" s="45"/>
      <c r="C2667" s="79" t="s">
        <v>20480</v>
      </c>
      <c r="D2667" s="45"/>
      <c r="E2667" s="79" t="s">
        <v>7471</v>
      </c>
      <c r="F2667" s="79" t="s">
        <v>8784</v>
      </c>
      <c r="G2667" s="80" t="s">
        <v>96</v>
      </c>
      <c r="H2667" s="90">
        <v>9.44E-5</v>
      </c>
      <c r="I2667" s="45"/>
      <c r="J2667" s="45"/>
      <c r="K2667" s="45"/>
      <c r="L2667" s="45"/>
      <c r="M2667" s="45"/>
      <c r="N2667" s="45"/>
      <c r="O2667" s="45"/>
      <c r="P2667" s="45"/>
      <c r="Q2667" s="45"/>
      <c r="R2667" s="45"/>
      <c r="S2667" s="45"/>
      <c r="T2667" s="45"/>
      <c r="U2667" s="45"/>
    </row>
    <row r="2668">
      <c r="A2668" s="79" t="s">
        <v>20481</v>
      </c>
      <c r="B2668" s="45"/>
      <c r="C2668" s="79" t="s">
        <v>20482</v>
      </c>
      <c r="D2668" s="45"/>
      <c r="E2668" s="79" t="s">
        <v>5450</v>
      </c>
      <c r="F2668" s="79" t="s">
        <v>5836</v>
      </c>
      <c r="G2668" s="80" t="s">
        <v>96</v>
      </c>
      <c r="H2668" s="90">
        <v>9.44E-5</v>
      </c>
      <c r="I2668" s="45"/>
      <c r="J2668" s="45"/>
      <c r="K2668" s="45"/>
      <c r="L2668" s="45"/>
      <c r="M2668" s="45"/>
      <c r="N2668" s="45"/>
      <c r="O2668" s="45"/>
      <c r="P2668" s="45"/>
      <c r="Q2668" s="45"/>
      <c r="R2668" s="45"/>
      <c r="S2668" s="45"/>
      <c r="T2668" s="45"/>
      <c r="U2668" s="45"/>
    </row>
    <row r="2669">
      <c r="A2669" s="79" t="s">
        <v>20483</v>
      </c>
      <c r="B2669" s="45"/>
      <c r="C2669" s="79" t="s">
        <v>20484</v>
      </c>
      <c r="D2669" s="45"/>
      <c r="E2669" s="79" t="s">
        <v>5456</v>
      </c>
      <c r="F2669" s="79" t="s">
        <v>5300</v>
      </c>
      <c r="G2669" s="80" t="s">
        <v>96</v>
      </c>
      <c r="H2669" s="90">
        <v>9.43E-5</v>
      </c>
      <c r="I2669" s="45"/>
      <c r="J2669" s="45"/>
      <c r="K2669" s="45"/>
      <c r="L2669" s="45"/>
      <c r="M2669" s="45"/>
      <c r="N2669" s="45"/>
      <c r="O2669" s="45"/>
      <c r="P2669" s="45"/>
      <c r="Q2669" s="45"/>
      <c r="R2669" s="45"/>
      <c r="S2669" s="45"/>
      <c r="T2669" s="45"/>
      <c r="U2669" s="45"/>
    </row>
    <row r="2670">
      <c r="A2670" s="79" t="s">
        <v>20485</v>
      </c>
      <c r="B2670" s="45"/>
      <c r="C2670" s="79" t="s">
        <v>20486</v>
      </c>
      <c r="D2670" s="45"/>
      <c r="E2670" s="79" t="s">
        <v>5573</v>
      </c>
      <c r="F2670" s="79" t="s">
        <v>5836</v>
      </c>
      <c r="G2670" s="80" t="s">
        <v>96</v>
      </c>
      <c r="H2670" s="90">
        <v>9.43E-5</v>
      </c>
      <c r="I2670" s="45"/>
      <c r="J2670" s="45"/>
      <c r="K2670" s="45"/>
      <c r="L2670" s="45"/>
      <c r="M2670" s="45"/>
      <c r="N2670" s="45"/>
      <c r="O2670" s="45"/>
      <c r="P2670" s="45"/>
      <c r="Q2670" s="45"/>
      <c r="R2670" s="45"/>
      <c r="S2670" s="45"/>
      <c r="T2670" s="45"/>
      <c r="U2670" s="45"/>
    </row>
    <row r="2671">
      <c r="A2671" s="79" t="s">
        <v>20487</v>
      </c>
      <c r="B2671" s="45"/>
      <c r="C2671" s="79" t="s">
        <v>20488</v>
      </c>
      <c r="D2671" s="45"/>
      <c r="E2671" s="79" t="s">
        <v>6238</v>
      </c>
      <c r="F2671" s="79" t="s">
        <v>5747</v>
      </c>
      <c r="G2671" s="80" t="s">
        <v>96</v>
      </c>
      <c r="H2671" s="90">
        <v>9.43E-5</v>
      </c>
      <c r="I2671" s="45"/>
      <c r="J2671" s="45"/>
      <c r="K2671" s="45"/>
      <c r="L2671" s="45"/>
      <c r="M2671" s="45"/>
      <c r="N2671" s="45"/>
      <c r="O2671" s="45"/>
      <c r="P2671" s="45"/>
      <c r="Q2671" s="45"/>
      <c r="R2671" s="45"/>
      <c r="S2671" s="45"/>
      <c r="T2671" s="45"/>
      <c r="U2671" s="45"/>
    </row>
    <row r="2672">
      <c r="A2672" s="79" t="s">
        <v>20489</v>
      </c>
      <c r="B2672" s="45"/>
      <c r="C2672" s="79" t="s">
        <v>20490</v>
      </c>
      <c r="D2672" s="45"/>
      <c r="E2672" s="79" t="s">
        <v>6157</v>
      </c>
      <c r="F2672" s="79" t="s">
        <v>4095</v>
      </c>
      <c r="G2672" s="80" t="s">
        <v>96</v>
      </c>
      <c r="H2672" s="90">
        <v>9.42E-5</v>
      </c>
      <c r="I2672" s="45"/>
      <c r="J2672" s="45"/>
      <c r="K2672" s="45"/>
      <c r="L2672" s="45"/>
      <c r="M2672" s="45"/>
      <c r="N2672" s="45"/>
      <c r="O2672" s="45"/>
      <c r="P2672" s="45"/>
      <c r="Q2672" s="45"/>
      <c r="R2672" s="45"/>
      <c r="S2672" s="45"/>
      <c r="T2672" s="45"/>
      <c r="U2672" s="45"/>
    </row>
    <row r="2673">
      <c r="A2673" s="79" t="s">
        <v>4382</v>
      </c>
      <c r="B2673" s="45"/>
      <c r="C2673" s="79" t="s">
        <v>20491</v>
      </c>
      <c r="D2673" s="45"/>
      <c r="E2673" s="79" t="s">
        <v>5390</v>
      </c>
      <c r="F2673" s="79" t="s">
        <v>4357</v>
      </c>
      <c r="G2673" s="80" t="s">
        <v>96</v>
      </c>
      <c r="H2673" s="90">
        <v>9.4E-5</v>
      </c>
      <c r="I2673" s="45"/>
      <c r="J2673" s="45"/>
      <c r="K2673" s="45"/>
      <c r="L2673" s="45"/>
      <c r="M2673" s="45"/>
      <c r="N2673" s="45"/>
      <c r="O2673" s="45"/>
      <c r="P2673" s="45"/>
      <c r="Q2673" s="45"/>
      <c r="R2673" s="45"/>
      <c r="S2673" s="45"/>
      <c r="T2673" s="45"/>
      <c r="U2673" s="45"/>
    </row>
    <row r="2674">
      <c r="A2674" s="79" t="s">
        <v>20492</v>
      </c>
      <c r="B2674" s="45"/>
      <c r="C2674" s="79" t="s">
        <v>20493</v>
      </c>
      <c r="D2674" s="45"/>
      <c r="E2674" s="79" t="s">
        <v>5291</v>
      </c>
      <c r="F2674" s="79" t="s">
        <v>8784</v>
      </c>
      <c r="G2674" s="80" t="s">
        <v>96</v>
      </c>
      <c r="H2674" s="90">
        <v>9.39E-5</v>
      </c>
      <c r="I2674" s="45"/>
      <c r="J2674" s="45"/>
      <c r="K2674" s="45"/>
      <c r="L2674" s="45"/>
      <c r="M2674" s="45"/>
      <c r="N2674" s="45"/>
      <c r="O2674" s="45"/>
      <c r="P2674" s="45"/>
      <c r="Q2674" s="45"/>
      <c r="R2674" s="45"/>
      <c r="S2674" s="45"/>
      <c r="T2674" s="45"/>
      <c r="U2674" s="45"/>
    </row>
    <row r="2675">
      <c r="A2675" s="79" t="s">
        <v>20494</v>
      </c>
      <c r="B2675" s="45"/>
      <c r="C2675" s="79" t="s">
        <v>20495</v>
      </c>
      <c r="D2675" s="45"/>
      <c r="E2675" s="79" t="s">
        <v>6389</v>
      </c>
      <c r="F2675" s="79" t="s">
        <v>8784</v>
      </c>
      <c r="G2675" s="80" t="s">
        <v>96</v>
      </c>
      <c r="H2675" s="90">
        <v>9.38E-5</v>
      </c>
      <c r="I2675" s="45"/>
      <c r="J2675" s="45"/>
      <c r="K2675" s="45"/>
      <c r="L2675" s="45"/>
      <c r="M2675" s="45"/>
      <c r="N2675" s="45"/>
      <c r="O2675" s="45"/>
      <c r="P2675" s="45"/>
      <c r="Q2675" s="45"/>
      <c r="R2675" s="45"/>
      <c r="S2675" s="45"/>
      <c r="T2675" s="45"/>
      <c r="U2675" s="45"/>
    </row>
    <row r="2676">
      <c r="A2676" s="79" t="s">
        <v>20496</v>
      </c>
      <c r="B2676" s="45"/>
      <c r="C2676" s="79" t="s">
        <v>20497</v>
      </c>
      <c r="D2676" s="45"/>
      <c r="E2676" s="79" t="s">
        <v>5296</v>
      </c>
      <c r="F2676" s="79" t="s">
        <v>4095</v>
      </c>
      <c r="G2676" s="80" t="s">
        <v>96</v>
      </c>
      <c r="H2676" s="90">
        <v>9.38E-5</v>
      </c>
      <c r="I2676" s="45"/>
      <c r="J2676" s="45"/>
      <c r="K2676" s="45"/>
      <c r="L2676" s="45"/>
      <c r="M2676" s="45"/>
      <c r="N2676" s="45"/>
      <c r="O2676" s="45"/>
      <c r="P2676" s="45"/>
      <c r="Q2676" s="45"/>
      <c r="R2676" s="45"/>
      <c r="S2676" s="45"/>
      <c r="T2676" s="45"/>
      <c r="U2676" s="45"/>
    </row>
    <row r="2677">
      <c r="A2677" s="79" t="s">
        <v>20498</v>
      </c>
      <c r="B2677" s="45"/>
      <c r="C2677" s="79" t="s">
        <v>20499</v>
      </c>
      <c r="D2677" s="45"/>
      <c r="E2677" s="79" t="s">
        <v>6130</v>
      </c>
      <c r="F2677" s="79" t="s">
        <v>8784</v>
      </c>
      <c r="G2677" s="80" t="s">
        <v>96</v>
      </c>
      <c r="H2677" s="90">
        <v>9.37E-5</v>
      </c>
      <c r="I2677" s="45"/>
      <c r="J2677" s="45"/>
      <c r="K2677" s="45"/>
      <c r="L2677" s="45"/>
      <c r="M2677" s="45"/>
      <c r="N2677" s="45"/>
      <c r="O2677" s="45"/>
      <c r="P2677" s="45"/>
      <c r="Q2677" s="45"/>
      <c r="R2677" s="45"/>
      <c r="S2677" s="45"/>
      <c r="T2677" s="45"/>
      <c r="U2677" s="45"/>
    </row>
    <row r="2678">
      <c r="A2678" s="79" t="s">
        <v>20500</v>
      </c>
      <c r="B2678" s="45"/>
      <c r="C2678" s="79" t="s">
        <v>20501</v>
      </c>
      <c r="D2678" s="45"/>
      <c r="E2678" s="79" t="s">
        <v>5267</v>
      </c>
      <c r="F2678" s="79" t="s">
        <v>5425</v>
      </c>
      <c r="G2678" s="80" t="s">
        <v>96</v>
      </c>
      <c r="H2678" s="90">
        <v>9.36E-5</v>
      </c>
      <c r="I2678" s="45"/>
      <c r="J2678" s="45"/>
      <c r="K2678" s="45"/>
      <c r="L2678" s="45"/>
      <c r="M2678" s="45"/>
      <c r="N2678" s="45"/>
      <c r="O2678" s="45"/>
      <c r="P2678" s="45"/>
      <c r="Q2678" s="45"/>
      <c r="R2678" s="45"/>
      <c r="S2678" s="45"/>
      <c r="T2678" s="45"/>
      <c r="U2678" s="45"/>
    </row>
    <row r="2679">
      <c r="A2679" s="79" t="s">
        <v>20502</v>
      </c>
      <c r="B2679" s="45"/>
      <c r="C2679" s="79" t="s">
        <v>20503</v>
      </c>
      <c r="D2679" s="45"/>
      <c r="E2679" s="79" t="s">
        <v>8154</v>
      </c>
      <c r="F2679" s="79" t="s">
        <v>4357</v>
      </c>
      <c r="G2679" s="80" t="s">
        <v>96</v>
      </c>
      <c r="H2679" s="90">
        <v>9.35E-5</v>
      </c>
      <c r="I2679" s="45"/>
      <c r="J2679" s="45"/>
      <c r="K2679" s="45"/>
      <c r="L2679" s="45"/>
      <c r="M2679" s="45"/>
      <c r="N2679" s="45"/>
      <c r="O2679" s="45"/>
      <c r="P2679" s="45"/>
      <c r="Q2679" s="45"/>
      <c r="R2679" s="45"/>
      <c r="S2679" s="45"/>
      <c r="T2679" s="45"/>
      <c r="U2679" s="45"/>
    </row>
    <row r="2680">
      <c r="A2680" s="79" t="s">
        <v>20504</v>
      </c>
      <c r="B2680" s="45"/>
      <c r="C2680" s="79" t="s">
        <v>20505</v>
      </c>
      <c r="D2680" s="45"/>
      <c r="E2680" s="79" t="s">
        <v>6729</v>
      </c>
      <c r="F2680" s="79" t="s">
        <v>4095</v>
      </c>
      <c r="G2680" s="80" t="s">
        <v>96</v>
      </c>
      <c r="H2680" s="90">
        <v>9.35E-5</v>
      </c>
      <c r="I2680" s="45"/>
      <c r="J2680" s="45"/>
      <c r="K2680" s="45"/>
      <c r="L2680" s="45"/>
      <c r="M2680" s="45"/>
      <c r="N2680" s="45"/>
      <c r="O2680" s="45"/>
      <c r="P2680" s="45"/>
      <c r="Q2680" s="45"/>
      <c r="R2680" s="45"/>
      <c r="S2680" s="45"/>
      <c r="T2680" s="45"/>
      <c r="U2680" s="45"/>
    </row>
    <row r="2681">
      <c r="A2681" s="79" t="s">
        <v>20506</v>
      </c>
      <c r="B2681" s="45"/>
      <c r="C2681" s="79" t="s">
        <v>20507</v>
      </c>
      <c r="D2681" s="45"/>
      <c r="E2681" s="79" t="s">
        <v>5283</v>
      </c>
      <c r="F2681" s="79" t="s">
        <v>5300</v>
      </c>
      <c r="G2681" s="80" t="s">
        <v>96</v>
      </c>
      <c r="H2681" s="90">
        <v>9.34E-5</v>
      </c>
      <c r="I2681" s="45"/>
      <c r="J2681" s="45"/>
      <c r="K2681" s="45"/>
      <c r="L2681" s="45"/>
      <c r="M2681" s="45"/>
      <c r="N2681" s="45"/>
      <c r="O2681" s="45"/>
      <c r="P2681" s="45"/>
      <c r="Q2681" s="45"/>
      <c r="R2681" s="45"/>
      <c r="S2681" s="45"/>
      <c r="T2681" s="45"/>
      <c r="U2681" s="45"/>
    </row>
    <row r="2682">
      <c r="A2682" s="79" t="s">
        <v>20508</v>
      </c>
      <c r="B2682" s="45"/>
      <c r="C2682" s="79" t="s">
        <v>20509</v>
      </c>
      <c r="D2682" s="45"/>
      <c r="E2682" s="79" t="s">
        <v>5276</v>
      </c>
      <c r="F2682" s="79" t="s">
        <v>5927</v>
      </c>
      <c r="G2682" s="80" t="s">
        <v>96</v>
      </c>
      <c r="H2682" s="90">
        <v>9.32E-5</v>
      </c>
      <c r="I2682" s="45"/>
      <c r="J2682" s="45"/>
      <c r="K2682" s="45"/>
      <c r="L2682" s="45"/>
      <c r="M2682" s="45"/>
      <c r="N2682" s="45"/>
      <c r="O2682" s="45"/>
      <c r="P2682" s="45"/>
      <c r="Q2682" s="45"/>
      <c r="R2682" s="45"/>
      <c r="S2682" s="45"/>
      <c r="T2682" s="45"/>
      <c r="U2682" s="45"/>
    </row>
    <row r="2683">
      <c r="A2683" s="79" t="s">
        <v>20510</v>
      </c>
      <c r="B2683" s="45"/>
      <c r="C2683" s="79" t="s">
        <v>20511</v>
      </c>
      <c r="D2683" s="45"/>
      <c r="E2683" s="79" t="s">
        <v>5226</v>
      </c>
      <c r="F2683" s="79" t="s">
        <v>9513</v>
      </c>
      <c r="G2683" s="80" t="s">
        <v>96</v>
      </c>
      <c r="H2683" s="90">
        <v>9.32E-5</v>
      </c>
      <c r="I2683" s="45"/>
      <c r="J2683" s="45"/>
      <c r="K2683" s="45"/>
      <c r="L2683" s="45"/>
      <c r="M2683" s="45"/>
      <c r="N2683" s="45"/>
      <c r="O2683" s="45"/>
      <c r="P2683" s="45"/>
      <c r="Q2683" s="45"/>
      <c r="R2683" s="45"/>
      <c r="S2683" s="45"/>
      <c r="T2683" s="45"/>
      <c r="U2683" s="45"/>
    </row>
    <row r="2684">
      <c r="A2684" s="79" t="s">
        <v>20512</v>
      </c>
      <c r="B2684" s="45"/>
      <c r="C2684" s="79" t="s">
        <v>20513</v>
      </c>
      <c r="D2684" s="45"/>
      <c r="E2684" s="79" t="s">
        <v>6009</v>
      </c>
      <c r="F2684" s="79" t="s">
        <v>5425</v>
      </c>
      <c r="G2684" s="80" t="s">
        <v>96</v>
      </c>
      <c r="H2684" s="90">
        <v>9.31E-5</v>
      </c>
      <c r="I2684" s="45"/>
      <c r="J2684" s="45"/>
      <c r="K2684" s="45"/>
      <c r="L2684" s="45"/>
      <c r="M2684" s="45"/>
      <c r="N2684" s="45"/>
      <c r="O2684" s="45"/>
      <c r="P2684" s="45"/>
      <c r="Q2684" s="45"/>
      <c r="R2684" s="45"/>
      <c r="S2684" s="45"/>
      <c r="T2684" s="45"/>
      <c r="U2684" s="45"/>
    </row>
    <row r="2685">
      <c r="A2685" s="79" t="s">
        <v>20514</v>
      </c>
      <c r="B2685" s="45"/>
      <c r="C2685" s="79" t="s">
        <v>20515</v>
      </c>
      <c r="D2685" s="45"/>
      <c r="E2685" s="79" t="s">
        <v>5258</v>
      </c>
      <c r="F2685" s="79" t="s">
        <v>5836</v>
      </c>
      <c r="G2685" s="80" t="s">
        <v>96</v>
      </c>
      <c r="H2685" s="90">
        <v>9.31E-5</v>
      </c>
      <c r="I2685" s="45"/>
      <c r="J2685" s="45"/>
      <c r="K2685" s="45"/>
      <c r="L2685" s="45"/>
      <c r="M2685" s="45"/>
      <c r="N2685" s="45"/>
      <c r="O2685" s="45"/>
      <c r="P2685" s="45"/>
      <c r="Q2685" s="45"/>
      <c r="R2685" s="45"/>
      <c r="S2685" s="45"/>
      <c r="T2685" s="45"/>
      <c r="U2685" s="45"/>
    </row>
    <row r="2686">
      <c r="A2686" s="79" t="s">
        <v>20516</v>
      </c>
      <c r="B2686" s="45"/>
      <c r="C2686" s="79" t="s">
        <v>20517</v>
      </c>
      <c r="D2686" s="45"/>
      <c r="E2686" s="79" t="s">
        <v>7248</v>
      </c>
      <c r="F2686" s="79" t="s">
        <v>9299</v>
      </c>
      <c r="G2686" s="80" t="s">
        <v>96</v>
      </c>
      <c r="H2686" s="90">
        <v>9.3E-5</v>
      </c>
      <c r="I2686" s="45"/>
      <c r="J2686" s="45"/>
      <c r="K2686" s="45"/>
      <c r="L2686" s="45"/>
      <c r="M2686" s="45"/>
      <c r="N2686" s="45"/>
      <c r="O2686" s="45"/>
      <c r="P2686" s="45"/>
      <c r="Q2686" s="45"/>
      <c r="R2686" s="45"/>
      <c r="S2686" s="45"/>
      <c r="T2686" s="45"/>
      <c r="U2686" s="45"/>
    </row>
    <row r="2687">
      <c r="A2687" s="79" t="s">
        <v>20518</v>
      </c>
      <c r="B2687" s="45"/>
      <c r="C2687" s="79" t="s">
        <v>20519</v>
      </c>
      <c r="D2687" s="45"/>
      <c r="E2687" s="79" t="s">
        <v>5264</v>
      </c>
      <c r="F2687" s="79" t="s">
        <v>4357</v>
      </c>
      <c r="G2687" s="80" t="s">
        <v>96</v>
      </c>
      <c r="H2687" s="90">
        <v>9.29E-5</v>
      </c>
      <c r="I2687" s="45"/>
      <c r="J2687" s="45"/>
      <c r="K2687" s="45"/>
      <c r="L2687" s="45"/>
      <c r="M2687" s="45"/>
      <c r="N2687" s="45"/>
      <c r="O2687" s="45"/>
      <c r="P2687" s="45"/>
      <c r="Q2687" s="45"/>
      <c r="R2687" s="45"/>
      <c r="S2687" s="45"/>
      <c r="T2687" s="45"/>
      <c r="U2687" s="45"/>
    </row>
    <row r="2688">
      <c r="A2688" s="79" t="s">
        <v>20520</v>
      </c>
      <c r="B2688" s="45"/>
      <c r="C2688" s="79" t="s">
        <v>20521</v>
      </c>
      <c r="D2688" s="45"/>
      <c r="E2688" s="79" t="s">
        <v>5249</v>
      </c>
      <c r="F2688" s="79" t="s">
        <v>5300</v>
      </c>
      <c r="G2688" s="80" t="s">
        <v>96</v>
      </c>
      <c r="H2688" s="90">
        <v>9.29E-5</v>
      </c>
      <c r="I2688" s="45"/>
      <c r="J2688" s="45"/>
      <c r="K2688" s="45"/>
      <c r="L2688" s="45"/>
      <c r="M2688" s="45"/>
      <c r="N2688" s="45"/>
      <c r="O2688" s="45"/>
      <c r="P2688" s="45"/>
      <c r="Q2688" s="45"/>
      <c r="R2688" s="45"/>
      <c r="S2688" s="45"/>
      <c r="T2688" s="45"/>
      <c r="U2688" s="45"/>
    </row>
    <row r="2689">
      <c r="A2689" s="79" t="s">
        <v>10760</v>
      </c>
      <c r="B2689" s="45"/>
      <c r="C2689" s="79" t="s">
        <v>10761</v>
      </c>
      <c r="D2689" s="45"/>
      <c r="E2689" s="79" t="s">
        <v>5516</v>
      </c>
      <c r="F2689" s="79" t="s">
        <v>8784</v>
      </c>
      <c r="G2689" s="80" t="s">
        <v>96</v>
      </c>
      <c r="H2689" s="90">
        <v>9.29E-5</v>
      </c>
      <c r="I2689" s="45"/>
      <c r="J2689" s="45"/>
      <c r="K2689" s="45"/>
      <c r="L2689" s="45"/>
      <c r="M2689" s="45"/>
      <c r="N2689" s="45"/>
      <c r="O2689" s="45"/>
      <c r="P2689" s="45"/>
      <c r="Q2689" s="45"/>
      <c r="R2689" s="45"/>
      <c r="S2689" s="45"/>
      <c r="T2689" s="45"/>
      <c r="U2689" s="45"/>
    </row>
    <row r="2690">
      <c r="A2690" s="79" t="s">
        <v>20522</v>
      </c>
      <c r="B2690" s="45"/>
      <c r="C2690" s="79" t="s">
        <v>20523</v>
      </c>
      <c r="D2690" s="45"/>
      <c r="E2690" s="79" t="s">
        <v>7611</v>
      </c>
      <c r="F2690" s="79" t="s">
        <v>8784</v>
      </c>
      <c r="G2690" s="80" t="s">
        <v>96</v>
      </c>
      <c r="H2690" s="90">
        <v>9.28E-5</v>
      </c>
      <c r="I2690" s="45"/>
      <c r="J2690" s="45"/>
      <c r="K2690" s="45"/>
      <c r="L2690" s="45"/>
      <c r="M2690" s="45"/>
      <c r="N2690" s="45"/>
      <c r="O2690" s="45"/>
      <c r="P2690" s="45"/>
      <c r="Q2690" s="45"/>
      <c r="R2690" s="45"/>
      <c r="S2690" s="45"/>
      <c r="T2690" s="45"/>
      <c r="U2690" s="45"/>
    </row>
    <row r="2691">
      <c r="A2691" s="79" t="s">
        <v>20524</v>
      </c>
      <c r="B2691" s="45"/>
      <c r="C2691" s="79" t="s">
        <v>20525</v>
      </c>
      <c r="D2691" s="45"/>
      <c r="E2691" s="79" t="s">
        <v>5215</v>
      </c>
      <c r="F2691" s="79" t="s">
        <v>5300</v>
      </c>
      <c r="G2691" s="80" t="s">
        <v>96</v>
      </c>
      <c r="H2691" s="90">
        <v>9.28E-5</v>
      </c>
      <c r="I2691" s="45"/>
      <c r="J2691" s="45"/>
      <c r="K2691" s="45"/>
      <c r="L2691" s="45"/>
      <c r="M2691" s="45"/>
      <c r="N2691" s="45"/>
      <c r="O2691" s="45"/>
      <c r="P2691" s="45"/>
      <c r="Q2691" s="45"/>
      <c r="R2691" s="45"/>
      <c r="S2691" s="45"/>
      <c r="T2691" s="45"/>
      <c r="U2691" s="45"/>
    </row>
    <row r="2692">
      <c r="A2692" s="79" t="s">
        <v>20526</v>
      </c>
      <c r="B2692" s="45"/>
      <c r="C2692" s="79" t="s">
        <v>20527</v>
      </c>
      <c r="D2692" s="45"/>
      <c r="E2692" s="79" t="s">
        <v>6115</v>
      </c>
      <c r="F2692" s="79" t="s">
        <v>9021</v>
      </c>
      <c r="G2692" s="80" t="s">
        <v>96</v>
      </c>
      <c r="H2692" s="90">
        <v>9.27E-5</v>
      </c>
      <c r="I2692" s="45"/>
      <c r="J2692" s="45"/>
      <c r="K2692" s="45"/>
      <c r="L2692" s="45"/>
      <c r="M2692" s="45"/>
      <c r="N2692" s="45"/>
      <c r="O2692" s="45"/>
      <c r="P2692" s="45"/>
      <c r="Q2692" s="45"/>
      <c r="R2692" s="45"/>
      <c r="S2692" s="45"/>
      <c r="T2692" s="45"/>
      <c r="U2692" s="45"/>
    </row>
    <row r="2693">
      <c r="A2693" s="79" t="s">
        <v>20528</v>
      </c>
      <c r="B2693" s="45"/>
      <c r="C2693" s="79" t="s">
        <v>20529</v>
      </c>
      <c r="D2693" s="45"/>
      <c r="E2693" s="79" t="s">
        <v>5407</v>
      </c>
      <c r="F2693" s="79" t="s">
        <v>5300</v>
      </c>
      <c r="G2693" s="80" t="s">
        <v>96</v>
      </c>
      <c r="H2693" s="90">
        <v>9.25E-5</v>
      </c>
      <c r="I2693" s="45"/>
      <c r="J2693" s="45"/>
      <c r="K2693" s="45"/>
      <c r="L2693" s="45"/>
      <c r="M2693" s="45"/>
      <c r="N2693" s="45"/>
      <c r="O2693" s="45"/>
      <c r="P2693" s="45"/>
      <c r="Q2693" s="45"/>
      <c r="R2693" s="45"/>
      <c r="S2693" s="45"/>
      <c r="T2693" s="45"/>
      <c r="U2693" s="45"/>
    </row>
    <row r="2694">
      <c r="A2694" s="79" t="s">
        <v>20530</v>
      </c>
      <c r="B2694" s="45"/>
      <c r="C2694" s="79" t="s">
        <v>20531</v>
      </c>
      <c r="D2694" s="45"/>
      <c r="E2694" s="79" t="s">
        <v>5215</v>
      </c>
      <c r="F2694" s="79" t="s">
        <v>8784</v>
      </c>
      <c r="G2694" s="80" t="s">
        <v>96</v>
      </c>
      <c r="H2694" s="90">
        <v>9.23E-5</v>
      </c>
      <c r="I2694" s="45"/>
      <c r="J2694" s="45"/>
      <c r="K2694" s="45"/>
      <c r="L2694" s="45"/>
      <c r="M2694" s="45"/>
      <c r="N2694" s="45"/>
      <c r="O2694" s="45"/>
      <c r="P2694" s="45"/>
      <c r="Q2694" s="45"/>
      <c r="R2694" s="45"/>
      <c r="S2694" s="45"/>
      <c r="T2694" s="45"/>
      <c r="U2694" s="45"/>
    </row>
    <row r="2695">
      <c r="A2695" s="79" t="s">
        <v>20532</v>
      </c>
      <c r="B2695" s="45"/>
      <c r="C2695" s="79" t="s">
        <v>20533</v>
      </c>
      <c r="D2695" s="45"/>
      <c r="E2695" s="79" t="s">
        <v>5249</v>
      </c>
      <c r="F2695" s="79" t="s">
        <v>8784</v>
      </c>
      <c r="G2695" s="80" t="s">
        <v>96</v>
      </c>
      <c r="H2695" s="90">
        <v>9.23E-5</v>
      </c>
      <c r="I2695" s="45"/>
      <c r="J2695" s="45"/>
      <c r="K2695" s="45"/>
      <c r="L2695" s="45"/>
      <c r="M2695" s="45"/>
      <c r="N2695" s="45"/>
      <c r="O2695" s="45"/>
      <c r="P2695" s="45"/>
      <c r="Q2695" s="45"/>
      <c r="R2695" s="45"/>
      <c r="S2695" s="45"/>
      <c r="T2695" s="45"/>
      <c r="U2695" s="45"/>
    </row>
    <row r="2696">
      <c r="A2696" s="79" t="s">
        <v>20534</v>
      </c>
      <c r="B2696" s="45"/>
      <c r="C2696" s="79" t="s">
        <v>20535</v>
      </c>
      <c r="D2696" s="45"/>
      <c r="E2696" s="79" t="s">
        <v>5241</v>
      </c>
      <c r="F2696" s="79" t="s">
        <v>8784</v>
      </c>
      <c r="G2696" s="80" t="s">
        <v>96</v>
      </c>
      <c r="H2696" s="90">
        <v>9.21E-5</v>
      </c>
      <c r="I2696" s="45"/>
      <c r="J2696" s="45"/>
      <c r="K2696" s="45"/>
      <c r="L2696" s="45"/>
      <c r="M2696" s="45"/>
      <c r="N2696" s="45"/>
      <c r="O2696" s="45"/>
      <c r="P2696" s="45"/>
      <c r="Q2696" s="45"/>
      <c r="R2696" s="45"/>
      <c r="S2696" s="45"/>
      <c r="T2696" s="45"/>
      <c r="U2696" s="45"/>
    </row>
    <row r="2697">
      <c r="A2697" s="79" t="s">
        <v>20536</v>
      </c>
      <c r="B2697" s="45"/>
      <c r="C2697" s="79" t="s">
        <v>20537</v>
      </c>
      <c r="D2697" s="45"/>
      <c r="E2697" s="79" t="s">
        <v>5374</v>
      </c>
      <c r="F2697" s="79" t="s">
        <v>4095</v>
      </c>
      <c r="G2697" s="80" t="s">
        <v>96</v>
      </c>
      <c r="H2697" s="90">
        <v>9.2E-5</v>
      </c>
      <c r="I2697" s="45"/>
      <c r="J2697" s="45"/>
      <c r="K2697" s="45"/>
      <c r="L2697" s="45"/>
      <c r="M2697" s="45"/>
      <c r="N2697" s="45"/>
      <c r="O2697" s="45"/>
      <c r="P2697" s="45"/>
      <c r="Q2697" s="45"/>
      <c r="R2697" s="45"/>
      <c r="S2697" s="45"/>
      <c r="T2697" s="45"/>
      <c r="U2697" s="45"/>
    </row>
    <row r="2698">
      <c r="A2698" s="79" t="s">
        <v>20538</v>
      </c>
      <c r="B2698" s="45"/>
      <c r="C2698" s="79" t="s">
        <v>20539</v>
      </c>
      <c r="D2698" s="45"/>
      <c r="E2698" s="79" t="s">
        <v>7476</v>
      </c>
      <c r="F2698" s="79" t="s">
        <v>8784</v>
      </c>
      <c r="G2698" s="80" t="s">
        <v>96</v>
      </c>
      <c r="H2698" s="90">
        <v>9.2E-5</v>
      </c>
      <c r="I2698" s="45"/>
      <c r="J2698" s="45"/>
      <c r="K2698" s="45"/>
      <c r="L2698" s="45"/>
      <c r="M2698" s="45"/>
      <c r="N2698" s="45"/>
      <c r="O2698" s="45"/>
      <c r="P2698" s="45"/>
      <c r="Q2698" s="45"/>
      <c r="R2698" s="45"/>
      <c r="S2698" s="45"/>
      <c r="T2698" s="45"/>
      <c r="U2698" s="45"/>
    </row>
    <row r="2699">
      <c r="A2699" s="79" t="s">
        <v>20540</v>
      </c>
      <c r="B2699" s="45"/>
      <c r="C2699" s="79" t="s">
        <v>20541</v>
      </c>
      <c r="D2699" s="45"/>
      <c r="E2699" s="79" t="s">
        <v>5264</v>
      </c>
      <c r="F2699" s="79" t="s">
        <v>5836</v>
      </c>
      <c r="G2699" s="80" t="s">
        <v>96</v>
      </c>
      <c r="H2699" s="90">
        <v>9.2E-5</v>
      </c>
      <c r="I2699" s="45"/>
      <c r="J2699" s="45"/>
      <c r="K2699" s="45"/>
      <c r="L2699" s="45"/>
      <c r="M2699" s="45"/>
      <c r="N2699" s="45"/>
      <c r="O2699" s="45"/>
      <c r="P2699" s="45"/>
      <c r="Q2699" s="45"/>
      <c r="R2699" s="45"/>
      <c r="S2699" s="45"/>
      <c r="T2699" s="45"/>
      <c r="U2699" s="45"/>
    </row>
    <row r="2700">
      <c r="A2700" s="79" t="s">
        <v>10695</v>
      </c>
      <c r="B2700" s="45"/>
      <c r="C2700" s="79" t="s">
        <v>10696</v>
      </c>
      <c r="D2700" s="45"/>
      <c r="E2700" s="79" t="s">
        <v>5434</v>
      </c>
      <c r="F2700" s="79" t="s">
        <v>8784</v>
      </c>
      <c r="G2700" s="80" t="s">
        <v>96</v>
      </c>
      <c r="H2700" s="90">
        <v>9.19E-5</v>
      </c>
      <c r="I2700" s="45"/>
      <c r="J2700" s="45"/>
      <c r="K2700" s="45"/>
      <c r="L2700" s="45"/>
      <c r="M2700" s="45"/>
      <c r="N2700" s="45"/>
      <c r="O2700" s="45"/>
      <c r="P2700" s="45"/>
      <c r="Q2700" s="45"/>
      <c r="R2700" s="45"/>
      <c r="S2700" s="45"/>
      <c r="T2700" s="45"/>
      <c r="U2700" s="45"/>
    </row>
    <row r="2701">
      <c r="A2701" s="79" t="s">
        <v>20542</v>
      </c>
      <c r="B2701" s="45"/>
      <c r="C2701" s="79" t="s">
        <v>20543</v>
      </c>
      <c r="D2701" s="45"/>
      <c r="E2701" s="79" t="s">
        <v>7169</v>
      </c>
      <c r="F2701" s="79" t="s">
        <v>5836</v>
      </c>
      <c r="G2701" s="80" t="s">
        <v>96</v>
      </c>
      <c r="H2701" s="90">
        <v>9.18E-5</v>
      </c>
      <c r="I2701" s="45"/>
      <c r="J2701" s="45"/>
      <c r="K2701" s="45"/>
      <c r="L2701" s="45"/>
      <c r="M2701" s="45"/>
      <c r="N2701" s="45"/>
      <c r="O2701" s="45"/>
      <c r="P2701" s="45"/>
      <c r="Q2701" s="45"/>
      <c r="R2701" s="45"/>
      <c r="S2701" s="45"/>
      <c r="T2701" s="45"/>
      <c r="U2701" s="45"/>
    </row>
    <row r="2702">
      <c r="A2702" s="79" t="s">
        <v>11179</v>
      </c>
      <c r="B2702" s="45"/>
      <c r="C2702" s="79" t="s">
        <v>11180</v>
      </c>
      <c r="D2702" s="45"/>
      <c r="E2702" s="79" t="s">
        <v>5218</v>
      </c>
      <c r="F2702" s="79" t="s">
        <v>8784</v>
      </c>
      <c r="G2702" s="80" t="s">
        <v>96</v>
      </c>
      <c r="H2702" s="90">
        <v>9.17E-5</v>
      </c>
      <c r="I2702" s="45"/>
      <c r="J2702" s="45"/>
      <c r="K2702" s="45"/>
      <c r="L2702" s="45"/>
      <c r="M2702" s="45"/>
      <c r="N2702" s="45"/>
      <c r="O2702" s="45"/>
      <c r="P2702" s="45"/>
      <c r="Q2702" s="45"/>
      <c r="R2702" s="45"/>
      <c r="S2702" s="45"/>
      <c r="T2702" s="45"/>
      <c r="U2702" s="45"/>
    </row>
    <row r="2703">
      <c r="A2703" s="79" t="s">
        <v>20544</v>
      </c>
      <c r="B2703" s="45"/>
      <c r="C2703" s="79" t="s">
        <v>20545</v>
      </c>
      <c r="D2703" s="45"/>
      <c r="E2703" s="79" t="s">
        <v>5742</v>
      </c>
      <c r="F2703" s="79" t="s">
        <v>9513</v>
      </c>
      <c r="G2703" s="80" t="s">
        <v>96</v>
      </c>
      <c r="H2703" s="90">
        <v>9.17E-5</v>
      </c>
      <c r="I2703" s="45"/>
      <c r="J2703" s="45"/>
      <c r="K2703" s="45"/>
      <c r="L2703" s="45"/>
      <c r="M2703" s="45"/>
      <c r="N2703" s="45"/>
      <c r="O2703" s="45"/>
      <c r="P2703" s="45"/>
      <c r="Q2703" s="45"/>
      <c r="R2703" s="45"/>
      <c r="S2703" s="45"/>
      <c r="T2703" s="45"/>
      <c r="U2703" s="45"/>
    </row>
    <row r="2704">
      <c r="A2704" s="79" t="s">
        <v>20546</v>
      </c>
      <c r="B2704" s="45"/>
      <c r="C2704" s="79" t="s">
        <v>20547</v>
      </c>
      <c r="D2704" s="45"/>
      <c r="E2704" s="79" t="s">
        <v>5450</v>
      </c>
      <c r="F2704" s="79" t="s">
        <v>5425</v>
      </c>
      <c r="G2704" s="80" t="s">
        <v>96</v>
      </c>
      <c r="H2704" s="90">
        <v>9.14E-5</v>
      </c>
      <c r="I2704" s="45"/>
      <c r="J2704" s="45"/>
      <c r="K2704" s="45"/>
      <c r="L2704" s="45"/>
      <c r="M2704" s="45"/>
      <c r="N2704" s="45"/>
      <c r="O2704" s="45"/>
      <c r="P2704" s="45"/>
      <c r="Q2704" s="45"/>
      <c r="R2704" s="45"/>
      <c r="S2704" s="45"/>
      <c r="T2704" s="45"/>
      <c r="U2704" s="45"/>
    </row>
    <row r="2705">
      <c r="A2705" s="79" t="s">
        <v>20548</v>
      </c>
      <c r="B2705" s="45"/>
      <c r="C2705" s="79" t="s">
        <v>20549</v>
      </c>
      <c r="D2705" s="45"/>
      <c r="E2705" s="79" t="s">
        <v>6514</v>
      </c>
      <c r="F2705" s="79" t="s">
        <v>8784</v>
      </c>
      <c r="G2705" s="80" t="s">
        <v>96</v>
      </c>
      <c r="H2705" s="90">
        <v>9.14E-5</v>
      </c>
      <c r="I2705" s="45"/>
      <c r="J2705" s="45"/>
      <c r="K2705" s="45"/>
      <c r="L2705" s="45"/>
      <c r="M2705" s="45"/>
      <c r="N2705" s="45"/>
      <c r="O2705" s="45"/>
      <c r="P2705" s="45"/>
      <c r="Q2705" s="45"/>
      <c r="R2705" s="45"/>
      <c r="S2705" s="45"/>
      <c r="T2705" s="45"/>
      <c r="U2705" s="45"/>
    </row>
    <row r="2706">
      <c r="A2706" s="79" t="s">
        <v>20550</v>
      </c>
      <c r="B2706" s="45"/>
      <c r="C2706" s="79" t="s">
        <v>20551</v>
      </c>
      <c r="D2706" s="45"/>
      <c r="E2706" s="79" t="s">
        <v>5226</v>
      </c>
      <c r="F2706" s="79" t="s">
        <v>5425</v>
      </c>
      <c r="G2706" s="80" t="s">
        <v>96</v>
      </c>
      <c r="H2706" s="90">
        <v>9.14E-5</v>
      </c>
      <c r="I2706" s="45"/>
      <c r="J2706" s="45"/>
      <c r="K2706" s="45"/>
      <c r="L2706" s="45"/>
      <c r="M2706" s="45"/>
      <c r="N2706" s="45"/>
      <c r="O2706" s="45"/>
      <c r="P2706" s="45"/>
      <c r="Q2706" s="45"/>
      <c r="R2706" s="45"/>
      <c r="S2706" s="45"/>
      <c r="T2706" s="45"/>
      <c r="U2706" s="45"/>
    </row>
    <row r="2707">
      <c r="A2707" s="79" t="s">
        <v>20552</v>
      </c>
      <c r="B2707" s="45"/>
      <c r="C2707" s="79" t="s">
        <v>20553</v>
      </c>
      <c r="D2707" s="45"/>
      <c r="E2707" s="79" t="s">
        <v>5422</v>
      </c>
      <c r="F2707" s="79" t="s">
        <v>5300</v>
      </c>
      <c r="G2707" s="80" t="s">
        <v>96</v>
      </c>
      <c r="H2707" s="90">
        <v>9.13E-5</v>
      </c>
      <c r="I2707" s="45"/>
      <c r="J2707" s="45"/>
      <c r="K2707" s="45"/>
      <c r="L2707" s="45"/>
      <c r="M2707" s="45"/>
      <c r="N2707" s="45"/>
      <c r="O2707" s="45"/>
      <c r="P2707" s="45"/>
      <c r="Q2707" s="45"/>
      <c r="R2707" s="45"/>
      <c r="S2707" s="45"/>
      <c r="T2707" s="45"/>
      <c r="U2707" s="45"/>
    </row>
    <row r="2708">
      <c r="A2708" s="79" t="s">
        <v>20554</v>
      </c>
      <c r="B2708" s="45"/>
      <c r="C2708" s="79" t="s">
        <v>20555</v>
      </c>
      <c r="D2708" s="45"/>
      <c r="E2708" s="79" t="s">
        <v>5775</v>
      </c>
      <c r="F2708" s="79" t="s">
        <v>5300</v>
      </c>
      <c r="G2708" s="80" t="s">
        <v>96</v>
      </c>
      <c r="H2708" s="90">
        <v>9.12E-5</v>
      </c>
      <c r="I2708" s="45"/>
      <c r="J2708" s="45"/>
      <c r="K2708" s="45"/>
      <c r="L2708" s="45"/>
      <c r="M2708" s="45"/>
      <c r="N2708" s="45"/>
      <c r="O2708" s="45"/>
      <c r="P2708" s="45"/>
      <c r="Q2708" s="45"/>
      <c r="R2708" s="45"/>
      <c r="S2708" s="45"/>
      <c r="T2708" s="45"/>
      <c r="U2708" s="45"/>
    </row>
    <row r="2709">
      <c r="A2709" s="79" t="s">
        <v>20556</v>
      </c>
      <c r="B2709" s="45"/>
      <c r="C2709" s="79" t="s">
        <v>20557</v>
      </c>
      <c r="D2709" s="45"/>
      <c r="E2709" s="79" t="s">
        <v>5459</v>
      </c>
      <c r="F2709" s="79" t="s">
        <v>8784</v>
      </c>
      <c r="G2709" s="80" t="s">
        <v>96</v>
      </c>
      <c r="H2709" s="90">
        <v>9.12E-5</v>
      </c>
      <c r="I2709" s="45"/>
      <c r="J2709" s="45"/>
      <c r="K2709" s="45"/>
      <c r="L2709" s="45"/>
      <c r="M2709" s="45"/>
      <c r="N2709" s="45"/>
      <c r="O2709" s="45"/>
      <c r="P2709" s="45"/>
      <c r="Q2709" s="45"/>
      <c r="R2709" s="45"/>
      <c r="S2709" s="45"/>
      <c r="T2709" s="45"/>
      <c r="U2709" s="45"/>
    </row>
    <row r="2710">
      <c r="A2710" s="79" t="s">
        <v>20558</v>
      </c>
      <c r="B2710" s="45"/>
      <c r="C2710" s="79" t="s">
        <v>20559</v>
      </c>
      <c r="D2710" s="45"/>
      <c r="E2710" s="79" t="s">
        <v>5341</v>
      </c>
      <c r="F2710" s="79" t="s">
        <v>8784</v>
      </c>
      <c r="G2710" s="80" t="s">
        <v>96</v>
      </c>
      <c r="H2710" s="90">
        <v>9.12E-5</v>
      </c>
      <c r="I2710" s="45"/>
      <c r="J2710" s="45"/>
      <c r="K2710" s="45"/>
      <c r="L2710" s="45"/>
      <c r="M2710" s="45"/>
      <c r="N2710" s="45"/>
      <c r="O2710" s="45"/>
      <c r="P2710" s="45"/>
      <c r="Q2710" s="45"/>
      <c r="R2710" s="45"/>
      <c r="S2710" s="45"/>
      <c r="T2710" s="45"/>
      <c r="U2710" s="45"/>
    </row>
    <row r="2711">
      <c r="A2711" s="79" t="s">
        <v>20560</v>
      </c>
      <c r="B2711" s="45"/>
      <c r="C2711" s="79" t="s">
        <v>20561</v>
      </c>
      <c r="D2711" s="45"/>
      <c r="E2711" s="79" t="s">
        <v>5624</v>
      </c>
      <c r="F2711" s="79" t="s">
        <v>9021</v>
      </c>
      <c r="G2711" s="80" t="s">
        <v>96</v>
      </c>
      <c r="H2711" s="90">
        <v>9.1E-5</v>
      </c>
      <c r="I2711" s="45"/>
      <c r="J2711" s="45"/>
      <c r="K2711" s="45"/>
      <c r="L2711" s="45"/>
      <c r="M2711" s="45"/>
      <c r="N2711" s="45"/>
      <c r="O2711" s="45"/>
      <c r="P2711" s="45"/>
      <c r="Q2711" s="45"/>
      <c r="R2711" s="45"/>
      <c r="S2711" s="45"/>
      <c r="T2711" s="45"/>
      <c r="U2711" s="45"/>
    </row>
    <row r="2712">
      <c r="A2712" s="79" t="s">
        <v>20562</v>
      </c>
      <c r="B2712" s="45"/>
      <c r="C2712" s="79" t="s">
        <v>20563</v>
      </c>
      <c r="D2712" s="45"/>
      <c r="E2712" s="79" t="s">
        <v>5691</v>
      </c>
      <c r="F2712" s="79" t="s">
        <v>5300</v>
      </c>
      <c r="G2712" s="80" t="s">
        <v>96</v>
      </c>
      <c r="H2712" s="90">
        <v>9.1E-5</v>
      </c>
      <c r="I2712" s="45"/>
      <c r="J2712" s="45"/>
      <c r="K2712" s="45"/>
      <c r="L2712" s="45"/>
      <c r="M2712" s="45"/>
      <c r="N2712" s="45"/>
      <c r="O2712" s="45"/>
      <c r="P2712" s="45"/>
      <c r="Q2712" s="45"/>
      <c r="R2712" s="45"/>
      <c r="S2712" s="45"/>
      <c r="T2712" s="45"/>
      <c r="U2712" s="45"/>
    </row>
    <row r="2713">
      <c r="A2713" s="79" t="s">
        <v>20564</v>
      </c>
      <c r="B2713" s="45"/>
      <c r="C2713" s="79" t="s">
        <v>20565</v>
      </c>
      <c r="D2713" s="45"/>
      <c r="E2713" s="79" t="s">
        <v>5775</v>
      </c>
      <c r="F2713" s="79" t="s">
        <v>5300</v>
      </c>
      <c r="G2713" s="80" t="s">
        <v>96</v>
      </c>
      <c r="H2713" s="90">
        <v>9.09E-5</v>
      </c>
      <c r="I2713" s="45"/>
      <c r="J2713" s="45"/>
      <c r="K2713" s="45"/>
      <c r="L2713" s="45"/>
      <c r="M2713" s="45"/>
      <c r="N2713" s="45"/>
      <c r="O2713" s="45"/>
      <c r="P2713" s="45"/>
      <c r="Q2713" s="45"/>
      <c r="R2713" s="45"/>
      <c r="S2713" s="45"/>
      <c r="T2713" s="45"/>
      <c r="U2713" s="45"/>
    </row>
    <row r="2714">
      <c r="A2714" s="79" t="s">
        <v>20566</v>
      </c>
      <c r="B2714" s="45"/>
      <c r="C2714" s="79" t="s">
        <v>20567</v>
      </c>
      <c r="D2714" s="45"/>
      <c r="E2714" s="79" t="s">
        <v>5215</v>
      </c>
      <c r="F2714" s="79" t="s">
        <v>5300</v>
      </c>
      <c r="G2714" s="80" t="s">
        <v>96</v>
      </c>
      <c r="H2714" s="90">
        <v>9.08E-5</v>
      </c>
      <c r="I2714" s="45"/>
      <c r="J2714" s="45"/>
      <c r="K2714" s="45"/>
      <c r="L2714" s="45"/>
      <c r="M2714" s="45"/>
      <c r="N2714" s="45"/>
      <c r="O2714" s="45"/>
      <c r="P2714" s="45"/>
      <c r="Q2714" s="45"/>
      <c r="R2714" s="45"/>
      <c r="S2714" s="45"/>
      <c r="T2714" s="45"/>
      <c r="U2714" s="45"/>
    </row>
    <row r="2715">
      <c r="A2715" s="79" t="s">
        <v>20568</v>
      </c>
      <c r="B2715" s="45"/>
      <c r="C2715" s="79" t="s">
        <v>20569</v>
      </c>
      <c r="D2715" s="45"/>
      <c r="E2715" s="79" t="s">
        <v>5775</v>
      </c>
      <c r="F2715" s="79" t="s">
        <v>5300</v>
      </c>
      <c r="G2715" s="80" t="s">
        <v>96</v>
      </c>
      <c r="H2715" s="90">
        <v>9.08E-5</v>
      </c>
      <c r="I2715" s="45"/>
      <c r="J2715" s="45"/>
      <c r="K2715" s="45"/>
      <c r="L2715" s="45"/>
      <c r="M2715" s="45"/>
      <c r="N2715" s="45"/>
      <c r="O2715" s="45"/>
      <c r="P2715" s="45"/>
      <c r="Q2715" s="45"/>
      <c r="R2715" s="45"/>
      <c r="S2715" s="45"/>
      <c r="T2715" s="45"/>
      <c r="U2715" s="45"/>
    </row>
    <row r="2716">
      <c r="A2716" s="79" t="s">
        <v>20570</v>
      </c>
      <c r="B2716" s="45"/>
      <c r="C2716" s="79" t="s">
        <v>20571</v>
      </c>
      <c r="D2716" s="45"/>
      <c r="E2716" s="79" t="s">
        <v>9039</v>
      </c>
      <c r="F2716" s="79" t="s">
        <v>8784</v>
      </c>
      <c r="G2716" s="80" t="s">
        <v>96</v>
      </c>
      <c r="H2716" s="90">
        <v>9.07E-5</v>
      </c>
      <c r="I2716" s="45"/>
      <c r="J2716" s="45"/>
      <c r="K2716" s="45"/>
      <c r="L2716" s="45"/>
      <c r="M2716" s="45"/>
      <c r="N2716" s="45"/>
      <c r="O2716" s="45"/>
      <c r="P2716" s="45"/>
      <c r="Q2716" s="45"/>
      <c r="R2716" s="45"/>
      <c r="S2716" s="45"/>
      <c r="T2716" s="45"/>
      <c r="U2716" s="45"/>
    </row>
    <row r="2717">
      <c r="A2717" s="79" t="s">
        <v>20572</v>
      </c>
      <c r="B2717" s="45"/>
      <c r="C2717" s="79" t="s">
        <v>20573</v>
      </c>
      <c r="D2717" s="45"/>
      <c r="E2717" s="79" t="s">
        <v>5564</v>
      </c>
      <c r="F2717" s="79" t="s">
        <v>8784</v>
      </c>
      <c r="G2717" s="80" t="s">
        <v>96</v>
      </c>
      <c r="H2717" s="90">
        <v>9.07E-5</v>
      </c>
      <c r="I2717" s="45"/>
      <c r="J2717" s="45"/>
      <c r="K2717" s="45"/>
      <c r="L2717" s="45"/>
      <c r="M2717" s="45"/>
      <c r="N2717" s="45"/>
      <c r="O2717" s="45"/>
      <c r="P2717" s="45"/>
      <c r="Q2717" s="45"/>
      <c r="R2717" s="45"/>
      <c r="S2717" s="45"/>
      <c r="T2717" s="45"/>
      <c r="U2717" s="45"/>
    </row>
    <row r="2718">
      <c r="A2718" s="79" t="s">
        <v>20574</v>
      </c>
      <c r="B2718" s="45"/>
      <c r="C2718" s="79" t="s">
        <v>20575</v>
      </c>
      <c r="D2718" s="45"/>
      <c r="E2718" s="79" t="s">
        <v>5215</v>
      </c>
      <c r="F2718" s="79" t="s">
        <v>5300</v>
      </c>
      <c r="G2718" s="80" t="s">
        <v>96</v>
      </c>
      <c r="H2718" s="90">
        <v>9.06E-5</v>
      </c>
      <c r="I2718" s="45"/>
      <c r="J2718" s="45"/>
      <c r="K2718" s="45"/>
      <c r="L2718" s="45"/>
      <c r="M2718" s="45"/>
      <c r="N2718" s="45"/>
      <c r="O2718" s="45"/>
      <c r="P2718" s="45"/>
      <c r="Q2718" s="45"/>
      <c r="R2718" s="45"/>
      <c r="S2718" s="45"/>
      <c r="T2718" s="45"/>
      <c r="U2718" s="45"/>
    </row>
    <row r="2719">
      <c r="A2719" s="79" t="s">
        <v>20576</v>
      </c>
      <c r="B2719" s="45"/>
      <c r="C2719" s="79" t="s">
        <v>20577</v>
      </c>
      <c r="D2719" s="45"/>
      <c r="E2719" s="79" t="s">
        <v>5811</v>
      </c>
      <c r="F2719" s="79" t="s">
        <v>8784</v>
      </c>
      <c r="G2719" s="80" t="s">
        <v>96</v>
      </c>
      <c r="H2719" s="90">
        <v>9.05E-5</v>
      </c>
      <c r="I2719" s="45"/>
      <c r="J2719" s="45"/>
      <c r="K2719" s="45"/>
      <c r="L2719" s="45"/>
      <c r="M2719" s="45"/>
      <c r="N2719" s="45"/>
      <c r="O2719" s="45"/>
      <c r="P2719" s="45"/>
      <c r="Q2719" s="45"/>
      <c r="R2719" s="45"/>
      <c r="S2719" s="45"/>
      <c r="T2719" s="45"/>
      <c r="U2719" s="45"/>
    </row>
    <row r="2720">
      <c r="A2720" s="79" t="s">
        <v>20578</v>
      </c>
      <c r="B2720" s="45"/>
      <c r="C2720" s="79" t="s">
        <v>20579</v>
      </c>
      <c r="D2720" s="45"/>
      <c r="E2720" s="79" t="s">
        <v>6327</v>
      </c>
      <c r="F2720" s="79" t="s">
        <v>5836</v>
      </c>
      <c r="G2720" s="80" t="s">
        <v>96</v>
      </c>
      <c r="H2720" s="90">
        <v>9.03E-5</v>
      </c>
      <c r="I2720" s="45"/>
      <c r="J2720" s="45"/>
      <c r="K2720" s="45"/>
      <c r="L2720" s="45"/>
      <c r="M2720" s="45"/>
      <c r="N2720" s="45"/>
      <c r="O2720" s="45"/>
      <c r="P2720" s="45"/>
      <c r="Q2720" s="45"/>
      <c r="R2720" s="45"/>
      <c r="S2720" s="45"/>
      <c r="T2720" s="45"/>
      <c r="U2720" s="45"/>
    </row>
    <row r="2721">
      <c r="A2721" s="79" t="s">
        <v>20580</v>
      </c>
      <c r="B2721" s="45"/>
      <c r="C2721" s="79" t="s">
        <v>20581</v>
      </c>
      <c r="D2721" s="45"/>
      <c r="E2721" s="79" t="s">
        <v>5501</v>
      </c>
      <c r="F2721" s="79" t="s">
        <v>8784</v>
      </c>
      <c r="G2721" s="80" t="s">
        <v>96</v>
      </c>
      <c r="H2721" s="90">
        <v>9.0E-5</v>
      </c>
      <c r="I2721" s="45"/>
      <c r="J2721" s="45"/>
      <c r="K2721" s="45"/>
      <c r="L2721" s="45"/>
      <c r="M2721" s="45"/>
      <c r="N2721" s="45"/>
      <c r="O2721" s="45"/>
      <c r="P2721" s="45"/>
      <c r="Q2721" s="45"/>
      <c r="R2721" s="45"/>
      <c r="S2721" s="45"/>
      <c r="T2721" s="45"/>
      <c r="U2721" s="45"/>
    </row>
    <row r="2722">
      <c r="A2722" s="79" t="s">
        <v>20582</v>
      </c>
      <c r="B2722" s="45"/>
      <c r="C2722" s="79" t="s">
        <v>20583</v>
      </c>
      <c r="D2722" s="45"/>
      <c r="E2722" s="79" t="s">
        <v>5215</v>
      </c>
      <c r="F2722" s="79" t="s">
        <v>5300</v>
      </c>
      <c r="G2722" s="80" t="s">
        <v>96</v>
      </c>
      <c r="H2722" s="90">
        <v>8.99E-5</v>
      </c>
      <c r="I2722" s="45"/>
      <c r="J2722" s="45"/>
      <c r="K2722" s="45"/>
      <c r="L2722" s="45"/>
      <c r="M2722" s="45"/>
      <c r="N2722" s="45"/>
      <c r="O2722" s="45"/>
      <c r="P2722" s="45"/>
      <c r="Q2722" s="45"/>
      <c r="R2722" s="45"/>
      <c r="S2722" s="45"/>
      <c r="T2722" s="45"/>
      <c r="U2722" s="45"/>
    </row>
    <row r="2723">
      <c r="A2723" s="79" t="s">
        <v>20584</v>
      </c>
      <c r="B2723" s="45"/>
      <c r="C2723" s="79" t="s">
        <v>20585</v>
      </c>
      <c r="D2723" s="45"/>
      <c r="E2723" s="79" t="s">
        <v>5407</v>
      </c>
      <c r="F2723" s="79" t="s">
        <v>5300</v>
      </c>
      <c r="G2723" s="80" t="s">
        <v>96</v>
      </c>
      <c r="H2723" s="90">
        <v>8.99E-5</v>
      </c>
      <c r="I2723" s="45"/>
      <c r="J2723" s="45"/>
      <c r="K2723" s="45"/>
      <c r="L2723" s="45"/>
      <c r="M2723" s="45"/>
      <c r="N2723" s="45"/>
      <c r="O2723" s="45"/>
      <c r="P2723" s="45"/>
      <c r="Q2723" s="45"/>
      <c r="R2723" s="45"/>
      <c r="S2723" s="45"/>
      <c r="T2723" s="45"/>
      <c r="U2723" s="45"/>
    </row>
    <row r="2724">
      <c r="A2724" s="79" t="s">
        <v>20586</v>
      </c>
      <c r="B2724" s="45"/>
      <c r="C2724" s="79" t="s">
        <v>20587</v>
      </c>
      <c r="D2724" s="45"/>
      <c r="E2724" s="79" t="s">
        <v>5215</v>
      </c>
      <c r="F2724" s="79" t="s">
        <v>5300</v>
      </c>
      <c r="G2724" s="80" t="s">
        <v>96</v>
      </c>
      <c r="H2724" s="90">
        <v>8.99E-5</v>
      </c>
      <c r="I2724" s="45"/>
      <c r="J2724" s="45"/>
      <c r="K2724" s="45"/>
      <c r="L2724" s="45"/>
      <c r="M2724" s="45"/>
      <c r="N2724" s="45"/>
      <c r="O2724" s="45"/>
      <c r="P2724" s="45"/>
      <c r="Q2724" s="45"/>
      <c r="R2724" s="45"/>
      <c r="S2724" s="45"/>
      <c r="T2724" s="45"/>
      <c r="U2724" s="45"/>
    </row>
    <row r="2725">
      <c r="A2725" s="79" t="s">
        <v>20588</v>
      </c>
      <c r="B2725" s="45"/>
      <c r="C2725" s="79" t="s">
        <v>20589</v>
      </c>
      <c r="D2725" s="45"/>
      <c r="E2725" s="79" t="s">
        <v>5578</v>
      </c>
      <c r="F2725" s="79" t="s">
        <v>8784</v>
      </c>
      <c r="G2725" s="80" t="s">
        <v>96</v>
      </c>
      <c r="H2725" s="90">
        <v>8.99E-5</v>
      </c>
      <c r="I2725" s="45"/>
      <c r="J2725" s="45"/>
      <c r="K2725" s="45"/>
      <c r="L2725" s="45"/>
      <c r="M2725" s="45"/>
      <c r="N2725" s="45"/>
      <c r="O2725" s="45"/>
      <c r="P2725" s="45"/>
      <c r="Q2725" s="45"/>
      <c r="R2725" s="45"/>
      <c r="S2725" s="45"/>
      <c r="T2725" s="45"/>
      <c r="U2725" s="45"/>
    </row>
    <row r="2726">
      <c r="A2726" s="79" t="s">
        <v>20590</v>
      </c>
      <c r="B2726" s="45"/>
      <c r="C2726" s="79" t="s">
        <v>20591</v>
      </c>
      <c r="D2726" s="45"/>
      <c r="E2726" s="79" t="s">
        <v>5390</v>
      </c>
      <c r="F2726" s="79" t="s">
        <v>8784</v>
      </c>
      <c r="G2726" s="80" t="s">
        <v>96</v>
      </c>
      <c r="H2726" s="90">
        <v>8.98E-5</v>
      </c>
      <c r="I2726" s="45"/>
      <c r="J2726" s="45"/>
      <c r="K2726" s="45"/>
      <c r="L2726" s="45"/>
      <c r="M2726" s="45"/>
      <c r="N2726" s="45"/>
      <c r="O2726" s="45"/>
      <c r="P2726" s="45"/>
      <c r="Q2726" s="45"/>
      <c r="R2726" s="45"/>
      <c r="S2726" s="45"/>
      <c r="T2726" s="45"/>
      <c r="U2726" s="45"/>
    </row>
    <row r="2727">
      <c r="A2727" s="79" t="s">
        <v>20592</v>
      </c>
      <c r="B2727" s="45"/>
      <c r="C2727" s="79" t="s">
        <v>20593</v>
      </c>
      <c r="D2727" s="45"/>
      <c r="E2727" s="79" t="s">
        <v>5756</v>
      </c>
      <c r="F2727" s="79" t="s">
        <v>5425</v>
      </c>
      <c r="G2727" s="80" t="s">
        <v>96</v>
      </c>
      <c r="H2727" s="90">
        <v>8.97E-5</v>
      </c>
      <c r="I2727" s="45"/>
      <c r="J2727" s="45"/>
      <c r="K2727" s="45"/>
      <c r="L2727" s="45"/>
      <c r="M2727" s="45"/>
      <c r="N2727" s="45"/>
      <c r="O2727" s="45"/>
      <c r="P2727" s="45"/>
      <c r="Q2727" s="45"/>
      <c r="R2727" s="45"/>
      <c r="S2727" s="45"/>
      <c r="T2727" s="45"/>
      <c r="U2727" s="45"/>
    </row>
    <row r="2728">
      <c r="A2728" s="79" t="s">
        <v>20594</v>
      </c>
      <c r="B2728" s="45"/>
      <c r="C2728" s="79" t="s">
        <v>20595</v>
      </c>
      <c r="D2728" s="45"/>
      <c r="E2728" s="79" t="s">
        <v>5390</v>
      </c>
      <c r="F2728" s="79" t="s">
        <v>8784</v>
      </c>
      <c r="G2728" s="80" t="s">
        <v>96</v>
      </c>
      <c r="H2728" s="90">
        <v>8.96E-5</v>
      </c>
      <c r="I2728" s="45"/>
      <c r="J2728" s="45"/>
      <c r="K2728" s="45"/>
      <c r="L2728" s="45"/>
      <c r="M2728" s="45"/>
      <c r="N2728" s="45"/>
      <c r="O2728" s="45"/>
      <c r="P2728" s="45"/>
      <c r="Q2728" s="45"/>
      <c r="R2728" s="45"/>
      <c r="S2728" s="45"/>
      <c r="T2728" s="45"/>
      <c r="U2728" s="45"/>
    </row>
    <row r="2729">
      <c r="A2729" s="79" t="s">
        <v>20596</v>
      </c>
      <c r="B2729" s="45"/>
      <c r="C2729" s="79" t="s">
        <v>20597</v>
      </c>
      <c r="D2729" s="45"/>
      <c r="E2729" s="79" t="s">
        <v>5276</v>
      </c>
      <c r="F2729" s="79" t="s">
        <v>5300</v>
      </c>
      <c r="G2729" s="80" t="s">
        <v>96</v>
      </c>
      <c r="H2729" s="90">
        <v>8.96E-5</v>
      </c>
      <c r="I2729" s="45"/>
      <c r="J2729" s="45"/>
      <c r="K2729" s="45"/>
      <c r="L2729" s="45"/>
      <c r="M2729" s="45"/>
      <c r="N2729" s="45"/>
      <c r="O2729" s="45"/>
      <c r="P2729" s="45"/>
      <c r="Q2729" s="45"/>
      <c r="R2729" s="45"/>
      <c r="S2729" s="45"/>
      <c r="T2729" s="45"/>
      <c r="U2729" s="45"/>
    </row>
    <row r="2730">
      <c r="A2730" s="79" t="s">
        <v>20598</v>
      </c>
      <c r="B2730" s="45"/>
      <c r="C2730" s="79" t="s">
        <v>20599</v>
      </c>
      <c r="D2730" s="45"/>
      <c r="E2730" s="79" t="s">
        <v>6130</v>
      </c>
      <c r="F2730" s="79" t="s">
        <v>5941</v>
      </c>
      <c r="G2730" s="80" t="s">
        <v>96</v>
      </c>
      <c r="H2730" s="90">
        <v>8.95E-5</v>
      </c>
      <c r="I2730" s="45"/>
      <c r="J2730" s="45"/>
      <c r="K2730" s="45"/>
      <c r="L2730" s="45"/>
      <c r="M2730" s="45"/>
      <c r="N2730" s="45"/>
      <c r="O2730" s="45"/>
      <c r="P2730" s="45"/>
      <c r="Q2730" s="45"/>
      <c r="R2730" s="45"/>
      <c r="S2730" s="45"/>
      <c r="T2730" s="45"/>
      <c r="U2730" s="45"/>
    </row>
    <row r="2731">
      <c r="A2731" s="79" t="s">
        <v>20600</v>
      </c>
      <c r="B2731" s="45"/>
      <c r="C2731" s="79" t="s">
        <v>20601</v>
      </c>
      <c r="D2731" s="45"/>
      <c r="E2731" s="79" t="s">
        <v>5868</v>
      </c>
      <c r="F2731" s="79" t="s">
        <v>5300</v>
      </c>
      <c r="G2731" s="80" t="s">
        <v>96</v>
      </c>
      <c r="H2731" s="90">
        <v>8.95E-5</v>
      </c>
      <c r="I2731" s="45"/>
      <c r="J2731" s="45"/>
      <c r="K2731" s="45"/>
      <c r="L2731" s="45"/>
      <c r="M2731" s="45"/>
      <c r="N2731" s="45"/>
      <c r="O2731" s="45"/>
      <c r="P2731" s="45"/>
      <c r="Q2731" s="45"/>
      <c r="R2731" s="45"/>
      <c r="S2731" s="45"/>
      <c r="T2731" s="45"/>
      <c r="U2731" s="45"/>
    </row>
    <row r="2732">
      <c r="A2732" s="79" t="s">
        <v>20602</v>
      </c>
      <c r="B2732" s="45"/>
      <c r="C2732" s="79" t="s">
        <v>20603</v>
      </c>
      <c r="D2732" s="45"/>
      <c r="E2732" s="79" t="s">
        <v>5215</v>
      </c>
      <c r="F2732" s="79" t="s">
        <v>5300</v>
      </c>
      <c r="G2732" s="80" t="s">
        <v>96</v>
      </c>
      <c r="H2732" s="90">
        <v>8.95E-5</v>
      </c>
      <c r="I2732" s="45"/>
      <c r="J2732" s="45"/>
      <c r="K2732" s="45"/>
      <c r="L2732" s="45"/>
      <c r="M2732" s="45"/>
      <c r="N2732" s="45"/>
      <c r="O2732" s="45"/>
      <c r="P2732" s="45"/>
      <c r="Q2732" s="45"/>
      <c r="R2732" s="45"/>
      <c r="S2732" s="45"/>
      <c r="T2732" s="45"/>
      <c r="U2732" s="45"/>
    </row>
    <row r="2733">
      <c r="A2733" s="79" t="s">
        <v>20604</v>
      </c>
      <c r="B2733" s="45"/>
      <c r="C2733" s="79" t="s">
        <v>20605</v>
      </c>
      <c r="D2733" s="45"/>
      <c r="E2733" s="79" t="s">
        <v>5335</v>
      </c>
      <c r="F2733" s="79" t="s">
        <v>5300</v>
      </c>
      <c r="G2733" s="80" t="s">
        <v>96</v>
      </c>
      <c r="H2733" s="90">
        <v>8.95E-5</v>
      </c>
      <c r="I2733" s="45"/>
      <c r="J2733" s="45"/>
      <c r="K2733" s="45"/>
      <c r="L2733" s="45"/>
      <c r="M2733" s="45"/>
      <c r="N2733" s="45"/>
      <c r="O2733" s="45"/>
      <c r="P2733" s="45"/>
      <c r="Q2733" s="45"/>
      <c r="R2733" s="45"/>
      <c r="S2733" s="45"/>
      <c r="T2733" s="45"/>
      <c r="U2733" s="45"/>
    </row>
    <row r="2734">
      <c r="A2734" s="79" t="s">
        <v>20606</v>
      </c>
      <c r="B2734" s="45"/>
      <c r="C2734" s="79" t="s">
        <v>20607</v>
      </c>
      <c r="D2734" s="45"/>
      <c r="E2734" s="79" t="s">
        <v>5249</v>
      </c>
      <c r="F2734" s="79" t="s">
        <v>5425</v>
      </c>
      <c r="G2734" s="80" t="s">
        <v>96</v>
      </c>
      <c r="H2734" s="90">
        <v>8.94E-5</v>
      </c>
      <c r="I2734" s="45"/>
      <c r="J2734" s="45"/>
      <c r="K2734" s="45"/>
      <c r="L2734" s="45"/>
      <c r="M2734" s="45"/>
      <c r="N2734" s="45"/>
      <c r="O2734" s="45"/>
      <c r="P2734" s="45"/>
      <c r="Q2734" s="45"/>
      <c r="R2734" s="45"/>
      <c r="S2734" s="45"/>
      <c r="T2734" s="45"/>
      <c r="U2734" s="45"/>
    </row>
    <row r="2735">
      <c r="A2735" s="79" t="s">
        <v>20608</v>
      </c>
      <c r="B2735" s="45"/>
      <c r="C2735" s="79" t="s">
        <v>20609</v>
      </c>
      <c r="D2735" s="45"/>
      <c r="E2735" s="79" t="s">
        <v>5226</v>
      </c>
      <c r="F2735" s="79" t="s">
        <v>5836</v>
      </c>
      <c r="G2735" s="80" t="s">
        <v>96</v>
      </c>
      <c r="H2735" s="90">
        <v>8.94E-5</v>
      </c>
      <c r="I2735" s="45"/>
      <c r="J2735" s="45"/>
      <c r="K2735" s="45"/>
      <c r="L2735" s="45"/>
      <c r="M2735" s="45"/>
      <c r="N2735" s="45"/>
      <c r="O2735" s="45"/>
      <c r="P2735" s="45"/>
      <c r="Q2735" s="45"/>
      <c r="R2735" s="45"/>
      <c r="S2735" s="45"/>
      <c r="T2735" s="45"/>
      <c r="U2735" s="45"/>
    </row>
    <row r="2736">
      <c r="A2736" s="79" t="s">
        <v>20610</v>
      </c>
      <c r="B2736" s="45"/>
      <c r="C2736" s="79" t="s">
        <v>20611</v>
      </c>
      <c r="D2736" s="45"/>
      <c r="E2736" s="79" t="s">
        <v>6480</v>
      </c>
      <c r="F2736" s="79" t="s">
        <v>5300</v>
      </c>
      <c r="G2736" s="80" t="s">
        <v>96</v>
      </c>
      <c r="H2736" s="90">
        <v>8.93E-5</v>
      </c>
      <c r="I2736" s="45"/>
      <c r="J2736" s="45"/>
      <c r="K2736" s="45"/>
      <c r="L2736" s="45"/>
      <c r="M2736" s="45"/>
      <c r="N2736" s="45"/>
      <c r="O2736" s="45"/>
      <c r="P2736" s="45"/>
      <c r="Q2736" s="45"/>
      <c r="R2736" s="45"/>
      <c r="S2736" s="45"/>
      <c r="T2736" s="45"/>
      <c r="U2736" s="45"/>
    </row>
    <row r="2737">
      <c r="A2737" s="79" t="s">
        <v>20612</v>
      </c>
      <c r="B2737" s="45"/>
      <c r="C2737" s="79" t="s">
        <v>20613</v>
      </c>
      <c r="D2737" s="45"/>
      <c r="E2737" s="79" t="s">
        <v>5267</v>
      </c>
      <c r="F2737" s="79" t="s">
        <v>8784</v>
      </c>
      <c r="G2737" s="80" t="s">
        <v>96</v>
      </c>
      <c r="H2737" s="90">
        <v>8.93E-5</v>
      </c>
      <c r="I2737" s="45"/>
      <c r="J2737" s="45"/>
      <c r="K2737" s="45"/>
      <c r="L2737" s="45"/>
      <c r="M2737" s="45"/>
      <c r="N2737" s="45"/>
      <c r="O2737" s="45"/>
      <c r="P2737" s="45"/>
      <c r="Q2737" s="45"/>
      <c r="R2737" s="45"/>
      <c r="S2737" s="45"/>
      <c r="T2737" s="45"/>
      <c r="U2737" s="45"/>
    </row>
    <row r="2738">
      <c r="A2738" s="79" t="s">
        <v>20614</v>
      </c>
      <c r="B2738" s="45"/>
      <c r="C2738" s="79" t="s">
        <v>20615</v>
      </c>
      <c r="D2738" s="45"/>
      <c r="E2738" s="79" t="s">
        <v>6040</v>
      </c>
      <c r="F2738" s="79" t="s">
        <v>5425</v>
      </c>
      <c r="G2738" s="80" t="s">
        <v>96</v>
      </c>
      <c r="H2738" s="90">
        <v>8.93E-5</v>
      </c>
      <c r="I2738" s="45"/>
      <c r="J2738" s="45"/>
      <c r="K2738" s="45"/>
      <c r="L2738" s="45"/>
      <c r="M2738" s="45"/>
      <c r="N2738" s="45"/>
      <c r="O2738" s="45"/>
      <c r="P2738" s="45"/>
      <c r="Q2738" s="45"/>
      <c r="R2738" s="45"/>
      <c r="S2738" s="45"/>
      <c r="T2738" s="45"/>
      <c r="U2738" s="45"/>
    </row>
    <row r="2739">
      <c r="A2739" s="79" t="s">
        <v>20616</v>
      </c>
      <c r="B2739" s="45"/>
      <c r="C2739" s="79" t="s">
        <v>20617</v>
      </c>
      <c r="D2739" s="45"/>
      <c r="E2739" s="79" t="s">
        <v>5283</v>
      </c>
      <c r="F2739" s="79" t="s">
        <v>9021</v>
      </c>
      <c r="G2739" s="80" t="s">
        <v>96</v>
      </c>
      <c r="H2739" s="90">
        <v>8.92E-5</v>
      </c>
      <c r="I2739" s="45"/>
      <c r="J2739" s="45"/>
      <c r="K2739" s="45"/>
      <c r="L2739" s="45"/>
      <c r="M2739" s="45"/>
      <c r="N2739" s="45"/>
      <c r="O2739" s="45"/>
      <c r="P2739" s="45"/>
      <c r="Q2739" s="45"/>
      <c r="R2739" s="45"/>
      <c r="S2739" s="45"/>
      <c r="T2739" s="45"/>
      <c r="U2739" s="45"/>
    </row>
    <row r="2740">
      <c r="A2740" s="79" t="s">
        <v>20618</v>
      </c>
      <c r="B2740" s="45"/>
      <c r="C2740" s="79" t="s">
        <v>20619</v>
      </c>
      <c r="D2740" s="45"/>
      <c r="E2740" s="79" t="s">
        <v>5561</v>
      </c>
      <c r="F2740" s="79" t="s">
        <v>8784</v>
      </c>
      <c r="G2740" s="80" t="s">
        <v>96</v>
      </c>
      <c r="H2740" s="90">
        <v>8.91E-5</v>
      </c>
      <c r="I2740" s="45"/>
      <c r="J2740" s="45"/>
      <c r="K2740" s="45"/>
      <c r="L2740" s="45"/>
      <c r="M2740" s="45"/>
      <c r="N2740" s="45"/>
      <c r="O2740" s="45"/>
      <c r="P2740" s="45"/>
      <c r="Q2740" s="45"/>
      <c r="R2740" s="45"/>
      <c r="S2740" s="45"/>
      <c r="T2740" s="45"/>
      <c r="U2740" s="45"/>
    </row>
    <row r="2741">
      <c r="A2741" s="79" t="s">
        <v>20620</v>
      </c>
      <c r="B2741" s="45"/>
      <c r="C2741" s="79" t="s">
        <v>20621</v>
      </c>
      <c r="D2741" s="45"/>
      <c r="E2741" s="79" t="s">
        <v>5868</v>
      </c>
      <c r="F2741" s="79" t="s">
        <v>5836</v>
      </c>
      <c r="G2741" s="80" t="s">
        <v>96</v>
      </c>
      <c r="H2741" s="90">
        <v>8.91E-5</v>
      </c>
      <c r="I2741" s="45"/>
      <c r="J2741" s="45"/>
      <c r="K2741" s="45"/>
      <c r="L2741" s="45"/>
      <c r="M2741" s="45"/>
      <c r="N2741" s="45"/>
      <c r="O2741" s="45"/>
      <c r="P2741" s="45"/>
      <c r="Q2741" s="45"/>
      <c r="R2741" s="45"/>
      <c r="S2741" s="45"/>
      <c r="T2741" s="45"/>
      <c r="U2741" s="45"/>
    </row>
    <row r="2742">
      <c r="A2742" s="79" t="s">
        <v>20622</v>
      </c>
      <c r="B2742" s="45"/>
      <c r="C2742" s="79" t="s">
        <v>20623</v>
      </c>
      <c r="D2742" s="45"/>
      <c r="E2742" s="79" t="s">
        <v>5561</v>
      </c>
      <c r="F2742" s="79" t="s">
        <v>9617</v>
      </c>
      <c r="G2742" s="80" t="s">
        <v>96</v>
      </c>
      <c r="H2742" s="90">
        <v>8.91E-5</v>
      </c>
      <c r="I2742" s="45"/>
      <c r="J2742" s="45"/>
      <c r="K2742" s="45"/>
      <c r="L2742" s="45"/>
      <c r="M2742" s="45"/>
      <c r="N2742" s="45"/>
      <c r="O2742" s="45"/>
      <c r="P2742" s="45"/>
      <c r="Q2742" s="45"/>
      <c r="R2742" s="45"/>
      <c r="S2742" s="45"/>
      <c r="T2742" s="45"/>
      <c r="U2742" s="45"/>
    </row>
    <row r="2743">
      <c r="A2743" s="79" t="s">
        <v>20624</v>
      </c>
      <c r="B2743" s="45"/>
      <c r="C2743" s="79" t="s">
        <v>20625</v>
      </c>
      <c r="D2743" s="45"/>
      <c r="E2743" s="79" t="s">
        <v>7476</v>
      </c>
      <c r="F2743" s="79" t="s">
        <v>5300</v>
      </c>
      <c r="G2743" s="80" t="s">
        <v>96</v>
      </c>
      <c r="H2743" s="90">
        <v>8.91E-5</v>
      </c>
      <c r="I2743" s="45"/>
      <c r="J2743" s="45"/>
      <c r="K2743" s="45"/>
      <c r="L2743" s="45"/>
      <c r="M2743" s="45"/>
      <c r="N2743" s="45"/>
      <c r="O2743" s="45"/>
      <c r="P2743" s="45"/>
      <c r="Q2743" s="45"/>
      <c r="R2743" s="45"/>
      <c r="S2743" s="45"/>
      <c r="T2743" s="45"/>
      <c r="U2743" s="45"/>
    </row>
    <row r="2744">
      <c r="A2744" s="79" t="s">
        <v>20626</v>
      </c>
      <c r="B2744" s="45"/>
      <c r="C2744" s="79" t="s">
        <v>20627</v>
      </c>
      <c r="D2744" s="45"/>
      <c r="E2744" s="79" t="s">
        <v>5478</v>
      </c>
      <c r="F2744" s="79" t="s">
        <v>5927</v>
      </c>
      <c r="G2744" s="80" t="s">
        <v>96</v>
      </c>
      <c r="H2744" s="90">
        <v>8.9E-5</v>
      </c>
      <c r="I2744" s="45"/>
      <c r="J2744" s="45"/>
      <c r="K2744" s="45"/>
      <c r="L2744" s="45"/>
      <c r="M2744" s="45"/>
      <c r="N2744" s="45"/>
      <c r="O2744" s="45"/>
      <c r="P2744" s="45"/>
      <c r="Q2744" s="45"/>
      <c r="R2744" s="45"/>
      <c r="S2744" s="45"/>
      <c r="T2744" s="45"/>
      <c r="U2744" s="45"/>
    </row>
    <row r="2745">
      <c r="A2745" s="79" t="s">
        <v>20628</v>
      </c>
      <c r="B2745" s="45"/>
      <c r="C2745" s="79" t="s">
        <v>20629</v>
      </c>
      <c r="D2745" s="45"/>
      <c r="E2745" s="79" t="s">
        <v>5445</v>
      </c>
      <c r="F2745" s="79" t="s">
        <v>5300</v>
      </c>
      <c r="G2745" s="80" t="s">
        <v>96</v>
      </c>
      <c r="H2745" s="90">
        <v>8.89E-5</v>
      </c>
      <c r="I2745" s="45"/>
      <c r="J2745" s="45"/>
      <c r="K2745" s="45"/>
      <c r="L2745" s="45"/>
      <c r="M2745" s="45"/>
      <c r="N2745" s="45"/>
      <c r="O2745" s="45"/>
      <c r="P2745" s="45"/>
      <c r="Q2745" s="45"/>
      <c r="R2745" s="45"/>
      <c r="S2745" s="45"/>
      <c r="T2745" s="45"/>
      <c r="U2745" s="45"/>
    </row>
    <row r="2746">
      <c r="A2746" s="79" t="s">
        <v>20630</v>
      </c>
      <c r="B2746" s="45"/>
      <c r="C2746" s="79" t="s">
        <v>20631</v>
      </c>
      <c r="D2746" s="45"/>
      <c r="E2746" s="79" t="s">
        <v>5715</v>
      </c>
      <c r="F2746" s="79" t="s">
        <v>5300</v>
      </c>
      <c r="G2746" s="80" t="s">
        <v>96</v>
      </c>
      <c r="H2746" s="90">
        <v>8.89E-5</v>
      </c>
      <c r="I2746" s="45"/>
      <c r="J2746" s="45"/>
      <c r="K2746" s="45"/>
      <c r="L2746" s="45"/>
      <c r="M2746" s="45"/>
      <c r="N2746" s="45"/>
      <c r="O2746" s="45"/>
      <c r="P2746" s="45"/>
      <c r="Q2746" s="45"/>
      <c r="R2746" s="45"/>
      <c r="S2746" s="45"/>
      <c r="T2746" s="45"/>
      <c r="U2746" s="45"/>
    </row>
    <row r="2747">
      <c r="A2747" s="79" t="s">
        <v>20632</v>
      </c>
      <c r="B2747" s="45"/>
      <c r="C2747" s="79" t="s">
        <v>20633</v>
      </c>
      <c r="D2747" s="45"/>
      <c r="E2747" s="79" t="s">
        <v>5335</v>
      </c>
      <c r="F2747" s="79" t="s">
        <v>4095</v>
      </c>
      <c r="G2747" s="80" t="s">
        <v>96</v>
      </c>
      <c r="H2747" s="90">
        <v>8.89E-5</v>
      </c>
      <c r="I2747" s="45"/>
      <c r="J2747" s="45"/>
      <c r="K2747" s="45"/>
      <c r="L2747" s="45"/>
      <c r="M2747" s="45"/>
      <c r="N2747" s="45"/>
      <c r="O2747" s="45"/>
      <c r="P2747" s="45"/>
      <c r="Q2747" s="45"/>
      <c r="R2747" s="45"/>
      <c r="S2747" s="45"/>
      <c r="T2747" s="45"/>
      <c r="U2747" s="45"/>
    </row>
    <row r="2748">
      <c r="A2748" s="79" t="s">
        <v>20634</v>
      </c>
      <c r="B2748" s="45"/>
      <c r="C2748" s="79" t="s">
        <v>20635</v>
      </c>
      <c r="D2748" s="45"/>
      <c r="E2748" s="79" t="s">
        <v>5456</v>
      </c>
      <c r="F2748" s="79" t="s">
        <v>5300</v>
      </c>
      <c r="G2748" s="80" t="s">
        <v>96</v>
      </c>
      <c r="H2748" s="90">
        <v>8.88E-5</v>
      </c>
      <c r="I2748" s="45"/>
      <c r="J2748" s="45"/>
      <c r="K2748" s="45"/>
      <c r="L2748" s="45"/>
      <c r="M2748" s="45"/>
      <c r="N2748" s="45"/>
      <c r="O2748" s="45"/>
      <c r="P2748" s="45"/>
      <c r="Q2748" s="45"/>
      <c r="R2748" s="45"/>
      <c r="S2748" s="45"/>
      <c r="T2748" s="45"/>
      <c r="U2748" s="45"/>
    </row>
    <row r="2749">
      <c r="A2749" s="79" t="s">
        <v>20636</v>
      </c>
      <c r="B2749" s="45"/>
      <c r="C2749" s="79" t="s">
        <v>20637</v>
      </c>
      <c r="D2749" s="45"/>
      <c r="E2749" s="79" t="s">
        <v>5215</v>
      </c>
      <c r="F2749" s="79" t="s">
        <v>5300</v>
      </c>
      <c r="G2749" s="80" t="s">
        <v>96</v>
      </c>
      <c r="H2749" s="90">
        <v>8.88E-5</v>
      </c>
      <c r="I2749" s="45"/>
      <c r="J2749" s="45"/>
      <c r="K2749" s="45"/>
      <c r="L2749" s="45"/>
      <c r="M2749" s="45"/>
      <c r="N2749" s="45"/>
      <c r="O2749" s="45"/>
      <c r="P2749" s="45"/>
      <c r="Q2749" s="45"/>
      <c r="R2749" s="45"/>
      <c r="S2749" s="45"/>
      <c r="T2749" s="45"/>
      <c r="U2749" s="45"/>
    </row>
    <row r="2750">
      <c r="A2750" s="79" t="s">
        <v>20638</v>
      </c>
      <c r="B2750" s="45"/>
      <c r="C2750" s="79" t="s">
        <v>20639</v>
      </c>
      <c r="D2750" s="45"/>
      <c r="E2750" s="79" t="s">
        <v>5407</v>
      </c>
      <c r="F2750" s="79" t="s">
        <v>5300</v>
      </c>
      <c r="G2750" s="80" t="s">
        <v>96</v>
      </c>
      <c r="H2750" s="90">
        <v>8.88E-5</v>
      </c>
      <c r="I2750" s="45"/>
      <c r="J2750" s="45"/>
      <c r="K2750" s="45"/>
      <c r="L2750" s="45"/>
      <c r="M2750" s="45"/>
      <c r="N2750" s="45"/>
      <c r="O2750" s="45"/>
      <c r="P2750" s="45"/>
      <c r="Q2750" s="45"/>
      <c r="R2750" s="45"/>
      <c r="S2750" s="45"/>
      <c r="T2750" s="45"/>
      <c r="U2750" s="45"/>
    </row>
    <row r="2751">
      <c r="A2751" s="79" t="s">
        <v>20640</v>
      </c>
      <c r="B2751" s="45"/>
      <c r="C2751" s="79" t="s">
        <v>20641</v>
      </c>
      <c r="D2751" s="45"/>
      <c r="E2751" s="79" t="s">
        <v>5374</v>
      </c>
      <c r="F2751" s="79" t="s">
        <v>5300</v>
      </c>
      <c r="G2751" s="80" t="s">
        <v>96</v>
      </c>
      <c r="H2751" s="90">
        <v>8.87E-5</v>
      </c>
      <c r="I2751" s="45"/>
      <c r="J2751" s="45"/>
      <c r="K2751" s="45"/>
      <c r="L2751" s="45"/>
      <c r="M2751" s="45"/>
      <c r="N2751" s="45"/>
      <c r="O2751" s="45"/>
      <c r="P2751" s="45"/>
      <c r="Q2751" s="45"/>
      <c r="R2751" s="45"/>
      <c r="S2751" s="45"/>
      <c r="T2751" s="45"/>
      <c r="U2751" s="45"/>
    </row>
    <row r="2752">
      <c r="A2752" s="79" t="s">
        <v>20642</v>
      </c>
      <c r="B2752" s="45"/>
      <c r="C2752" s="79" t="s">
        <v>20643</v>
      </c>
      <c r="D2752" s="45"/>
      <c r="E2752" s="79" t="s">
        <v>5276</v>
      </c>
      <c r="F2752" s="79" t="s">
        <v>5300</v>
      </c>
      <c r="G2752" s="80" t="s">
        <v>96</v>
      </c>
      <c r="H2752" s="90">
        <v>8.86E-5</v>
      </c>
      <c r="I2752" s="45"/>
      <c r="J2752" s="45"/>
      <c r="K2752" s="45"/>
      <c r="L2752" s="45"/>
      <c r="M2752" s="45"/>
      <c r="N2752" s="45"/>
      <c r="O2752" s="45"/>
      <c r="P2752" s="45"/>
      <c r="Q2752" s="45"/>
      <c r="R2752" s="45"/>
      <c r="S2752" s="45"/>
      <c r="T2752" s="45"/>
      <c r="U2752" s="45"/>
    </row>
    <row r="2753">
      <c r="A2753" s="79" t="s">
        <v>20644</v>
      </c>
      <c r="B2753" s="45"/>
      <c r="C2753" s="79" t="s">
        <v>20645</v>
      </c>
      <c r="D2753" s="45"/>
      <c r="E2753" s="79" t="s">
        <v>5759</v>
      </c>
      <c r="F2753" s="79" t="s">
        <v>5300</v>
      </c>
      <c r="G2753" s="80" t="s">
        <v>96</v>
      </c>
      <c r="H2753" s="90">
        <v>8.85E-5</v>
      </c>
      <c r="I2753" s="45"/>
      <c r="J2753" s="45"/>
      <c r="K2753" s="45"/>
      <c r="L2753" s="45"/>
      <c r="M2753" s="45"/>
      <c r="N2753" s="45"/>
      <c r="O2753" s="45"/>
      <c r="P2753" s="45"/>
      <c r="Q2753" s="45"/>
      <c r="R2753" s="45"/>
      <c r="S2753" s="45"/>
      <c r="T2753" s="45"/>
      <c r="U2753" s="45"/>
    </row>
    <row r="2754">
      <c r="A2754" s="79" t="s">
        <v>20646</v>
      </c>
      <c r="B2754" s="45"/>
      <c r="C2754" s="79" t="s">
        <v>20647</v>
      </c>
      <c r="D2754" s="45"/>
      <c r="E2754" s="79" t="s">
        <v>5291</v>
      </c>
      <c r="F2754" s="79" t="s">
        <v>5300</v>
      </c>
      <c r="G2754" s="80" t="s">
        <v>96</v>
      </c>
      <c r="H2754" s="90">
        <v>8.85E-5</v>
      </c>
      <c r="I2754" s="45"/>
      <c r="J2754" s="45"/>
      <c r="K2754" s="45"/>
      <c r="L2754" s="45"/>
      <c r="M2754" s="45"/>
      <c r="N2754" s="45"/>
      <c r="O2754" s="45"/>
      <c r="P2754" s="45"/>
      <c r="Q2754" s="45"/>
      <c r="R2754" s="45"/>
      <c r="S2754" s="45"/>
      <c r="T2754" s="45"/>
      <c r="U2754" s="45"/>
    </row>
    <row r="2755">
      <c r="A2755" s="79" t="s">
        <v>20648</v>
      </c>
      <c r="B2755" s="45"/>
      <c r="C2755" s="79" t="s">
        <v>20649</v>
      </c>
      <c r="D2755" s="45"/>
      <c r="E2755" s="79" t="s">
        <v>5456</v>
      </c>
      <c r="F2755" s="79" t="s">
        <v>8784</v>
      </c>
      <c r="G2755" s="80" t="s">
        <v>96</v>
      </c>
      <c r="H2755" s="90">
        <v>8.85E-5</v>
      </c>
      <c r="I2755" s="45"/>
      <c r="J2755" s="45"/>
      <c r="K2755" s="45"/>
      <c r="L2755" s="45"/>
      <c r="M2755" s="45"/>
      <c r="N2755" s="45"/>
      <c r="O2755" s="45"/>
      <c r="P2755" s="45"/>
      <c r="Q2755" s="45"/>
      <c r="R2755" s="45"/>
      <c r="S2755" s="45"/>
      <c r="T2755" s="45"/>
      <c r="U2755" s="45"/>
    </row>
    <row r="2756">
      <c r="A2756" s="79" t="s">
        <v>20650</v>
      </c>
      <c r="B2756" s="45"/>
      <c r="C2756" s="79" t="s">
        <v>20651</v>
      </c>
      <c r="D2756" s="45"/>
      <c r="E2756" s="79" t="s">
        <v>5456</v>
      </c>
      <c r="F2756" s="79" t="s">
        <v>8784</v>
      </c>
      <c r="G2756" s="80" t="s">
        <v>96</v>
      </c>
      <c r="H2756" s="90">
        <v>8.85E-5</v>
      </c>
      <c r="I2756" s="45"/>
      <c r="J2756" s="45"/>
      <c r="K2756" s="45"/>
      <c r="L2756" s="45"/>
      <c r="M2756" s="45"/>
      <c r="N2756" s="45"/>
      <c r="O2756" s="45"/>
      <c r="P2756" s="45"/>
      <c r="Q2756" s="45"/>
      <c r="R2756" s="45"/>
      <c r="S2756" s="45"/>
      <c r="T2756" s="45"/>
      <c r="U2756" s="45"/>
    </row>
    <row r="2757">
      <c r="A2757" s="79" t="s">
        <v>20652</v>
      </c>
      <c r="B2757" s="45"/>
      <c r="C2757" s="79" t="s">
        <v>20653</v>
      </c>
      <c r="D2757" s="45"/>
      <c r="E2757" s="79" t="s">
        <v>7846</v>
      </c>
      <c r="F2757" s="79" t="s">
        <v>8784</v>
      </c>
      <c r="G2757" s="80" t="s">
        <v>96</v>
      </c>
      <c r="H2757" s="90">
        <v>8.84E-5</v>
      </c>
      <c r="I2757" s="45"/>
      <c r="J2757" s="45"/>
      <c r="K2757" s="45"/>
      <c r="L2757" s="45"/>
      <c r="M2757" s="45"/>
      <c r="N2757" s="45"/>
      <c r="O2757" s="45"/>
      <c r="P2757" s="45"/>
      <c r="Q2757" s="45"/>
      <c r="R2757" s="45"/>
      <c r="S2757" s="45"/>
      <c r="T2757" s="45"/>
      <c r="U2757" s="45"/>
    </row>
    <row r="2758">
      <c r="A2758" s="79" t="s">
        <v>20654</v>
      </c>
      <c r="B2758" s="45"/>
      <c r="C2758" s="79" t="s">
        <v>20655</v>
      </c>
      <c r="D2758" s="45"/>
      <c r="E2758" s="79" t="s">
        <v>5742</v>
      </c>
      <c r="F2758" s="79" t="s">
        <v>8784</v>
      </c>
      <c r="G2758" s="80" t="s">
        <v>96</v>
      </c>
      <c r="H2758" s="90">
        <v>8.84E-5</v>
      </c>
      <c r="I2758" s="45"/>
      <c r="J2758" s="45"/>
      <c r="K2758" s="45"/>
      <c r="L2758" s="45"/>
      <c r="M2758" s="45"/>
      <c r="N2758" s="45"/>
      <c r="O2758" s="45"/>
      <c r="P2758" s="45"/>
      <c r="Q2758" s="45"/>
      <c r="R2758" s="45"/>
      <c r="S2758" s="45"/>
      <c r="T2758" s="45"/>
      <c r="U2758" s="45"/>
    </row>
    <row r="2759">
      <c r="A2759" s="79" t="s">
        <v>20656</v>
      </c>
      <c r="B2759" s="45"/>
      <c r="C2759" s="79" t="s">
        <v>20657</v>
      </c>
      <c r="D2759" s="45"/>
      <c r="E2759" s="79" t="s">
        <v>5650</v>
      </c>
      <c r="F2759" s="79" t="s">
        <v>6210</v>
      </c>
      <c r="G2759" s="80" t="s">
        <v>96</v>
      </c>
      <c r="H2759" s="90">
        <v>8.82E-5</v>
      </c>
      <c r="I2759" s="45"/>
      <c r="J2759" s="45"/>
      <c r="K2759" s="45"/>
      <c r="L2759" s="45"/>
      <c r="M2759" s="45"/>
      <c r="N2759" s="45"/>
      <c r="O2759" s="45"/>
      <c r="P2759" s="45"/>
      <c r="Q2759" s="45"/>
      <c r="R2759" s="45"/>
      <c r="S2759" s="45"/>
      <c r="T2759" s="45"/>
      <c r="U2759" s="45"/>
    </row>
    <row r="2760">
      <c r="A2760" s="79" t="s">
        <v>20658</v>
      </c>
      <c r="B2760" s="45"/>
      <c r="C2760" s="79" t="s">
        <v>20659</v>
      </c>
      <c r="D2760" s="45"/>
      <c r="E2760" s="79" t="s">
        <v>5357</v>
      </c>
      <c r="F2760" s="79" t="s">
        <v>9513</v>
      </c>
      <c r="G2760" s="80" t="s">
        <v>96</v>
      </c>
      <c r="H2760" s="90">
        <v>8.82E-5</v>
      </c>
      <c r="I2760" s="45"/>
      <c r="J2760" s="45"/>
      <c r="K2760" s="45"/>
      <c r="L2760" s="45"/>
      <c r="M2760" s="45"/>
      <c r="N2760" s="45"/>
      <c r="O2760" s="45"/>
      <c r="P2760" s="45"/>
      <c r="Q2760" s="45"/>
      <c r="R2760" s="45"/>
      <c r="S2760" s="45"/>
      <c r="T2760" s="45"/>
      <c r="U2760" s="45"/>
    </row>
    <row r="2761">
      <c r="A2761" s="79" t="s">
        <v>20660</v>
      </c>
      <c r="B2761" s="45"/>
      <c r="C2761" s="79" t="s">
        <v>20661</v>
      </c>
      <c r="D2761" s="45"/>
      <c r="E2761" s="79" t="s">
        <v>8110</v>
      </c>
      <c r="F2761" s="79" t="s">
        <v>5300</v>
      </c>
      <c r="G2761" s="80" t="s">
        <v>96</v>
      </c>
      <c r="H2761" s="90">
        <v>8.81E-5</v>
      </c>
      <c r="I2761" s="45"/>
      <c r="J2761" s="45"/>
      <c r="K2761" s="45"/>
      <c r="L2761" s="45"/>
      <c r="M2761" s="45"/>
      <c r="N2761" s="45"/>
      <c r="O2761" s="45"/>
      <c r="P2761" s="45"/>
      <c r="Q2761" s="45"/>
      <c r="R2761" s="45"/>
      <c r="S2761" s="45"/>
      <c r="T2761" s="45"/>
      <c r="U2761" s="45"/>
    </row>
    <row r="2762">
      <c r="A2762" s="79" t="s">
        <v>20662</v>
      </c>
      <c r="B2762" s="45"/>
      <c r="C2762" s="79" t="s">
        <v>20663</v>
      </c>
      <c r="D2762" s="45"/>
      <c r="E2762" s="79" t="s">
        <v>5253</v>
      </c>
      <c r="F2762" s="79" t="s">
        <v>5300</v>
      </c>
      <c r="G2762" s="80" t="s">
        <v>96</v>
      </c>
      <c r="H2762" s="90">
        <v>8.8E-5</v>
      </c>
      <c r="I2762" s="45"/>
      <c r="J2762" s="45"/>
      <c r="K2762" s="45"/>
      <c r="L2762" s="45"/>
      <c r="M2762" s="45"/>
      <c r="N2762" s="45"/>
      <c r="O2762" s="45"/>
      <c r="P2762" s="45"/>
      <c r="Q2762" s="45"/>
      <c r="R2762" s="45"/>
      <c r="S2762" s="45"/>
      <c r="T2762" s="45"/>
      <c r="U2762" s="45"/>
    </row>
    <row r="2763">
      <c r="A2763" s="79" t="s">
        <v>20664</v>
      </c>
      <c r="B2763" s="45"/>
      <c r="C2763" s="79" t="s">
        <v>20665</v>
      </c>
      <c r="D2763" s="45"/>
      <c r="E2763" s="79" t="s">
        <v>7471</v>
      </c>
      <c r="F2763" s="79" t="s">
        <v>8784</v>
      </c>
      <c r="G2763" s="80" t="s">
        <v>96</v>
      </c>
      <c r="H2763" s="90">
        <v>8.79E-5</v>
      </c>
      <c r="I2763" s="45"/>
      <c r="J2763" s="45"/>
      <c r="K2763" s="45"/>
      <c r="L2763" s="45"/>
      <c r="M2763" s="45"/>
      <c r="N2763" s="45"/>
      <c r="O2763" s="45"/>
      <c r="P2763" s="45"/>
      <c r="Q2763" s="45"/>
      <c r="R2763" s="45"/>
      <c r="S2763" s="45"/>
      <c r="T2763" s="45"/>
      <c r="U2763" s="45"/>
    </row>
    <row r="2764">
      <c r="A2764" s="79" t="s">
        <v>20666</v>
      </c>
      <c r="B2764" s="45"/>
      <c r="C2764" s="79" t="s">
        <v>20667</v>
      </c>
      <c r="D2764" s="45"/>
      <c r="E2764" s="79" t="s">
        <v>5561</v>
      </c>
      <c r="F2764" s="79" t="s">
        <v>5747</v>
      </c>
      <c r="G2764" s="80" t="s">
        <v>96</v>
      </c>
      <c r="H2764" s="90">
        <v>8.79E-5</v>
      </c>
      <c r="I2764" s="45"/>
      <c r="J2764" s="45"/>
      <c r="K2764" s="45"/>
      <c r="L2764" s="45"/>
      <c r="M2764" s="45"/>
      <c r="N2764" s="45"/>
      <c r="O2764" s="45"/>
      <c r="P2764" s="45"/>
      <c r="Q2764" s="45"/>
      <c r="R2764" s="45"/>
      <c r="S2764" s="45"/>
      <c r="T2764" s="45"/>
      <c r="U2764" s="45"/>
    </row>
    <row r="2765">
      <c r="A2765" s="79" t="s">
        <v>20668</v>
      </c>
      <c r="B2765" s="45"/>
      <c r="C2765" s="79" t="s">
        <v>20669</v>
      </c>
      <c r="D2765" s="45"/>
      <c r="E2765" s="79" t="s">
        <v>5261</v>
      </c>
      <c r="F2765" s="79" t="s">
        <v>4436</v>
      </c>
      <c r="G2765" s="80" t="s">
        <v>96</v>
      </c>
      <c r="H2765" s="90">
        <v>8.78E-5</v>
      </c>
      <c r="I2765" s="45"/>
      <c r="J2765" s="45"/>
      <c r="K2765" s="45"/>
      <c r="L2765" s="45"/>
      <c r="M2765" s="45"/>
      <c r="N2765" s="45"/>
      <c r="O2765" s="45"/>
      <c r="P2765" s="45"/>
      <c r="Q2765" s="45"/>
      <c r="R2765" s="45"/>
      <c r="S2765" s="45"/>
      <c r="T2765" s="45"/>
      <c r="U2765" s="45"/>
    </row>
    <row r="2766">
      <c r="A2766" s="79" t="s">
        <v>20670</v>
      </c>
      <c r="B2766" s="45"/>
      <c r="C2766" s="79" t="s">
        <v>20671</v>
      </c>
      <c r="D2766" s="45"/>
      <c r="E2766" s="79" t="s">
        <v>5395</v>
      </c>
      <c r="F2766" s="79" t="s">
        <v>5425</v>
      </c>
      <c r="G2766" s="80" t="s">
        <v>96</v>
      </c>
      <c r="H2766" s="90">
        <v>8.78E-5</v>
      </c>
      <c r="I2766" s="45"/>
      <c r="J2766" s="45"/>
      <c r="K2766" s="45"/>
      <c r="L2766" s="45"/>
      <c r="M2766" s="45"/>
      <c r="N2766" s="45"/>
      <c r="O2766" s="45"/>
      <c r="P2766" s="45"/>
      <c r="Q2766" s="45"/>
      <c r="R2766" s="45"/>
      <c r="S2766" s="45"/>
      <c r="T2766" s="45"/>
      <c r="U2766" s="45"/>
    </row>
    <row r="2767">
      <c r="A2767" s="79" t="s">
        <v>20672</v>
      </c>
      <c r="B2767" s="45"/>
      <c r="C2767" s="79" t="s">
        <v>20673</v>
      </c>
      <c r="D2767" s="45"/>
      <c r="E2767" s="79" t="s">
        <v>5704</v>
      </c>
      <c r="F2767" s="79" t="s">
        <v>5268</v>
      </c>
      <c r="G2767" s="80" t="s">
        <v>96</v>
      </c>
      <c r="H2767" s="90">
        <v>8.77E-5</v>
      </c>
      <c r="I2767" s="45"/>
      <c r="J2767" s="45"/>
      <c r="K2767" s="45"/>
      <c r="L2767" s="45"/>
      <c r="M2767" s="45"/>
      <c r="N2767" s="45"/>
      <c r="O2767" s="45"/>
      <c r="P2767" s="45"/>
      <c r="Q2767" s="45"/>
      <c r="R2767" s="45"/>
      <c r="S2767" s="45"/>
      <c r="T2767" s="45"/>
      <c r="U2767" s="45"/>
    </row>
    <row r="2768">
      <c r="A2768" s="79" t="s">
        <v>20674</v>
      </c>
      <c r="B2768" s="45"/>
      <c r="C2768" s="79" t="s">
        <v>20675</v>
      </c>
      <c r="D2768" s="45"/>
      <c r="E2768" s="79" t="s">
        <v>5215</v>
      </c>
      <c r="F2768" s="79" t="s">
        <v>5300</v>
      </c>
      <c r="G2768" s="80" t="s">
        <v>96</v>
      </c>
      <c r="H2768" s="90">
        <v>8.75E-5</v>
      </c>
      <c r="I2768" s="45"/>
      <c r="J2768" s="45"/>
      <c r="K2768" s="45"/>
      <c r="L2768" s="45"/>
      <c r="M2768" s="45"/>
      <c r="N2768" s="45"/>
      <c r="O2768" s="45"/>
      <c r="P2768" s="45"/>
      <c r="Q2768" s="45"/>
      <c r="R2768" s="45"/>
      <c r="S2768" s="45"/>
      <c r="T2768" s="45"/>
      <c r="U2768" s="45"/>
    </row>
    <row r="2769">
      <c r="A2769" s="79" t="s">
        <v>20676</v>
      </c>
      <c r="B2769" s="45"/>
      <c r="C2769" s="79" t="s">
        <v>20677</v>
      </c>
      <c r="D2769" s="45"/>
      <c r="E2769" s="79" t="s">
        <v>5756</v>
      </c>
      <c r="F2769" s="79" t="s">
        <v>9299</v>
      </c>
      <c r="G2769" s="80" t="s">
        <v>96</v>
      </c>
      <c r="H2769" s="90">
        <v>8.75E-5</v>
      </c>
      <c r="I2769" s="45"/>
      <c r="J2769" s="45"/>
      <c r="K2769" s="45"/>
      <c r="L2769" s="45"/>
      <c r="M2769" s="45"/>
      <c r="N2769" s="45"/>
      <c r="O2769" s="45"/>
      <c r="P2769" s="45"/>
      <c r="Q2769" s="45"/>
      <c r="R2769" s="45"/>
      <c r="S2769" s="45"/>
      <c r="T2769" s="45"/>
      <c r="U2769" s="45"/>
    </row>
    <row r="2770">
      <c r="A2770" s="79" t="s">
        <v>18536</v>
      </c>
      <c r="B2770" s="45"/>
      <c r="C2770" s="79" t="s">
        <v>20678</v>
      </c>
      <c r="D2770" s="45"/>
      <c r="E2770" s="79" t="s">
        <v>5374</v>
      </c>
      <c r="F2770" s="79" t="s">
        <v>5836</v>
      </c>
      <c r="G2770" s="80" t="s">
        <v>96</v>
      </c>
      <c r="H2770" s="90">
        <v>8.74E-5</v>
      </c>
      <c r="I2770" s="45"/>
      <c r="J2770" s="45"/>
      <c r="K2770" s="45"/>
      <c r="L2770" s="45"/>
      <c r="M2770" s="45"/>
      <c r="N2770" s="45"/>
      <c r="O2770" s="45"/>
      <c r="P2770" s="45"/>
      <c r="Q2770" s="45"/>
      <c r="R2770" s="45"/>
      <c r="S2770" s="45"/>
      <c r="T2770" s="45"/>
      <c r="U2770" s="45"/>
    </row>
    <row r="2771">
      <c r="A2771" s="79" t="s">
        <v>20679</v>
      </c>
      <c r="B2771" s="45"/>
      <c r="C2771" s="79" t="s">
        <v>20680</v>
      </c>
      <c r="D2771" s="45"/>
      <c r="E2771" s="79" t="s">
        <v>5478</v>
      </c>
      <c r="F2771" s="79" t="s">
        <v>5300</v>
      </c>
      <c r="G2771" s="80" t="s">
        <v>96</v>
      </c>
      <c r="H2771" s="90">
        <v>8.74E-5</v>
      </c>
      <c r="I2771" s="45"/>
      <c r="J2771" s="45"/>
      <c r="K2771" s="45"/>
      <c r="L2771" s="45"/>
      <c r="M2771" s="45"/>
      <c r="N2771" s="45"/>
      <c r="O2771" s="45"/>
      <c r="P2771" s="45"/>
      <c r="Q2771" s="45"/>
      <c r="R2771" s="45"/>
      <c r="S2771" s="45"/>
      <c r="T2771" s="45"/>
      <c r="U2771" s="45"/>
    </row>
    <row r="2772">
      <c r="A2772" s="79" t="s">
        <v>20681</v>
      </c>
      <c r="B2772" s="45"/>
      <c r="C2772" s="79" t="s">
        <v>20682</v>
      </c>
      <c r="D2772" s="45"/>
      <c r="E2772" s="79" t="s">
        <v>5609</v>
      </c>
      <c r="F2772" s="79" t="s">
        <v>5300</v>
      </c>
      <c r="G2772" s="80" t="s">
        <v>96</v>
      </c>
      <c r="H2772" s="90">
        <v>8.73E-5</v>
      </c>
      <c r="I2772" s="45"/>
      <c r="J2772" s="45"/>
      <c r="K2772" s="45"/>
      <c r="L2772" s="45"/>
      <c r="M2772" s="45"/>
      <c r="N2772" s="45"/>
      <c r="O2772" s="45"/>
      <c r="P2772" s="45"/>
      <c r="Q2772" s="45"/>
      <c r="R2772" s="45"/>
      <c r="S2772" s="45"/>
      <c r="T2772" s="45"/>
      <c r="U2772" s="45"/>
    </row>
    <row r="2773">
      <c r="A2773" s="79" t="s">
        <v>20683</v>
      </c>
      <c r="B2773" s="45"/>
      <c r="C2773" s="79" t="s">
        <v>20684</v>
      </c>
      <c r="D2773" s="45"/>
      <c r="E2773" s="79" t="s">
        <v>6012</v>
      </c>
      <c r="F2773" s="79" t="s">
        <v>8784</v>
      </c>
      <c r="G2773" s="80" t="s">
        <v>96</v>
      </c>
      <c r="H2773" s="90">
        <v>8.72E-5</v>
      </c>
      <c r="I2773" s="45"/>
      <c r="J2773" s="45"/>
      <c r="K2773" s="45"/>
      <c r="L2773" s="45"/>
      <c r="M2773" s="45"/>
      <c r="N2773" s="45"/>
      <c r="O2773" s="45"/>
      <c r="P2773" s="45"/>
      <c r="Q2773" s="45"/>
      <c r="R2773" s="45"/>
      <c r="S2773" s="45"/>
      <c r="T2773" s="45"/>
      <c r="U2773" s="45"/>
    </row>
    <row r="2774">
      <c r="A2774" s="79" t="s">
        <v>6566</v>
      </c>
      <c r="B2774" s="45"/>
      <c r="C2774" s="79" t="s">
        <v>20685</v>
      </c>
      <c r="D2774" s="45"/>
      <c r="E2774" s="79" t="s">
        <v>5374</v>
      </c>
      <c r="F2774" s="79" t="s">
        <v>8784</v>
      </c>
      <c r="G2774" s="80" t="s">
        <v>96</v>
      </c>
      <c r="H2774" s="90">
        <v>8.71E-5</v>
      </c>
      <c r="I2774" s="45"/>
      <c r="J2774" s="45"/>
      <c r="K2774" s="45"/>
      <c r="L2774" s="45"/>
      <c r="M2774" s="45"/>
      <c r="N2774" s="45"/>
      <c r="O2774" s="45"/>
      <c r="P2774" s="45"/>
      <c r="Q2774" s="45"/>
      <c r="R2774" s="45"/>
      <c r="S2774" s="45"/>
      <c r="T2774" s="45"/>
      <c r="U2774" s="45"/>
    </row>
    <row r="2775">
      <c r="A2775" s="79" t="s">
        <v>20686</v>
      </c>
      <c r="B2775" s="45"/>
      <c r="C2775" s="79" t="s">
        <v>20687</v>
      </c>
      <c r="D2775" s="45"/>
      <c r="E2775" s="79" t="s">
        <v>5478</v>
      </c>
      <c r="F2775" s="79" t="s">
        <v>5300</v>
      </c>
      <c r="G2775" s="80" t="s">
        <v>96</v>
      </c>
      <c r="H2775" s="90">
        <v>8.7E-5</v>
      </c>
      <c r="I2775" s="45"/>
      <c r="J2775" s="45"/>
      <c r="K2775" s="45"/>
      <c r="L2775" s="45"/>
      <c r="M2775" s="45"/>
      <c r="N2775" s="45"/>
      <c r="O2775" s="45"/>
      <c r="P2775" s="45"/>
      <c r="Q2775" s="45"/>
      <c r="R2775" s="45"/>
      <c r="S2775" s="45"/>
      <c r="T2775" s="45"/>
      <c r="U2775" s="45"/>
    </row>
    <row r="2776">
      <c r="A2776" s="79" t="s">
        <v>20688</v>
      </c>
      <c r="B2776" s="45"/>
      <c r="C2776" s="79" t="s">
        <v>20689</v>
      </c>
      <c r="D2776" s="45"/>
      <c r="E2776" s="79" t="s">
        <v>5961</v>
      </c>
      <c r="F2776" s="79" t="s">
        <v>5300</v>
      </c>
      <c r="G2776" s="80" t="s">
        <v>96</v>
      </c>
      <c r="H2776" s="90">
        <v>8.69E-5</v>
      </c>
      <c r="I2776" s="45"/>
      <c r="J2776" s="45"/>
      <c r="K2776" s="45"/>
      <c r="L2776" s="45"/>
      <c r="M2776" s="45"/>
      <c r="N2776" s="45"/>
      <c r="O2776" s="45"/>
      <c r="P2776" s="45"/>
      <c r="Q2776" s="45"/>
      <c r="R2776" s="45"/>
      <c r="S2776" s="45"/>
      <c r="T2776" s="45"/>
      <c r="U2776" s="45"/>
    </row>
    <row r="2777">
      <c r="A2777" s="79" t="s">
        <v>20690</v>
      </c>
      <c r="B2777" s="45"/>
      <c r="C2777" s="79" t="s">
        <v>20691</v>
      </c>
      <c r="D2777" s="45"/>
      <c r="E2777" s="79" t="s">
        <v>5218</v>
      </c>
      <c r="F2777" s="79" t="s">
        <v>5927</v>
      </c>
      <c r="G2777" s="80" t="s">
        <v>96</v>
      </c>
      <c r="H2777" s="90">
        <v>8.69E-5</v>
      </c>
      <c r="I2777" s="45"/>
      <c r="J2777" s="45"/>
      <c r="K2777" s="45"/>
      <c r="L2777" s="45"/>
      <c r="M2777" s="45"/>
      <c r="N2777" s="45"/>
      <c r="O2777" s="45"/>
      <c r="P2777" s="45"/>
      <c r="Q2777" s="45"/>
      <c r="R2777" s="45"/>
      <c r="S2777" s="45"/>
      <c r="T2777" s="45"/>
      <c r="U2777" s="45"/>
    </row>
    <row r="2778">
      <c r="A2778" s="79" t="s">
        <v>20692</v>
      </c>
      <c r="B2778" s="45"/>
      <c r="C2778" s="79" t="s">
        <v>20693</v>
      </c>
      <c r="D2778" s="45"/>
      <c r="E2778" s="79" t="s">
        <v>5775</v>
      </c>
      <c r="F2778" s="79" t="s">
        <v>5300</v>
      </c>
      <c r="G2778" s="80" t="s">
        <v>96</v>
      </c>
      <c r="H2778" s="90">
        <v>8.69E-5</v>
      </c>
      <c r="I2778" s="45"/>
      <c r="J2778" s="45"/>
      <c r="K2778" s="45"/>
      <c r="L2778" s="45"/>
      <c r="M2778" s="45"/>
      <c r="N2778" s="45"/>
      <c r="O2778" s="45"/>
      <c r="P2778" s="45"/>
      <c r="Q2778" s="45"/>
      <c r="R2778" s="45"/>
      <c r="S2778" s="45"/>
      <c r="T2778" s="45"/>
      <c r="U2778" s="45"/>
    </row>
    <row r="2779">
      <c r="A2779" s="79" t="s">
        <v>20694</v>
      </c>
      <c r="B2779" s="45"/>
      <c r="C2779" s="79" t="s">
        <v>20695</v>
      </c>
      <c r="D2779" s="45"/>
      <c r="E2779" s="79" t="s">
        <v>5253</v>
      </c>
      <c r="F2779" s="79" t="s">
        <v>11496</v>
      </c>
      <c r="G2779" s="80" t="s">
        <v>96</v>
      </c>
      <c r="H2779" s="90">
        <v>8.68E-5</v>
      </c>
      <c r="I2779" s="45"/>
      <c r="J2779" s="45"/>
      <c r="K2779" s="45"/>
      <c r="L2779" s="45"/>
      <c r="M2779" s="45"/>
      <c r="N2779" s="45"/>
      <c r="O2779" s="45"/>
      <c r="P2779" s="45"/>
      <c r="Q2779" s="45"/>
      <c r="R2779" s="45"/>
      <c r="S2779" s="45"/>
      <c r="T2779" s="45"/>
      <c r="U2779" s="45"/>
    </row>
    <row r="2780">
      <c r="A2780" s="79" t="s">
        <v>7474</v>
      </c>
      <c r="B2780" s="45"/>
      <c r="C2780" s="79" t="s">
        <v>20696</v>
      </c>
      <c r="D2780" s="45"/>
      <c r="E2780" s="79" t="s">
        <v>5431</v>
      </c>
      <c r="F2780" s="79" t="s">
        <v>5425</v>
      </c>
      <c r="G2780" s="80" t="s">
        <v>96</v>
      </c>
      <c r="H2780" s="90">
        <v>8.68E-5</v>
      </c>
      <c r="I2780" s="45"/>
      <c r="J2780" s="45"/>
      <c r="K2780" s="45"/>
      <c r="L2780" s="45"/>
      <c r="M2780" s="45"/>
      <c r="N2780" s="45"/>
      <c r="O2780" s="45"/>
      <c r="P2780" s="45"/>
      <c r="Q2780" s="45"/>
      <c r="R2780" s="45"/>
      <c r="S2780" s="45"/>
      <c r="T2780" s="45"/>
      <c r="U2780" s="45"/>
    </row>
    <row r="2781">
      <c r="A2781" s="79" t="s">
        <v>20697</v>
      </c>
      <c r="B2781" s="45"/>
      <c r="C2781" s="79" t="s">
        <v>20698</v>
      </c>
      <c r="D2781" s="45"/>
      <c r="E2781" s="79" t="s">
        <v>5276</v>
      </c>
      <c r="F2781" s="79" t="s">
        <v>5300</v>
      </c>
      <c r="G2781" s="80" t="s">
        <v>96</v>
      </c>
      <c r="H2781" s="90">
        <v>8.67E-5</v>
      </c>
      <c r="I2781" s="45"/>
      <c r="J2781" s="45"/>
      <c r="K2781" s="45"/>
      <c r="L2781" s="45"/>
      <c r="M2781" s="45"/>
      <c r="N2781" s="45"/>
      <c r="O2781" s="45"/>
      <c r="P2781" s="45"/>
      <c r="Q2781" s="45"/>
      <c r="R2781" s="45"/>
      <c r="S2781" s="45"/>
      <c r="T2781" s="45"/>
      <c r="U2781" s="45"/>
    </row>
    <row r="2782">
      <c r="A2782" s="79" t="s">
        <v>20699</v>
      </c>
      <c r="B2782" s="45"/>
      <c r="C2782" s="79" t="s">
        <v>20700</v>
      </c>
      <c r="D2782" s="45"/>
      <c r="E2782" s="79" t="s">
        <v>5241</v>
      </c>
      <c r="F2782" s="79" t="s">
        <v>4357</v>
      </c>
      <c r="G2782" s="80" t="s">
        <v>96</v>
      </c>
      <c r="H2782" s="90">
        <v>8.67E-5</v>
      </c>
      <c r="I2782" s="45"/>
      <c r="J2782" s="45"/>
      <c r="K2782" s="45"/>
      <c r="L2782" s="45"/>
      <c r="M2782" s="45"/>
      <c r="N2782" s="45"/>
      <c r="O2782" s="45"/>
      <c r="P2782" s="45"/>
      <c r="Q2782" s="45"/>
      <c r="R2782" s="45"/>
      <c r="S2782" s="45"/>
      <c r="T2782" s="45"/>
      <c r="U2782" s="45"/>
    </row>
    <row r="2783">
      <c r="A2783" s="79" t="s">
        <v>20701</v>
      </c>
      <c r="B2783" s="45"/>
      <c r="C2783" s="79" t="s">
        <v>20702</v>
      </c>
      <c r="D2783" s="45"/>
      <c r="E2783" s="79" t="s">
        <v>5445</v>
      </c>
      <c r="F2783" s="79" t="s">
        <v>5300</v>
      </c>
      <c r="G2783" s="80" t="s">
        <v>96</v>
      </c>
      <c r="H2783" s="90">
        <v>8.67E-5</v>
      </c>
      <c r="I2783" s="45"/>
      <c r="J2783" s="45"/>
      <c r="K2783" s="45"/>
      <c r="L2783" s="45"/>
      <c r="M2783" s="45"/>
      <c r="N2783" s="45"/>
      <c r="O2783" s="45"/>
      <c r="P2783" s="45"/>
      <c r="Q2783" s="45"/>
      <c r="R2783" s="45"/>
      <c r="S2783" s="45"/>
      <c r="T2783" s="45"/>
      <c r="U2783" s="45"/>
    </row>
    <row r="2784">
      <c r="A2784" s="79" t="s">
        <v>20703</v>
      </c>
      <c r="B2784" s="45"/>
      <c r="C2784" s="79" t="s">
        <v>20704</v>
      </c>
      <c r="D2784" s="45"/>
      <c r="E2784" s="79" t="s">
        <v>5478</v>
      </c>
      <c r="F2784" s="79" t="s">
        <v>5927</v>
      </c>
      <c r="G2784" s="80" t="s">
        <v>96</v>
      </c>
      <c r="H2784" s="90">
        <v>8.66E-5</v>
      </c>
      <c r="I2784" s="45"/>
      <c r="J2784" s="45"/>
      <c r="K2784" s="45"/>
      <c r="L2784" s="45"/>
      <c r="M2784" s="45"/>
      <c r="N2784" s="45"/>
      <c r="O2784" s="45"/>
      <c r="P2784" s="45"/>
      <c r="Q2784" s="45"/>
      <c r="R2784" s="45"/>
      <c r="S2784" s="45"/>
      <c r="T2784" s="45"/>
      <c r="U2784" s="45"/>
    </row>
    <row r="2785">
      <c r="A2785" s="79" t="s">
        <v>20705</v>
      </c>
      <c r="B2785" s="45"/>
      <c r="C2785" s="79" t="s">
        <v>20706</v>
      </c>
      <c r="D2785" s="45"/>
      <c r="E2785" s="79" t="s">
        <v>5964</v>
      </c>
      <c r="F2785" s="79" t="s">
        <v>5927</v>
      </c>
      <c r="G2785" s="80" t="s">
        <v>96</v>
      </c>
      <c r="H2785" s="90">
        <v>8.64E-5</v>
      </c>
      <c r="I2785" s="45"/>
      <c r="J2785" s="45"/>
      <c r="K2785" s="45"/>
      <c r="L2785" s="45"/>
      <c r="M2785" s="45"/>
      <c r="N2785" s="45"/>
      <c r="O2785" s="45"/>
      <c r="P2785" s="45"/>
      <c r="Q2785" s="45"/>
      <c r="R2785" s="45"/>
      <c r="S2785" s="45"/>
      <c r="T2785" s="45"/>
      <c r="U2785" s="45"/>
    </row>
    <row r="2786">
      <c r="A2786" s="79" t="s">
        <v>20707</v>
      </c>
      <c r="B2786" s="45"/>
      <c r="C2786" s="79" t="s">
        <v>20708</v>
      </c>
      <c r="D2786" s="45"/>
      <c r="E2786" s="79" t="s">
        <v>5450</v>
      </c>
      <c r="F2786" s="79" t="s">
        <v>5425</v>
      </c>
      <c r="G2786" s="80" t="s">
        <v>96</v>
      </c>
      <c r="H2786" s="90">
        <v>8.64E-5</v>
      </c>
      <c r="I2786" s="45"/>
      <c r="J2786" s="45"/>
      <c r="K2786" s="45"/>
      <c r="L2786" s="45"/>
      <c r="M2786" s="45"/>
      <c r="N2786" s="45"/>
      <c r="O2786" s="45"/>
      <c r="P2786" s="45"/>
      <c r="Q2786" s="45"/>
      <c r="R2786" s="45"/>
      <c r="S2786" s="45"/>
      <c r="T2786" s="45"/>
      <c r="U2786" s="45"/>
    </row>
    <row r="2787">
      <c r="A2787" s="79" t="s">
        <v>20709</v>
      </c>
      <c r="B2787" s="45"/>
      <c r="C2787" s="79" t="s">
        <v>20710</v>
      </c>
      <c r="D2787" s="45"/>
      <c r="E2787" s="79" t="s">
        <v>5390</v>
      </c>
      <c r="F2787" s="79" t="s">
        <v>8784</v>
      </c>
      <c r="G2787" s="80" t="s">
        <v>96</v>
      </c>
      <c r="H2787" s="90">
        <v>8.64E-5</v>
      </c>
      <c r="I2787" s="45"/>
      <c r="J2787" s="45"/>
      <c r="K2787" s="45"/>
      <c r="L2787" s="45"/>
      <c r="M2787" s="45"/>
      <c r="N2787" s="45"/>
      <c r="O2787" s="45"/>
      <c r="P2787" s="45"/>
      <c r="Q2787" s="45"/>
      <c r="R2787" s="45"/>
      <c r="S2787" s="45"/>
      <c r="T2787" s="45"/>
      <c r="U2787" s="45"/>
    </row>
    <row r="2788">
      <c r="A2788" s="79" t="s">
        <v>20711</v>
      </c>
      <c r="B2788" s="45"/>
      <c r="C2788" s="79" t="s">
        <v>20712</v>
      </c>
      <c r="D2788" s="45"/>
      <c r="E2788" s="79" t="s">
        <v>5235</v>
      </c>
      <c r="F2788" s="79" t="s">
        <v>4095</v>
      </c>
      <c r="G2788" s="80" t="s">
        <v>96</v>
      </c>
      <c r="H2788" s="90">
        <v>8.63E-5</v>
      </c>
      <c r="I2788" s="45"/>
      <c r="J2788" s="45"/>
      <c r="K2788" s="45"/>
      <c r="L2788" s="45"/>
      <c r="M2788" s="45"/>
      <c r="N2788" s="45"/>
      <c r="O2788" s="45"/>
      <c r="P2788" s="45"/>
      <c r="Q2788" s="45"/>
      <c r="R2788" s="45"/>
      <c r="S2788" s="45"/>
      <c r="T2788" s="45"/>
      <c r="U2788" s="45"/>
    </row>
    <row r="2789">
      <c r="A2789" s="79" t="s">
        <v>20713</v>
      </c>
      <c r="B2789" s="45"/>
      <c r="C2789" s="79" t="s">
        <v>20714</v>
      </c>
      <c r="D2789" s="45"/>
      <c r="E2789" s="79" t="s">
        <v>5855</v>
      </c>
      <c r="F2789" s="79" t="s">
        <v>8784</v>
      </c>
      <c r="G2789" s="80" t="s">
        <v>96</v>
      </c>
      <c r="H2789" s="90">
        <v>8.63E-5</v>
      </c>
      <c r="I2789" s="45"/>
      <c r="J2789" s="45"/>
      <c r="K2789" s="45"/>
      <c r="L2789" s="45"/>
      <c r="M2789" s="45"/>
      <c r="N2789" s="45"/>
      <c r="O2789" s="45"/>
      <c r="P2789" s="45"/>
      <c r="Q2789" s="45"/>
      <c r="R2789" s="45"/>
      <c r="S2789" s="45"/>
      <c r="T2789" s="45"/>
      <c r="U2789" s="45"/>
    </row>
    <row r="2790">
      <c r="A2790" s="79" t="s">
        <v>20715</v>
      </c>
      <c r="B2790" s="45"/>
      <c r="C2790" s="79" t="s">
        <v>20716</v>
      </c>
      <c r="D2790" s="45"/>
      <c r="E2790" s="79" t="s">
        <v>6130</v>
      </c>
      <c r="F2790" s="79" t="s">
        <v>4095</v>
      </c>
      <c r="G2790" s="80" t="s">
        <v>96</v>
      </c>
      <c r="H2790" s="90">
        <v>8.63E-5</v>
      </c>
      <c r="I2790" s="45"/>
      <c r="J2790" s="45"/>
      <c r="K2790" s="45"/>
      <c r="L2790" s="45"/>
      <c r="M2790" s="45"/>
      <c r="N2790" s="45"/>
      <c r="O2790" s="45"/>
      <c r="P2790" s="45"/>
      <c r="Q2790" s="45"/>
      <c r="R2790" s="45"/>
      <c r="S2790" s="45"/>
      <c r="T2790" s="45"/>
      <c r="U2790" s="45"/>
    </row>
    <row r="2791">
      <c r="A2791" s="79" t="s">
        <v>20717</v>
      </c>
      <c r="B2791" s="45"/>
      <c r="C2791" s="79" t="s">
        <v>20718</v>
      </c>
      <c r="D2791" s="45"/>
      <c r="E2791" s="79" t="s">
        <v>7248</v>
      </c>
      <c r="F2791" s="79" t="s">
        <v>9617</v>
      </c>
      <c r="G2791" s="80" t="s">
        <v>96</v>
      </c>
      <c r="H2791" s="90">
        <v>8.62E-5</v>
      </c>
      <c r="I2791" s="45"/>
      <c r="J2791" s="45"/>
      <c r="K2791" s="45"/>
      <c r="L2791" s="45"/>
      <c r="M2791" s="45"/>
      <c r="N2791" s="45"/>
      <c r="O2791" s="45"/>
      <c r="P2791" s="45"/>
      <c r="Q2791" s="45"/>
      <c r="R2791" s="45"/>
      <c r="S2791" s="45"/>
      <c r="T2791" s="45"/>
      <c r="U2791" s="45"/>
    </row>
    <row r="2792">
      <c r="A2792" s="79" t="s">
        <v>20719</v>
      </c>
      <c r="B2792" s="45"/>
      <c r="C2792" s="79" t="s">
        <v>20720</v>
      </c>
      <c r="D2792" s="45"/>
      <c r="E2792" s="79" t="s">
        <v>5276</v>
      </c>
      <c r="F2792" s="79" t="s">
        <v>6698</v>
      </c>
      <c r="G2792" s="80" t="s">
        <v>96</v>
      </c>
      <c r="H2792" s="90">
        <v>8.62E-5</v>
      </c>
      <c r="I2792" s="45"/>
      <c r="J2792" s="45"/>
      <c r="K2792" s="45"/>
      <c r="L2792" s="45"/>
      <c r="M2792" s="45"/>
      <c r="N2792" s="45"/>
      <c r="O2792" s="45"/>
      <c r="P2792" s="45"/>
      <c r="Q2792" s="45"/>
      <c r="R2792" s="45"/>
      <c r="S2792" s="45"/>
      <c r="T2792" s="45"/>
      <c r="U2792" s="45"/>
    </row>
    <row r="2793">
      <c r="A2793" s="79" t="s">
        <v>20721</v>
      </c>
      <c r="B2793" s="45"/>
      <c r="C2793" s="79" t="s">
        <v>20722</v>
      </c>
      <c r="D2793" s="45"/>
      <c r="E2793" s="79" t="s">
        <v>5450</v>
      </c>
      <c r="F2793" s="79" t="s">
        <v>5425</v>
      </c>
      <c r="G2793" s="80" t="s">
        <v>96</v>
      </c>
      <c r="H2793" s="90">
        <v>8.62E-5</v>
      </c>
      <c r="I2793" s="45"/>
      <c r="J2793" s="45"/>
      <c r="K2793" s="45"/>
      <c r="L2793" s="45"/>
      <c r="M2793" s="45"/>
      <c r="N2793" s="45"/>
      <c r="O2793" s="45"/>
      <c r="P2793" s="45"/>
      <c r="Q2793" s="45"/>
      <c r="R2793" s="45"/>
      <c r="S2793" s="45"/>
      <c r="T2793" s="45"/>
      <c r="U2793" s="45"/>
    </row>
    <row r="2794">
      <c r="A2794" s="79" t="s">
        <v>20723</v>
      </c>
      <c r="B2794" s="45"/>
      <c r="C2794" s="79" t="s">
        <v>20724</v>
      </c>
      <c r="D2794" s="45"/>
      <c r="E2794" s="79" t="s">
        <v>5407</v>
      </c>
      <c r="F2794" s="79" t="s">
        <v>9021</v>
      </c>
      <c r="G2794" s="80" t="s">
        <v>96</v>
      </c>
      <c r="H2794" s="90">
        <v>8.61E-5</v>
      </c>
      <c r="I2794" s="45"/>
      <c r="J2794" s="45"/>
      <c r="K2794" s="45"/>
      <c r="L2794" s="45"/>
      <c r="M2794" s="45"/>
      <c r="N2794" s="45"/>
      <c r="O2794" s="45"/>
      <c r="P2794" s="45"/>
      <c r="Q2794" s="45"/>
      <c r="R2794" s="45"/>
      <c r="S2794" s="45"/>
      <c r="T2794" s="45"/>
      <c r="U2794" s="45"/>
    </row>
    <row r="2795">
      <c r="A2795" s="79" t="s">
        <v>20725</v>
      </c>
      <c r="B2795" s="45"/>
      <c r="C2795" s="79" t="s">
        <v>20726</v>
      </c>
      <c r="D2795" s="45"/>
      <c r="E2795" s="79" t="s">
        <v>5215</v>
      </c>
      <c r="F2795" s="79" t="s">
        <v>5300</v>
      </c>
      <c r="G2795" s="80" t="s">
        <v>96</v>
      </c>
      <c r="H2795" s="90">
        <v>8.61E-5</v>
      </c>
      <c r="I2795" s="45"/>
      <c r="J2795" s="45"/>
      <c r="K2795" s="45"/>
      <c r="L2795" s="45"/>
      <c r="M2795" s="45"/>
      <c r="N2795" s="45"/>
      <c r="O2795" s="45"/>
      <c r="P2795" s="45"/>
      <c r="Q2795" s="45"/>
      <c r="R2795" s="45"/>
      <c r="S2795" s="45"/>
      <c r="T2795" s="45"/>
      <c r="U2795" s="45"/>
    </row>
    <row r="2796">
      <c r="A2796" s="79" t="s">
        <v>20727</v>
      </c>
      <c r="B2796" s="45"/>
      <c r="C2796" s="79" t="s">
        <v>20728</v>
      </c>
      <c r="D2796" s="45"/>
      <c r="E2796" s="79" t="s">
        <v>5434</v>
      </c>
      <c r="F2796" s="79" t="s">
        <v>8759</v>
      </c>
      <c r="G2796" s="80" t="s">
        <v>96</v>
      </c>
      <c r="H2796" s="90">
        <v>8.6E-5</v>
      </c>
      <c r="I2796" s="45"/>
      <c r="J2796" s="45"/>
      <c r="K2796" s="45"/>
      <c r="L2796" s="45"/>
      <c r="M2796" s="45"/>
      <c r="N2796" s="45"/>
      <c r="O2796" s="45"/>
      <c r="P2796" s="45"/>
      <c r="Q2796" s="45"/>
      <c r="R2796" s="45"/>
      <c r="S2796" s="45"/>
      <c r="T2796" s="45"/>
      <c r="U2796" s="45"/>
    </row>
    <row r="2797">
      <c r="A2797" s="79" t="s">
        <v>20729</v>
      </c>
      <c r="B2797" s="45"/>
      <c r="C2797" s="79" t="s">
        <v>20730</v>
      </c>
      <c r="D2797" s="45"/>
      <c r="E2797" s="79" t="s">
        <v>5650</v>
      </c>
      <c r="F2797" s="79" t="s">
        <v>4095</v>
      </c>
      <c r="G2797" s="80" t="s">
        <v>96</v>
      </c>
      <c r="H2797" s="90">
        <v>8.6E-5</v>
      </c>
      <c r="I2797" s="45"/>
      <c r="J2797" s="45"/>
      <c r="K2797" s="45"/>
      <c r="L2797" s="45"/>
      <c r="M2797" s="45"/>
      <c r="N2797" s="45"/>
      <c r="O2797" s="45"/>
      <c r="P2797" s="45"/>
      <c r="Q2797" s="45"/>
      <c r="R2797" s="45"/>
      <c r="S2797" s="45"/>
      <c r="T2797" s="45"/>
      <c r="U2797" s="45"/>
    </row>
    <row r="2798">
      <c r="A2798" s="79" t="s">
        <v>20731</v>
      </c>
      <c r="B2798" s="45"/>
      <c r="C2798" s="79" t="s">
        <v>20732</v>
      </c>
      <c r="D2798" s="45"/>
      <c r="E2798" s="79" t="s">
        <v>5215</v>
      </c>
      <c r="F2798" s="79" t="s">
        <v>5300</v>
      </c>
      <c r="G2798" s="80" t="s">
        <v>96</v>
      </c>
      <c r="H2798" s="90">
        <v>8.6E-5</v>
      </c>
      <c r="I2798" s="45"/>
      <c r="J2798" s="45"/>
      <c r="K2798" s="45"/>
      <c r="L2798" s="45"/>
      <c r="M2798" s="45"/>
      <c r="N2798" s="45"/>
      <c r="O2798" s="45"/>
      <c r="P2798" s="45"/>
      <c r="Q2798" s="45"/>
      <c r="R2798" s="45"/>
      <c r="S2798" s="45"/>
      <c r="T2798" s="45"/>
      <c r="U2798" s="45"/>
    </row>
    <row r="2799">
      <c r="A2799" s="79" t="s">
        <v>20733</v>
      </c>
      <c r="B2799" s="45"/>
      <c r="C2799" s="79" t="s">
        <v>20734</v>
      </c>
      <c r="D2799" s="45"/>
      <c r="E2799" s="79" t="s">
        <v>5961</v>
      </c>
      <c r="F2799" s="79" t="s">
        <v>8784</v>
      </c>
      <c r="G2799" s="80" t="s">
        <v>96</v>
      </c>
      <c r="H2799" s="90">
        <v>8.58E-5</v>
      </c>
      <c r="I2799" s="45"/>
      <c r="J2799" s="45"/>
      <c r="K2799" s="45"/>
      <c r="L2799" s="45"/>
      <c r="M2799" s="45"/>
      <c r="N2799" s="45"/>
      <c r="O2799" s="45"/>
      <c r="P2799" s="45"/>
      <c r="Q2799" s="45"/>
      <c r="R2799" s="45"/>
      <c r="S2799" s="45"/>
      <c r="T2799" s="45"/>
      <c r="U2799" s="45"/>
    </row>
    <row r="2800">
      <c r="A2800" s="79" t="s">
        <v>17672</v>
      </c>
      <c r="B2800" s="45"/>
      <c r="C2800" s="79" t="s">
        <v>20735</v>
      </c>
      <c r="D2800" s="45"/>
      <c r="E2800" s="79" t="s">
        <v>7611</v>
      </c>
      <c r="F2800" s="79" t="s">
        <v>9513</v>
      </c>
      <c r="G2800" s="80" t="s">
        <v>96</v>
      </c>
      <c r="H2800" s="90">
        <v>8.58E-5</v>
      </c>
      <c r="I2800" s="45"/>
      <c r="J2800" s="45"/>
      <c r="K2800" s="45"/>
      <c r="L2800" s="45"/>
      <c r="M2800" s="45"/>
      <c r="N2800" s="45"/>
      <c r="O2800" s="45"/>
      <c r="P2800" s="45"/>
      <c r="Q2800" s="45"/>
      <c r="R2800" s="45"/>
      <c r="S2800" s="45"/>
      <c r="T2800" s="45"/>
      <c r="U2800" s="45"/>
    </row>
    <row r="2801">
      <c r="A2801" s="79" t="s">
        <v>20736</v>
      </c>
      <c r="B2801" s="45"/>
      <c r="C2801" s="79" t="s">
        <v>20737</v>
      </c>
      <c r="D2801" s="45"/>
      <c r="E2801" s="79" t="s">
        <v>5404</v>
      </c>
      <c r="F2801" s="79" t="s">
        <v>9021</v>
      </c>
      <c r="G2801" s="80" t="s">
        <v>96</v>
      </c>
      <c r="H2801" s="90">
        <v>8.58E-5</v>
      </c>
      <c r="I2801" s="45"/>
      <c r="J2801" s="45"/>
      <c r="K2801" s="45"/>
      <c r="L2801" s="45"/>
      <c r="M2801" s="45"/>
      <c r="N2801" s="45"/>
      <c r="O2801" s="45"/>
      <c r="P2801" s="45"/>
      <c r="Q2801" s="45"/>
      <c r="R2801" s="45"/>
      <c r="S2801" s="45"/>
      <c r="T2801" s="45"/>
      <c r="U2801" s="45"/>
    </row>
    <row r="2802">
      <c r="A2802" s="79" t="s">
        <v>20738</v>
      </c>
      <c r="B2802" s="45"/>
      <c r="C2802" s="79" t="s">
        <v>20739</v>
      </c>
      <c r="D2802" s="45"/>
      <c r="E2802" s="79" t="s">
        <v>5246</v>
      </c>
      <c r="F2802" s="79" t="s">
        <v>9021</v>
      </c>
      <c r="G2802" s="80" t="s">
        <v>96</v>
      </c>
      <c r="H2802" s="90">
        <v>8.58E-5</v>
      </c>
      <c r="I2802" s="45"/>
      <c r="J2802" s="45"/>
      <c r="K2802" s="45"/>
      <c r="L2802" s="45"/>
      <c r="M2802" s="45"/>
      <c r="N2802" s="45"/>
      <c r="O2802" s="45"/>
      <c r="P2802" s="45"/>
      <c r="Q2802" s="45"/>
      <c r="R2802" s="45"/>
      <c r="S2802" s="45"/>
      <c r="T2802" s="45"/>
      <c r="U2802" s="45"/>
    </row>
    <row r="2803">
      <c r="A2803" s="79" t="s">
        <v>16445</v>
      </c>
      <c r="B2803" s="45"/>
      <c r="C2803" s="79" t="s">
        <v>20740</v>
      </c>
      <c r="D2803" s="45"/>
      <c r="E2803" s="79" t="s">
        <v>5715</v>
      </c>
      <c r="F2803" s="79" t="s">
        <v>5425</v>
      </c>
      <c r="G2803" s="80" t="s">
        <v>96</v>
      </c>
      <c r="H2803" s="90">
        <v>8.57E-5</v>
      </c>
      <c r="I2803" s="45"/>
      <c r="J2803" s="45"/>
      <c r="K2803" s="45"/>
      <c r="L2803" s="45"/>
      <c r="M2803" s="45"/>
      <c r="N2803" s="45"/>
      <c r="O2803" s="45"/>
      <c r="P2803" s="45"/>
      <c r="Q2803" s="45"/>
      <c r="R2803" s="45"/>
      <c r="S2803" s="45"/>
      <c r="T2803" s="45"/>
      <c r="U2803" s="45"/>
    </row>
    <row r="2804">
      <c r="A2804" s="79" t="s">
        <v>20741</v>
      </c>
      <c r="B2804" s="45"/>
      <c r="C2804" s="79" t="s">
        <v>20742</v>
      </c>
      <c r="D2804" s="45"/>
      <c r="E2804" s="79" t="s">
        <v>5775</v>
      </c>
      <c r="F2804" s="79" t="s">
        <v>5836</v>
      </c>
      <c r="G2804" s="80" t="s">
        <v>96</v>
      </c>
      <c r="H2804" s="90">
        <v>8.57E-5</v>
      </c>
      <c r="I2804" s="45"/>
      <c r="J2804" s="45"/>
      <c r="K2804" s="45"/>
      <c r="L2804" s="45"/>
      <c r="M2804" s="45"/>
      <c r="N2804" s="45"/>
      <c r="O2804" s="45"/>
      <c r="P2804" s="45"/>
      <c r="Q2804" s="45"/>
      <c r="R2804" s="45"/>
      <c r="S2804" s="45"/>
      <c r="T2804" s="45"/>
      <c r="U2804" s="45"/>
    </row>
    <row r="2805">
      <c r="A2805" s="79" t="s">
        <v>20743</v>
      </c>
      <c r="B2805" s="45"/>
      <c r="C2805" s="79" t="s">
        <v>20744</v>
      </c>
      <c r="D2805" s="45"/>
      <c r="E2805" s="79" t="s">
        <v>5309</v>
      </c>
      <c r="F2805" s="79" t="s">
        <v>9299</v>
      </c>
      <c r="G2805" s="80" t="s">
        <v>96</v>
      </c>
      <c r="H2805" s="90">
        <v>8.57E-5</v>
      </c>
      <c r="I2805" s="45"/>
      <c r="J2805" s="45"/>
      <c r="K2805" s="45"/>
      <c r="L2805" s="45"/>
      <c r="M2805" s="45"/>
      <c r="N2805" s="45"/>
      <c r="O2805" s="45"/>
      <c r="P2805" s="45"/>
      <c r="Q2805" s="45"/>
      <c r="R2805" s="45"/>
      <c r="S2805" s="45"/>
      <c r="T2805" s="45"/>
      <c r="U2805" s="45"/>
    </row>
    <row r="2806">
      <c r="A2806" s="79" t="s">
        <v>20745</v>
      </c>
      <c r="B2806" s="45"/>
      <c r="C2806" s="79" t="s">
        <v>20746</v>
      </c>
      <c r="D2806" s="45"/>
      <c r="E2806" s="79" t="s">
        <v>5516</v>
      </c>
      <c r="F2806" s="79" t="s">
        <v>5300</v>
      </c>
      <c r="G2806" s="80" t="s">
        <v>96</v>
      </c>
      <c r="H2806" s="90">
        <v>8.55E-5</v>
      </c>
      <c r="I2806" s="45"/>
      <c r="J2806" s="45"/>
      <c r="K2806" s="45"/>
      <c r="L2806" s="45"/>
      <c r="M2806" s="45"/>
      <c r="N2806" s="45"/>
      <c r="O2806" s="45"/>
      <c r="P2806" s="45"/>
      <c r="Q2806" s="45"/>
      <c r="R2806" s="45"/>
      <c r="S2806" s="45"/>
      <c r="T2806" s="45"/>
      <c r="U2806" s="45"/>
    </row>
    <row r="2807">
      <c r="A2807" s="79" t="s">
        <v>20747</v>
      </c>
      <c r="B2807" s="45"/>
      <c r="C2807" s="79" t="s">
        <v>20748</v>
      </c>
      <c r="D2807" s="45"/>
      <c r="E2807" s="79" t="s">
        <v>5280</v>
      </c>
      <c r="F2807" s="79" t="s">
        <v>5300</v>
      </c>
      <c r="G2807" s="80" t="s">
        <v>96</v>
      </c>
      <c r="H2807" s="90">
        <v>8.54E-5</v>
      </c>
      <c r="I2807" s="45"/>
      <c r="J2807" s="45"/>
      <c r="K2807" s="45"/>
      <c r="L2807" s="45"/>
      <c r="M2807" s="45"/>
      <c r="N2807" s="45"/>
      <c r="O2807" s="45"/>
      <c r="P2807" s="45"/>
      <c r="Q2807" s="45"/>
      <c r="R2807" s="45"/>
      <c r="S2807" s="45"/>
      <c r="T2807" s="45"/>
      <c r="U2807" s="45"/>
    </row>
    <row r="2808">
      <c r="A2808" s="79" t="s">
        <v>20749</v>
      </c>
      <c r="B2808" s="45"/>
      <c r="C2808" s="79" t="s">
        <v>20750</v>
      </c>
      <c r="D2808" s="45"/>
      <c r="E2808" s="79" t="s">
        <v>5235</v>
      </c>
      <c r="F2808" s="79" t="s">
        <v>9513</v>
      </c>
      <c r="G2808" s="80" t="s">
        <v>96</v>
      </c>
      <c r="H2808" s="90">
        <v>8.54E-5</v>
      </c>
      <c r="I2808" s="45"/>
      <c r="J2808" s="45"/>
      <c r="K2808" s="45"/>
      <c r="L2808" s="45"/>
      <c r="M2808" s="45"/>
      <c r="N2808" s="45"/>
      <c r="O2808" s="45"/>
      <c r="P2808" s="45"/>
      <c r="Q2808" s="45"/>
      <c r="R2808" s="45"/>
      <c r="S2808" s="45"/>
      <c r="T2808" s="45"/>
      <c r="U2808" s="45"/>
    </row>
    <row r="2809">
      <c r="A2809" s="79" t="s">
        <v>20751</v>
      </c>
      <c r="B2809" s="45"/>
      <c r="C2809" s="79" t="s">
        <v>20752</v>
      </c>
      <c r="D2809" s="45"/>
      <c r="E2809" s="79" t="s">
        <v>5434</v>
      </c>
      <c r="F2809" s="79" t="s">
        <v>5300</v>
      </c>
      <c r="G2809" s="80" t="s">
        <v>96</v>
      </c>
      <c r="H2809" s="90">
        <v>8.53E-5</v>
      </c>
      <c r="I2809" s="45"/>
      <c r="J2809" s="45"/>
      <c r="K2809" s="45"/>
      <c r="L2809" s="45"/>
      <c r="M2809" s="45"/>
      <c r="N2809" s="45"/>
      <c r="O2809" s="45"/>
      <c r="P2809" s="45"/>
      <c r="Q2809" s="45"/>
      <c r="R2809" s="45"/>
      <c r="S2809" s="45"/>
      <c r="T2809" s="45"/>
      <c r="U2809" s="45"/>
    </row>
    <row r="2810">
      <c r="A2810" s="79" t="s">
        <v>20753</v>
      </c>
      <c r="B2810" s="45"/>
      <c r="C2810" s="79" t="s">
        <v>20754</v>
      </c>
      <c r="D2810" s="45"/>
      <c r="E2810" s="79" t="s">
        <v>5756</v>
      </c>
      <c r="F2810" s="79" t="s">
        <v>6210</v>
      </c>
      <c r="G2810" s="80" t="s">
        <v>96</v>
      </c>
      <c r="H2810" s="90">
        <v>8.53E-5</v>
      </c>
      <c r="I2810" s="45"/>
      <c r="J2810" s="45"/>
      <c r="K2810" s="45"/>
      <c r="L2810" s="45"/>
      <c r="M2810" s="45"/>
      <c r="N2810" s="45"/>
      <c r="O2810" s="45"/>
      <c r="P2810" s="45"/>
      <c r="Q2810" s="45"/>
      <c r="R2810" s="45"/>
      <c r="S2810" s="45"/>
      <c r="T2810" s="45"/>
      <c r="U2810" s="45"/>
    </row>
    <row r="2811">
      <c r="A2811" s="79" t="s">
        <v>20755</v>
      </c>
      <c r="B2811" s="45"/>
      <c r="C2811" s="79" t="s">
        <v>20756</v>
      </c>
      <c r="D2811" s="45"/>
      <c r="E2811" s="79" t="s">
        <v>5351</v>
      </c>
      <c r="F2811" s="79" t="s">
        <v>5300</v>
      </c>
      <c r="G2811" s="80" t="s">
        <v>96</v>
      </c>
      <c r="H2811" s="90">
        <v>8.52E-5</v>
      </c>
      <c r="I2811" s="45"/>
      <c r="J2811" s="45"/>
      <c r="K2811" s="45"/>
      <c r="L2811" s="45"/>
      <c r="M2811" s="45"/>
      <c r="N2811" s="45"/>
      <c r="O2811" s="45"/>
      <c r="P2811" s="45"/>
      <c r="Q2811" s="45"/>
      <c r="R2811" s="45"/>
      <c r="S2811" s="45"/>
      <c r="T2811" s="45"/>
      <c r="U2811" s="45"/>
    </row>
    <row r="2812">
      <c r="A2812" s="79" t="s">
        <v>20757</v>
      </c>
      <c r="B2812" s="45"/>
      <c r="C2812" s="79" t="s">
        <v>20758</v>
      </c>
      <c r="D2812" s="45"/>
      <c r="E2812" s="79" t="s">
        <v>5249</v>
      </c>
      <c r="F2812" s="79" t="s">
        <v>9698</v>
      </c>
      <c r="G2812" s="80" t="s">
        <v>96</v>
      </c>
      <c r="H2812" s="90">
        <v>8.51E-5</v>
      </c>
      <c r="I2812" s="45"/>
      <c r="J2812" s="45"/>
      <c r="K2812" s="45"/>
      <c r="L2812" s="45"/>
      <c r="M2812" s="45"/>
      <c r="N2812" s="45"/>
      <c r="O2812" s="45"/>
      <c r="P2812" s="45"/>
      <c r="Q2812" s="45"/>
      <c r="R2812" s="45"/>
      <c r="S2812" s="45"/>
      <c r="T2812" s="45"/>
      <c r="U2812" s="45"/>
    </row>
    <row r="2813">
      <c r="A2813" s="79" t="s">
        <v>20759</v>
      </c>
      <c r="B2813" s="45"/>
      <c r="C2813" s="79" t="s">
        <v>20760</v>
      </c>
      <c r="D2813" s="45"/>
      <c r="E2813" s="79" t="s">
        <v>5434</v>
      </c>
      <c r="F2813" s="79" t="s">
        <v>8784</v>
      </c>
      <c r="G2813" s="80" t="s">
        <v>96</v>
      </c>
      <c r="H2813" s="90">
        <v>8.51E-5</v>
      </c>
      <c r="I2813" s="45"/>
      <c r="J2813" s="45"/>
      <c r="K2813" s="45"/>
      <c r="L2813" s="45"/>
      <c r="M2813" s="45"/>
      <c r="N2813" s="45"/>
      <c r="O2813" s="45"/>
      <c r="P2813" s="45"/>
      <c r="Q2813" s="45"/>
      <c r="R2813" s="45"/>
      <c r="S2813" s="45"/>
      <c r="T2813" s="45"/>
      <c r="U2813" s="45"/>
    </row>
    <row r="2814">
      <c r="A2814" s="79" t="s">
        <v>20761</v>
      </c>
      <c r="B2814" s="45"/>
      <c r="C2814" s="79" t="s">
        <v>20762</v>
      </c>
      <c r="D2814" s="45"/>
      <c r="E2814" s="79" t="s">
        <v>5374</v>
      </c>
      <c r="F2814" s="79" t="s">
        <v>5300</v>
      </c>
      <c r="G2814" s="80" t="s">
        <v>96</v>
      </c>
      <c r="H2814" s="90">
        <v>8.51E-5</v>
      </c>
      <c r="I2814" s="45"/>
      <c r="J2814" s="45"/>
      <c r="K2814" s="45"/>
      <c r="L2814" s="45"/>
      <c r="M2814" s="45"/>
      <c r="N2814" s="45"/>
      <c r="O2814" s="45"/>
      <c r="P2814" s="45"/>
      <c r="Q2814" s="45"/>
      <c r="R2814" s="45"/>
      <c r="S2814" s="45"/>
      <c r="T2814" s="45"/>
      <c r="U2814" s="45"/>
    </row>
    <row r="2815">
      <c r="A2815" s="79" t="s">
        <v>20763</v>
      </c>
      <c r="B2815" s="45"/>
      <c r="C2815" s="79" t="s">
        <v>20764</v>
      </c>
      <c r="D2815" s="45"/>
      <c r="E2815" s="79" t="s">
        <v>5431</v>
      </c>
      <c r="F2815" s="79" t="s">
        <v>8784</v>
      </c>
      <c r="G2815" s="80" t="s">
        <v>96</v>
      </c>
      <c r="H2815" s="90">
        <v>8.51E-5</v>
      </c>
      <c r="I2815" s="45"/>
      <c r="J2815" s="45"/>
      <c r="K2815" s="45"/>
      <c r="L2815" s="45"/>
      <c r="M2815" s="45"/>
      <c r="N2815" s="45"/>
      <c r="O2815" s="45"/>
      <c r="P2815" s="45"/>
      <c r="Q2815" s="45"/>
      <c r="R2815" s="45"/>
      <c r="S2815" s="45"/>
      <c r="T2815" s="45"/>
      <c r="U2815" s="45"/>
    </row>
    <row r="2816">
      <c r="A2816" s="79" t="s">
        <v>20765</v>
      </c>
      <c r="B2816" s="45"/>
      <c r="C2816" s="79" t="s">
        <v>20766</v>
      </c>
      <c r="D2816" s="45"/>
      <c r="E2816" s="79" t="s">
        <v>5811</v>
      </c>
      <c r="F2816" s="79" t="s">
        <v>5300</v>
      </c>
      <c r="G2816" s="80" t="s">
        <v>96</v>
      </c>
      <c r="H2816" s="90">
        <v>8.5E-5</v>
      </c>
      <c r="I2816" s="45"/>
      <c r="J2816" s="45"/>
      <c r="K2816" s="45"/>
      <c r="L2816" s="45"/>
      <c r="M2816" s="45"/>
      <c r="N2816" s="45"/>
      <c r="O2816" s="45"/>
      <c r="P2816" s="45"/>
      <c r="Q2816" s="45"/>
      <c r="R2816" s="45"/>
      <c r="S2816" s="45"/>
      <c r="T2816" s="45"/>
      <c r="U2816" s="45"/>
    </row>
    <row r="2817">
      <c r="A2817" s="79" t="s">
        <v>20767</v>
      </c>
      <c r="B2817" s="45"/>
      <c r="C2817" s="79" t="s">
        <v>20768</v>
      </c>
      <c r="D2817" s="45"/>
      <c r="E2817" s="79" t="s">
        <v>5382</v>
      </c>
      <c r="F2817" s="79" t="s">
        <v>5300</v>
      </c>
      <c r="G2817" s="80" t="s">
        <v>96</v>
      </c>
      <c r="H2817" s="90">
        <v>8.5E-5</v>
      </c>
      <c r="I2817" s="45"/>
      <c r="J2817" s="45"/>
      <c r="K2817" s="45"/>
      <c r="L2817" s="45"/>
      <c r="M2817" s="45"/>
      <c r="N2817" s="45"/>
      <c r="O2817" s="45"/>
      <c r="P2817" s="45"/>
      <c r="Q2817" s="45"/>
      <c r="R2817" s="45"/>
      <c r="S2817" s="45"/>
      <c r="T2817" s="45"/>
      <c r="U2817" s="45"/>
    </row>
    <row r="2818">
      <c r="A2818" s="79" t="s">
        <v>20769</v>
      </c>
      <c r="B2818" s="45"/>
      <c r="C2818" s="79" t="s">
        <v>20770</v>
      </c>
      <c r="D2818" s="45"/>
      <c r="E2818" s="79" t="s">
        <v>5215</v>
      </c>
      <c r="F2818" s="79" t="s">
        <v>8784</v>
      </c>
      <c r="G2818" s="80" t="s">
        <v>96</v>
      </c>
      <c r="H2818" s="90">
        <v>8.48E-5</v>
      </c>
      <c r="I2818" s="45"/>
      <c r="J2818" s="45"/>
      <c r="K2818" s="45"/>
      <c r="L2818" s="45"/>
      <c r="M2818" s="45"/>
      <c r="N2818" s="45"/>
      <c r="O2818" s="45"/>
      <c r="P2818" s="45"/>
      <c r="Q2818" s="45"/>
      <c r="R2818" s="45"/>
      <c r="S2818" s="45"/>
      <c r="T2818" s="45"/>
      <c r="U2818" s="45"/>
    </row>
    <row r="2819">
      <c r="A2819" s="79" t="s">
        <v>20771</v>
      </c>
      <c r="B2819" s="45"/>
      <c r="C2819" s="79" t="s">
        <v>20772</v>
      </c>
      <c r="D2819" s="45"/>
      <c r="E2819" s="79" t="s">
        <v>5704</v>
      </c>
      <c r="F2819" s="79" t="s">
        <v>8759</v>
      </c>
      <c r="G2819" s="80" t="s">
        <v>96</v>
      </c>
      <c r="H2819" s="90">
        <v>8.47E-5</v>
      </c>
      <c r="I2819" s="45"/>
      <c r="J2819" s="45"/>
      <c r="K2819" s="45"/>
      <c r="L2819" s="45"/>
      <c r="M2819" s="45"/>
      <c r="N2819" s="45"/>
      <c r="O2819" s="45"/>
      <c r="P2819" s="45"/>
      <c r="Q2819" s="45"/>
      <c r="R2819" s="45"/>
      <c r="S2819" s="45"/>
      <c r="T2819" s="45"/>
      <c r="U2819" s="45"/>
    </row>
    <row r="2820">
      <c r="A2820" s="79" t="s">
        <v>20773</v>
      </c>
      <c r="B2820" s="45"/>
      <c r="C2820" s="79" t="s">
        <v>20774</v>
      </c>
      <c r="D2820" s="45"/>
      <c r="E2820" s="79" t="s">
        <v>5682</v>
      </c>
      <c r="F2820" s="79" t="s">
        <v>5425</v>
      </c>
      <c r="G2820" s="80" t="s">
        <v>96</v>
      </c>
      <c r="H2820" s="90">
        <v>8.47E-5</v>
      </c>
      <c r="I2820" s="45"/>
      <c r="J2820" s="45"/>
      <c r="K2820" s="45"/>
      <c r="L2820" s="45"/>
      <c r="M2820" s="45"/>
      <c r="N2820" s="45"/>
      <c r="O2820" s="45"/>
      <c r="P2820" s="45"/>
      <c r="Q2820" s="45"/>
      <c r="R2820" s="45"/>
      <c r="S2820" s="45"/>
      <c r="T2820" s="45"/>
      <c r="U2820" s="45"/>
    </row>
    <row r="2821">
      <c r="A2821" s="79" t="s">
        <v>17676</v>
      </c>
      <c r="B2821" s="45"/>
      <c r="C2821" s="79" t="s">
        <v>17677</v>
      </c>
      <c r="D2821" s="45"/>
      <c r="E2821" s="79" t="s">
        <v>5226</v>
      </c>
      <c r="F2821" s="79" t="s">
        <v>5836</v>
      </c>
      <c r="G2821" s="80" t="s">
        <v>96</v>
      </c>
      <c r="H2821" s="90">
        <v>8.46E-5</v>
      </c>
      <c r="I2821" s="45"/>
      <c r="J2821" s="45"/>
      <c r="K2821" s="45"/>
      <c r="L2821" s="45"/>
      <c r="M2821" s="45"/>
      <c r="N2821" s="45"/>
      <c r="O2821" s="45"/>
      <c r="P2821" s="45"/>
      <c r="Q2821" s="45"/>
      <c r="R2821" s="45"/>
      <c r="S2821" s="45"/>
      <c r="T2821" s="45"/>
      <c r="U2821" s="45"/>
    </row>
    <row r="2822">
      <c r="A2822" s="79" t="s">
        <v>20775</v>
      </c>
      <c r="B2822" s="45"/>
      <c r="C2822" s="79" t="s">
        <v>20776</v>
      </c>
      <c r="D2822" s="45"/>
      <c r="E2822" s="79" t="s">
        <v>5459</v>
      </c>
      <c r="F2822" s="79" t="s">
        <v>8784</v>
      </c>
      <c r="G2822" s="80" t="s">
        <v>96</v>
      </c>
      <c r="H2822" s="90">
        <v>8.46E-5</v>
      </c>
      <c r="I2822" s="45"/>
      <c r="J2822" s="45"/>
      <c r="K2822" s="45"/>
      <c r="L2822" s="45"/>
      <c r="M2822" s="45"/>
      <c r="N2822" s="45"/>
      <c r="O2822" s="45"/>
      <c r="P2822" s="45"/>
      <c r="Q2822" s="45"/>
      <c r="R2822" s="45"/>
      <c r="S2822" s="45"/>
      <c r="T2822" s="45"/>
      <c r="U2822" s="45"/>
    </row>
    <row r="2823">
      <c r="A2823" s="79" t="s">
        <v>20777</v>
      </c>
      <c r="B2823" s="45"/>
      <c r="C2823" s="79" t="s">
        <v>20778</v>
      </c>
      <c r="D2823" s="45"/>
      <c r="E2823" s="79" t="s">
        <v>5407</v>
      </c>
      <c r="F2823" s="79" t="s">
        <v>5300</v>
      </c>
      <c r="G2823" s="80" t="s">
        <v>96</v>
      </c>
      <c r="H2823" s="90">
        <v>8.45E-5</v>
      </c>
      <c r="I2823" s="45"/>
      <c r="J2823" s="45"/>
      <c r="K2823" s="45"/>
      <c r="L2823" s="45"/>
      <c r="M2823" s="45"/>
      <c r="N2823" s="45"/>
      <c r="O2823" s="45"/>
      <c r="P2823" s="45"/>
      <c r="Q2823" s="45"/>
      <c r="R2823" s="45"/>
      <c r="S2823" s="45"/>
      <c r="T2823" s="45"/>
      <c r="U2823" s="45"/>
    </row>
    <row r="2824">
      <c r="A2824" s="79" t="s">
        <v>20779</v>
      </c>
      <c r="B2824" s="45"/>
      <c r="C2824" s="79" t="s">
        <v>20780</v>
      </c>
      <c r="D2824" s="45"/>
      <c r="E2824" s="79" t="s">
        <v>5395</v>
      </c>
      <c r="F2824" s="79" t="s">
        <v>8784</v>
      </c>
      <c r="G2824" s="80" t="s">
        <v>96</v>
      </c>
      <c r="H2824" s="90">
        <v>8.45E-5</v>
      </c>
      <c r="I2824" s="45"/>
      <c r="J2824" s="45"/>
      <c r="K2824" s="45"/>
      <c r="L2824" s="45"/>
      <c r="M2824" s="45"/>
      <c r="N2824" s="45"/>
      <c r="O2824" s="45"/>
      <c r="P2824" s="45"/>
      <c r="Q2824" s="45"/>
      <c r="R2824" s="45"/>
      <c r="S2824" s="45"/>
      <c r="T2824" s="45"/>
      <c r="U2824" s="45"/>
    </row>
    <row r="2825">
      <c r="A2825" s="79" t="s">
        <v>20781</v>
      </c>
      <c r="B2825" s="45"/>
      <c r="C2825" s="79" t="s">
        <v>20782</v>
      </c>
      <c r="D2825" s="45"/>
      <c r="E2825" s="79" t="s">
        <v>5276</v>
      </c>
      <c r="F2825" s="79" t="s">
        <v>5300</v>
      </c>
      <c r="G2825" s="80" t="s">
        <v>96</v>
      </c>
      <c r="H2825" s="90">
        <v>8.45E-5</v>
      </c>
      <c r="I2825" s="45"/>
      <c r="J2825" s="45"/>
      <c r="K2825" s="45"/>
      <c r="L2825" s="45"/>
      <c r="M2825" s="45"/>
      <c r="N2825" s="45"/>
      <c r="O2825" s="45"/>
      <c r="P2825" s="45"/>
      <c r="Q2825" s="45"/>
      <c r="R2825" s="45"/>
      <c r="S2825" s="45"/>
      <c r="T2825" s="45"/>
      <c r="U2825" s="45"/>
    </row>
    <row r="2826">
      <c r="A2826" s="79" t="s">
        <v>20783</v>
      </c>
      <c r="B2826" s="45"/>
      <c r="C2826" s="79" t="s">
        <v>20784</v>
      </c>
      <c r="D2826" s="45"/>
      <c r="E2826" s="79" t="s">
        <v>8648</v>
      </c>
      <c r="F2826" s="79" t="s">
        <v>5300</v>
      </c>
      <c r="G2826" s="80" t="s">
        <v>96</v>
      </c>
      <c r="H2826" s="90">
        <v>8.43E-5</v>
      </c>
      <c r="I2826" s="45"/>
      <c r="J2826" s="45"/>
      <c r="K2826" s="45"/>
      <c r="L2826" s="45"/>
      <c r="M2826" s="45"/>
      <c r="N2826" s="45"/>
      <c r="O2826" s="45"/>
      <c r="P2826" s="45"/>
      <c r="Q2826" s="45"/>
      <c r="R2826" s="45"/>
      <c r="S2826" s="45"/>
      <c r="T2826" s="45"/>
      <c r="U2826" s="45"/>
    </row>
    <row r="2827">
      <c r="A2827" s="79" t="s">
        <v>20785</v>
      </c>
      <c r="B2827" s="45"/>
      <c r="C2827" s="79" t="s">
        <v>20786</v>
      </c>
      <c r="D2827" s="45"/>
      <c r="E2827" s="79" t="s">
        <v>5357</v>
      </c>
      <c r="F2827" s="79" t="s">
        <v>8784</v>
      </c>
      <c r="G2827" s="80" t="s">
        <v>96</v>
      </c>
      <c r="H2827" s="90">
        <v>8.43E-5</v>
      </c>
      <c r="I2827" s="45"/>
      <c r="J2827" s="45"/>
      <c r="K2827" s="45"/>
      <c r="L2827" s="45"/>
      <c r="M2827" s="45"/>
      <c r="N2827" s="45"/>
      <c r="O2827" s="45"/>
      <c r="P2827" s="45"/>
      <c r="Q2827" s="45"/>
      <c r="R2827" s="45"/>
      <c r="S2827" s="45"/>
      <c r="T2827" s="45"/>
      <c r="U2827" s="45"/>
    </row>
    <row r="2828">
      <c r="A2828" s="79" t="s">
        <v>20787</v>
      </c>
      <c r="B2828" s="45"/>
      <c r="C2828" s="79" t="s">
        <v>20788</v>
      </c>
      <c r="D2828" s="45"/>
      <c r="E2828" s="79" t="s">
        <v>5715</v>
      </c>
      <c r="F2828" s="79" t="s">
        <v>5425</v>
      </c>
      <c r="G2828" s="80" t="s">
        <v>96</v>
      </c>
      <c r="H2828" s="90">
        <v>8.43E-5</v>
      </c>
      <c r="I2828" s="45"/>
      <c r="J2828" s="45"/>
      <c r="K2828" s="45"/>
      <c r="L2828" s="45"/>
      <c r="M2828" s="45"/>
      <c r="N2828" s="45"/>
      <c r="O2828" s="45"/>
      <c r="P2828" s="45"/>
      <c r="Q2828" s="45"/>
      <c r="R2828" s="45"/>
      <c r="S2828" s="45"/>
      <c r="T2828" s="45"/>
      <c r="U2828" s="45"/>
    </row>
    <row r="2829">
      <c r="A2829" s="79" t="s">
        <v>20789</v>
      </c>
      <c r="B2829" s="45"/>
      <c r="C2829" s="79" t="s">
        <v>20790</v>
      </c>
      <c r="D2829" s="45"/>
      <c r="E2829" s="79" t="s">
        <v>5229</v>
      </c>
      <c r="F2829" s="79" t="s">
        <v>4095</v>
      </c>
      <c r="G2829" s="80" t="s">
        <v>96</v>
      </c>
      <c r="H2829" s="90">
        <v>8.43E-5</v>
      </c>
      <c r="I2829" s="45"/>
      <c r="J2829" s="45"/>
      <c r="K2829" s="45"/>
      <c r="L2829" s="45"/>
      <c r="M2829" s="45"/>
      <c r="N2829" s="45"/>
      <c r="O2829" s="45"/>
      <c r="P2829" s="45"/>
      <c r="Q2829" s="45"/>
      <c r="R2829" s="45"/>
      <c r="S2829" s="45"/>
      <c r="T2829" s="45"/>
      <c r="U2829" s="45"/>
    </row>
    <row r="2830">
      <c r="A2830" s="79" t="s">
        <v>20791</v>
      </c>
      <c r="B2830" s="45"/>
      <c r="C2830" s="79" t="s">
        <v>20792</v>
      </c>
      <c r="D2830" s="45"/>
      <c r="E2830" s="79" t="s">
        <v>5478</v>
      </c>
      <c r="F2830" s="79" t="s">
        <v>5300</v>
      </c>
      <c r="G2830" s="80" t="s">
        <v>96</v>
      </c>
      <c r="H2830" s="90">
        <v>8.43E-5</v>
      </c>
      <c r="I2830" s="45"/>
      <c r="J2830" s="45"/>
      <c r="K2830" s="45"/>
      <c r="L2830" s="45"/>
      <c r="M2830" s="45"/>
      <c r="N2830" s="45"/>
      <c r="O2830" s="45"/>
      <c r="P2830" s="45"/>
      <c r="Q2830" s="45"/>
      <c r="R2830" s="45"/>
      <c r="S2830" s="45"/>
      <c r="T2830" s="45"/>
      <c r="U2830" s="45"/>
    </row>
    <row r="2831">
      <c r="A2831" s="79" t="s">
        <v>20793</v>
      </c>
      <c r="B2831" s="45"/>
      <c r="C2831" s="79" t="s">
        <v>20794</v>
      </c>
      <c r="D2831" s="45"/>
      <c r="E2831" s="79" t="s">
        <v>5395</v>
      </c>
      <c r="F2831" s="79" t="s">
        <v>5300</v>
      </c>
      <c r="G2831" s="80" t="s">
        <v>96</v>
      </c>
      <c r="H2831" s="90">
        <v>8.43E-5</v>
      </c>
      <c r="I2831" s="45"/>
      <c r="J2831" s="45"/>
      <c r="K2831" s="45"/>
      <c r="L2831" s="45"/>
      <c r="M2831" s="45"/>
      <c r="N2831" s="45"/>
      <c r="O2831" s="45"/>
      <c r="P2831" s="45"/>
      <c r="Q2831" s="45"/>
      <c r="R2831" s="45"/>
      <c r="S2831" s="45"/>
      <c r="T2831" s="45"/>
      <c r="U2831" s="45"/>
    </row>
    <row r="2832">
      <c r="A2832" s="79" t="s">
        <v>4723</v>
      </c>
      <c r="B2832" s="45"/>
      <c r="C2832" s="79" t="s">
        <v>20795</v>
      </c>
      <c r="D2832" s="45"/>
      <c r="E2832" s="79" t="s">
        <v>6115</v>
      </c>
      <c r="F2832" s="79" t="s">
        <v>9513</v>
      </c>
      <c r="G2832" s="80" t="s">
        <v>96</v>
      </c>
      <c r="H2832" s="90">
        <v>8.42E-5</v>
      </c>
      <c r="I2832" s="45"/>
      <c r="J2832" s="45"/>
      <c r="K2832" s="45"/>
      <c r="L2832" s="45"/>
      <c r="M2832" s="45"/>
      <c r="N2832" s="45"/>
      <c r="O2832" s="45"/>
      <c r="P2832" s="45"/>
      <c r="Q2832" s="45"/>
      <c r="R2832" s="45"/>
      <c r="S2832" s="45"/>
      <c r="T2832" s="45"/>
      <c r="U2832" s="45"/>
    </row>
    <row r="2833">
      <c r="A2833" s="79" t="s">
        <v>20796</v>
      </c>
      <c r="B2833" s="45"/>
      <c r="C2833" s="79" t="s">
        <v>20797</v>
      </c>
      <c r="D2833" s="45"/>
      <c r="E2833" s="79" t="s">
        <v>5868</v>
      </c>
      <c r="F2833" s="79" t="s">
        <v>5300</v>
      </c>
      <c r="G2833" s="80" t="s">
        <v>96</v>
      </c>
      <c r="H2833" s="90">
        <v>8.42E-5</v>
      </c>
      <c r="I2833" s="45"/>
      <c r="J2833" s="45"/>
      <c r="K2833" s="45"/>
      <c r="L2833" s="45"/>
      <c r="M2833" s="45"/>
      <c r="N2833" s="45"/>
      <c r="O2833" s="45"/>
      <c r="P2833" s="45"/>
      <c r="Q2833" s="45"/>
      <c r="R2833" s="45"/>
      <c r="S2833" s="45"/>
      <c r="T2833" s="45"/>
      <c r="U2833" s="45"/>
    </row>
    <row r="2834">
      <c r="A2834" s="79" t="s">
        <v>20798</v>
      </c>
      <c r="B2834" s="45"/>
      <c r="C2834" s="79" t="s">
        <v>20799</v>
      </c>
      <c r="D2834" s="45"/>
      <c r="E2834" s="79" t="s">
        <v>8480</v>
      </c>
      <c r="F2834" s="79" t="s">
        <v>5836</v>
      </c>
      <c r="G2834" s="80" t="s">
        <v>96</v>
      </c>
      <c r="H2834" s="90">
        <v>8.41E-5</v>
      </c>
      <c r="I2834" s="45"/>
      <c r="J2834" s="45"/>
      <c r="K2834" s="45"/>
      <c r="L2834" s="45"/>
      <c r="M2834" s="45"/>
      <c r="N2834" s="45"/>
      <c r="O2834" s="45"/>
      <c r="P2834" s="45"/>
      <c r="Q2834" s="45"/>
      <c r="R2834" s="45"/>
      <c r="S2834" s="45"/>
      <c r="T2834" s="45"/>
      <c r="U2834" s="45"/>
    </row>
    <row r="2835">
      <c r="A2835" s="79" t="s">
        <v>20800</v>
      </c>
      <c r="B2835" s="45"/>
      <c r="C2835" s="79" t="s">
        <v>20801</v>
      </c>
      <c r="D2835" s="45"/>
      <c r="E2835" s="79" t="s">
        <v>5964</v>
      </c>
      <c r="F2835" s="79" t="s">
        <v>8784</v>
      </c>
      <c r="G2835" s="80" t="s">
        <v>96</v>
      </c>
      <c r="H2835" s="90">
        <v>8.41E-5</v>
      </c>
      <c r="I2835" s="45"/>
      <c r="J2835" s="45"/>
      <c r="K2835" s="45"/>
      <c r="L2835" s="45"/>
      <c r="M2835" s="45"/>
      <c r="N2835" s="45"/>
      <c r="O2835" s="45"/>
      <c r="P2835" s="45"/>
      <c r="Q2835" s="45"/>
      <c r="R2835" s="45"/>
      <c r="S2835" s="45"/>
      <c r="T2835" s="45"/>
      <c r="U2835" s="45"/>
    </row>
    <row r="2836">
      <c r="A2836" s="79" t="s">
        <v>20802</v>
      </c>
      <c r="B2836" s="45"/>
      <c r="C2836" s="79" t="s">
        <v>20803</v>
      </c>
      <c r="D2836" s="45"/>
      <c r="E2836" s="79" t="s">
        <v>8230</v>
      </c>
      <c r="F2836" s="79" t="s">
        <v>5300</v>
      </c>
      <c r="G2836" s="80" t="s">
        <v>96</v>
      </c>
      <c r="H2836" s="90">
        <v>8.39E-5</v>
      </c>
      <c r="I2836" s="45"/>
      <c r="J2836" s="45"/>
      <c r="K2836" s="45"/>
      <c r="L2836" s="45"/>
      <c r="M2836" s="45"/>
      <c r="N2836" s="45"/>
      <c r="O2836" s="45"/>
      <c r="P2836" s="45"/>
      <c r="Q2836" s="45"/>
      <c r="R2836" s="45"/>
      <c r="S2836" s="45"/>
      <c r="T2836" s="45"/>
      <c r="U2836" s="45"/>
    </row>
    <row r="2837">
      <c r="A2837" s="79" t="s">
        <v>20804</v>
      </c>
      <c r="B2837" s="45"/>
      <c r="C2837" s="79" t="s">
        <v>20805</v>
      </c>
      <c r="D2837" s="45"/>
      <c r="E2837" s="79" t="s">
        <v>5226</v>
      </c>
      <c r="F2837" s="79" t="s">
        <v>5300</v>
      </c>
      <c r="G2837" s="80" t="s">
        <v>96</v>
      </c>
      <c r="H2837" s="90">
        <v>8.38E-5</v>
      </c>
      <c r="I2837" s="45"/>
      <c r="J2837" s="45"/>
      <c r="K2837" s="45"/>
      <c r="L2837" s="45"/>
      <c r="M2837" s="45"/>
      <c r="N2837" s="45"/>
      <c r="O2837" s="45"/>
      <c r="P2837" s="45"/>
      <c r="Q2837" s="45"/>
      <c r="R2837" s="45"/>
      <c r="S2837" s="45"/>
      <c r="T2837" s="45"/>
      <c r="U2837" s="45"/>
    </row>
    <row r="2838">
      <c r="A2838" s="79" t="s">
        <v>11100</v>
      </c>
      <c r="B2838" s="45"/>
      <c r="C2838" s="79" t="s">
        <v>11101</v>
      </c>
      <c r="D2838" s="45"/>
      <c r="E2838" s="79" t="s">
        <v>5390</v>
      </c>
      <c r="F2838" s="79" t="s">
        <v>9513</v>
      </c>
      <c r="G2838" s="80" t="s">
        <v>96</v>
      </c>
      <c r="H2838" s="90">
        <v>8.38E-5</v>
      </c>
      <c r="I2838" s="45"/>
      <c r="J2838" s="45"/>
      <c r="K2838" s="45"/>
      <c r="L2838" s="45"/>
      <c r="M2838" s="45"/>
      <c r="N2838" s="45"/>
      <c r="O2838" s="45"/>
      <c r="P2838" s="45"/>
      <c r="Q2838" s="45"/>
      <c r="R2838" s="45"/>
      <c r="S2838" s="45"/>
      <c r="T2838" s="45"/>
      <c r="U2838" s="45"/>
    </row>
    <row r="2839">
      <c r="A2839" s="79" t="s">
        <v>20806</v>
      </c>
      <c r="B2839" s="45"/>
      <c r="C2839" s="79" t="s">
        <v>20807</v>
      </c>
      <c r="D2839" s="45"/>
      <c r="E2839" s="79" t="s">
        <v>5238</v>
      </c>
      <c r="F2839" s="79" t="s">
        <v>8784</v>
      </c>
      <c r="G2839" s="80" t="s">
        <v>96</v>
      </c>
      <c r="H2839" s="90">
        <v>8.36E-5</v>
      </c>
      <c r="I2839" s="45"/>
      <c r="J2839" s="45"/>
      <c r="K2839" s="45"/>
      <c r="L2839" s="45"/>
      <c r="M2839" s="45"/>
      <c r="N2839" s="45"/>
      <c r="O2839" s="45"/>
      <c r="P2839" s="45"/>
      <c r="Q2839" s="45"/>
      <c r="R2839" s="45"/>
      <c r="S2839" s="45"/>
      <c r="T2839" s="45"/>
      <c r="U2839" s="45"/>
    </row>
    <row r="2840">
      <c r="A2840" s="79" t="s">
        <v>20808</v>
      </c>
      <c r="B2840" s="45"/>
      <c r="C2840" s="79" t="s">
        <v>18340</v>
      </c>
      <c r="D2840" s="45"/>
      <c r="E2840" s="79" t="s">
        <v>8110</v>
      </c>
      <c r="F2840" s="79" t="s">
        <v>5300</v>
      </c>
      <c r="G2840" s="80" t="s">
        <v>96</v>
      </c>
      <c r="H2840" s="90">
        <v>8.36E-5</v>
      </c>
      <c r="I2840" s="45"/>
      <c r="J2840" s="45"/>
      <c r="K2840" s="45"/>
      <c r="L2840" s="45"/>
      <c r="M2840" s="45"/>
      <c r="N2840" s="45"/>
      <c r="O2840" s="45"/>
      <c r="P2840" s="45"/>
      <c r="Q2840" s="45"/>
      <c r="R2840" s="45"/>
      <c r="S2840" s="45"/>
      <c r="T2840" s="45"/>
      <c r="U2840" s="45"/>
    </row>
    <row r="2841">
      <c r="A2841" s="79" t="s">
        <v>20809</v>
      </c>
      <c r="B2841" s="45"/>
      <c r="C2841" s="79" t="s">
        <v>20810</v>
      </c>
      <c r="D2841" s="45"/>
      <c r="E2841" s="79" t="s">
        <v>5218</v>
      </c>
      <c r="F2841" s="79" t="s">
        <v>5300</v>
      </c>
      <c r="G2841" s="80" t="s">
        <v>96</v>
      </c>
      <c r="H2841" s="90">
        <v>8.35E-5</v>
      </c>
      <c r="I2841" s="45"/>
      <c r="J2841" s="45"/>
      <c r="K2841" s="45"/>
      <c r="L2841" s="45"/>
      <c r="M2841" s="45"/>
      <c r="N2841" s="45"/>
      <c r="O2841" s="45"/>
      <c r="P2841" s="45"/>
      <c r="Q2841" s="45"/>
      <c r="R2841" s="45"/>
      <c r="S2841" s="45"/>
      <c r="T2841" s="45"/>
      <c r="U2841" s="45"/>
    </row>
    <row r="2842">
      <c r="A2842" s="79" t="s">
        <v>20811</v>
      </c>
      <c r="B2842" s="45"/>
      <c r="C2842" s="79" t="s">
        <v>20812</v>
      </c>
      <c r="D2842" s="45"/>
      <c r="E2842" s="79" t="s">
        <v>5808</v>
      </c>
      <c r="F2842" s="79" t="s">
        <v>5425</v>
      </c>
      <c r="G2842" s="80" t="s">
        <v>96</v>
      </c>
      <c r="H2842" s="90">
        <v>8.33E-5</v>
      </c>
      <c r="I2842" s="45"/>
      <c r="J2842" s="45"/>
      <c r="K2842" s="45"/>
      <c r="L2842" s="45"/>
      <c r="M2842" s="45"/>
      <c r="N2842" s="45"/>
      <c r="O2842" s="45"/>
      <c r="P2842" s="45"/>
      <c r="Q2842" s="45"/>
      <c r="R2842" s="45"/>
      <c r="S2842" s="45"/>
      <c r="T2842" s="45"/>
      <c r="U2842" s="45"/>
    </row>
    <row r="2843">
      <c r="A2843" s="79" t="s">
        <v>20813</v>
      </c>
      <c r="B2843" s="45"/>
      <c r="C2843" s="79" t="s">
        <v>20814</v>
      </c>
      <c r="D2843" s="45"/>
      <c r="E2843" s="79" t="s">
        <v>5291</v>
      </c>
      <c r="F2843" s="79" t="s">
        <v>6988</v>
      </c>
      <c r="G2843" s="80" t="s">
        <v>96</v>
      </c>
      <c r="H2843" s="90">
        <v>8.32E-5</v>
      </c>
      <c r="I2843" s="45"/>
      <c r="J2843" s="45"/>
      <c r="K2843" s="45"/>
      <c r="L2843" s="45"/>
      <c r="M2843" s="45"/>
      <c r="N2843" s="45"/>
      <c r="O2843" s="45"/>
      <c r="P2843" s="45"/>
      <c r="Q2843" s="45"/>
      <c r="R2843" s="45"/>
      <c r="S2843" s="45"/>
      <c r="T2843" s="45"/>
      <c r="U2843" s="45"/>
    </row>
    <row r="2844">
      <c r="A2844" s="79" t="s">
        <v>20815</v>
      </c>
      <c r="B2844" s="45"/>
      <c r="C2844" s="79" t="s">
        <v>20816</v>
      </c>
      <c r="D2844" s="45"/>
      <c r="E2844" s="79" t="s">
        <v>5650</v>
      </c>
      <c r="F2844" s="79" t="s">
        <v>9414</v>
      </c>
      <c r="G2844" s="80" t="s">
        <v>96</v>
      </c>
      <c r="H2844" s="90">
        <v>8.32E-5</v>
      </c>
      <c r="I2844" s="45"/>
      <c r="J2844" s="45"/>
      <c r="K2844" s="45"/>
      <c r="L2844" s="45"/>
      <c r="M2844" s="45"/>
      <c r="N2844" s="45"/>
      <c r="O2844" s="45"/>
      <c r="P2844" s="45"/>
      <c r="Q2844" s="45"/>
      <c r="R2844" s="45"/>
      <c r="S2844" s="45"/>
      <c r="T2844" s="45"/>
      <c r="U2844" s="45"/>
    </row>
    <row r="2845">
      <c r="A2845" s="79" t="s">
        <v>20817</v>
      </c>
      <c r="B2845" s="45"/>
      <c r="C2845" s="79" t="s">
        <v>20818</v>
      </c>
      <c r="D2845" s="45"/>
      <c r="E2845" s="79" t="s">
        <v>5450</v>
      </c>
      <c r="F2845" s="79" t="s">
        <v>5300</v>
      </c>
      <c r="G2845" s="80" t="s">
        <v>96</v>
      </c>
      <c r="H2845" s="90">
        <v>8.3E-5</v>
      </c>
      <c r="I2845" s="45"/>
      <c r="J2845" s="45"/>
      <c r="K2845" s="45"/>
      <c r="L2845" s="45"/>
      <c r="M2845" s="45"/>
      <c r="N2845" s="45"/>
      <c r="O2845" s="45"/>
      <c r="P2845" s="45"/>
      <c r="Q2845" s="45"/>
      <c r="R2845" s="45"/>
      <c r="S2845" s="45"/>
      <c r="T2845" s="45"/>
      <c r="U2845" s="45"/>
    </row>
    <row r="2846">
      <c r="A2846" s="79" t="s">
        <v>20819</v>
      </c>
      <c r="B2846" s="45"/>
      <c r="C2846" s="79" t="s">
        <v>20820</v>
      </c>
      <c r="D2846" s="45"/>
      <c r="E2846" s="79" t="s">
        <v>5404</v>
      </c>
      <c r="F2846" s="79" t="s">
        <v>9513</v>
      </c>
      <c r="G2846" s="80" t="s">
        <v>96</v>
      </c>
      <c r="H2846" s="90">
        <v>8.3E-5</v>
      </c>
      <c r="I2846" s="45"/>
      <c r="J2846" s="45"/>
      <c r="K2846" s="45"/>
      <c r="L2846" s="45"/>
      <c r="M2846" s="45"/>
      <c r="N2846" s="45"/>
      <c r="O2846" s="45"/>
      <c r="P2846" s="45"/>
      <c r="Q2846" s="45"/>
      <c r="R2846" s="45"/>
      <c r="S2846" s="45"/>
      <c r="T2846" s="45"/>
      <c r="U2846" s="45"/>
    </row>
    <row r="2847">
      <c r="A2847" s="79" t="s">
        <v>20821</v>
      </c>
      <c r="B2847" s="45"/>
      <c r="C2847" s="79" t="s">
        <v>20822</v>
      </c>
      <c r="D2847" s="45"/>
      <c r="E2847" s="79" t="s">
        <v>5215</v>
      </c>
      <c r="F2847" s="79" t="s">
        <v>4153</v>
      </c>
      <c r="G2847" s="80" t="s">
        <v>96</v>
      </c>
      <c r="H2847" s="90">
        <v>8.29E-5</v>
      </c>
      <c r="I2847" s="45"/>
      <c r="J2847" s="45"/>
      <c r="K2847" s="45"/>
      <c r="L2847" s="45"/>
      <c r="M2847" s="45"/>
      <c r="N2847" s="45"/>
      <c r="O2847" s="45"/>
      <c r="P2847" s="45"/>
      <c r="Q2847" s="45"/>
      <c r="R2847" s="45"/>
      <c r="S2847" s="45"/>
      <c r="T2847" s="45"/>
      <c r="U2847" s="45"/>
    </row>
    <row r="2848">
      <c r="A2848" s="79" t="s">
        <v>20823</v>
      </c>
      <c r="B2848" s="45"/>
      <c r="C2848" s="79" t="s">
        <v>20824</v>
      </c>
      <c r="D2848" s="45"/>
      <c r="E2848" s="79" t="s">
        <v>6115</v>
      </c>
      <c r="F2848" s="79" t="s">
        <v>5927</v>
      </c>
      <c r="G2848" s="80" t="s">
        <v>96</v>
      </c>
      <c r="H2848" s="90">
        <v>8.29E-5</v>
      </c>
      <c r="I2848" s="45"/>
      <c r="J2848" s="45"/>
      <c r="K2848" s="45"/>
      <c r="L2848" s="45"/>
      <c r="M2848" s="45"/>
      <c r="N2848" s="45"/>
      <c r="O2848" s="45"/>
      <c r="P2848" s="45"/>
      <c r="Q2848" s="45"/>
      <c r="R2848" s="45"/>
      <c r="S2848" s="45"/>
      <c r="T2848" s="45"/>
      <c r="U2848" s="45"/>
    </row>
    <row r="2849">
      <c r="A2849" s="79" t="s">
        <v>20825</v>
      </c>
      <c r="B2849" s="45"/>
      <c r="C2849" s="79" t="s">
        <v>20826</v>
      </c>
      <c r="D2849" s="45"/>
      <c r="E2849" s="79" t="s">
        <v>5351</v>
      </c>
      <c r="F2849" s="79" t="s">
        <v>5268</v>
      </c>
      <c r="G2849" s="80" t="s">
        <v>96</v>
      </c>
      <c r="H2849" s="90">
        <v>8.28E-5</v>
      </c>
      <c r="I2849" s="45"/>
      <c r="J2849" s="45"/>
      <c r="K2849" s="45"/>
      <c r="L2849" s="45"/>
      <c r="M2849" s="45"/>
      <c r="N2849" s="45"/>
      <c r="O2849" s="45"/>
      <c r="P2849" s="45"/>
      <c r="Q2849" s="45"/>
      <c r="R2849" s="45"/>
      <c r="S2849" s="45"/>
      <c r="T2849" s="45"/>
      <c r="U2849" s="45"/>
    </row>
    <row r="2850">
      <c r="A2850" s="79" t="s">
        <v>20827</v>
      </c>
      <c r="B2850" s="45"/>
      <c r="C2850" s="79" t="s">
        <v>20828</v>
      </c>
      <c r="D2850" s="45"/>
      <c r="E2850" s="79" t="s">
        <v>5478</v>
      </c>
      <c r="F2850" s="79" t="s">
        <v>5300</v>
      </c>
      <c r="G2850" s="80" t="s">
        <v>96</v>
      </c>
      <c r="H2850" s="90">
        <v>8.28E-5</v>
      </c>
      <c r="I2850" s="45"/>
      <c r="J2850" s="45"/>
      <c r="K2850" s="45"/>
      <c r="L2850" s="45"/>
      <c r="M2850" s="45"/>
      <c r="N2850" s="45"/>
      <c r="O2850" s="45"/>
      <c r="P2850" s="45"/>
      <c r="Q2850" s="45"/>
      <c r="R2850" s="45"/>
      <c r="S2850" s="45"/>
      <c r="T2850" s="45"/>
      <c r="U2850" s="45"/>
    </row>
    <row r="2851">
      <c r="A2851" s="79" t="s">
        <v>20829</v>
      </c>
      <c r="B2851" s="45"/>
      <c r="C2851" s="79" t="s">
        <v>20830</v>
      </c>
      <c r="D2851" s="45"/>
      <c r="E2851" s="79" t="s">
        <v>7611</v>
      </c>
      <c r="F2851" s="79" t="s">
        <v>9414</v>
      </c>
      <c r="G2851" s="80" t="s">
        <v>96</v>
      </c>
      <c r="H2851" s="90">
        <v>8.27E-5</v>
      </c>
      <c r="I2851" s="45"/>
      <c r="J2851" s="45"/>
      <c r="K2851" s="45"/>
      <c r="L2851" s="45"/>
      <c r="M2851" s="45"/>
      <c r="N2851" s="45"/>
      <c r="O2851" s="45"/>
      <c r="P2851" s="45"/>
      <c r="Q2851" s="45"/>
      <c r="R2851" s="45"/>
      <c r="S2851" s="45"/>
      <c r="T2851" s="45"/>
      <c r="U2851" s="45"/>
    </row>
    <row r="2852">
      <c r="A2852" s="79" t="s">
        <v>20831</v>
      </c>
      <c r="B2852" s="45"/>
      <c r="C2852" s="79" t="s">
        <v>20832</v>
      </c>
      <c r="D2852" s="45"/>
      <c r="E2852" s="79" t="s">
        <v>6472</v>
      </c>
      <c r="F2852" s="79" t="s">
        <v>5300</v>
      </c>
      <c r="G2852" s="80" t="s">
        <v>96</v>
      </c>
      <c r="H2852" s="90">
        <v>8.27E-5</v>
      </c>
      <c r="I2852" s="45"/>
      <c r="J2852" s="45"/>
      <c r="K2852" s="45"/>
      <c r="L2852" s="45"/>
      <c r="M2852" s="45"/>
      <c r="N2852" s="45"/>
      <c r="O2852" s="45"/>
      <c r="P2852" s="45"/>
      <c r="Q2852" s="45"/>
      <c r="R2852" s="45"/>
      <c r="S2852" s="45"/>
      <c r="T2852" s="45"/>
      <c r="U2852" s="45"/>
    </row>
    <row r="2853">
      <c r="A2853" s="79" t="s">
        <v>20833</v>
      </c>
      <c r="B2853" s="45"/>
      <c r="C2853" s="79" t="s">
        <v>20834</v>
      </c>
      <c r="D2853" s="45"/>
      <c r="E2853" s="79" t="s">
        <v>5478</v>
      </c>
      <c r="F2853" s="79" t="s">
        <v>5300</v>
      </c>
      <c r="G2853" s="80" t="s">
        <v>96</v>
      </c>
      <c r="H2853" s="90">
        <v>8.27E-5</v>
      </c>
      <c r="I2853" s="45"/>
      <c r="J2853" s="45"/>
      <c r="K2853" s="45"/>
      <c r="L2853" s="45"/>
      <c r="M2853" s="45"/>
      <c r="N2853" s="45"/>
      <c r="O2853" s="45"/>
      <c r="P2853" s="45"/>
      <c r="Q2853" s="45"/>
      <c r="R2853" s="45"/>
      <c r="S2853" s="45"/>
      <c r="T2853" s="45"/>
      <c r="U2853" s="45"/>
    </row>
    <row r="2854">
      <c r="A2854" s="79" t="s">
        <v>20835</v>
      </c>
      <c r="B2854" s="45"/>
      <c r="C2854" s="79" t="s">
        <v>20836</v>
      </c>
      <c r="D2854" s="45"/>
      <c r="E2854" s="79" t="s">
        <v>5759</v>
      </c>
      <c r="F2854" s="79" t="s">
        <v>4095</v>
      </c>
      <c r="G2854" s="80" t="s">
        <v>96</v>
      </c>
      <c r="H2854" s="90">
        <v>8.26E-5</v>
      </c>
      <c r="I2854" s="45"/>
      <c r="J2854" s="45"/>
      <c r="K2854" s="45"/>
      <c r="L2854" s="45"/>
      <c r="M2854" s="45"/>
      <c r="N2854" s="45"/>
      <c r="O2854" s="45"/>
      <c r="P2854" s="45"/>
      <c r="Q2854" s="45"/>
      <c r="R2854" s="45"/>
      <c r="S2854" s="45"/>
      <c r="T2854" s="45"/>
      <c r="U2854" s="45"/>
    </row>
    <row r="2855">
      <c r="A2855" s="79" t="s">
        <v>20837</v>
      </c>
      <c r="B2855" s="45"/>
      <c r="C2855" s="79" t="s">
        <v>20838</v>
      </c>
      <c r="D2855" s="45"/>
      <c r="E2855" s="79" t="s">
        <v>5374</v>
      </c>
      <c r="F2855" s="79" t="s">
        <v>5300</v>
      </c>
      <c r="G2855" s="80" t="s">
        <v>96</v>
      </c>
      <c r="H2855" s="90">
        <v>8.26E-5</v>
      </c>
      <c r="I2855" s="45"/>
      <c r="J2855" s="45"/>
      <c r="K2855" s="45"/>
      <c r="L2855" s="45"/>
      <c r="M2855" s="45"/>
      <c r="N2855" s="45"/>
      <c r="O2855" s="45"/>
      <c r="P2855" s="45"/>
      <c r="Q2855" s="45"/>
      <c r="R2855" s="45"/>
      <c r="S2855" s="45"/>
      <c r="T2855" s="45"/>
      <c r="U2855" s="45"/>
    </row>
    <row r="2856">
      <c r="A2856" s="79" t="s">
        <v>20839</v>
      </c>
      <c r="B2856" s="45"/>
      <c r="C2856" s="79" t="s">
        <v>20840</v>
      </c>
      <c r="D2856" s="45"/>
      <c r="E2856" s="79" t="s">
        <v>7476</v>
      </c>
      <c r="F2856" s="79" t="s">
        <v>5836</v>
      </c>
      <c r="G2856" s="80" t="s">
        <v>96</v>
      </c>
      <c r="H2856" s="90">
        <v>8.26E-5</v>
      </c>
      <c r="I2856" s="45"/>
      <c r="J2856" s="45"/>
      <c r="K2856" s="45"/>
      <c r="L2856" s="45"/>
      <c r="M2856" s="45"/>
      <c r="N2856" s="45"/>
      <c r="O2856" s="45"/>
      <c r="P2856" s="45"/>
      <c r="Q2856" s="45"/>
      <c r="R2856" s="45"/>
      <c r="S2856" s="45"/>
      <c r="T2856" s="45"/>
      <c r="U2856" s="45"/>
    </row>
    <row r="2857">
      <c r="A2857" s="79" t="s">
        <v>20841</v>
      </c>
      <c r="B2857" s="45"/>
      <c r="C2857" s="79" t="s">
        <v>20842</v>
      </c>
      <c r="D2857" s="45"/>
      <c r="E2857" s="79" t="s">
        <v>5316</v>
      </c>
      <c r="F2857" s="79" t="s">
        <v>5300</v>
      </c>
      <c r="G2857" s="80" t="s">
        <v>96</v>
      </c>
      <c r="H2857" s="90">
        <v>8.25E-5</v>
      </c>
      <c r="I2857" s="45"/>
      <c r="J2857" s="45"/>
      <c r="K2857" s="45"/>
      <c r="L2857" s="45"/>
      <c r="M2857" s="45"/>
      <c r="N2857" s="45"/>
      <c r="O2857" s="45"/>
      <c r="P2857" s="45"/>
      <c r="Q2857" s="45"/>
      <c r="R2857" s="45"/>
      <c r="S2857" s="45"/>
      <c r="T2857" s="45"/>
      <c r="U2857" s="45"/>
    </row>
    <row r="2858">
      <c r="A2858" s="79" t="s">
        <v>20843</v>
      </c>
      <c r="B2858" s="45"/>
      <c r="C2858" s="79" t="s">
        <v>20844</v>
      </c>
      <c r="D2858" s="45"/>
      <c r="E2858" s="79" t="s">
        <v>5366</v>
      </c>
      <c r="F2858" s="79" t="s">
        <v>5300</v>
      </c>
      <c r="G2858" s="80" t="s">
        <v>96</v>
      </c>
      <c r="H2858" s="90">
        <v>8.25E-5</v>
      </c>
      <c r="I2858" s="45"/>
      <c r="J2858" s="45"/>
      <c r="K2858" s="45"/>
      <c r="L2858" s="45"/>
      <c r="M2858" s="45"/>
      <c r="N2858" s="45"/>
      <c r="O2858" s="45"/>
      <c r="P2858" s="45"/>
      <c r="Q2858" s="45"/>
      <c r="R2858" s="45"/>
      <c r="S2858" s="45"/>
      <c r="T2858" s="45"/>
      <c r="U2858" s="45"/>
    </row>
    <row r="2859">
      <c r="A2859" s="79" t="s">
        <v>20845</v>
      </c>
      <c r="B2859" s="45"/>
      <c r="C2859" s="79" t="s">
        <v>20846</v>
      </c>
      <c r="D2859" s="45"/>
      <c r="E2859" s="79" t="s">
        <v>5366</v>
      </c>
      <c r="F2859" s="79" t="s">
        <v>8784</v>
      </c>
      <c r="G2859" s="80" t="s">
        <v>96</v>
      </c>
      <c r="H2859" s="90">
        <v>8.23E-5</v>
      </c>
      <c r="I2859" s="45"/>
      <c r="J2859" s="45"/>
      <c r="K2859" s="45"/>
      <c r="L2859" s="45"/>
      <c r="M2859" s="45"/>
      <c r="N2859" s="45"/>
      <c r="O2859" s="45"/>
      <c r="P2859" s="45"/>
      <c r="Q2859" s="45"/>
      <c r="R2859" s="45"/>
      <c r="S2859" s="45"/>
      <c r="T2859" s="45"/>
      <c r="U2859" s="45"/>
    </row>
    <row r="2860">
      <c r="A2860" s="79" t="s">
        <v>20847</v>
      </c>
      <c r="B2860" s="45"/>
      <c r="C2860" s="79" t="s">
        <v>20848</v>
      </c>
      <c r="D2860" s="45"/>
      <c r="E2860" s="79" t="s">
        <v>5276</v>
      </c>
      <c r="F2860" s="79" t="s">
        <v>5300</v>
      </c>
      <c r="G2860" s="80" t="s">
        <v>96</v>
      </c>
      <c r="H2860" s="90">
        <v>8.23E-5</v>
      </c>
      <c r="I2860" s="45"/>
      <c r="J2860" s="45"/>
      <c r="K2860" s="45"/>
      <c r="L2860" s="45"/>
      <c r="M2860" s="45"/>
      <c r="N2860" s="45"/>
      <c r="O2860" s="45"/>
      <c r="P2860" s="45"/>
      <c r="Q2860" s="45"/>
      <c r="R2860" s="45"/>
      <c r="S2860" s="45"/>
      <c r="T2860" s="45"/>
      <c r="U2860" s="45"/>
    </row>
    <row r="2861">
      <c r="A2861" s="79" t="s">
        <v>10417</v>
      </c>
      <c r="B2861" s="45"/>
      <c r="C2861" s="79" t="s">
        <v>20849</v>
      </c>
      <c r="D2861" s="45"/>
      <c r="E2861" s="79" t="s">
        <v>5395</v>
      </c>
      <c r="F2861" s="79" t="s">
        <v>5425</v>
      </c>
      <c r="G2861" s="80" t="s">
        <v>96</v>
      </c>
      <c r="H2861" s="90">
        <v>8.22E-5</v>
      </c>
      <c r="I2861" s="45"/>
      <c r="J2861" s="45"/>
      <c r="K2861" s="45"/>
      <c r="L2861" s="45"/>
      <c r="M2861" s="45"/>
      <c r="N2861" s="45"/>
      <c r="O2861" s="45"/>
      <c r="P2861" s="45"/>
      <c r="Q2861" s="45"/>
      <c r="R2861" s="45"/>
      <c r="S2861" s="45"/>
      <c r="T2861" s="45"/>
      <c r="U2861" s="45"/>
    </row>
    <row r="2862">
      <c r="A2862" s="79" t="s">
        <v>20850</v>
      </c>
      <c r="B2862" s="45"/>
      <c r="C2862" s="79" t="s">
        <v>20851</v>
      </c>
      <c r="D2862" s="45"/>
      <c r="E2862" s="79" t="s">
        <v>5229</v>
      </c>
      <c r="F2862" s="79" t="s">
        <v>6210</v>
      </c>
      <c r="G2862" s="80" t="s">
        <v>96</v>
      </c>
      <c r="H2862" s="90">
        <v>8.21E-5</v>
      </c>
      <c r="I2862" s="45"/>
      <c r="J2862" s="45"/>
      <c r="K2862" s="45"/>
      <c r="L2862" s="45"/>
      <c r="M2862" s="45"/>
      <c r="N2862" s="45"/>
      <c r="O2862" s="45"/>
      <c r="P2862" s="45"/>
      <c r="Q2862" s="45"/>
      <c r="R2862" s="45"/>
      <c r="S2862" s="45"/>
      <c r="T2862" s="45"/>
      <c r="U2862" s="45"/>
    </row>
    <row r="2863">
      <c r="A2863" s="79" t="s">
        <v>20852</v>
      </c>
      <c r="B2863" s="45"/>
      <c r="C2863" s="79" t="s">
        <v>20853</v>
      </c>
      <c r="D2863" s="45"/>
      <c r="E2863" s="79" t="s">
        <v>5501</v>
      </c>
      <c r="F2863" s="79" t="s">
        <v>8784</v>
      </c>
      <c r="G2863" s="80" t="s">
        <v>96</v>
      </c>
      <c r="H2863" s="90">
        <v>8.2E-5</v>
      </c>
      <c r="I2863" s="45"/>
      <c r="J2863" s="45"/>
      <c r="K2863" s="45"/>
      <c r="L2863" s="45"/>
      <c r="M2863" s="45"/>
      <c r="N2863" s="45"/>
      <c r="O2863" s="45"/>
      <c r="P2863" s="45"/>
      <c r="Q2863" s="45"/>
      <c r="R2863" s="45"/>
      <c r="S2863" s="45"/>
      <c r="T2863" s="45"/>
      <c r="U2863" s="45"/>
    </row>
    <row r="2864">
      <c r="A2864" s="79" t="s">
        <v>20854</v>
      </c>
      <c r="B2864" s="45"/>
      <c r="C2864" s="79" t="s">
        <v>20855</v>
      </c>
      <c r="D2864" s="45"/>
      <c r="E2864" s="79" t="s">
        <v>5321</v>
      </c>
      <c r="F2864" s="79" t="s">
        <v>5425</v>
      </c>
      <c r="G2864" s="80" t="s">
        <v>96</v>
      </c>
      <c r="H2864" s="90">
        <v>8.2E-5</v>
      </c>
      <c r="I2864" s="45"/>
      <c r="J2864" s="45"/>
      <c r="K2864" s="45"/>
      <c r="L2864" s="45"/>
      <c r="M2864" s="45"/>
      <c r="N2864" s="45"/>
      <c r="O2864" s="45"/>
      <c r="P2864" s="45"/>
      <c r="Q2864" s="45"/>
      <c r="R2864" s="45"/>
      <c r="S2864" s="45"/>
      <c r="T2864" s="45"/>
      <c r="U2864" s="45"/>
    </row>
    <row r="2865">
      <c r="A2865" s="79" t="s">
        <v>11786</v>
      </c>
      <c r="B2865" s="45"/>
      <c r="C2865" s="79" t="s">
        <v>20856</v>
      </c>
      <c r="D2865" s="45"/>
      <c r="E2865" s="79" t="s">
        <v>5735</v>
      </c>
      <c r="F2865" s="79" t="s">
        <v>5425</v>
      </c>
      <c r="G2865" s="80" t="s">
        <v>96</v>
      </c>
      <c r="H2865" s="90">
        <v>8.17E-5</v>
      </c>
      <c r="I2865" s="45"/>
      <c r="J2865" s="45"/>
      <c r="K2865" s="45"/>
      <c r="L2865" s="45"/>
      <c r="M2865" s="45"/>
      <c r="N2865" s="45"/>
      <c r="O2865" s="45"/>
      <c r="P2865" s="45"/>
      <c r="Q2865" s="45"/>
      <c r="R2865" s="45"/>
      <c r="S2865" s="45"/>
      <c r="T2865" s="45"/>
      <c r="U2865" s="45"/>
    </row>
    <row r="2866">
      <c r="A2866" s="79" t="s">
        <v>20857</v>
      </c>
      <c r="B2866" s="45"/>
      <c r="C2866" s="79" t="s">
        <v>20858</v>
      </c>
      <c r="D2866" s="45"/>
      <c r="E2866" s="79" t="s">
        <v>5267</v>
      </c>
      <c r="F2866" s="79" t="s">
        <v>8759</v>
      </c>
      <c r="G2866" s="80" t="s">
        <v>96</v>
      </c>
      <c r="H2866" s="90">
        <v>8.17E-5</v>
      </c>
      <c r="I2866" s="45"/>
      <c r="J2866" s="45"/>
      <c r="K2866" s="45"/>
      <c r="L2866" s="45"/>
      <c r="M2866" s="45"/>
      <c r="N2866" s="45"/>
      <c r="O2866" s="45"/>
      <c r="P2866" s="45"/>
      <c r="Q2866" s="45"/>
      <c r="R2866" s="45"/>
      <c r="S2866" s="45"/>
      <c r="T2866" s="45"/>
      <c r="U2866" s="45"/>
    </row>
    <row r="2867">
      <c r="A2867" s="79" t="s">
        <v>4576</v>
      </c>
      <c r="B2867" s="45"/>
      <c r="C2867" s="79" t="s">
        <v>20859</v>
      </c>
      <c r="D2867" s="45"/>
      <c r="E2867" s="79" t="s">
        <v>5215</v>
      </c>
      <c r="F2867" s="79" t="s">
        <v>4357</v>
      </c>
      <c r="G2867" s="80" t="s">
        <v>96</v>
      </c>
      <c r="H2867" s="90">
        <v>8.16E-5</v>
      </c>
      <c r="I2867" s="45"/>
      <c r="J2867" s="45"/>
      <c r="K2867" s="45"/>
      <c r="L2867" s="45"/>
      <c r="M2867" s="45"/>
      <c r="N2867" s="45"/>
      <c r="O2867" s="45"/>
      <c r="P2867" s="45"/>
      <c r="Q2867" s="45"/>
      <c r="R2867" s="45"/>
      <c r="S2867" s="45"/>
      <c r="T2867" s="45"/>
      <c r="U2867" s="45"/>
    </row>
    <row r="2868">
      <c r="A2868" s="79" t="s">
        <v>20860</v>
      </c>
      <c r="B2868" s="45"/>
      <c r="C2868" s="79" t="s">
        <v>20861</v>
      </c>
      <c r="D2868" s="45"/>
      <c r="E2868" s="79" t="s">
        <v>5691</v>
      </c>
      <c r="F2868" s="79" t="s">
        <v>5927</v>
      </c>
      <c r="G2868" s="80" t="s">
        <v>96</v>
      </c>
      <c r="H2868" s="90">
        <v>8.16E-5</v>
      </c>
      <c r="I2868" s="45"/>
      <c r="J2868" s="45"/>
      <c r="K2868" s="45"/>
      <c r="L2868" s="45"/>
      <c r="M2868" s="45"/>
      <c r="N2868" s="45"/>
      <c r="O2868" s="45"/>
      <c r="P2868" s="45"/>
      <c r="Q2868" s="45"/>
      <c r="R2868" s="45"/>
      <c r="S2868" s="45"/>
      <c r="T2868" s="45"/>
      <c r="U2868" s="45"/>
    </row>
    <row r="2869">
      <c r="A2869" s="79" t="s">
        <v>20862</v>
      </c>
      <c r="B2869" s="45"/>
      <c r="C2869" s="79" t="s">
        <v>20863</v>
      </c>
      <c r="D2869" s="45"/>
      <c r="E2869" s="79" t="s">
        <v>7611</v>
      </c>
      <c r="F2869" s="79" t="s">
        <v>5300</v>
      </c>
      <c r="G2869" s="80" t="s">
        <v>96</v>
      </c>
      <c r="H2869" s="90">
        <v>8.16E-5</v>
      </c>
      <c r="I2869" s="45"/>
      <c r="J2869" s="45"/>
      <c r="K2869" s="45"/>
      <c r="L2869" s="45"/>
      <c r="M2869" s="45"/>
      <c r="N2869" s="45"/>
      <c r="O2869" s="45"/>
      <c r="P2869" s="45"/>
      <c r="Q2869" s="45"/>
      <c r="R2869" s="45"/>
      <c r="S2869" s="45"/>
      <c r="T2869" s="45"/>
      <c r="U2869" s="45"/>
    </row>
    <row r="2870">
      <c r="A2870" s="79" t="s">
        <v>20864</v>
      </c>
      <c r="B2870" s="45"/>
      <c r="C2870" s="79" t="s">
        <v>20865</v>
      </c>
      <c r="D2870" s="45"/>
      <c r="E2870" s="79" t="s">
        <v>5348</v>
      </c>
      <c r="F2870" s="79" t="s">
        <v>8784</v>
      </c>
      <c r="G2870" s="80" t="s">
        <v>96</v>
      </c>
      <c r="H2870" s="90">
        <v>8.15E-5</v>
      </c>
      <c r="I2870" s="45"/>
      <c r="J2870" s="45"/>
      <c r="K2870" s="45"/>
      <c r="L2870" s="45"/>
      <c r="M2870" s="45"/>
      <c r="N2870" s="45"/>
      <c r="O2870" s="45"/>
      <c r="P2870" s="45"/>
      <c r="Q2870" s="45"/>
      <c r="R2870" s="45"/>
      <c r="S2870" s="45"/>
      <c r="T2870" s="45"/>
      <c r="U2870" s="45"/>
    </row>
    <row r="2871">
      <c r="A2871" s="79" t="s">
        <v>20866</v>
      </c>
      <c r="B2871" s="45"/>
      <c r="C2871" s="79" t="s">
        <v>20867</v>
      </c>
      <c r="D2871" s="45"/>
      <c r="E2871" s="79" t="s">
        <v>5589</v>
      </c>
      <c r="F2871" s="79" t="s">
        <v>9299</v>
      </c>
      <c r="G2871" s="80" t="s">
        <v>96</v>
      </c>
      <c r="H2871" s="90">
        <v>8.14E-5</v>
      </c>
      <c r="I2871" s="45"/>
      <c r="J2871" s="45"/>
      <c r="K2871" s="45"/>
      <c r="L2871" s="45"/>
      <c r="M2871" s="45"/>
      <c r="N2871" s="45"/>
      <c r="O2871" s="45"/>
      <c r="P2871" s="45"/>
      <c r="Q2871" s="45"/>
      <c r="R2871" s="45"/>
      <c r="S2871" s="45"/>
      <c r="T2871" s="45"/>
      <c r="U2871" s="45"/>
    </row>
    <row r="2872">
      <c r="A2872" s="79" t="s">
        <v>20868</v>
      </c>
      <c r="B2872" s="45"/>
      <c r="C2872" s="79" t="s">
        <v>20869</v>
      </c>
      <c r="D2872" s="45"/>
      <c r="E2872" s="79" t="s">
        <v>5501</v>
      </c>
      <c r="F2872" s="79" t="s">
        <v>8784</v>
      </c>
      <c r="G2872" s="80" t="s">
        <v>96</v>
      </c>
      <c r="H2872" s="90">
        <v>8.14E-5</v>
      </c>
      <c r="I2872" s="45"/>
      <c r="J2872" s="45"/>
      <c r="K2872" s="45"/>
      <c r="L2872" s="45"/>
      <c r="M2872" s="45"/>
      <c r="N2872" s="45"/>
      <c r="O2872" s="45"/>
      <c r="P2872" s="45"/>
      <c r="Q2872" s="45"/>
      <c r="R2872" s="45"/>
      <c r="S2872" s="45"/>
      <c r="T2872" s="45"/>
      <c r="U2872" s="45"/>
    </row>
    <row r="2873">
      <c r="A2873" s="79" t="s">
        <v>20870</v>
      </c>
      <c r="B2873" s="45"/>
      <c r="C2873" s="79" t="s">
        <v>20871</v>
      </c>
      <c r="D2873" s="45"/>
      <c r="E2873" s="79" t="s">
        <v>9478</v>
      </c>
      <c r="F2873" s="79" t="s">
        <v>9513</v>
      </c>
      <c r="G2873" s="80" t="s">
        <v>96</v>
      </c>
      <c r="H2873" s="90">
        <v>8.13E-5</v>
      </c>
      <c r="I2873" s="45"/>
      <c r="J2873" s="45"/>
      <c r="K2873" s="45"/>
      <c r="L2873" s="45"/>
      <c r="M2873" s="45"/>
      <c r="N2873" s="45"/>
      <c r="O2873" s="45"/>
      <c r="P2873" s="45"/>
      <c r="Q2873" s="45"/>
      <c r="R2873" s="45"/>
      <c r="S2873" s="45"/>
      <c r="T2873" s="45"/>
      <c r="U2873" s="45"/>
    </row>
    <row r="2874">
      <c r="A2874" s="79" t="s">
        <v>20872</v>
      </c>
      <c r="B2874" s="45"/>
      <c r="C2874" s="79" t="s">
        <v>20873</v>
      </c>
      <c r="D2874" s="45"/>
      <c r="E2874" s="79" t="s">
        <v>5650</v>
      </c>
      <c r="F2874" s="79" t="s">
        <v>8784</v>
      </c>
      <c r="G2874" s="80" t="s">
        <v>96</v>
      </c>
      <c r="H2874" s="90">
        <v>8.13E-5</v>
      </c>
      <c r="I2874" s="45"/>
      <c r="J2874" s="45"/>
      <c r="K2874" s="45"/>
      <c r="L2874" s="45"/>
      <c r="M2874" s="45"/>
      <c r="N2874" s="45"/>
      <c r="O2874" s="45"/>
      <c r="P2874" s="45"/>
      <c r="Q2874" s="45"/>
      <c r="R2874" s="45"/>
      <c r="S2874" s="45"/>
      <c r="T2874" s="45"/>
      <c r="U2874" s="45"/>
    </row>
    <row r="2875">
      <c r="A2875" s="79" t="s">
        <v>20874</v>
      </c>
      <c r="B2875" s="45"/>
      <c r="C2875" s="79" t="s">
        <v>20875</v>
      </c>
      <c r="D2875" s="45"/>
      <c r="E2875" s="79" t="s">
        <v>5445</v>
      </c>
      <c r="F2875" s="79" t="s">
        <v>6210</v>
      </c>
      <c r="G2875" s="80" t="s">
        <v>96</v>
      </c>
      <c r="H2875" s="90">
        <v>8.13E-5</v>
      </c>
      <c r="I2875" s="45"/>
      <c r="J2875" s="45"/>
      <c r="K2875" s="45"/>
      <c r="L2875" s="45"/>
      <c r="M2875" s="45"/>
      <c r="N2875" s="45"/>
      <c r="O2875" s="45"/>
      <c r="P2875" s="45"/>
      <c r="Q2875" s="45"/>
      <c r="R2875" s="45"/>
      <c r="S2875" s="45"/>
      <c r="T2875" s="45"/>
      <c r="U2875" s="45"/>
    </row>
    <row r="2876">
      <c r="A2876" s="79" t="s">
        <v>17516</v>
      </c>
      <c r="B2876" s="45"/>
      <c r="C2876" s="79" t="s">
        <v>20876</v>
      </c>
      <c r="D2876" s="45"/>
      <c r="E2876" s="79" t="s">
        <v>5682</v>
      </c>
      <c r="F2876" s="79" t="s">
        <v>5747</v>
      </c>
      <c r="G2876" s="80" t="s">
        <v>96</v>
      </c>
      <c r="H2876" s="90">
        <v>8.13E-5</v>
      </c>
      <c r="I2876" s="45"/>
      <c r="J2876" s="45"/>
      <c r="K2876" s="45"/>
      <c r="L2876" s="45"/>
      <c r="M2876" s="45"/>
      <c r="N2876" s="45"/>
      <c r="O2876" s="45"/>
      <c r="P2876" s="45"/>
      <c r="Q2876" s="45"/>
      <c r="R2876" s="45"/>
      <c r="S2876" s="45"/>
      <c r="T2876" s="45"/>
      <c r="U2876" s="45"/>
    </row>
    <row r="2877">
      <c r="A2877" s="79" t="s">
        <v>20877</v>
      </c>
      <c r="B2877" s="45"/>
      <c r="C2877" s="79" t="s">
        <v>20878</v>
      </c>
      <c r="D2877" s="45"/>
      <c r="E2877" s="79" t="s">
        <v>5650</v>
      </c>
      <c r="F2877" s="79" t="s">
        <v>8784</v>
      </c>
      <c r="G2877" s="80" t="s">
        <v>96</v>
      </c>
      <c r="H2877" s="90">
        <v>8.13E-5</v>
      </c>
      <c r="I2877" s="45"/>
      <c r="J2877" s="45"/>
      <c r="K2877" s="45"/>
      <c r="L2877" s="45"/>
      <c r="M2877" s="45"/>
      <c r="N2877" s="45"/>
      <c r="O2877" s="45"/>
      <c r="P2877" s="45"/>
      <c r="Q2877" s="45"/>
      <c r="R2877" s="45"/>
      <c r="S2877" s="45"/>
      <c r="T2877" s="45"/>
      <c r="U2877" s="45"/>
    </row>
    <row r="2878">
      <c r="A2878" s="79" t="s">
        <v>20879</v>
      </c>
      <c r="B2878" s="45"/>
      <c r="C2878" s="79" t="s">
        <v>20880</v>
      </c>
      <c r="D2878" s="45"/>
      <c r="E2878" s="79" t="s">
        <v>5525</v>
      </c>
      <c r="F2878" s="79" t="s">
        <v>8784</v>
      </c>
      <c r="G2878" s="80" t="s">
        <v>96</v>
      </c>
      <c r="H2878" s="90">
        <v>8.11E-5</v>
      </c>
      <c r="I2878" s="45"/>
      <c r="J2878" s="45"/>
      <c r="K2878" s="45"/>
      <c r="L2878" s="45"/>
      <c r="M2878" s="45"/>
      <c r="N2878" s="45"/>
      <c r="O2878" s="45"/>
      <c r="P2878" s="45"/>
      <c r="Q2878" s="45"/>
      <c r="R2878" s="45"/>
      <c r="S2878" s="45"/>
      <c r="T2878" s="45"/>
      <c r="U2878" s="45"/>
    </row>
    <row r="2879">
      <c r="A2879" s="79" t="s">
        <v>20881</v>
      </c>
      <c r="B2879" s="45"/>
      <c r="C2879" s="79" t="s">
        <v>20882</v>
      </c>
      <c r="D2879" s="45"/>
      <c r="E2879" s="79" t="s">
        <v>5215</v>
      </c>
      <c r="F2879" s="79" t="s">
        <v>5300</v>
      </c>
      <c r="G2879" s="80" t="s">
        <v>96</v>
      </c>
      <c r="H2879" s="90">
        <v>8.1E-5</v>
      </c>
      <c r="I2879" s="45"/>
      <c r="J2879" s="45"/>
      <c r="K2879" s="45"/>
      <c r="L2879" s="45"/>
      <c r="M2879" s="45"/>
      <c r="N2879" s="45"/>
      <c r="O2879" s="45"/>
      <c r="P2879" s="45"/>
      <c r="Q2879" s="45"/>
      <c r="R2879" s="45"/>
      <c r="S2879" s="45"/>
      <c r="T2879" s="45"/>
      <c r="U2879" s="45"/>
    </row>
    <row r="2880">
      <c r="A2880" s="79" t="s">
        <v>20883</v>
      </c>
      <c r="B2880" s="45"/>
      <c r="C2880" s="79" t="s">
        <v>20884</v>
      </c>
      <c r="D2880" s="45"/>
      <c r="E2880" s="79" t="s">
        <v>5276</v>
      </c>
      <c r="F2880" s="79" t="s">
        <v>5425</v>
      </c>
      <c r="G2880" s="80" t="s">
        <v>96</v>
      </c>
      <c r="H2880" s="90">
        <v>8.1E-5</v>
      </c>
      <c r="I2880" s="45"/>
      <c r="J2880" s="45"/>
      <c r="K2880" s="45"/>
      <c r="L2880" s="45"/>
      <c r="M2880" s="45"/>
      <c r="N2880" s="45"/>
      <c r="O2880" s="45"/>
      <c r="P2880" s="45"/>
      <c r="Q2880" s="45"/>
      <c r="R2880" s="45"/>
      <c r="S2880" s="45"/>
      <c r="T2880" s="45"/>
      <c r="U2880" s="45"/>
    </row>
    <row r="2881">
      <c r="A2881" s="79" t="s">
        <v>20885</v>
      </c>
      <c r="B2881" s="45"/>
      <c r="C2881" s="79" t="s">
        <v>20886</v>
      </c>
      <c r="D2881" s="45"/>
      <c r="E2881" s="79" t="s">
        <v>5374</v>
      </c>
      <c r="F2881" s="79" t="s">
        <v>5300</v>
      </c>
      <c r="G2881" s="80" t="s">
        <v>96</v>
      </c>
      <c r="H2881" s="90">
        <v>8.1E-5</v>
      </c>
      <c r="I2881" s="45"/>
      <c r="J2881" s="45"/>
      <c r="K2881" s="45"/>
      <c r="L2881" s="45"/>
      <c r="M2881" s="45"/>
      <c r="N2881" s="45"/>
      <c r="O2881" s="45"/>
      <c r="P2881" s="45"/>
      <c r="Q2881" s="45"/>
      <c r="R2881" s="45"/>
      <c r="S2881" s="45"/>
      <c r="T2881" s="45"/>
      <c r="U2881" s="45"/>
    </row>
    <row r="2882">
      <c r="A2882" s="79" t="s">
        <v>20887</v>
      </c>
      <c r="B2882" s="45"/>
      <c r="C2882" s="79" t="s">
        <v>20888</v>
      </c>
      <c r="D2882" s="45"/>
      <c r="E2882" s="79" t="s">
        <v>5246</v>
      </c>
      <c r="F2882" s="79" t="s">
        <v>5836</v>
      </c>
      <c r="G2882" s="80" t="s">
        <v>96</v>
      </c>
      <c r="H2882" s="90">
        <v>8.05E-5</v>
      </c>
      <c r="I2882" s="45"/>
      <c r="J2882" s="45"/>
      <c r="K2882" s="45"/>
      <c r="L2882" s="45"/>
      <c r="M2882" s="45"/>
      <c r="N2882" s="45"/>
      <c r="O2882" s="45"/>
      <c r="P2882" s="45"/>
      <c r="Q2882" s="45"/>
      <c r="R2882" s="45"/>
      <c r="S2882" s="45"/>
      <c r="T2882" s="45"/>
      <c r="U2882" s="45"/>
    </row>
    <row r="2883">
      <c r="A2883" s="79" t="s">
        <v>20889</v>
      </c>
      <c r="B2883" s="45"/>
      <c r="C2883" s="79" t="s">
        <v>20890</v>
      </c>
      <c r="D2883" s="45"/>
      <c r="E2883" s="79" t="s">
        <v>8480</v>
      </c>
      <c r="F2883" s="79" t="s">
        <v>5300</v>
      </c>
      <c r="G2883" s="80" t="s">
        <v>96</v>
      </c>
      <c r="H2883" s="90">
        <v>8.04E-5</v>
      </c>
      <c r="I2883" s="45"/>
      <c r="J2883" s="45"/>
      <c r="K2883" s="45"/>
      <c r="L2883" s="45"/>
      <c r="M2883" s="45"/>
      <c r="N2883" s="45"/>
      <c r="O2883" s="45"/>
      <c r="P2883" s="45"/>
      <c r="Q2883" s="45"/>
      <c r="R2883" s="45"/>
      <c r="S2883" s="45"/>
      <c r="T2883" s="45"/>
      <c r="U2883" s="45"/>
    </row>
    <row r="2884">
      <c r="A2884" s="79" t="s">
        <v>20891</v>
      </c>
      <c r="B2884" s="45"/>
      <c r="C2884" s="79" t="s">
        <v>20892</v>
      </c>
      <c r="D2884" s="45"/>
      <c r="E2884" s="79" t="s">
        <v>8480</v>
      </c>
      <c r="F2884" s="79" t="s">
        <v>5300</v>
      </c>
      <c r="G2884" s="80" t="s">
        <v>96</v>
      </c>
      <c r="H2884" s="90">
        <v>8.04E-5</v>
      </c>
      <c r="I2884" s="45"/>
      <c r="J2884" s="45"/>
      <c r="K2884" s="45"/>
      <c r="L2884" s="45"/>
      <c r="M2884" s="45"/>
      <c r="N2884" s="45"/>
      <c r="O2884" s="45"/>
      <c r="P2884" s="45"/>
      <c r="Q2884" s="45"/>
      <c r="R2884" s="45"/>
      <c r="S2884" s="45"/>
      <c r="T2884" s="45"/>
      <c r="U2884" s="45"/>
    </row>
    <row r="2885">
      <c r="A2885" s="79" t="s">
        <v>20893</v>
      </c>
      <c r="B2885" s="45"/>
      <c r="C2885" s="79" t="s">
        <v>20894</v>
      </c>
      <c r="D2885" s="45"/>
      <c r="E2885" s="79" t="s">
        <v>5215</v>
      </c>
      <c r="F2885" s="79" t="s">
        <v>5300</v>
      </c>
      <c r="G2885" s="80" t="s">
        <v>96</v>
      </c>
      <c r="H2885" s="90">
        <v>8.04E-5</v>
      </c>
      <c r="I2885" s="45"/>
      <c r="J2885" s="45"/>
      <c r="K2885" s="45"/>
      <c r="L2885" s="45"/>
      <c r="M2885" s="45"/>
      <c r="N2885" s="45"/>
      <c r="O2885" s="45"/>
      <c r="P2885" s="45"/>
      <c r="Q2885" s="45"/>
      <c r="R2885" s="45"/>
      <c r="S2885" s="45"/>
      <c r="T2885" s="45"/>
      <c r="U2885" s="45"/>
    </row>
    <row r="2886">
      <c r="A2886" s="79" t="s">
        <v>20895</v>
      </c>
      <c r="B2886" s="45"/>
      <c r="C2886" s="79" t="s">
        <v>20896</v>
      </c>
      <c r="D2886" s="45"/>
      <c r="E2886" s="79" t="s">
        <v>5550</v>
      </c>
      <c r="F2886" s="79" t="s">
        <v>5941</v>
      </c>
      <c r="G2886" s="80" t="s">
        <v>96</v>
      </c>
      <c r="H2886" s="90">
        <v>8.02E-5</v>
      </c>
      <c r="I2886" s="45"/>
      <c r="J2886" s="45"/>
      <c r="K2886" s="45"/>
      <c r="L2886" s="45"/>
      <c r="M2886" s="45"/>
      <c r="N2886" s="45"/>
      <c r="O2886" s="45"/>
      <c r="P2886" s="45"/>
      <c r="Q2886" s="45"/>
      <c r="R2886" s="45"/>
      <c r="S2886" s="45"/>
      <c r="T2886" s="45"/>
      <c r="U2886" s="45"/>
    </row>
    <row r="2887">
      <c r="A2887" s="79" t="s">
        <v>20897</v>
      </c>
      <c r="B2887" s="45"/>
      <c r="C2887" s="79" t="s">
        <v>20898</v>
      </c>
      <c r="D2887" s="45"/>
      <c r="E2887" s="79" t="s">
        <v>5377</v>
      </c>
      <c r="F2887" s="79" t="s">
        <v>8759</v>
      </c>
      <c r="G2887" s="80" t="s">
        <v>96</v>
      </c>
      <c r="H2887" s="90">
        <v>8.02E-5</v>
      </c>
      <c r="I2887" s="45"/>
      <c r="J2887" s="45"/>
      <c r="K2887" s="45"/>
      <c r="L2887" s="45"/>
      <c r="M2887" s="45"/>
      <c r="N2887" s="45"/>
      <c r="O2887" s="45"/>
      <c r="P2887" s="45"/>
      <c r="Q2887" s="45"/>
      <c r="R2887" s="45"/>
      <c r="S2887" s="45"/>
      <c r="T2887" s="45"/>
      <c r="U2887" s="45"/>
    </row>
    <row r="2888">
      <c r="A2888" s="79" t="s">
        <v>20899</v>
      </c>
      <c r="B2888" s="45"/>
      <c r="C2888" s="79" t="s">
        <v>20900</v>
      </c>
      <c r="D2888" s="45"/>
      <c r="E2888" s="79" t="s">
        <v>5564</v>
      </c>
      <c r="F2888" s="79" t="s">
        <v>5941</v>
      </c>
      <c r="G2888" s="80" t="s">
        <v>96</v>
      </c>
      <c r="H2888" s="90">
        <v>8.02E-5</v>
      </c>
      <c r="I2888" s="45"/>
      <c r="J2888" s="45"/>
      <c r="K2888" s="45"/>
      <c r="L2888" s="45"/>
      <c r="M2888" s="45"/>
      <c r="N2888" s="45"/>
      <c r="O2888" s="45"/>
      <c r="P2888" s="45"/>
      <c r="Q2888" s="45"/>
      <c r="R2888" s="45"/>
      <c r="S2888" s="45"/>
      <c r="T2888" s="45"/>
      <c r="U2888" s="45"/>
    </row>
    <row r="2889">
      <c r="A2889" s="79" t="s">
        <v>20901</v>
      </c>
      <c r="B2889" s="45"/>
      <c r="C2889" s="79" t="s">
        <v>20902</v>
      </c>
      <c r="D2889" s="45"/>
      <c r="E2889" s="79" t="s">
        <v>6266</v>
      </c>
      <c r="F2889" s="79" t="s">
        <v>5300</v>
      </c>
      <c r="G2889" s="80" t="s">
        <v>96</v>
      </c>
      <c r="H2889" s="90">
        <v>8.01E-5</v>
      </c>
      <c r="I2889" s="45"/>
      <c r="J2889" s="45"/>
      <c r="K2889" s="45"/>
      <c r="L2889" s="45"/>
      <c r="M2889" s="45"/>
      <c r="N2889" s="45"/>
      <c r="O2889" s="45"/>
      <c r="P2889" s="45"/>
      <c r="Q2889" s="45"/>
      <c r="R2889" s="45"/>
      <c r="S2889" s="45"/>
      <c r="T2889" s="45"/>
      <c r="U2889" s="45"/>
    </row>
    <row r="2890">
      <c r="A2890" s="79" t="s">
        <v>20903</v>
      </c>
      <c r="B2890" s="45"/>
      <c r="C2890" s="79" t="s">
        <v>20904</v>
      </c>
      <c r="D2890" s="45"/>
      <c r="E2890" s="79" t="s">
        <v>5434</v>
      </c>
      <c r="F2890" s="79" t="s">
        <v>8784</v>
      </c>
      <c r="G2890" s="80" t="s">
        <v>96</v>
      </c>
      <c r="H2890" s="90">
        <v>8.0E-5</v>
      </c>
      <c r="I2890" s="45"/>
      <c r="J2890" s="45"/>
      <c r="K2890" s="45"/>
      <c r="L2890" s="45"/>
      <c r="M2890" s="45"/>
      <c r="N2890" s="45"/>
      <c r="O2890" s="45"/>
      <c r="P2890" s="45"/>
      <c r="Q2890" s="45"/>
      <c r="R2890" s="45"/>
      <c r="S2890" s="45"/>
      <c r="T2890" s="45"/>
      <c r="U2890" s="45"/>
    </row>
    <row r="2891">
      <c r="A2891" s="79" t="s">
        <v>20905</v>
      </c>
      <c r="B2891" s="45"/>
      <c r="C2891" s="79" t="s">
        <v>20906</v>
      </c>
      <c r="D2891" s="45"/>
      <c r="E2891" s="79" t="s">
        <v>5382</v>
      </c>
      <c r="F2891" s="79" t="s">
        <v>5425</v>
      </c>
      <c r="G2891" s="80" t="s">
        <v>96</v>
      </c>
      <c r="H2891" s="90">
        <v>7.99E-5</v>
      </c>
      <c r="I2891" s="45"/>
      <c r="J2891" s="45"/>
      <c r="K2891" s="45"/>
      <c r="L2891" s="45"/>
      <c r="M2891" s="45"/>
      <c r="N2891" s="45"/>
      <c r="O2891" s="45"/>
      <c r="P2891" s="45"/>
      <c r="Q2891" s="45"/>
      <c r="R2891" s="45"/>
      <c r="S2891" s="45"/>
      <c r="T2891" s="45"/>
      <c r="U2891" s="45"/>
    </row>
    <row r="2892">
      <c r="A2892" s="79" t="s">
        <v>20907</v>
      </c>
      <c r="B2892" s="45"/>
      <c r="C2892" s="79" t="s">
        <v>20908</v>
      </c>
      <c r="D2892" s="45"/>
      <c r="E2892" s="79" t="s">
        <v>5450</v>
      </c>
      <c r="F2892" s="79" t="s">
        <v>9021</v>
      </c>
      <c r="G2892" s="80" t="s">
        <v>96</v>
      </c>
      <c r="H2892" s="90">
        <v>7.98E-5</v>
      </c>
      <c r="I2892" s="45"/>
      <c r="J2892" s="45"/>
      <c r="K2892" s="45"/>
      <c r="L2892" s="45"/>
      <c r="M2892" s="45"/>
      <c r="N2892" s="45"/>
      <c r="O2892" s="45"/>
      <c r="P2892" s="45"/>
      <c r="Q2892" s="45"/>
      <c r="R2892" s="45"/>
      <c r="S2892" s="45"/>
      <c r="T2892" s="45"/>
      <c r="U2892" s="45"/>
    </row>
    <row r="2893">
      <c r="A2893" s="79" t="s">
        <v>20909</v>
      </c>
      <c r="B2893" s="45"/>
      <c r="C2893" s="79" t="s">
        <v>20910</v>
      </c>
      <c r="D2893" s="45"/>
      <c r="E2893" s="79" t="s">
        <v>5641</v>
      </c>
      <c r="F2893" s="79" t="s">
        <v>5300</v>
      </c>
      <c r="G2893" s="80" t="s">
        <v>96</v>
      </c>
      <c r="H2893" s="90">
        <v>7.98E-5</v>
      </c>
      <c r="I2893" s="45"/>
      <c r="J2893" s="45"/>
      <c r="K2893" s="45"/>
      <c r="L2893" s="45"/>
      <c r="M2893" s="45"/>
      <c r="N2893" s="45"/>
      <c r="O2893" s="45"/>
      <c r="P2893" s="45"/>
      <c r="Q2893" s="45"/>
      <c r="R2893" s="45"/>
      <c r="S2893" s="45"/>
      <c r="T2893" s="45"/>
      <c r="U2893" s="45"/>
    </row>
    <row r="2894">
      <c r="A2894" s="79" t="s">
        <v>20911</v>
      </c>
      <c r="B2894" s="45"/>
      <c r="C2894" s="79" t="s">
        <v>20912</v>
      </c>
      <c r="D2894" s="45"/>
      <c r="E2894" s="79" t="s">
        <v>5467</v>
      </c>
      <c r="F2894" s="79" t="s">
        <v>8759</v>
      </c>
      <c r="G2894" s="80" t="s">
        <v>96</v>
      </c>
      <c r="H2894" s="90">
        <v>7.98E-5</v>
      </c>
      <c r="I2894" s="45"/>
      <c r="J2894" s="45"/>
      <c r="K2894" s="45"/>
      <c r="L2894" s="45"/>
      <c r="M2894" s="45"/>
      <c r="N2894" s="45"/>
      <c r="O2894" s="45"/>
      <c r="P2894" s="45"/>
      <c r="Q2894" s="45"/>
      <c r="R2894" s="45"/>
      <c r="S2894" s="45"/>
      <c r="T2894" s="45"/>
      <c r="U2894" s="45"/>
    </row>
    <row r="2895">
      <c r="A2895" s="79" t="s">
        <v>20913</v>
      </c>
      <c r="B2895" s="45"/>
      <c r="C2895" s="79" t="s">
        <v>20914</v>
      </c>
      <c r="D2895" s="45"/>
      <c r="E2895" s="79" t="s">
        <v>5215</v>
      </c>
      <c r="F2895" s="79" t="s">
        <v>8784</v>
      </c>
      <c r="G2895" s="80" t="s">
        <v>96</v>
      </c>
      <c r="H2895" s="90">
        <v>7.97E-5</v>
      </c>
      <c r="I2895" s="45"/>
      <c r="J2895" s="45"/>
      <c r="K2895" s="45"/>
      <c r="L2895" s="45"/>
      <c r="M2895" s="45"/>
      <c r="N2895" s="45"/>
      <c r="O2895" s="45"/>
      <c r="P2895" s="45"/>
      <c r="Q2895" s="45"/>
      <c r="R2895" s="45"/>
      <c r="S2895" s="45"/>
      <c r="T2895" s="45"/>
      <c r="U2895" s="45"/>
    </row>
    <row r="2896">
      <c r="A2896" s="79" t="s">
        <v>20915</v>
      </c>
      <c r="B2896" s="45"/>
      <c r="C2896" s="79" t="s">
        <v>20916</v>
      </c>
      <c r="D2896" s="45"/>
      <c r="E2896" s="79" t="s">
        <v>5422</v>
      </c>
      <c r="F2896" s="79" t="s">
        <v>8784</v>
      </c>
      <c r="G2896" s="80" t="s">
        <v>96</v>
      </c>
      <c r="H2896" s="90">
        <v>7.95E-5</v>
      </c>
      <c r="I2896" s="45"/>
      <c r="J2896" s="45"/>
      <c r="K2896" s="45"/>
      <c r="L2896" s="45"/>
      <c r="M2896" s="45"/>
      <c r="N2896" s="45"/>
      <c r="O2896" s="45"/>
      <c r="P2896" s="45"/>
      <c r="Q2896" s="45"/>
      <c r="R2896" s="45"/>
      <c r="S2896" s="45"/>
      <c r="T2896" s="45"/>
      <c r="U2896" s="45"/>
    </row>
    <row r="2897">
      <c r="A2897" s="79" t="s">
        <v>20917</v>
      </c>
      <c r="B2897" s="45"/>
      <c r="C2897" s="79" t="s">
        <v>20918</v>
      </c>
      <c r="D2897" s="45"/>
      <c r="E2897" s="79" t="s">
        <v>6327</v>
      </c>
      <c r="F2897" s="79" t="s">
        <v>9908</v>
      </c>
      <c r="G2897" s="80" t="s">
        <v>96</v>
      </c>
      <c r="H2897" s="90">
        <v>7.95E-5</v>
      </c>
      <c r="I2897" s="45"/>
      <c r="J2897" s="45"/>
      <c r="K2897" s="45"/>
      <c r="L2897" s="45"/>
      <c r="M2897" s="45"/>
      <c r="N2897" s="45"/>
      <c r="O2897" s="45"/>
      <c r="P2897" s="45"/>
      <c r="Q2897" s="45"/>
      <c r="R2897" s="45"/>
      <c r="S2897" s="45"/>
      <c r="T2897" s="45"/>
      <c r="U2897" s="45"/>
    </row>
    <row r="2898">
      <c r="A2898" s="79" t="s">
        <v>20919</v>
      </c>
      <c r="B2898" s="45"/>
      <c r="C2898" s="79" t="s">
        <v>20920</v>
      </c>
      <c r="D2898" s="45"/>
      <c r="E2898" s="79" t="s">
        <v>5229</v>
      </c>
      <c r="F2898" s="79" t="s">
        <v>8784</v>
      </c>
      <c r="G2898" s="80" t="s">
        <v>96</v>
      </c>
      <c r="H2898" s="90">
        <v>7.95E-5</v>
      </c>
      <c r="I2898" s="45"/>
      <c r="J2898" s="45"/>
      <c r="K2898" s="45"/>
      <c r="L2898" s="45"/>
      <c r="M2898" s="45"/>
      <c r="N2898" s="45"/>
      <c r="O2898" s="45"/>
      <c r="P2898" s="45"/>
      <c r="Q2898" s="45"/>
      <c r="R2898" s="45"/>
      <c r="S2898" s="45"/>
      <c r="T2898" s="45"/>
      <c r="U2898" s="45"/>
    </row>
    <row r="2899">
      <c r="A2899" s="79" t="s">
        <v>20921</v>
      </c>
      <c r="B2899" s="45"/>
      <c r="C2899" s="79" t="s">
        <v>20922</v>
      </c>
      <c r="D2899" s="45"/>
      <c r="E2899" s="79" t="s">
        <v>5215</v>
      </c>
      <c r="F2899" s="79" t="s">
        <v>5300</v>
      </c>
      <c r="G2899" s="80" t="s">
        <v>96</v>
      </c>
      <c r="H2899" s="90">
        <v>7.95E-5</v>
      </c>
      <c r="I2899" s="45"/>
      <c r="J2899" s="45"/>
      <c r="K2899" s="45"/>
      <c r="L2899" s="45"/>
      <c r="M2899" s="45"/>
      <c r="N2899" s="45"/>
      <c r="O2899" s="45"/>
      <c r="P2899" s="45"/>
      <c r="Q2899" s="45"/>
      <c r="R2899" s="45"/>
      <c r="S2899" s="45"/>
      <c r="T2899" s="45"/>
      <c r="U2899" s="45"/>
    </row>
    <row r="2900">
      <c r="A2900" s="79" t="s">
        <v>7266</v>
      </c>
      <c r="B2900" s="45"/>
      <c r="C2900" s="79" t="s">
        <v>20923</v>
      </c>
      <c r="D2900" s="45"/>
      <c r="E2900" s="79" t="s">
        <v>6012</v>
      </c>
      <c r="F2900" s="79" t="s">
        <v>8784</v>
      </c>
      <c r="G2900" s="80" t="s">
        <v>96</v>
      </c>
      <c r="H2900" s="90">
        <v>7.94E-5</v>
      </c>
      <c r="I2900" s="45"/>
      <c r="J2900" s="45"/>
      <c r="K2900" s="45"/>
      <c r="L2900" s="45"/>
      <c r="M2900" s="45"/>
      <c r="N2900" s="45"/>
      <c r="O2900" s="45"/>
      <c r="P2900" s="45"/>
      <c r="Q2900" s="45"/>
      <c r="R2900" s="45"/>
      <c r="S2900" s="45"/>
      <c r="T2900" s="45"/>
      <c r="U2900" s="45"/>
    </row>
    <row r="2901">
      <c r="A2901" s="79" t="s">
        <v>20924</v>
      </c>
      <c r="B2901" s="45"/>
      <c r="C2901" s="79" t="s">
        <v>20925</v>
      </c>
      <c r="D2901" s="45"/>
      <c r="E2901" s="79" t="s">
        <v>5374</v>
      </c>
      <c r="F2901" s="79" t="s">
        <v>8784</v>
      </c>
      <c r="G2901" s="80" t="s">
        <v>96</v>
      </c>
      <c r="H2901" s="90">
        <v>7.93E-5</v>
      </c>
      <c r="I2901" s="45"/>
      <c r="J2901" s="45"/>
      <c r="K2901" s="45"/>
      <c r="L2901" s="45"/>
      <c r="M2901" s="45"/>
      <c r="N2901" s="45"/>
      <c r="O2901" s="45"/>
      <c r="P2901" s="45"/>
      <c r="Q2901" s="45"/>
      <c r="R2901" s="45"/>
      <c r="S2901" s="45"/>
      <c r="T2901" s="45"/>
      <c r="U2901" s="45"/>
    </row>
    <row r="2902">
      <c r="A2902" s="79" t="s">
        <v>20926</v>
      </c>
      <c r="B2902" s="45"/>
      <c r="C2902" s="79" t="s">
        <v>20927</v>
      </c>
      <c r="D2902" s="45"/>
      <c r="E2902" s="79" t="s">
        <v>5253</v>
      </c>
      <c r="F2902" s="79" t="s">
        <v>6698</v>
      </c>
      <c r="G2902" s="80" t="s">
        <v>96</v>
      </c>
      <c r="H2902" s="90">
        <v>7.93E-5</v>
      </c>
      <c r="I2902" s="45"/>
      <c r="J2902" s="45"/>
      <c r="K2902" s="45"/>
      <c r="L2902" s="45"/>
      <c r="M2902" s="45"/>
      <c r="N2902" s="45"/>
      <c r="O2902" s="45"/>
      <c r="P2902" s="45"/>
      <c r="Q2902" s="45"/>
      <c r="R2902" s="45"/>
      <c r="S2902" s="45"/>
      <c r="T2902" s="45"/>
      <c r="U2902" s="45"/>
    </row>
    <row r="2903">
      <c r="A2903" s="79" t="s">
        <v>20928</v>
      </c>
      <c r="B2903" s="45"/>
      <c r="C2903" s="79" t="s">
        <v>20929</v>
      </c>
      <c r="D2903" s="45"/>
      <c r="E2903" s="79" t="s">
        <v>5422</v>
      </c>
      <c r="F2903" s="79" t="s">
        <v>8784</v>
      </c>
      <c r="G2903" s="80" t="s">
        <v>96</v>
      </c>
      <c r="H2903" s="90">
        <v>7.92E-5</v>
      </c>
      <c r="I2903" s="45"/>
      <c r="J2903" s="45"/>
      <c r="K2903" s="45"/>
      <c r="L2903" s="45"/>
      <c r="M2903" s="45"/>
      <c r="N2903" s="45"/>
      <c r="O2903" s="45"/>
      <c r="P2903" s="45"/>
      <c r="Q2903" s="45"/>
      <c r="R2903" s="45"/>
      <c r="S2903" s="45"/>
      <c r="T2903" s="45"/>
      <c r="U2903" s="45"/>
    </row>
    <row r="2904">
      <c r="A2904" s="79" t="s">
        <v>20930</v>
      </c>
      <c r="B2904" s="45"/>
      <c r="C2904" s="79" t="s">
        <v>20931</v>
      </c>
      <c r="D2904" s="45"/>
      <c r="E2904" s="79" t="s">
        <v>5215</v>
      </c>
      <c r="F2904" s="79" t="s">
        <v>5300</v>
      </c>
      <c r="G2904" s="80" t="s">
        <v>96</v>
      </c>
      <c r="H2904" s="90">
        <v>7.91E-5</v>
      </c>
      <c r="I2904" s="45"/>
      <c r="J2904" s="45"/>
      <c r="K2904" s="45"/>
      <c r="L2904" s="45"/>
      <c r="M2904" s="45"/>
      <c r="N2904" s="45"/>
      <c r="O2904" s="45"/>
      <c r="P2904" s="45"/>
      <c r="Q2904" s="45"/>
      <c r="R2904" s="45"/>
      <c r="S2904" s="45"/>
      <c r="T2904" s="45"/>
      <c r="U2904" s="45"/>
    </row>
    <row r="2905">
      <c r="A2905" s="79" t="s">
        <v>5750</v>
      </c>
      <c r="B2905" s="45"/>
      <c r="C2905" s="79" t="s">
        <v>20932</v>
      </c>
      <c r="D2905" s="45"/>
      <c r="E2905" s="79" t="s">
        <v>5516</v>
      </c>
      <c r="F2905" s="79" t="s">
        <v>5300</v>
      </c>
      <c r="G2905" s="80" t="s">
        <v>96</v>
      </c>
      <c r="H2905" s="90">
        <v>7.9E-5</v>
      </c>
      <c r="I2905" s="45"/>
      <c r="J2905" s="45"/>
      <c r="K2905" s="45"/>
      <c r="L2905" s="45"/>
      <c r="M2905" s="45"/>
      <c r="N2905" s="45"/>
      <c r="O2905" s="45"/>
      <c r="P2905" s="45"/>
      <c r="Q2905" s="45"/>
      <c r="R2905" s="45"/>
      <c r="S2905" s="45"/>
      <c r="T2905" s="45"/>
      <c r="U2905" s="45"/>
    </row>
    <row r="2906">
      <c r="A2906" s="79" t="s">
        <v>20933</v>
      </c>
      <c r="B2906" s="45"/>
      <c r="C2906" s="79" t="s">
        <v>20934</v>
      </c>
      <c r="D2906" s="45"/>
      <c r="E2906" s="79" t="s">
        <v>5276</v>
      </c>
      <c r="F2906" s="79" t="s">
        <v>5300</v>
      </c>
      <c r="G2906" s="80" t="s">
        <v>96</v>
      </c>
      <c r="H2906" s="90">
        <v>7.9E-5</v>
      </c>
      <c r="I2906" s="45"/>
      <c r="J2906" s="45"/>
      <c r="K2906" s="45"/>
      <c r="L2906" s="45"/>
      <c r="M2906" s="45"/>
      <c r="N2906" s="45"/>
      <c r="O2906" s="45"/>
      <c r="P2906" s="45"/>
      <c r="Q2906" s="45"/>
      <c r="R2906" s="45"/>
      <c r="S2906" s="45"/>
      <c r="T2906" s="45"/>
      <c r="U2906" s="45"/>
    </row>
    <row r="2907">
      <c r="A2907" s="79" t="s">
        <v>20935</v>
      </c>
      <c r="B2907" s="45"/>
      <c r="C2907" s="79" t="s">
        <v>20936</v>
      </c>
      <c r="D2907" s="45"/>
      <c r="E2907" s="79" t="s">
        <v>6090</v>
      </c>
      <c r="F2907" s="79" t="s">
        <v>8784</v>
      </c>
      <c r="G2907" s="80" t="s">
        <v>96</v>
      </c>
      <c r="H2907" s="90">
        <v>7.89E-5</v>
      </c>
      <c r="I2907" s="45"/>
      <c r="J2907" s="45"/>
      <c r="K2907" s="45"/>
      <c r="L2907" s="45"/>
      <c r="M2907" s="45"/>
      <c r="N2907" s="45"/>
      <c r="O2907" s="45"/>
      <c r="P2907" s="45"/>
      <c r="Q2907" s="45"/>
      <c r="R2907" s="45"/>
      <c r="S2907" s="45"/>
      <c r="T2907" s="45"/>
      <c r="U2907" s="45"/>
    </row>
    <row r="2908">
      <c r="A2908" s="79" t="s">
        <v>20937</v>
      </c>
      <c r="B2908" s="45"/>
      <c r="C2908" s="79" t="s">
        <v>20938</v>
      </c>
      <c r="D2908" s="45"/>
      <c r="E2908" s="79" t="s">
        <v>5316</v>
      </c>
      <c r="F2908" s="79" t="s">
        <v>5747</v>
      </c>
      <c r="G2908" s="80" t="s">
        <v>96</v>
      </c>
      <c r="H2908" s="90">
        <v>7.89E-5</v>
      </c>
      <c r="I2908" s="45"/>
      <c r="J2908" s="45"/>
      <c r="K2908" s="45"/>
      <c r="L2908" s="45"/>
      <c r="M2908" s="45"/>
      <c r="N2908" s="45"/>
      <c r="O2908" s="45"/>
      <c r="P2908" s="45"/>
      <c r="Q2908" s="45"/>
      <c r="R2908" s="45"/>
      <c r="S2908" s="45"/>
      <c r="T2908" s="45"/>
      <c r="U2908" s="45"/>
    </row>
    <row r="2909">
      <c r="A2909" s="79" t="s">
        <v>20939</v>
      </c>
      <c r="B2909" s="45"/>
      <c r="C2909" s="79" t="s">
        <v>20940</v>
      </c>
      <c r="D2909" s="45"/>
      <c r="E2909" s="79" t="s">
        <v>5450</v>
      </c>
      <c r="F2909" s="79" t="s">
        <v>5747</v>
      </c>
      <c r="G2909" s="80" t="s">
        <v>96</v>
      </c>
      <c r="H2909" s="90">
        <v>7.88E-5</v>
      </c>
      <c r="I2909" s="45"/>
      <c r="J2909" s="45"/>
      <c r="K2909" s="45"/>
      <c r="L2909" s="45"/>
      <c r="M2909" s="45"/>
      <c r="N2909" s="45"/>
      <c r="O2909" s="45"/>
      <c r="P2909" s="45"/>
      <c r="Q2909" s="45"/>
      <c r="R2909" s="45"/>
      <c r="S2909" s="45"/>
      <c r="T2909" s="45"/>
      <c r="U2909" s="45"/>
    </row>
    <row r="2910">
      <c r="A2910" s="79" t="s">
        <v>20941</v>
      </c>
      <c r="B2910" s="45"/>
      <c r="C2910" s="79" t="s">
        <v>20942</v>
      </c>
      <c r="D2910" s="45"/>
      <c r="E2910" s="79" t="s">
        <v>5467</v>
      </c>
      <c r="F2910" s="79" t="s">
        <v>9021</v>
      </c>
      <c r="G2910" s="80" t="s">
        <v>96</v>
      </c>
      <c r="H2910" s="90">
        <v>7.88E-5</v>
      </c>
      <c r="I2910" s="45"/>
      <c r="J2910" s="45"/>
      <c r="K2910" s="45"/>
      <c r="L2910" s="45"/>
      <c r="M2910" s="45"/>
      <c r="N2910" s="45"/>
      <c r="O2910" s="45"/>
      <c r="P2910" s="45"/>
      <c r="Q2910" s="45"/>
      <c r="R2910" s="45"/>
      <c r="S2910" s="45"/>
      <c r="T2910" s="45"/>
      <c r="U2910" s="45"/>
    </row>
    <row r="2911">
      <c r="A2911" s="79" t="s">
        <v>20943</v>
      </c>
      <c r="B2911" s="45"/>
      <c r="C2911" s="79" t="s">
        <v>20944</v>
      </c>
      <c r="D2911" s="45"/>
      <c r="E2911" s="79" t="s">
        <v>6223</v>
      </c>
      <c r="F2911" s="79" t="s">
        <v>9414</v>
      </c>
      <c r="G2911" s="80" t="s">
        <v>96</v>
      </c>
      <c r="H2911" s="90">
        <v>7.88E-5</v>
      </c>
      <c r="I2911" s="45"/>
      <c r="J2911" s="45"/>
      <c r="K2911" s="45"/>
      <c r="L2911" s="45"/>
      <c r="M2911" s="45"/>
      <c r="N2911" s="45"/>
      <c r="O2911" s="45"/>
      <c r="P2911" s="45"/>
      <c r="Q2911" s="45"/>
      <c r="R2911" s="45"/>
      <c r="S2911" s="45"/>
      <c r="T2911" s="45"/>
      <c r="U2911" s="45"/>
    </row>
    <row r="2912">
      <c r="A2912" s="79" t="s">
        <v>20945</v>
      </c>
      <c r="B2912" s="45"/>
      <c r="C2912" s="79" t="s">
        <v>20946</v>
      </c>
      <c r="D2912" s="45"/>
      <c r="E2912" s="79" t="s">
        <v>5478</v>
      </c>
      <c r="F2912" s="79" t="s">
        <v>6210</v>
      </c>
      <c r="G2912" s="80" t="s">
        <v>96</v>
      </c>
      <c r="H2912" s="90">
        <v>7.87E-5</v>
      </c>
      <c r="I2912" s="45"/>
      <c r="J2912" s="45"/>
      <c r="K2912" s="45"/>
      <c r="L2912" s="45"/>
      <c r="M2912" s="45"/>
      <c r="N2912" s="45"/>
      <c r="O2912" s="45"/>
      <c r="P2912" s="45"/>
      <c r="Q2912" s="45"/>
      <c r="R2912" s="45"/>
      <c r="S2912" s="45"/>
      <c r="T2912" s="45"/>
      <c r="U2912" s="45"/>
    </row>
    <row r="2913">
      <c r="A2913" s="79" t="s">
        <v>20947</v>
      </c>
      <c r="B2913" s="45"/>
      <c r="C2913" s="79" t="s">
        <v>20948</v>
      </c>
      <c r="D2913" s="45"/>
      <c r="E2913" s="79" t="s">
        <v>5215</v>
      </c>
      <c r="F2913" s="79" t="s">
        <v>5300</v>
      </c>
      <c r="G2913" s="80" t="s">
        <v>96</v>
      </c>
      <c r="H2913" s="90">
        <v>7.87E-5</v>
      </c>
      <c r="I2913" s="45"/>
      <c r="J2913" s="45"/>
      <c r="K2913" s="45"/>
      <c r="L2913" s="45"/>
      <c r="M2913" s="45"/>
      <c r="N2913" s="45"/>
      <c r="O2913" s="45"/>
      <c r="P2913" s="45"/>
      <c r="Q2913" s="45"/>
      <c r="R2913" s="45"/>
      <c r="S2913" s="45"/>
      <c r="T2913" s="45"/>
      <c r="U2913" s="45"/>
    </row>
    <row r="2914">
      <c r="A2914" s="79" t="s">
        <v>20949</v>
      </c>
      <c r="B2914" s="45"/>
      <c r="C2914" s="79" t="s">
        <v>20950</v>
      </c>
      <c r="D2914" s="45"/>
      <c r="E2914" s="79" t="s">
        <v>5226</v>
      </c>
      <c r="F2914" s="79" t="s">
        <v>5300</v>
      </c>
      <c r="G2914" s="80" t="s">
        <v>96</v>
      </c>
      <c r="H2914" s="90">
        <v>7.87E-5</v>
      </c>
      <c r="I2914" s="45"/>
      <c r="J2914" s="45"/>
      <c r="K2914" s="45"/>
      <c r="L2914" s="45"/>
      <c r="M2914" s="45"/>
      <c r="N2914" s="45"/>
      <c r="O2914" s="45"/>
      <c r="P2914" s="45"/>
      <c r="Q2914" s="45"/>
      <c r="R2914" s="45"/>
      <c r="S2914" s="45"/>
      <c r="T2914" s="45"/>
      <c r="U2914" s="45"/>
    </row>
    <row r="2915">
      <c r="A2915" s="79" t="s">
        <v>20951</v>
      </c>
      <c r="B2915" s="45"/>
      <c r="C2915" s="79" t="s">
        <v>20952</v>
      </c>
      <c r="D2915" s="45"/>
      <c r="E2915" s="79" t="s">
        <v>8951</v>
      </c>
      <c r="F2915" s="79" t="s">
        <v>8759</v>
      </c>
      <c r="G2915" s="80" t="s">
        <v>96</v>
      </c>
      <c r="H2915" s="90">
        <v>7.86E-5</v>
      </c>
      <c r="I2915" s="45"/>
      <c r="J2915" s="45"/>
      <c r="K2915" s="45"/>
      <c r="L2915" s="45"/>
      <c r="M2915" s="45"/>
      <c r="N2915" s="45"/>
      <c r="O2915" s="45"/>
      <c r="P2915" s="45"/>
      <c r="Q2915" s="45"/>
      <c r="R2915" s="45"/>
      <c r="S2915" s="45"/>
      <c r="T2915" s="45"/>
      <c r="U2915" s="45"/>
    </row>
    <row r="2916">
      <c r="A2916" s="79" t="s">
        <v>20953</v>
      </c>
      <c r="B2916" s="45"/>
      <c r="C2916" s="79" t="s">
        <v>20954</v>
      </c>
      <c r="D2916" s="45"/>
      <c r="E2916" s="79" t="s">
        <v>5501</v>
      </c>
      <c r="F2916" s="79" t="s">
        <v>5425</v>
      </c>
      <c r="G2916" s="80" t="s">
        <v>96</v>
      </c>
      <c r="H2916" s="90">
        <v>7.85E-5</v>
      </c>
      <c r="I2916" s="45"/>
      <c r="J2916" s="45"/>
      <c r="K2916" s="45"/>
      <c r="L2916" s="45"/>
      <c r="M2916" s="45"/>
      <c r="N2916" s="45"/>
      <c r="O2916" s="45"/>
      <c r="P2916" s="45"/>
      <c r="Q2916" s="45"/>
      <c r="R2916" s="45"/>
      <c r="S2916" s="45"/>
      <c r="T2916" s="45"/>
      <c r="U2916" s="45"/>
    </row>
    <row r="2917">
      <c r="A2917" s="79" t="s">
        <v>20955</v>
      </c>
      <c r="B2917" s="45"/>
      <c r="C2917" s="79" t="s">
        <v>20956</v>
      </c>
      <c r="D2917" s="45"/>
      <c r="E2917" s="79" t="s">
        <v>7251</v>
      </c>
      <c r="F2917" s="79" t="s">
        <v>5300</v>
      </c>
      <c r="G2917" s="80" t="s">
        <v>96</v>
      </c>
      <c r="H2917" s="90">
        <v>7.85E-5</v>
      </c>
      <c r="I2917" s="45"/>
      <c r="J2917" s="45"/>
      <c r="K2917" s="45"/>
      <c r="L2917" s="45"/>
      <c r="M2917" s="45"/>
      <c r="N2917" s="45"/>
      <c r="O2917" s="45"/>
      <c r="P2917" s="45"/>
      <c r="Q2917" s="45"/>
      <c r="R2917" s="45"/>
      <c r="S2917" s="45"/>
      <c r="T2917" s="45"/>
      <c r="U2917" s="45"/>
    </row>
    <row r="2918">
      <c r="A2918" s="79" t="s">
        <v>20957</v>
      </c>
      <c r="B2918" s="45"/>
      <c r="C2918" s="79" t="s">
        <v>20958</v>
      </c>
      <c r="D2918" s="45"/>
      <c r="E2918" s="79" t="s">
        <v>5215</v>
      </c>
      <c r="F2918" s="79" t="s">
        <v>8784</v>
      </c>
      <c r="G2918" s="80" t="s">
        <v>96</v>
      </c>
      <c r="H2918" s="90">
        <v>7.85E-5</v>
      </c>
      <c r="I2918" s="45"/>
      <c r="J2918" s="45"/>
      <c r="K2918" s="45"/>
      <c r="L2918" s="45"/>
      <c r="M2918" s="45"/>
      <c r="N2918" s="45"/>
      <c r="O2918" s="45"/>
      <c r="P2918" s="45"/>
      <c r="Q2918" s="45"/>
      <c r="R2918" s="45"/>
      <c r="S2918" s="45"/>
      <c r="T2918" s="45"/>
      <c r="U2918" s="45"/>
    </row>
    <row r="2919">
      <c r="A2919" s="79" t="s">
        <v>20959</v>
      </c>
      <c r="B2919" s="45"/>
      <c r="C2919" s="79" t="s">
        <v>20960</v>
      </c>
      <c r="D2919" s="45"/>
      <c r="E2919" s="79" t="s">
        <v>6172</v>
      </c>
      <c r="F2919" s="79" t="s">
        <v>5836</v>
      </c>
      <c r="G2919" s="80" t="s">
        <v>96</v>
      </c>
      <c r="H2919" s="90">
        <v>7.84E-5</v>
      </c>
      <c r="I2919" s="45"/>
      <c r="J2919" s="45"/>
      <c r="K2919" s="45"/>
      <c r="L2919" s="45"/>
      <c r="M2919" s="45"/>
      <c r="N2919" s="45"/>
      <c r="O2919" s="45"/>
      <c r="P2919" s="45"/>
      <c r="Q2919" s="45"/>
      <c r="R2919" s="45"/>
      <c r="S2919" s="45"/>
      <c r="T2919" s="45"/>
      <c r="U2919" s="45"/>
    </row>
    <row r="2920">
      <c r="A2920" s="79" t="s">
        <v>20961</v>
      </c>
      <c r="B2920" s="45"/>
      <c r="C2920" s="79" t="s">
        <v>20962</v>
      </c>
      <c r="D2920" s="45"/>
      <c r="E2920" s="79" t="s">
        <v>5276</v>
      </c>
      <c r="F2920" s="79" t="s">
        <v>5300</v>
      </c>
      <c r="G2920" s="80" t="s">
        <v>96</v>
      </c>
      <c r="H2920" s="90">
        <v>7.84E-5</v>
      </c>
      <c r="I2920" s="45"/>
      <c r="J2920" s="45"/>
      <c r="K2920" s="45"/>
      <c r="L2920" s="45"/>
      <c r="M2920" s="45"/>
      <c r="N2920" s="45"/>
      <c r="O2920" s="45"/>
      <c r="P2920" s="45"/>
      <c r="Q2920" s="45"/>
      <c r="R2920" s="45"/>
      <c r="S2920" s="45"/>
      <c r="T2920" s="45"/>
      <c r="U2920" s="45"/>
    </row>
    <row r="2921">
      <c r="A2921" s="79" t="s">
        <v>20963</v>
      </c>
      <c r="B2921" s="45"/>
      <c r="C2921" s="79" t="s">
        <v>20964</v>
      </c>
      <c r="D2921" s="45"/>
      <c r="E2921" s="79" t="s">
        <v>5249</v>
      </c>
      <c r="F2921" s="79" t="s">
        <v>9698</v>
      </c>
      <c r="G2921" s="80" t="s">
        <v>96</v>
      </c>
      <c r="H2921" s="90">
        <v>7.83E-5</v>
      </c>
      <c r="I2921" s="45"/>
      <c r="J2921" s="45"/>
      <c r="K2921" s="45"/>
      <c r="L2921" s="45"/>
      <c r="M2921" s="45"/>
      <c r="N2921" s="45"/>
      <c r="O2921" s="45"/>
      <c r="P2921" s="45"/>
      <c r="Q2921" s="45"/>
      <c r="R2921" s="45"/>
      <c r="S2921" s="45"/>
      <c r="T2921" s="45"/>
      <c r="U2921" s="45"/>
    </row>
    <row r="2922">
      <c r="A2922" s="79" t="s">
        <v>6217</v>
      </c>
      <c r="B2922" s="45"/>
      <c r="C2922" s="79" t="s">
        <v>20965</v>
      </c>
      <c r="D2922" s="45"/>
      <c r="E2922" s="79" t="s">
        <v>5276</v>
      </c>
      <c r="F2922" s="79" t="s">
        <v>5300</v>
      </c>
      <c r="G2922" s="80" t="s">
        <v>96</v>
      </c>
      <c r="H2922" s="90">
        <v>7.82E-5</v>
      </c>
      <c r="I2922" s="45"/>
      <c r="J2922" s="45"/>
      <c r="K2922" s="45"/>
      <c r="L2922" s="45"/>
      <c r="M2922" s="45"/>
      <c r="N2922" s="45"/>
      <c r="O2922" s="45"/>
      <c r="P2922" s="45"/>
      <c r="Q2922" s="45"/>
      <c r="R2922" s="45"/>
      <c r="S2922" s="45"/>
      <c r="T2922" s="45"/>
      <c r="U2922" s="45"/>
    </row>
    <row r="2923">
      <c r="A2923" s="79" t="s">
        <v>20966</v>
      </c>
      <c r="B2923" s="45"/>
      <c r="C2923" s="79" t="s">
        <v>20967</v>
      </c>
      <c r="D2923" s="45"/>
      <c r="E2923" s="79" t="s">
        <v>6191</v>
      </c>
      <c r="F2923" s="79" t="s">
        <v>8784</v>
      </c>
      <c r="G2923" s="80" t="s">
        <v>96</v>
      </c>
      <c r="H2923" s="90">
        <v>7.8E-5</v>
      </c>
      <c r="I2923" s="45"/>
      <c r="J2923" s="45"/>
      <c r="K2923" s="45"/>
      <c r="L2923" s="45"/>
      <c r="M2923" s="45"/>
      <c r="N2923" s="45"/>
      <c r="O2923" s="45"/>
      <c r="P2923" s="45"/>
      <c r="Q2923" s="45"/>
      <c r="R2923" s="45"/>
      <c r="S2923" s="45"/>
      <c r="T2923" s="45"/>
      <c r="U2923" s="45"/>
    </row>
    <row r="2924">
      <c r="A2924" s="79" t="s">
        <v>20968</v>
      </c>
      <c r="B2924" s="45"/>
      <c r="C2924" s="79" t="s">
        <v>20969</v>
      </c>
      <c r="D2924" s="45"/>
      <c r="E2924" s="79" t="s">
        <v>7611</v>
      </c>
      <c r="F2924" s="79" t="s">
        <v>9513</v>
      </c>
      <c r="G2924" s="80" t="s">
        <v>96</v>
      </c>
      <c r="H2924" s="90">
        <v>7.8E-5</v>
      </c>
      <c r="I2924" s="45"/>
      <c r="J2924" s="45"/>
      <c r="K2924" s="45"/>
      <c r="L2924" s="45"/>
      <c r="M2924" s="45"/>
      <c r="N2924" s="45"/>
      <c r="O2924" s="45"/>
      <c r="P2924" s="45"/>
      <c r="Q2924" s="45"/>
      <c r="R2924" s="45"/>
      <c r="S2924" s="45"/>
      <c r="T2924" s="45"/>
      <c r="U2924" s="45"/>
    </row>
    <row r="2925">
      <c r="A2925" s="79" t="s">
        <v>20970</v>
      </c>
      <c r="B2925" s="45"/>
      <c r="C2925" s="79" t="s">
        <v>20971</v>
      </c>
      <c r="D2925" s="45"/>
      <c r="E2925" s="79" t="s">
        <v>5868</v>
      </c>
      <c r="F2925" s="79" t="s">
        <v>5300</v>
      </c>
      <c r="G2925" s="80" t="s">
        <v>96</v>
      </c>
      <c r="H2925" s="90">
        <v>7.8E-5</v>
      </c>
      <c r="I2925" s="45"/>
      <c r="J2925" s="45"/>
      <c r="K2925" s="45"/>
      <c r="L2925" s="45"/>
      <c r="M2925" s="45"/>
      <c r="N2925" s="45"/>
      <c r="O2925" s="45"/>
      <c r="P2925" s="45"/>
      <c r="Q2925" s="45"/>
      <c r="R2925" s="45"/>
      <c r="S2925" s="45"/>
      <c r="T2925" s="45"/>
      <c r="U2925" s="45"/>
    </row>
    <row r="2926">
      <c r="A2926" s="79" t="s">
        <v>20972</v>
      </c>
      <c r="B2926" s="45"/>
      <c r="C2926" s="79" t="s">
        <v>20973</v>
      </c>
      <c r="D2926" s="45"/>
      <c r="E2926" s="79" t="s">
        <v>5215</v>
      </c>
      <c r="F2926" s="79" t="s">
        <v>8784</v>
      </c>
      <c r="G2926" s="80" t="s">
        <v>96</v>
      </c>
      <c r="H2926" s="90">
        <v>7.78E-5</v>
      </c>
      <c r="I2926" s="45"/>
      <c r="J2926" s="45"/>
      <c r="K2926" s="45"/>
      <c r="L2926" s="45"/>
      <c r="M2926" s="45"/>
      <c r="N2926" s="45"/>
      <c r="O2926" s="45"/>
      <c r="P2926" s="45"/>
      <c r="Q2926" s="45"/>
      <c r="R2926" s="45"/>
      <c r="S2926" s="45"/>
      <c r="T2926" s="45"/>
      <c r="U2926" s="45"/>
    </row>
    <row r="2927">
      <c r="A2927" s="79" t="s">
        <v>5487</v>
      </c>
      <c r="B2927" s="45"/>
      <c r="C2927" s="79" t="s">
        <v>20974</v>
      </c>
      <c r="D2927" s="45"/>
      <c r="E2927" s="79" t="s">
        <v>6327</v>
      </c>
      <c r="F2927" s="79" t="s">
        <v>5300</v>
      </c>
      <c r="G2927" s="80" t="s">
        <v>96</v>
      </c>
      <c r="H2927" s="90">
        <v>7.78E-5</v>
      </c>
      <c r="I2927" s="45"/>
      <c r="J2927" s="45"/>
      <c r="K2927" s="45"/>
      <c r="L2927" s="45"/>
      <c r="M2927" s="45"/>
      <c r="N2927" s="45"/>
      <c r="O2927" s="45"/>
      <c r="P2927" s="45"/>
      <c r="Q2927" s="45"/>
      <c r="R2927" s="45"/>
      <c r="S2927" s="45"/>
      <c r="T2927" s="45"/>
      <c r="U2927" s="45"/>
    </row>
    <row r="2928">
      <c r="A2928" s="79" t="s">
        <v>20975</v>
      </c>
      <c r="B2928" s="45"/>
      <c r="C2928" s="79" t="s">
        <v>20976</v>
      </c>
      <c r="D2928" s="45"/>
      <c r="E2928" s="79" t="s">
        <v>5276</v>
      </c>
      <c r="F2928" s="79" t="s">
        <v>9513</v>
      </c>
      <c r="G2928" s="80" t="s">
        <v>96</v>
      </c>
      <c r="H2928" s="90">
        <v>7.78E-5</v>
      </c>
      <c r="I2928" s="45"/>
      <c r="J2928" s="45"/>
      <c r="K2928" s="45"/>
      <c r="L2928" s="45"/>
      <c r="M2928" s="45"/>
      <c r="N2928" s="45"/>
      <c r="O2928" s="45"/>
      <c r="P2928" s="45"/>
      <c r="Q2928" s="45"/>
      <c r="R2928" s="45"/>
      <c r="S2928" s="45"/>
      <c r="T2928" s="45"/>
      <c r="U2928" s="45"/>
    </row>
    <row r="2929">
      <c r="A2929" s="79" t="s">
        <v>20977</v>
      </c>
      <c r="B2929" s="45"/>
      <c r="C2929" s="79" t="s">
        <v>20978</v>
      </c>
      <c r="D2929" s="45"/>
      <c r="E2929" s="79" t="s">
        <v>5241</v>
      </c>
      <c r="F2929" s="79" t="s">
        <v>4436</v>
      </c>
      <c r="G2929" s="80" t="s">
        <v>96</v>
      </c>
      <c r="H2929" s="90">
        <v>7.77E-5</v>
      </c>
      <c r="I2929" s="45"/>
      <c r="J2929" s="45"/>
      <c r="K2929" s="45"/>
      <c r="L2929" s="45"/>
      <c r="M2929" s="45"/>
      <c r="N2929" s="45"/>
      <c r="O2929" s="45"/>
      <c r="P2929" s="45"/>
      <c r="Q2929" s="45"/>
      <c r="R2929" s="45"/>
      <c r="S2929" s="45"/>
      <c r="T2929" s="45"/>
      <c r="U2929" s="45"/>
    </row>
    <row r="2930">
      <c r="A2930" s="79" t="s">
        <v>20979</v>
      </c>
      <c r="B2930" s="45"/>
      <c r="C2930" s="79" t="s">
        <v>20980</v>
      </c>
      <c r="D2930" s="45"/>
      <c r="E2930" s="79" t="s">
        <v>5855</v>
      </c>
      <c r="F2930" s="79" t="s">
        <v>8784</v>
      </c>
      <c r="G2930" s="80" t="s">
        <v>96</v>
      </c>
      <c r="H2930" s="90">
        <v>7.77E-5</v>
      </c>
      <c r="I2930" s="45"/>
      <c r="J2930" s="45"/>
      <c r="K2930" s="45"/>
      <c r="L2930" s="45"/>
      <c r="M2930" s="45"/>
      <c r="N2930" s="45"/>
      <c r="O2930" s="45"/>
      <c r="P2930" s="45"/>
      <c r="Q2930" s="45"/>
      <c r="R2930" s="45"/>
      <c r="S2930" s="45"/>
      <c r="T2930" s="45"/>
      <c r="U2930" s="45"/>
    </row>
    <row r="2931">
      <c r="A2931" s="79" t="s">
        <v>20981</v>
      </c>
      <c r="B2931" s="45"/>
      <c r="C2931" s="79" t="s">
        <v>20982</v>
      </c>
      <c r="D2931" s="45"/>
      <c r="E2931" s="79" t="s">
        <v>5296</v>
      </c>
      <c r="F2931" s="79" t="s">
        <v>9021</v>
      </c>
      <c r="G2931" s="80" t="s">
        <v>96</v>
      </c>
      <c r="H2931" s="90">
        <v>7.77E-5</v>
      </c>
      <c r="I2931" s="45"/>
      <c r="J2931" s="45"/>
      <c r="K2931" s="45"/>
      <c r="L2931" s="45"/>
      <c r="M2931" s="45"/>
      <c r="N2931" s="45"/>
      <c r="O2931" s="45"/>
      <c r="P2931" s="45"/>
      <c r="Q2931" s="45"/>
      <c r="R2931" s="45"/>
      <c r="S2931" s="45"/>
      <c r="T2931" s="45"/>
      <c r="U2931" s="45"/>
    </row>
    <row r="2932">
      <c r="A2932" s="79" t="s">
        <v>20983</v>
      </c>
      <c r="B2932" s="45"/>
      <c r="C2932" s="79" t="s">
        <v>20984</v>
      </c>
      <c r="D2932" s="45"/>
      <c r="E2932" s="79" t="s">
        <v>5650</v>
      </c>
      <c r="F2932" s="79" t="s">
        <v>9513</v>
      </c>
      <c r="G2932" s="80" t="s">
        <v>96</v>
      </c>
      <c r="H2932" s="90">
        <v>7.75E-5</v>
      </c>
      <c r="I2932" s="45"/>
      <c r="J2932" s="45"/>
      <c r="K2932" s="45"/>
      <c r="L2932" s="45"/>
      <c r="M2932" s="45"/>
      <c r="N2932" s="45"/>
      <c r="O2932" s="45"/>
      <c r="P2932" s="45"/>
      <c r="Q2932" s="45"/>
      <c r="R2932" s="45"/>
      <c r="S2932" s="45"/>
      <c r="T2932" s="45"/>
      <c r="U2932" s="45"/>
    </row>
    <row r="2933">
      <c r="A2933" s="79" t="s">
        <v>6864</v>
      </c>
      <c r="B2933" s="45"/>
      <c r="C2933" s="79" t="s">
        <v>20985</v>
      </c>
      <c r="D2933" s="45"/>
      <c r="E2933" s="79" t="s">
        <v>5467</v>
      </c>
      <c r="F2933" s="79" t="s">
        <v>5425</v>
      </c>
      <c r="G2933" s="80" t="s">
        <v>96</v>
      </c>
      <c r="H2933" s="90">
        <v>7.74E-5</v>
      </c>
      <c r="I2933" s="45"/>
      <c r="J2933" s="45"/>
      <c r="K2933" s="45"/>
      <c r="L2933" s="45"/>
      <c r="M2933" s="45"/>
      <c r="N2933" s="45"/>
      <c r="O2933" s="45"/>
      <c r="P2933" s="45"/>
      <c r="Q2933" s="45"/>
      <c r="R2933" s="45"/>
      <c r="S2933" s="45"/>
      <c r="T2933" s="45"/>
      <c r="U2933" s="45"/>
    </row>
    <row r="2934">
      <c r="A2934" s="79" t="s">
        <v>20986</v>
      </c>
      <c r="B2934" s="45"/>
      <c r="C2934" s="79" t="s">
        <v>20987</v>
      </c>
      <c r="D2934" s="45"/>
      <c r="E2934" s="79" t="s">
        <v>5478</v>
      </c>
      <c r="F2934" s="79" t="s">
        <v>5300</v>
      </c>
      <c r="G2934" s="80" t="s">
        <v>96</v>
      </c>
      <c r="H2934" s="90">
        <v>7.73E-5</v>
      </c>
      <c r="I2934" s="45"/>
      <c r="J2934" s="45"/>
      <c r="K2934" s="45"/>
      <c r="L2934" s="45"/>
      <c r="M2934" s="45"/>
      <c r="N2934" s="45"/>
      <c r="O2934" s="45"/>
      <c r="P2934" s="45"/>
      <c r="Q2934" s="45"/>
      <c r="R2934" s="45"/>
      <c r="S2934" s="45"/>
      <c r="T2934" s="45"/>
      <c r="U2934" s="45"/>
    </row>
    <row r="2935">
      <c r="A2935" s="79" t="s">
        <v>20988</v>
      </c>
      <c r="B2935" s="45"/>
      <c r="C2935" s="79" t="s">
        <v>20989</v>
      </c>
      <c r="D2935" s="45"/>
      <c r="E2935" s="79" t="s">
        <v>5650</v>
      </c>
      <c r="F2935" s="79" t="s">
        <v>5941</v>
      </c>
      <c r="G2935" s="80" t="s">
        <v>96</v>
      </c>
      <c r="H2935" s="90">
        <v>7.72E-5</v>
      </c>
      <c r="I2935" s="45"/>
      <c r="J2935" s="45"/>
      <c r="K2935" s="45"/>
      <c r="L2935" s="45"/>
      <c r="M2935" s="45"/>
      <c r="N2935" s="45"/>
      <c r="O2935" s="45"/>
      <c r="P2935" s="45"/>
      <c r="Q2935" s="45"/>
      <c r="R2935" s="45"/>
      <c r="S2935" s="45"/>
      <c r="T2935" s="45"/>
      <c r="U2935" s="45"/>
    </row>
    <row r="2936">
      <c r="A2936" s="79" t="s">
        <v>20990</v>
      </c>
      <c r="B2936" s="45"/>
      <c r="C2936" s="79" t="s">
        <v>20991</v>
      </c>
      <c r="D2936" s="45"/>
      <c r="E2936" s="79" t="s">
        <v>5459</v>
      </c>
      <c r="F2936" s="79" t="s">
        <v>5300</v>
      </c>
      <c r="G2936" s="80" t="s">
        <v>96</v>
      </c>
      <c r="H2936" s="90">
        <v>7.72E-5</v>
      </c>
      <c r="I2936" s="45"/>
      <c r="J2936" s="45"/>
      <c r="K2936" s="45"/>
      <c r="L2936" s="45"/>
      <c r="M2936" s="45"/>
      <c r="N2936" s="45"/>
      <c r="O2936" s="45"/>
      <c r="P2936" s="45"/>
      <c r="Q2936" s="45"/>
      <c r="R2936" s="45"/>
      <c r="S2936" s="45"/>
      <c r="T2936" s="45"/>
      <c r="U2936" s="45"/>
    </row>
    <row r="2937">
      <c r="A2937" s="79" t="s">
        <v>20992</v>
      </c>
      <c r="B2937" s="45"/>
      <c r="C2937" s="79" t="s">
        <v>20993</v>
      </c>
      <c r="D2937" s="45"/>
      <c r="E2937" s="79" t="s">
        <v>5218</v>
      </c>
      <c r="F2937" s="79" t="s">
        <v>5747</v>
      </c>
      <c r="G2937" s="80" t="s">
        <v>96</v>
      </c>
      <c r="H2937" s="90">
        <v>7.71E-5</v>
      </c>
      <c r="I2937" s="45"/>
      <c r="J2937" s="45"/>
      <c r="K2937" s="45"/>
      <c r="L2937" s="45"/>
      <c r="M2937" s="45"/>
      <c r="N2937" s="45"/>
      <c r="O2937" s="45"/>
      <c r="P2937" s="45"/>
      <c r="Q2937" s="45"/>
      <c r="R2937" s="45"/>
      <c r="S2937" s="45"/>
      <c r="T2937" s="45"/>
      <c r="U2937" s="45"/>
    </row>
    <row r="2938">
      <c r="A2938" s="79" t="s">
        <v>20994</v>
      </c>
      <c r="B2938" s="45"/>
      <c r="C2938" s="79" t="s">
        <v>20995</v>
      </c>
      <c r="D2938" s="45"/>
      <c r="E2938" s="79" t="s">
        <v>5218</v>
      </c>
      <c r="F2938" s="79" t="s">
        <v>4436</v>
      </c>
      <c r="G2938" s="80" t="s">
        <v>96</v>
      </c>
      <c r="H2938" s="90">
        <v>7.7E-5</v>
      </c>
      <c r="I2938" s="45"/>
      <c r="J2938" s="45"/>
      <c r="K2938" s="45"/>
      <c r="L2938" s="45"/>
      <c r="M2938" s="45"/>
      <c r="N2938" s="45"/>
      <c r="O2938" s="45"/>
      <c r="P2938" s="45"/>
      <c r="Q2938" s="45"/>
      <c r="R2938" s="45"/>
      <c r="S2938" s="45"/>
      <c r="T2938" s="45"/>
      <c r="U2938" s="45"/>
    </row>
    <row r="2939">
      <c r="A2939" s="79" t="s">
        <v>20996</v>
      </c>
      <c r="B2939" s="45"/>
      <c r="C2939" s="79" t="s">
        <v>20997</v>
      </c>
      <c r="D2939" s="45"/>
      <c r="E2939" s="79" t="s">
        <v>5404</v>
      </c>
      <c r="F2939" s="79" t="s">
        <v>8784</v>
      </c>
      <c r="G2939" s="80" t="s">
        <v>96</v>
      </c>
      <c r="H2939" s="90">
        <v>7.69E-5</v>
      </c>
      <c r="I2939" s="45"/>
      <c r="J2939" s="45"/>
      <c r="K2939" s="45"/>
      <c r="L2939" s="45"/>
      <c r="M2939" s="45"/>
      <c r="N2939" s="45"/>
      <c r="O2939" s="45"/>
      <c r="P2939" s="45"/>
      <c r="Q2939" s="45"/>
      <c r="R2939" s="45"/>
      <c r="S2939" s="45"/>
      <c r="T2939" s="45"/>
      <c r="U2939" s="45"/>
    </row>
    <row r="2940">
      <c r="A2940" s="79" t="s">
        <v>20998</v>
      </c>
      <c r="B2940" s="45"/>
      <c r="C2940" s="79" t="s">
        <v>20999</v>
      </c>
      <c r="D2940" s="45"/>
      <c r="E2940" s="79" t="s">
        <v>5395</v>
      </c>
      <c r="F2940" s="79" t="s">
        <v>8784</v>
      </c>
      <c r="G2940" s="80" t="s">
        <v>96</v>
      </c>
      <c r="H2940" s="90">
        <v>7.69E-5</v>
      </c>
      <c r="I2940" s="45"/>
      <c r="J2940" s="45"/>
      <c r="K2940" s="45"/>
      <c r="L2940" s="45"/>
      <c r="M2940" s="45"/>
      <c r="N2940" s="45"/>
      <c r="O2940" s="45"/>
      <c r="P2940" s="45"/>
      <c r="Q2940" s="45"/>
      <c r="R2940" s="45"/>
      <c r="S2940" s="45"/>
      <c r="T2940" s="45"/>
      <c r="U2940" s="45"/>
    </row>
    <row r="2941">
      <c r="A2941" s="79" t="s">
        <v>21000</v>
      </c>
      <c r="B2941" s="45"/>
      <c r="C2941" s="79"/>
      <c r="D2941" s="45"/>
      <c r="E2941" s="79" t="s">
        <v>6260</v>
      </c>
      <c r="F2941" s="79" t="s">
        <v>6210</v>
      </c>
      <c r="G2941" s="80" t="s">
        <v>96</v>
      </c>
      <c r="H2941" s="90">
        <v>7.68E-5</v>
      </c>
      <c r="I2941" s="45"/>
      <c r="J2941" s="45"/>
      <c r="K2941" s="45"/>
      <c r="L2941" s="45"/>
      <c r="M2941" s="45"/>
      <c r="N2941" s="45"/>
      <c r="O2941" s="45"/>
      <c r="P2941" s="45"/>
      <c r="Q2941" s="45"/>
      <c r="R2941" s="45"/>
      <c r="S2941" s="45"/>
      <c r="T2941" s="45"/>
      <c r="U2941" s="45"/>
    </row>
    <row r="2942">
      <c r="A2942" s="79" t="s">
        <v>21001</v>
      </c>
      <c r="B2942" s="45"/>
      <c r="C2942" s="79" t="s">
        <v>21002</v>
      </c>
      <c r="D2942" s="45"/>
      <c r="E2942" s="79" t="s">
        <v>5704</v>
      </c>
      <c r="F2942" s="79" t="s">
        <v>8784</v>
      </c>
      <c r="G2942" s="80" t="s">
        <v>96</v>
      </c>
      <c r="H2942" s="90">
        <v>7.68E-5</v>
      </c>
      <c r="I2942" s="45"/>
      <c r="J2942" s="45"/>
      <c r="K2942" s="45"/>
      <c r="L2942" s="45"/>
      <c r="M2942" s="45"/>
      <c r="N2942" s="45"/>
      <c r="O2942" s="45"/>
      <c r="P2942" s="45"/>
      <c r="Q2942" s="45"/>
      <c r="R2942" s="45"/>
      <c r="S2942" s="45"/>
      <c r="T2942" s="45"/>
      <c r="U2942" s="45"/>
    </row>
    <row r="2943">
      <c r="A2943" s="79" t="s">
        <v>21003</v>
      </c>
      <c r="B2943" s="45"/>
      <c r="C2943" s="79" t="s">
        <v>21004</v>
      </c>
      <c r="D2943" s="45"/>
      <c r="E2943" s="79" t="s">
        <v>5578</v>
      </c>
      <c r="F2943" s="79" t="s">
        <v>5300</v>
      </c>
      <c r="G2943" s="80" t="s">
        <v>96</v>
      </c>
      <c r="H2943" s="90">
        <v>7.68E-5</v>
      </c>
      <c r="I2943" s="45"/>
      <c r="J2943" s="45"/>
      <c r="K2943" s="45"/>
      <c r="L2943" s="45"/>
      <c r="M2943" s="45"/>
      <c r="N2943" s="45"/>
      <c r="O2943" s="45"/>
      <c r="P2943" s="45"/>
      <c r="Q2943" s="45"/>
      <c r="R2943" s="45"/>
      <c r="S2943" s="45"/>
      <c r="T2943" s="45"/>
      <c r="U2943" s="45"/>
    </row>
    <row r="2944">
      <c r="A2944" s="79" t="s">
        <v>70</v>
      </c>
      <c r="B2944" s="45"/>
      <c r="C2944" s="79" t="s">
        <v>21005</v>
      </c>
      <c r="D2944" s="45"/>
      <c r="E2944" s="79" t="s">
        <v>5226</v>
      </c>
      <c r="F2944" s="79" t="s">
        <v>5300</v>
      </c>
      <c r="G2944" s="80" t="s">
        <v>96</v>
      </c>
      <c r="H2944" s="90">
        <v>7.67E-5</v>
      </c>
      <c r="I2944" s="45"/>
      <c r="J2944" s="45"/>
      <c r="K2944" s="45"/>
      <c r="L2944" s="45"/>
      <c r="M2944" s="45"/>
      <c r="N2944" s="45"/>
      <c r="O2944" s="45"/>
      <c r="P2944" s="45"/>
      <c r="Q2944" s="45"/>
      <c r="R2944" s="45"/>
      <c r="S2944" s="45"/>
      <c r="T2944" s="45"/>
      <c r="U2944" s="45"/>
    </row>
    <row r="2945">
      <c r="A2945" s="79" t="s">
        <v>21006</v>
      </c>
      <c r="B2945" s="45"/>
      <c r="C2945" s="79" t="s">
        <v>21007</v>
      </c>
      <c r="D2945" s="45"/>
      <c r="E2945" s="79" t="s">
        <v>5283</v>
      </c>
      <c r="F2945" s="79" t="s">
        <v>5300</v>
      </c>
      <c r="G2945" s="80" t="s">
        <v>96</v>
      </c>
      <c r="H2945" s="90">
        <v>7.67E-5</v>
      </c>
      <c r="I2945" s="45"/>
      <c r="J2945" s="45"/>
      <c r="K2945" s="45"/>
      <c r="L2945" s="45"/>
      <c r="M2945" s="45"/>
      <c r="N2945" s="45"/>
      <c r="O2945" s="45"/>
      <c r="P2945" s="45"/>
      <c r="Q2945" s="45"/>
      <c r="R2945" s="45"/>
      <c r="S2945" s="45"/>
      <c r="T2945" s="45"/>
      <c r="U2945" s="45"/>
    </row>
    <row r="2946">
      <c r="A2946" s="79" t="s">
        <v>21008</v>
      </c>
      <c r="B2946" s="45"/>
      <c r="C2946" s="79" t="s">
        <v>21009</v>
      </c>
      <c r="D2946" s="45"/>
      <c r="E2946" s="79" t="s">
        <v>6427</v>
      </c>
      <c r="F2946" s="79" t="s">
        <v>8784</v>
      </c>
      <c r="G2946" s="80" t="s">
        <v>96</v>
      </c>
      <c r="H2946" s="90">
        <v>7.66E-5</v>
      </c>
      <c r="I2946" s="45"/>
      <c r="J2946" s="45"/>
      <c r="K2946" s="45"/>
      <c r="L2946" s="45"/>
      <c r="M2946" s="45"/>
      <c r="N2946" s="45"/>
      <c r="O2946" s="45"/>
      <c r="P2946" s="45"/>
      <c r="Q2946" s="45"/>
      <c r="R2946" s="45"/>
      <c r="S2946" s="45"/>
      <c r="T2946" s="45"/>
      <c r="U2946" s="45"/>
    </row>
    <row r="2947">
      <c r="A2947" s="79" t="s">
        <v>21010</v>
      </c>
      <c r="B2947" s="45"/>
      <c r="C2947" s="79" t="s">
        <v>21011</v>
      </c>
      <c r="D2947" s="45"/>
      <c r="E2947" s="79" t="s">
        <v>7181</v>
      </c>
      <c r="F2947" s="79" t="s">
        <v>4095</v>
      </c>
      <c r="G2947" s="80" t="s">
        <v>96</v>
      </c>
      <c r="H2947" s="90">
        <v>7.66E-5</v>
      </c>
      <c r="I2947" s="45"/>
      <c r="J2947" s="45"/>
      <c r="K2947" s="45"/>
      <c r="L2947" s="45"/>
      <c r="M2947" s="45"/>
      <c r="N2947" s="45"/>
      <c r="O2947" s="45"/>
      <c r="P2947" s="45"/>
      <c r="Q2947" s="45"/>
      <c r="R2947" s="45"/>
      <c r="S2947" s="45"/>
      <c r="T2947" s="45"/>
      <c r="U2947" s="45"/>
    </row>
    <row r="2948">
      <c r="A2948" s="79" t="s">
        <v>4689</v>
      </c>
      <c r="B2948" s="45"/>
      <c r="C2948" s="79" t="s">
        <v>21012</v>
      </c>
      <c r="D2948" s="45"/>
      <c r="E2948" s="79" t="s">
        <v>6475</v>
      </c>
      <c r="F2948" s="79" t="s">
        <v>5747</v>
      </c>
      <c r="G2948" s="80" t="s">
        <v>96</v>
      </c>
      <c r="H2948" s="90">
        <v>7.65E-5</v>
      </c>
      <c r="I2948" s="45"/>
      <c r="J2948" s="45"/>
      <c r="K2948" s="45"/>
      <c r="L2948" s="45"/>
      <c r="M2948" s="45"/>
      <c r="N2948" s="45"/>
      <c r="O2948" s="45"/>
      <c r="P2948" s="45"/>
      <c r="Q2948" s="45"/>
      <c r="R2948" s="45"/>
      <c r="S2948" s="45"/>
      <c r="T2948" s="45"/>
      <c r="U2948" s="45"/>
    </row>
    <row r="2949">
      <c r="A2949" s="79" t="s">
        <v>21013</v>
      </c>
      <c r="B2949" s="45"/>
      <c r="C2949" s="79" t="s">
        <v>21014</v>
      </c>
      <c r="D2949" s="45"/>
      <c r="E2949" s="79" t="s">
        <v>8110</v>
      </c>
      <c r="F2949" s="79" t="s">
        <v>5300</v>
      </c>
      <c r="G2949" s="80" t="s">
        <v>96</v>
      </c>
      <c r="H2949" s="90">
        <v>7.62E-5</v>
      </c>
      <c r="I2949" s="45"/>
      <c r="J2949" s="45"/>
      <c r="K2949" s="45"/>
      <c r="L2949" s="45"/>
      <c r="M2949" s="45"/>
      <c r="N2949" s="45"/>
      <c r="O2949" s="45"/>
      <c r="P2949" s="45"/>
      <c r="Q2949" s="45"/>
      <c r="R2949" s="45"/>
      <c r="S2949" s="45"/>
      <c r="T2949" s="45"/>
      <c r="U2949" s="45"/>
    </row>
    <row r="2950">
      <c r="A2950" s="79" t="s">
        <v>21015</v>
      </c>
      <c r="B2950" s="45"/>
      <c r="C2950" s="79" t="s">
        <v>21016</v>
      </c>
      <c r="D2950" s="45"/>
      <c r="E2950" s="79" t="s">
        <v>5276</v>
      </c>
      <c r="F2950" s="79" t="s">
        <v>8784</v>
      </c>
      <c r="G2950" s="80" t="s">
        <v>96</v>
      </c>
      <c r="H2950" s="90">
        <v>7.61E-5</v>
      </c>
      <c r="I2950" s="45"/>
      <c r="J2950" s="45"/>
      <c r="K2950" s="45"/>
      <c r="L2950" s="45"/>
      <c r="M2950" s="45"/>
      <c r="N2950" s="45"/>
      <c r="O2950" s="45"/>
      <c r="P2950" s="45"/>
      <c r="Q2950" s="45"/>
      <c r="R2950" s="45"/>
      <c r="S2950" s="45"/>
      <c r="T2950" s="45"/>
      <c r="U2950" s="45"/>
    </row>
    <row r="2951">
      <c r="A2951" s="79" t="s">
        <v>21017</v>
      </c>
      <c r="B2951" s="45"/>
      <c r="C2951" s="79" t="s">
        <v>21018</v>
      </c>
      <c r="D2951" s="45"/>
      <c r="E2951" s="79" t="s">
        <v>5775</v>
      </c>
      <c r="F2951" s="79" t="s">
        <v>5300</v>
      </c>
      <c r="G2951" s="80" t="s">
        <v>96</v>
      </c>
      <c r="H2951" s="90">
        <v>7.58E-5</v>
      </c>
      <c r="I2951" s="45"/>
      <c r="J2951" s="45"/>
      <c r="K2951" s="45"/>
      <c r="L2951" s="45"/>
      <c r="M2951" s="45"/>
      <c r="N2951" s="45"/>
      <c r="O2951" s="45"/>
      <c r="P2951" s="45"/>
      <c r="Q2951" s="45"/>
      <c r="R2951" s="45"/>
      <c r="S2951" s="45"/>
      <c r="T2951" s="45"/>
      <c r="U2951" s="45"/>
    </row>
    <row r="2952">
      <c r="A2952" s="79" t="s">
        <v>21019</v>
      </c>
      <c r="B2952" s="45"/>
      <c r="C2952" s="79" t="s">
        <v>21020</v>
      </c>
      <c r="D2952" s="45"/>
      <c r="E2952" s="79" t="s">
        <v>6150</v>
      </c>
      <c r="F2952" s="79" t="s">
        <v>8784</v>
      </c>
      <c r="G2952" s="80" t="s">
        <v>96</v>
      </c>
      <c r="H2952" s="90">
        <v>7.57E-5</v>
      </c>
      <c r="I2952" s="45"/>
      <c r="J2952" s="45"/>
      <c r="K2952" s="45"/>
      <c r="L2952" s="45"/>
      <c r="M2952" s="45"/>
      <c r="N2952" s="45"/>
      <c r="O2952" s="45"/>
      <c r="P2952" s="45"/>
      <c r="Q2952" s="45"/>
      <c r="R2952" s="45"/>
      <c r="S2952" s="45"/>
      <c r="T2952" s="45"/>
      <c r="U2952" s="45"/>
    </row>
    <row r="2953">
      <c r="A2953" s="79" t="s">
        <v>16650</v>
      </c>
      <c r="B2953" s="45"/>
      <c r="C2953" s="79" t="s">
        <v>21021</v>
      </c>
      <c r="D2953" s="45"/>
      <c r="E2953" s="79" t="s">
        <v>5226</v>
      </c>
      <c r="F2953" s="79" t="s">
        <v>5836</v>
      </c>
      <c r="G2953" s="80" t="s">
        <v>96</v>
      </c>
      <c r="H2953" s="90">
        <v>7.57E-5</v>
      </c>
      <c r="I2953" s="45"/>
      <c r="J2953" s="45"/>
      <c r="K2953" s="45"/>
      <c r="L2953" s="45"/>
      <c r="M2953" s="45"/>
      <c r="N2953" s="45"/>
      <c r="O2953" s="45"/>
      <c r="P2953" s="45"/>
      <c r="Q2953" s="45"/>
      <c r="R2953" s="45"/>
      <c r="S2953" s="45"/>
      <c r="T2953" s="45"/>
      <c r="U2953" s="45"/>
    </row>
    <row r="2954">
      <c r="A2954" s="79" t="s">
        <v>18072</v>
      </c>
      <c r="B2954" s="45"/>
      <c r="C2954" s="79" t="s">
        <v>21022</v>
      </c>
      <c r="D2954" s="45"/>
      <c r="E2954" s="79" t="s">
        <v>5309</v>
      </c>
      <c r="F2954" s="79" t="s">
        <v>5300</v>
      </c>
      <c r="G2954" s="80" t="s">
        <v>96</v>
      </c>
      <c r="H2954" s="90">
        <v>7.57E-5</v>
      </c>
      <c r="I2954" s="45"/>
      <c r="J2954" s="45"/>
      <c r="K2954" s="45"/>
      <c r="L2954" s="45"/>
      <c r="M2954" s="45"/>
      <c r="N2954" s="45"/>
      <c r="O2954" s="45"/>
      <c r="P2954" s="45"/>
      <c r="Q2954" s="45"/>
      <c r="R2954" s="45"/>
      <c r="S2954" s="45"/>
      <c r="T2954" s="45"/>
      <c r="U2954" s="45"/>
    </row>
    <row r="2955">
      <c r="A2955" s="79" t="s">
        <v>21023</v>
      </c>
      <c r="B2955" s="45"/>
      <c r="C2955" s="79" t="s">
        <v>21024</v>
      </c>
      <c r="D2955" s="45"/>
      <c r="E2955" s="79" t="s">
        <v>8154</v>
      </c>
      <c r="F2955" s="79" t="s">
        <v>9021</v>
      </c>
      <c r="G2955" s="80" t="s">
        <v>96</v>
      </c>
      <c r="H2955" s="90">
        <v>7.57E-5</v>
      </c>
      <c r="I2955" s="45"/>
      <c r="J2955" s="45"/>
      <c r="K2955" s="45"/>
      <c r="L2955" s="45"/>
      <c r="M2955" s="45"/>
      <c r="N2955" s="45"/>
      <c r="O2955" s="45"/>
      <c r="P2955" s="45"/>
      <c r="Q2955" s="45"/>
      <c r="R2955" s="45"/>
      <c r="S2955" s="45"/>
      <c r="T2955" s="45"/>
      <c r="U2955" s="45"/>
    </row>
    <row r="2956">
      <c r="A2956" s="79" t="s">
        <v>21025</v>
      </c>
      <c r="B2956" s="45"/>
      <c r="C2956" s="79" t="s">
        <v>21026</v>
      </c>
      <c r="D2956" s="45"/>
      <c r="E2956" s="79" t="s">
        <v>5267</v>
      </c>
      <c r="F2956" s="79" t="s">
        <v>5300</v>
      </c>
      <c r="G2956" s="80" t="s">
        <v>96</v>
      </c>
      <c r="H2956" s="90">
        <v>7.57E-5</v>
      </c>
      <c r="I2956" s="45"/>
      <c r="J2956" s="45"/>
      <c r="K2956" s="45"/>
      <c r="L2956" s="45"/>
      <c r="M2956" s="45"/>
      <c r="N2956" s="45"/>
      <c r="O2956" s="45"/>
      <c r="P2956" s="45"/>
      <c r="Q2956" s="45"/>
      <c r="R2956" s="45"/>
      <c r="S2956" s="45"/>
      <c r="T2956" s="45"/>
      <c r="U2956" s="45"/>
    </row>
    <row r="2957">
      <c r="A2957" s="79" t="s">
        <v>21027</v>
      </c>
      <c r="B2957" s="45"/>
      <c r="C2957" s="79" t="s">
        <v>21028</v>
      </c>
      <c r="D2957" s="45"/>
      <c r="E2957" s="79" t="s">
        <v>5321</v>
      </c>
      <c r="F2957" s="79" t="s">
        <v>5836</v>
      </c>
      <c r="G2957" s="80" t="s">
        <v>96</v>
      </c>
      <c r="H2957" s="90">
        <v>7.56E-5</v>
      </c>
      <c r="I2957" s="45"/>
      <c r="J2957" s="45"/>
      <c r="K2957" s="45"/>
      <c r="L2957" s="45"/>
      <c r="M2957" s="45"/>
      <c r="N2957" s="45"/>
      <c r="O2957" s="45"/>
      <c r="P2957" s="45"/>
      <c r="Q2957" s="45"/>
      <c r="R2957" s="45"/>
      <c r="S2957" s="45"/>
      <c r="T2957" s="45"/>
      <c r="U2957" s="45"/>
    </row>
    <row r="2958">
      <c r="A2958" s="79" t="s">
        <v>21029</v>
      </c>
      <c r="B2958" s="45"/>
      <c r="C2958" s="79" t="s">
        <v>21030</v>
      </c>
      <c r="D2958" s="45"/>
      <c r="E2958" s="79" t="s">
        <v>5276</v>
      </c>
      <c r="F2958" s="79" t="s">
        <v>5927</v>
      </c>
      <c r="G2958" s="80" t="s">
        <v>96</v>
      </c>
      <c r="H2958" s="90">
        <v>7.56E-5</v>
      </c>
      <c r="I2958" s="45"/>
      <c r="J2958" s="45"/>
      <c r="K2958" s="45"/>
      <c r="L2958" s="45"/>
      <c r="M2958" s="45"/>
      <c r="N2958" s="45"/>
      <c r="O2958" s="45"/>
      <c r="P2958" s="45"/>
      <c r="Q2958" s="45"/>
      <c r="R2958" s="45"/>
      <c r="S2958" s="45"/>
      <c r="T2958" s="45"/>
      <c r="U2958" s="45"/>
    </row>
    <row r="2959">
      <c r="A2959" s="79" t="s">
        <v>21031</v>
      </c>
      <c r="B2959" s="45"/>
      <c r="C2959" s="79" t="s">
        <v>21032</v>
      </c>
      <c r="D2959" s="45"/>
      <c r="E2959" s="79" t="s">
        <v>6630</v>
      </c>
      <c r="F2959" s="79" t="s">
        <v>5300</v>
      </c>
      <c r="G2959" s="80" t="s">
        <v>96</v>
      </c>
      <c r="H2959" s="90">
        <v>7.55E-5</v>
      </c>
      <c r="I2959" s="45"/>
      <c r="J2959" s="45"/>
      <c r="K2959" s="45"/>
      <c r="L2959" s="45"/>
      <c r="M2959" s="45"/>
      <c r="N2959" s="45"/>
      <c r="O2959" s="45"/>
      <c r="P2959" s="45"/>
      <c r="Q2959" s="45"/>
      <c r="R2959" s="45"/>
      <c r="S2959" s="45"/>
      <c r="T2959" s="45"/>
      <c r="U2959" s="45"/>
    </row>
    <row r="2960">
      <c r="A2960" s="79" t="s">
        <v>21033</v>
      </c>
      <c r="B2960" s="45"/>
      <c r="C2960" s="79" t="s">
        <v>21034</v>
      </c>
      <c r="D2960" s="45"/>
      <c r="E2960" s="79" t="s">
        <v>5264</v>
      </c>
      <c r="F2960" s="79" t="s">
        <v>5300</v>
      </c>
      <c r="G2960" s="80" t="s">
        <v>96</v>
      </c>
      <c r="H2960" s="90">
        <v>7.54E-5</v>
      </c>
      <c r="I2960" s="45"/>
      <c r="J2960" s="45"/>
      <c r="K2960" s="45"/>
      <c r="L2960" s="45"/>
      <c r="M2960" s="45"/>
      <c r="N2960" s="45"/>
      <c r="O2960" s="45"/>
      <c r="P2960" s="45"/>
      <c r="Q2960" s="45"/>
      <c r="R2960" s="45"/>
      <c r="S2960" s="45"/>
      <c r="T2960" s="45"/>
      <c r="U2960" s="45"/>
    </row>
    <row r="2961">
      <c r="A2961" s="79" t="s">
        <v>5360</v>
      </c>
      <c r="B2961" s="45"/>
      <c r="C2961" s="79" t="s">
        <v>21035</v>
      </c>
      <c r="D2961" s="45"/>
      <c r="E2961" s="79" t="s">
        <v>5291</v>
      </c>
      <c r="F2961" s="79" t="s">
        <v>5300</v>
      </c>
      <c r="G2961" s="80" t="s">
        <v>96</v>
      </c>
      <c r="H2961" s="90">
        <v>7.54E-5</v>
      </c>
      <c r="I2961" s="45"/>
      <c r="J2961" s="45"/>
      <c r="K2961" s="45"/>
      <c r="L2961" s="45"/>
      <c r="M2961" s="45"/>
      <c r="N2961" s="45"/>
      <c r="O2961" s="45"/>
      <c r="P2961" s="45"/>
      <c r="Q2961" s="45"/>
      <c r="R2961" s="45"/>
      <c r="S2961" s="45"/>
      <c r="T2961" s="45"/>
      <c r="U2961" s="45"/>
    </row>
    <row r="2962">
      <c r="A2962" s="79" t="s">
        <v>21036</v>
      </c>
      <c r="B2962" s="45"/>
      <c r="C2962" s="79" t="s">
        <v>21037</v>
      </c>
      <c r="D2962" s="45"/>
      <c r="E2962" s="79" t="s">
        <v>6514</v>
      </c>
      <c r="F2962" s="79" t="s">
        <v>9021</v>
      </c>
      <c r="G2962" s="80" t="s">
        <v>96</v>
      </c>
      <c r="H2962" s="90">
        <v>7.53E-5</v>
      </c>
      <c r="I2962" s="45"/>
      <c r="J2962" s="45"/>
      <c r="K2962" s="45"/>
      <c r="L2962" s="45"/>
      <c r="M2962" s="45"/>
      <c r="N2962" s="45"/>
      <c r="O2962" s="45"/>
      <c r="P2962" s="45"/>
      <c r="Q2962" s="45"/>
      <c r="R2962" s="45"/>
      <c r="S2962" s="45"/>
      <c r="T2962" s="45"/>
      <c r="U2962" s="45"/>
    </row>
    <row r="2963">
      <c r="A2963" s="79" t="s">
        <v>21038</v>
      </c>
      <c r="B2963" s="45"/>
      <c r="C2963" s="79" t="s">
        <v>21039</v>
      </c>
      <c r="D2963" s="45"/>
      <c r="E2963" s="79" t="s">
        <v>5283</v>
      </c>
      <c r="F2963" s="79" t="s">
        <v>4357</v>
      </c>
      <c r="G2963" s="80" t="s">
        <v>96</v>
      </c>
      <c r="H2963" s="90">
        <v>7.51E-5</v>
      </c>
      <c r="I2963" s="45"/>
      <c r="J2963" s="45"/>
      <c r="K2963" s="45"/>
      <c r="L2963" s="45"/>
      <c r="M2963" s="45"/>
      <c r="N2963" s="45"/>
      <c r="O2963" s="45"/>
      <c r="P2963" s="45"/>
      <c r="Q2963" s="45"/>
      <c r="R2963" s="45"/>
      <c r="S2963" s="45"/>
      <c r="T2963" s="45"/>
      <c r="U2963" s="45"/>
    </row>
    <row r="2964">
      <c r="A2964" s="79" t="s">
        <v>21040</v>
      </c>
      <c r="B2964" s="45"/>
      <c r="C2964" s="79" t="s">
        <v>21041</v>
      </c>
      <c r="D2964" s="45"/>
      <c r="E2964" s="79" t="s">
        <v>5434</v>
      </c>
      <c r="F2964" s="79" t="s">
        <v>8759</v>
      </c>
      <c r="G2964" s="80" t="s">
        <v>96</v>
      </c>
      <c r="H2964" s="90">
        <v>7.51E-5</v>
      </c>
      <c r="I2964" s="45"/>
      <c r="J2964" s="45"/>
      <c r="K2964" s="45"/>
      <c r="L2964" s="45"/>
      <c r="M2964" s="45"/>
      <c r="N2964" s="45"/>
      <c r="O2964" s="45"/>
      <c r="P2964" s="45"/>
      <c r="Q2964" s="45"/>
      <c r="R2964" s="45"/>
      <c r="S2964" s="45"/>
      <c r="T2964" s="45"/>
      <c r="U2964" s="45"/>
    </row>
    <row r="2965">
      <c r="A2965" s="79" t="s">
        <v>21042</v>
      </c>
      <c r="B2965" s="45"/>
      <c r="C2965" s="79" t="s">
        <v>21043</v>
      </c>
      <c r="D2965" s="45"/>
      <c r="E2965" s="79" t="s">
        <v>5215</v>
      </c>
      <c r="F2965" s="79" t="s">
        <v>5300</v>
      </c>
      <c r="G2965" s="80" t="s">
        <v>96</v>
      </c>
      <c r="H2965" s="90">
        <v>7.5E-5</v>
      </c>
      <c r="I2965" s="45"/>
      <c r="J2965" s="45"/>
      <c r="K2965" s="45"/>
      <c r="L2965" s="45"/>
      <c r="M2965" s="45"/>
      <c r="N2965" s="45"/>
      <c r="O2965" s="45"/>
      <c r="P2965" s="45"/>
      <c r="Q2965" s="45"/>
      <c r="R2965" s="45"/>
      <c r="S2965" s="45"/>
      <c r="T2965" s="45"/>
      <c r="U2965" s="45"/>
    </row>
    <row r="2966">
      <c r="A2966" s="79" t="s">
        <v>21044</v>
      </c>
      <c r="B2966" s="45"/>
      <c r="C2966" s="79" t="s">
        <v>21045</v>
      </c>
      <c r="D2966" s="45"/>
      <c r="E2966" s="79" t="s">
        <v>5291</v>
      </c>
      <c r="F2966" s="79" t="s">
        <v>4095</v>
      </c>
      <c r="G2966" s="80" t="s">
        <v>96</v>
      </c>
      <c r="H2966" s="90">
        <v>7.5E-5</v>
      </c>
      <c r="I2966" s="45"/>
      <c r="J2966" s="45"/>
      <c r="K2966" s="45"/>
      <c r="L2966" s="45"/>
      <c r="M2966" s="45"/>
      <c r="N2966" s="45"/>
      <c r="O2966" s="45"/>
      <c r="P2966" s="45"/>
      <c r="Q2966" s="45"/>
      <c r="R2966" s="45"/>
      <c r="S2966" s="45"/>
      <c r="T2966" s="45"/>
      <c r="U2966" s="45"/>
    </row>
    <row r="2967">
      <c r="A2967" s="79" t="s">
        <v>21046</v>
      </c>
      <c r="B2967" s="45"/>
      <c r="C2967" s="79" t="s">
        <v>21047</v>
      </c>
      <c r="D2967" s="45"/>
      <c r="E2967" s="79" t="s">
        <v>6759</v>
      </c>
      <c r="F2967" s="79" t="s">
        <v>5836</v>
      </c>
      <c r="G2967" s="80" t="s">
        <v>96</v>
      </c>
      <c r="H2967" s="90">
        <v>7.49E-5</v>
      </c>
      <c r="I2967" s="45"/>
      <c r="J2967" s="45"/>
      <c r="K2967" s="45"/>
      <c r="L2967" s="45"/>
      <c r="M2967" s="45"/>
      <c r="N2967" s="45"/>
      <c r="O2967" s="45"/>
      <c r="P2967" s="45"/>
      <c r="Q2967" s="45"/>
      <c r="R2967" s="45"/>
      <c r="S2967" s="45"/>
      <c r="T2967" s="45"/>
      <c r="U2967" s="45"/>
    </row>
    <row r="2968">
      <c r="A2968" s="79" t="s">
        <v>21048</v>
      </c>
      <c r="B2968" s="45"/>
      <c r="C2968" s="79" t="s">
        <v>21049</v>
      </c>
      <c r="D2968" s="45"/>
      <c r="E2968" s="79" t="s">
        <v>6191</v>
      </c>
      <c r="F2968" s="79" t="s">
        <v>5941</v>
      </c>
      <c r="G2968" s="80" t="s">
        <v>96</v>
      </c>
      <c r="H2968" s="90">
        <v>7.49E-5</v>
      </c>
      <c r="I2968" s="45"/>
      <c r="J2968" s="45"/>
      <c r="K2968" s="45"/>
      <c r="L2968" s="45"/>
      <c r="M2968" s="45"/>
      <c r="N2968" s="45"/>
      <c r="O2968" s="45"/>
      <c r="P2968" s="45"/>
      <c r="Q2968" s="45"/>
      <c r="R2968" s="45"/>
      <c r="S2968" s="45"/>
      <c r="T2968" s="45"/>
      <c r="U2968" s="45"/>
    </row>
    <row r="2969">
      <c r="A2969" s="79" t="s">
        <v>21050</v>
      </c>
      <c r="B2969" s="45"/>
      <c r="C2969" s="79" t="s">
        <v>21051</v>
      </c>
      <c r="D2969" s="45"/>
      <c r="E2969" s="79" t="s">
        <v>5478</v>
      </c>
      <c r="F2969" s="79" t="s">
        <v>5300</v>
      </c>
      <c r="G2969" s="80" t="s">
        <v>96</v>
      </c>
      <c r="H2969" s="90">
        <v>7.49E-5</v>
      </c>
      <c r="I2969" s="45"/>
      <c r="J2969" s="45"/>
      <c r="K2969" s="45"/>
      <c r="L2969" s="45"/>
      <c r="M2969" s="45"/>
      <c r="N2969" s="45"/>
      <c r="O2969" s="45"/>
      <c r="P2969" s="45"/>
      <c r="Q2969" s="45"/>
      <c r="R2969" s="45"/>
      <c r="S2969" s="45"/>
      <c r="T2969" s="45"/>
      <c r="U2969" s="45"/>
    </row>
    <row r="2970">
      <c r="A2970" s="79" t="s">
        <v>21052</v>
      </c>
      <c r="B2970" s="45"/>
      <c r="C2970" s="79" t="s">
        <v>21053</v>
      </c>
      <c r="D2970" s="45"/>
      <c r="E2970" s="79" t="s">
        <v>6090</v>
      </c>
      <c r="F2970" s="79" t="s">
        <v>8784</v>
      </c>
      <c r="G2970" s="80" t="s">
        <v>96</v>
      </c>
      <c r="H2970" s="90">
        <v>7.48E-5</v>
      </c>
      <c r="I2970" s="45"/>
      <c r="J2970" s="45"/>
      <c r="K2970" s="45"/>
      <c r="L2970" s="45"/>
      <c r="M2970" s="45"/>
      <c r="N2970" s="45"/>
      <c r="O2970" s="45"/>
      <c r="P2970" s="45"/>
      <c r="Q2970" s="45"/>
      <c r="R2970" s="45"/>
      <c r="S2970" s="45"/>
      <c r="T2970" s="45"/>
      <c r="U2970" s="45"/>
    </row>
    <row r="2971">
      <c r="A2971" s="79" t="s">
        <v>21054</v>
      </c>
      <c r="B2971" s="45"/>
      <c r="C2971" s="79" t="s">
        <v>21055</v>
      </c>
      <c r="D2971" s="45"/>
      <c r="E2971" s="79" t="s">
        <v>5229</v>
      </c>
      <c r="F2971" s="79" t="s">
        <v>8784</v>
      </c>
      <c r="G2971" s="80" t="s">
        <v>96</v>
      </c>
      <c r="H2971" s="90">
        <v>7.48E-5</v>
      </c>
      <c r="I2971" s="45"/>
      <c r="J2971" s="45"/>
      <c r="K2971" s="45"/>
      <c r="L2971" s="45"/>
      <c r="M2971" s="45"/>
      <c r="N2971" s="45"/>
      <c r="O2971" s="45"/>
      <c r="P2971" s="45"/>
      <c r="Q2971" s="45"/>
      <c r="R2971" s="45"/>
      <c r="S2971" s="45"/>
      <c r="T2971" s="45"/>
      <c r="U2971" s="45"/>
    </row>
    <row r="2972">
      <c r="A2972" s="79" t="s">
        <v>21056</v>
      </c>
      <c r="B2972" s="45"/>
      <c r="C2972" s="79" t="s">
        <v>21057</v>
      </c>
      <c r="D2972" s="45"/>
      <c r="E2972" s="79" t="s">
        <v>5775</v>
      </c>
      <c r="F2972" s="79" t="s">
        <v>5300</v>
      </c>
      <c r="G2972" s="80" t="s">
        <v>96</v>
      </c>
      <c r="H2972" s="90">
        <v>7.46E-5</v>
      </c>
      <c r="I2972" s="45"/>
      <c r="J2972" s="45"/>
      <c r="K2972" s="45"/>
      <c r="L2972" s="45"/>
      <c r="M2972" s="45"/>
      <c r="N2972" s="45"/>
      <c r="O2972" s="45"/>
      <c r="P2972" s="45"/>
      <c r="Q2972" s="45"/>
      <c r="R2972" s="45"/>
      <c r="S2972" s="45"/>
      <c r="T2972" s="45"/>
      <c r="U2972" s="45"/>
    </row>
    <row r="2973">
      <c r="A2973" s="79" t="s">
        <v>21058</v>
      </c>
      <c r="B2973" s="45"/>
      <c r="C2973" s="79" t="s">
        <v>21059</v>
      </c>
      <c r="D2973" s="45"/>
      <c r="E2973" s="79" t="s">
        <v>5561</v>
      </c>
      <c r="F2973" s="79" t="s">
        <v>4153</v>
      </c>
      <c r="G2973" s="80" t="s">
        <v>96</v>
      </c>
      <c r="H2973" s="90">
        <v>7.46E-5</v>
      </c>
      <c r="I2973" s="45"/>
      <c r="J2973" s="45"/>
      <c r="K2973" s="45"/>
      <c r="L2973" s="45"/>
      <c r="M2973" s="45"/>
      <c r="N2973" s="45"/>
      <c r="O2973" s="45"/>
      <c r="P2973" s="45"/>
      <c r="Q2973" s="45"/>
      <c r="R2973" s="45"/>
      <c r="S2973" s="45"/>
      <c r="T2973" s="45"/>
      <c r="U2973" s="45"/>
    </row>
    <row r="2974">
      <c r="A2974" s="79" t="s">
        <v>21060</v>
      </c>
      <c r="B2974" s="45"/>
      <c r="C2974" s="79" t="s">
        <v>21061</v>
      </c>
      <c r="D2974" s="45"/>
      <c r="E2974" s="79" t="s">
        <v>5478</v>
      </c>
      <c r="F2974" s="79" t="s">
        <v>5300</v>
      </c>
      <c r="G2974" s="80" t="s">
        <v>96</v>
      </c>
      <c r="H2974" s="90">
        <v>7.46E-5</v>
      </c>
      <c r="I2974" s="45"/>
      <c r="J2974" s="45"/>
      <c r="K2974" s="45"/>
      <c r="L2974" s="45"/>
      <c r="M2974" s="45"/>
      <c r="N2974" s="45"/>
      <c r="O2974" s="45"/>
      <c r="P2974" s="45"/>
      <c r="Q2974" s="45"/>
      <c r="R2974" s="45"/>
      <c r="S2974" s="45"/>
      <c r="T2974" s="45"/>
      <c r="U2974" s="45"/>
    </row>
    <row r="2975">
      <c r="A2975" s="79" t="s">
        <v>21062</v>
      </c>
      <c r="B2975" s="45"/>
      <c r="C2975" s="79" t="s">
        <v>21063</v>
      </c>
      <c r="D2975" s="45"/>
      <c r="E2975" s="79" t="s">
        <v>5377</v>
      </c>
      <c r="F2975" s="79" t="s">
        <v>8784</v>
      </c>
      <c r="G2975" s="80" t="s">
        <v>96</v>
      </c>
      <c r="H2975" s="90">
        <v>7.45E-5</v>
      </c>
      <c r="I2975" s="45"/>
      <c r="J2975" s="45"/>
      <c r="K2975" s="45"/>
      <c r="L2975" s="45"/>
      <c r="M2975" s="45"/>
      <c r="N2975" s="45"/>
      <c r="O2975" s="45"/>
      <c r="P2975" s="45"/>
      <c r="Q2975" s="45"/>
      <c r="R2975" s="45"/>
      <c r="S2975" s="45"/>
      <c r="T2975" s="45"/>
      <c r="U2975" s="45"/>
    </row>
    <row r="2976">
      <c r="A2976" s="79" t="s">
        <v>21064</v>
      </c>
      <c r="B2976" s="45"/>
      <c r="C2976" s="79" t="s">
        <v>21065</v>
      </c>
      <c r="D2976" s="45"/>
      <c r="E2976" s="79" t="s">
        <v>5374</v>
      </c>
      <c r="F2976" s="79" t="s">
        <v>9513</v>
      </c>
      <c r="G2976" s="80" t="s">
        <v>96</v>
      </c>
      <c r="H2976" s="90">
        <v>7.44E-5</v>
      </c>
      <c r="I2976" s="45"/>
      <c r="J2976" s="45"/>
      <c r="K2976" s="45"/>
      <c r="L2976" s="45"/>
      <c r="M2976" s="45"/>
      <c r="N2976" s="45"/>
      <c r="O2976" s="45"/>
      <c r="P2976" s="45"/>
      <c r="Q2976" s="45"/>
      <c r="R2976" s="45"/>
      <c r="S2976" s="45"/>
      <c r="T2976" s="45"/>
      <c r="U2976" s="45"/>
    </row>
    <row r="2977">
      <c r="A2977" s="79" t="s">
        <v>21066</v>
      </c>
      <c r="B2977" s="45"/>
      <c r="C2977" s="79" t="s">
        <v>21067</v>
      </c>
      <c r="D2977" s="45"/>
      <c r="E2977" s="79" t="s">
        <v>5215</v>
      </c>
      <c r="F2977" s="79" t="s">
        <v>5300</v>
      </c>
      <c r="G2977" s="80" t="s">
        <v>96</v>
      </c>
      <c r="H2977" s="90">
        <v>7.43E-5</v>
      </c>
      <c r="I2977" s="45"/>
      <c r="J2977" s="45"/>
      <c r="K2977" s="45"/>
      <c r="L2977" s="45"/>
      <c r="M2977" s="45"/>
      <c r="N2977" s="45"/>
      <c r="O2977" s="45"/>
      <c r="P2977" s="45"/>
      <c r="Q2977" s="45"/>
      <c r="R2977" s="45"/>
      <c r="S2977" s="45"/>
      <c r="T2977" s="45"/>
      <c r="U2977" s="45"/>
    </row>
    <row r="2978">
      <c r="A2978" s="79" t="s">
        <v>21068</v>
      </c>
      <c r="B2978" s="45"/>
      <c r="C2978" s="79" t="s">
        <v>21069</v>
      </c>
      <c r="D2978" s="45"/>
      <c r="E2978" s="79" t="s">
        <v>5326</v>
      </c>
      <c r="F2978" s="79" t="s">
        <v>8767</v>
      </c>
      <c r="G2978" s="80" t="s">
        <v>96</v>
      </c>
      <c r="H2978" s="90">
        <v>7.42E-5</v>
      </c>
      <c r="I2978" s="45"/>
      <c r="J2978" s="45"/>
      <c r="K2978" s="45"/>
      <c r="L2978" s="45"/>
      <c r="M2978" s="45"/>
      <c r="N2978" s="45"/>
      <c r="O2978" s="45"/>
      <c r="P2978" s="45"/>
      <c r="Q2978" s="45"/>
      <c r="R2978" s="45"/>
      <c r="S2978" s="45"/>
      <c r="T2978" s="45"/>
      <c r="U2978" s="45"/>
    </row>
    <row r="2979">
      <c r="A2979" s="79" t="s">
        <v>21070</v>
      </c>
      <c r="B2979" s="45"/>
      <c r="C2979" s="79" t="s">
        <v>21071</v>
      </c>
      <c r="D2979" s="45"/>
      <c r="E2979" s="79" t="s">
        <v>5215</v>
      </c>
      <c r="F2979" s="79" t="s">
        <v>5300</v>
      </c>
      <c r="G2979" s="80" t="s">
        <v>96</v>
      </c>
      <c r="H2979" s="90">
        <v>7.42E-5</v>
      </c>
      <c r="I2979" s="45"/>
      <c r="J2979" s="45"/>
      <c r="K2979" s="45"/>
      <c r="L2979" s="45"/>
      <c r="M2979" s="45"/>
      <c r="N2979" s="45"/>
      <c r="O2979" s="45"/>
      <c r="P2979" s="45"/>
      <c r="Q2979" s="45"/>
      <c r="R2979" s="45"/>
      <c r="S2979" s="45"/>
      <c r="T2979" s="45"/>
      <c r="U2979" s="45"/>
    </row>
    <row r="2980">
      <c r="A2980" s="79" t="s">
        <v>21072</v>
      </c>
      <c r="B2980" s="45"/>
      <c r="C2980" s="79" t="s">
        <v>21073</v>
      </c>
      <c r="D2980" s="45"/>
      <c r="E2980" s="79" t="s">
        <v>5478</v>
      </c>
      <c r="F2980" s="79" t="s">
        <v>5300</v>
      </c>
      <c r="G2980" s="80" t="s">
        <v>96</v>
      </c>
      <c r="H2980" s="90">
        <v>7.42E-5</v>
      </c>
      <c r="I2980" s="45"/>
      <c r="J2980" s="45"/>
      <c r="K2980" s="45"/>
      <c r="L2980" s="45"/>
      <c r="M2980" s="45"/>
      <c r="N2980" s="45"/>
      <c r="O2980" s="45"/>
      <c r="P2980" s="45"/>
      <c r="Q2980" s="45"/>
      <c r="R2980" s="45"/>
      <c r="S2980" s="45"/>
      <c r="T2980" s="45"/>
      <c r="U2980" s="45"/>
    </row>
    <row r="2981">
      <c r="A2981" s="79" t="s">
        <v>21074</v>
      </c>
      <c r="B2981" s="45"/>
      <c r="C2981" s="79" t="s">
        <v>21075</v>
      </c>
      <c r="D2981" s="45"/>
      <c r="E2981" s="79" t="s">
        <v>5407</v>
      </c>
      <c r="F2981" s="79" t="s">
        <v>8784</v>
      </c>
      <c r="G2981" s="80" t="s">
        <v>96</v>
      </c>
      <c r="H2981" s="90">
        <v>7.42E-5</v>
      </c>
      <c r="I2981" s="45"/>
      <c r="J2981" s="45"/>
      <c r="K2981" s="45"/>
      <c r="L2981" s="45"/>
      <c r="M2981" s="45"/>
      <c r="N2981" s="45"/>
      <c r="O2981" s="45"/>
      <c r="P2981" s="45"/>
      <c r="Q2981" s="45"/>
      <c r="R2981" s="45"/>
      <c r="S2981" s="45"/>
      <c r="T2981" s="45"/>
      <c r="U2981" s="45"/>
    </row>
    <row r="2982">
      <c r="A2982" s="79" t="s">
        <v>21076</v>
      </c>
      <c r="B2982" s="45"/>
      <c r="C2982" s="79" t="s">
        <v>21077</v>
      </c>
      <c r="D2982" s="45"/>
      <c r="E2982" s="79" t="s">
        <v>5218</v>
      </c>
      <c r="F2982" s="79" t="s">
        <v>9513</v>
      </c>
      <c r="G2982" s="80" t="s">
        <v>96</v>
      </c>
      <c r="H2982" s="90">
        <v>7.4E-5</v>
      </c>
      <c r="I2982" s="45"/>
      <c r="J2982" s="45"/>
      <c r="K2982" s="45"/>
      <c r="L2982" s="45"/>
      <c r="M2982" s="45"/>
      <c r="N2982" s="45"/>
      <c r="O2982" s="45"/>
      <c r="P2982" s="45"/>
      <c r="Q2982" s="45"/>
      <c r="R2982" s="45"/>
      <c r="S2982" s="45"/>
      <c r="T2982" s="45"/>
      <c r="U2982" s="45"/>
    </row>
    <row r="2983">
      <c r="A2983" s="79" t="s">
        <v>21078</v>
      </c>
      <c r="B2983" s="45"/>
      <c r="C2983" s="79" t="s">
        <v>21079</v>
      </c>
      <c r="D2983" s="45"/>
      <c r="E2983" s="79" t="s">
        <v>5238</v>
      </c>
      <c r="F2983" s="79" t="s">
        <v>8784</v>
      </c>
      <c r="G2983" s="80" t="s">
        <v>96</v>
      </c>
      <c r="H2983" s="90">
        <v>7.4E-5</v>
      </c>
      <c r="I2983" s="45"/>
      <c r="J2983" s="45"/>
      <c r="K2983" s="45"/>
      <c r="L2983" s="45"/>
      <c r="M2983" s="45"/>
      <c r="N2983" s="45"/>
      <c r="O2983" s="45"/>
      <c r="P2983" s="45"/>
      <c r="Q2983" s="45"/>
      <c r="R2983" s="45"/>
      <c r="S2983" s="45"/>
      <c r="T2983" s="45"/>
      <c r="U2983" s="45"/>
    </row>
    <row r="2984">
      <c r="A2984" s="79" t="s">
        <v>21080</v>
      </c>
      <c r="B2984" s="45"/>
      <c r="C2984" s="79" t="s">
        <v>21081</v>
      </c>
      <c r="D2984" s="45"/>
      <c r="E2984" s="79" t="s">
        <v>6040</v>
      </c>
      <c r="F2984" s="79" t="s">
        <v>5300</v>
      </c>
      <c r="G2984" s="80" t="s">
        <v>96</v>
      </c>
      <c r="H2984" s="90">
        <v>7.39E-5</v>
      </c>
      <c r="I2984" s="45"/>
      <c r="J2984" s="45"/>
      <c r="K2984" s="45"/>
      <c r="L2984" s="45"/>
      <c r="M2984" s="45"/>
      <c r="N2984" s="45"/>
      <c r="O2984" s="45"/>
      <c r="P2984" s="45"/>
      <c r="Q2984" s="45"/>
      <c r="R2984" s="45"/>
      <c r="S2984" s="45"/>
      <c r="T2984" s="45"/>
      <c r="U2984" s="45"/>
    </row>
    <row r="2985">
      <c r="A2985" s="79" t="s">
        <v>21082</v>
      </c>
      <c r="B2985" s="45"/>
      <c r="C2985" s="79" t="s">
        <v>21083</v>
      </c>
      <c r="D2985" s="45"/>
      <c r="E2985" s="79" t="s">
        <v>5390</v>
      </c>
      <c r="F2985" s="79" t="s">
        <v>6988</v>
      </c>
      <c r="G2985" s="80" t="s">
        <v>96</v>
      </c>
      <c r="H2985" s="90">
        <v>7.38E-5</v>
      </c>
      <c r="I2985" s="45"/>
      <c r="J2985" s="45"/>
      <c r="K2985" s="45"/>
      <c r="L2985" s="45"/>
      <c r="M2985" s="45"/>
      <c r="N2985" s="45"/>
      <c r="O2985" s="45"/>
      <c r="P2985" s="45"/>
      <c r="Q2985" s="45"/>
      <c r="R2985" s="45"/>
      <c r="S2985" s="45"/>
      <c r="T2985" s="45"/>
      <c r="U2985" s="45"/>
    </row>
    <row r="2986">
      <c r="A2986" s="79" t="s">
        <v>21084</v>
      </c>
      <c r="B2986" s="45"/>
      <c r="C2986" s="79" t="s">
        <v>21085</v>
      </c>
      <c r="D2986" s="45"/>
      <c r="E2986" s="79" t="s">
        <v>5407</v>
      </c>
      <c r="F2986" s="79" t="s">
        <v>5747</v>
      </c>
      <c r="G2986" s="80" t="s">
        <v>96</v>
      </c>
      <c r="H2986" s="90">
        <v>7.38E-5</v>
      </c>
      <c r="I2986" s="45"/>
      <c r="J2986" s="45"/>
      <c r="K2986" s="45"/>
      <c r="L2986" s="45"/>
      <c r="M2986" s="45"/>
      <c r="N2986" s="45"/>
      <c r="O2986" s="45"/>
      <c r="P2986" s="45"/>
      <c r="Q2986" s="45"/>
      <c r="R2986" s="45"/>
      <c r="S2986" s="45"/>
      <c r="T2986" s="45"/>
      <c r="U2986" s="45"/>
    </row>
    <row r="2987">
      <c r="A2987" s="79" t="s">
        <v>21086</v>
      </c>
      <c r="B2987" s="45"/>
      <c r="C2987" s="79" t="s">
        <v>21087</v>
      </c>
      <c r="D2987" s="45"/>
      <c r="E2987" s="79" t="s">
        <v>5215</v>
      </c>
      <c r="F2987" s="79" t="s">
        <v>4357</v>
      </c>
      <c r="G2987" s="80" t="s">
        <v>96</v>
      </c>
      <c r="H2987" s="90">
        <v>7.37E-5</v>
      </c>
      <c r="I2987" s="45"/>
      <c r="J2987" s="45"/>
      <c r="K2987" s="45"/>
      <c r="L2987" s="45"/>
      <c r="M2987" s="45"/>
      <c r="N2987" s="45"/>
      <c r="O2987" s="45"/>
      <c r="P2987" s="45"/>
      <c r="Q2987" s="45"/>
      <c r="R2987" s="45"/>
      <c r="S2987" s="45"/>
      <c r="T2987" s="45"/>
      <c r="U2987" s="45"/>
    </row>
    <row r="2988">
      <c r="A2988" s="79" t="s">
        <v>21088</v>
      </c>
      <c r="B2988" s="45"/>
      <c r="C2988" s="79" t="s">
        <v>21089</v>
      </c>
      <c r="D2988" s="45"/>
      <c r="E2988" s="79" t="s">
        <v>5501</v>
      </c>
      <c r="F2988" s="79" t="s">
        <v>8784</v>
      </c>
      <c r="G2988" s="80" t="s">
        <v>96</v>
      </c>
      <c r="H2988" s="90">
        <v>7.37E-5</v>
      </c>
      <c r="I2988" s="45"/>
      <c r="J2988" s="45"/>
      <c r="K2988" s="45"/>
      <c r="L2988" s="45"/>
      <c r="M2988" s="45"/>
      <c r="N2988" s="45"/>
      <c r="O2988" s="45"/>
      <c r="P2988" s="45"/>
      <c r="Q2988" s="45"/>
      <c r="R2988" s="45"/>
      <c r="S2988" s="45"/>
      <c r="T2988" s="45"/>
      <c r="U2988" s="45"/>
    </row>
    <row r="2989">
      <c r="A2989" s="79" t="s">
        <v>21090</v>
      </c>
      <c r="B2989" s="45"/>
      <c r="C2989" s="79" t="s">
        <v>21091</v>
      </c>
      <c r="D2989" s="45"/>
      <c r="E2989" s="79" t="s">
        <v>5316</v>
      </c>
      <c r="F2989" s="79" t="s">
        <v>5300</v>
      </c>
      <c r="G2989" s="80" t="s">
        <v>96</v>
      </c>
      <c r="H2989" s="90">
        <v>7.37E-5</v>
      </c>
      <c r="I2989" s="45"/>
      <c r="J2989" s="45"/>
      <c r="K2989" s="45"/>
      <c r="L2989" s="45"/>
      <c r="M2989" s="45"/>
      <c r="N2989" s="45"/>
      <c r="O2989" s="45"/>
      <c r="P2989" s="45"/>
      <c r="Q2989" s="45"/>
      <c r="R2989" s="45"/>
      <c r="S2989" s="45"/>
      <c r="T2989" s="45"/>
      <c r="U2989" s="45"/>
    </row>
    <row r="2990">
      <c r="A2990" s="79" t="s">
        <v>21092</v>
      </c>
      <c r="B2990" s="45"/>
      <c r="C2990" s="79" t="s">
        <v>21093</v>
      </c>
      <c r="D2990" s="45"/>
      <c r="E2990" s="79" t="s">
        <v>8154</v>
      </c>
      <c r="F2990" s="79" t="s">
        <v>4095</v>
      </c>
      <c r="G2990" s="80" t="s">
        <v>96</v>
      </c>
      <c r="H2990" s="90">
        <v>7.36E-5</v>
      </c>
      <c r="I2990" s="45"/>
      <c r="J2990" s="45"/>
      <c r="K2990" s="45"/>
      <c r="L2990" s="45"/>
      <c r="M2990" s="45"/>
      <c r="N2990" s="45"/>
      <c r="O2990" s="45"/>
      <c r="P2990" s="45"/>
      <c r="Q2990" s="45"/>
      <c r="R2990" s="45"/>
      <c r="S2990" s="45"/>
      <c r="T2990" s="45"/>
      <c r="U2990" s="45"/>
    </row>
    <row r="2991">
      <c r="A2991" s="79" t="s">
        <v>21094</v>
      </c>
      <c r="B2991" s="45"/>
      <c r="C2991" s="79" t="s">
        <v>21095</v>
      </c>
      <c r="D2991" s="45"/>
      <c r="E2991" s="79" t="s">
        <v>5478</v>
      </c>
      <c r="F2991" s="79" t="s">
        <v>5300</v>
      </c>
      <c r="G2991" s="80" t="s">
        <v>96</v>
      </c>
      <c r="H2991" s="90">
        <v>7.36E-5</v>
      </c>
      <c r="I2991" s="45"/>
      <c r="J2991" s="45"/>
      <c r="K2991" s="45"/>
      <c r="L2991" s="45"/>
      <c r="M2991" s="45"/>
      <c r="N2991" s="45"/>
      <c r="O2991" s="45"/>
      <c r="P2991" s="45"/>
      <c r="Q2991" s="45"/>
      <c r="R2991" s="45"/>
      <c r="S2991" s="45"/>
      <c r="T2991" s="45"/>
      <c r="U2991" s="45"/>
    </row>
    <row r="2992">
      <c r="A2992" s="79" t="s">
        <v>21096</v>
      </c>
      <c r="B2992" s="45"/>
      <c r="C2992" s="79" t="s">
        <v>21097</v>
      </c>
      <c r="D2992" s="45"/>
      <c r="E2992" s="79" t="s">
        <v>5573</v>
      </c>
      <c r="F2992" s="79" t="s">
        <v>5300</v>
      </c>
      <c r="G2992" s="80" t="s">
        <v>96</v>
      </c>
      <c r="H2992" s="90">
        <v>7.36E-5</v>
      </c>
      <c r="I2992" s="45"/>
      <c r="J2992" s="45"/>
      <c r="K2992" s="45"/>
      <c r="L2992" s="45"/>
      <c r="M2992" s="45"/>
      <c r="N2992" s="45"/>
      <c r="O2992" s="45"/>
      <c r="P2992" s="45"/>
      <c r="Q2992" s="45"/>
      <c r="R2992" s="45"/>
      <c r="S2992" s="45"/>
      <c r="T2992" s="45"/>
      <c r="U2992" s="45"/>
    </row>
    <row r="2993">
      <c r="A2993" s="79" t="s">
        <v>21098</v>
      </c>
      <c r="B2993" s="45"/>
      <c r="C2993" s="79" t="s">
        <v>21099</v>
      </c>
      <c r="D2993" s="45"/>
      <c r="E2993" s="79" t="s">
        <v>5215</v>
      </c>
      <c r="F2993" s="79" t="s">
        <v>5300</v>
      </c>
      <c r="G2993" s="80" t="s">
        <v>96</v>
      </c>
      <c r="H2993" s="90">
        <v>7.36E-5</v>
      </c>
      <c r="I2993" s="45"/>
      <c r="J2993" s="45"/>
      <c r="K2993" s="45"/>
      <c r="L2993" s="45"/>
      <c r="M2993" s="45"/>
      <c r="N2993" s="45"/>
      <c r="O2993" s="45"/>
      <c r="P2993" s="45"/>
      <c r="Q2993" s="45"/>
      <c r="R2993" s="45"/>
      <c r="S2993" s="45"/>
      <c r="T2993" s="45"/>
      <c r="U2993" s="45"/>
    </row>
    <row r="2994">
      <c r="A2994" s="79" t="s">
        <v>21100</v>
      </c>
      <c r="B2994" s="45"/>
      <c r="C2994" s="79" t="s">
        <v>21101</v>
      </c>
      <c r="D2994" s="45"/>
      <c r="E2994" s="79" t="s">
        <v>5450</v>
      </c>
      <c r="F2994" s="79" t="s">
        <v>5941</v>
      </c>
      <c r="G2994" s="80" t="s">
        <v>96</v>
      </c>
      <c r="H2994" s="90">
        <v>7.35E-5</v>
      </c>
      <c r="I2994" s="45"/>
      <c r="J2994" s="45"/>
      <c r="K2994" s="45"/>
      <c r="L2994" s="45"/>
      <c r="M2994" s="45"/>
      <c r="N2994" s="45"/>
      <c r="O2994" s="45"/>
      <c r="P2994" s="45"/>
      <c r="Q2994" s="45"/>
      <c r="R2994" s="45"/>
      <c r="S2994" s="45"/>
      <c r="T2994" s="45"/>
      <c r="U2994" s="45"/>
    </row>
    <row r="2995">
      <c r="A2995" s="79" t="s">
        <v>21102</v>
      </c>
      <c r="B2995" s="45"/>
      <c r="C2995" s="79" t="s">
        <v>21103</v>
      </c>
      <c r="D2995" s="45"/>
      <c r="E2995" s="79" t="s">
        <v>7248</v>
      </c>
      <c r="F2995" s="79" t="s">
        <v>5425</v>
      </c>
      <c r="G2995" s="80" t="s">
        <v>96</v>
      </c>
      <c r="H2995" s="90">
        <v>7.34E-5</v>
      </c>
      <c r="I2995" s="45"/>
      <c r="J2995" s="45"/>
      <c r="K2995" s="45"/>
      <c r="L2995" s="45"/>
      <c r="M2995" s="45"/>
      <c r="N2995" s="45"/>
      <c r="O2995" s="45"/>
      <c r="P2995" s="45"/>
      <c r="Q2995" s="45"/>
      <c r="R2995" s="45"/>
      <c r="S2995" s="45"/>
      <c r="T2995" s="45"/>
      <c r="U2995" s="45"/>
    </row>
    <row r="2996">
      <c r="A2996" s="79" t="s">
        <v>21104</v>
      </c>
      <c r="B2996" s="45"/>
      <c r="C2996" s="79" t="s">
        <v>21105</v>
      </c>
      <c r="D2996" s="45"/>
      <c r="E2996" s="79" t="s">
        <v>5215</v>
      </c>
      <c r="F2996" s="79" t="s">
        <v>5300</v>
      </c>
      <c r="G2996" s="80" t="s">
        <v>96</v>
      </c>
      <c r="H2996" s="90">
        <v>7.31E-5</v>
      </c>
      <c r="I2996" s="45"/>
      <c r="J2996" s="45"/>
      <c r="K2996" s="45"/>
      <c r="L2996" s="45"/>
      <c r="M2996" s="45"/>
      <c r="N2996" s="45"/>
      <c r="O2996" s="45"/>
      <c r="P2996" s="45"/>
      <c r="Q2996" s="45"/>
      <c r="R2996" s="45"/>
      <c r="S2996" s="45"/>
      <c r="T2996" s="45"/>
      <c r="U2996" s="45"/>
    </row>
    <row r="2997">
      <c r="A2997" s="79" t="s">
        <v>21106</v>
      </c>
      <c r="B2997" s="45"/>
      <c r="C2997" s="79" t="s">
        <v>21107</v>
      </c>
      <c r="D2997" s="45"/>
      <c r="E2997" s="79" t="s">
        <v>5264</v>
      </c>
      <c r="F2997" s="79" t="s">
        <v>8759</v>
      </c>
      <c r="G2997" s="80" t="s">
        <v>96</v>
      </c>
      <c r="H2997" s="90">
        <v>7.3E-5</v>
      </c>
      <c r="I2997" s="45"/>
      <c r="J2997" s="45"/>
      <c r="K2997" s="45"/>
      <c r="L2997" s="45"/>
      <c r="M2997" s="45"/>
      <c r="N2997" s="45"/>
      <c r="O2997" s="45"/>
      <c r="P2997" s="45"/>
      <c r="Q2997" s="45"/>
      <c r="R2997" s="45"/>
      <c r="S2997" s="45"/>
      <c r="T2997" s="45"/>
      <c r="U2997" s="45"/>
    </row>
    <row r="2998">
      <c r="A2998" s="79" t="s">
        <v>21108</v>
      </c>
      <c r="B2998" s="45"/>
      <c r="C2998" s="79" t="s">
        <v>21109</v>
      </c>
      <c r="D2998" s="45"/>
      <c r="E2998" s="79" t="s">
        <v>5267</v>
      </c>
      <c r="F2998" s="79" t="s">
        <v>8784</v>
      </c>
      <c r="G2998" s="80" t="s">
        <v>96</v>
      </c>
      <c r="H2998" s="90">
        <v>7.29E-5</v>
      </c>
      <c r="I2998" s="45"/>
      <c r="J2998" s="45"/>
      <c r="K2998" s="45"/>
      <c r="L2998" s="45"/>
      <c r="M2998" s="45"/>
      <c r="N2998" s="45"/>
      <c r="O2998" s="45"/>
      <c r="P2998" s="45"/>
      <c r="Q2998" s="45"/>
      <c r="R2998" s="45"/>
      <c r="S2998" s="45"/>
      <c r="T2998" s="45"/>
      <c r="U2998" s="45"/>
    </row>
    <row r="2999">
      <c r="A2999" s="79" t="s">
        <v>21110</v>
      </c>
      <c r="B2999" s="45"/>
      <c r="C2999" s="79" t="s">
        <v>21111</v>
      </c>
      <c r="D2999" s="45"/>
      <c r="E2999" s="79" t="s">
        <v>5264</v>
      </c>
      <c r="F2999" s="79" t="s">
        <v>5300</v>
      </c>
      <c r="G2999" s="80" t="s">
        <v>96</v>
      </c>
      <c r="H2999" s="90">
        <v>7.29E-5</v>
      </c>
      <c r="I2999" s="45"/>
      <c r="J2999" s="45"/>
      <c r="K2999" s="45"/>
      <c r="L2999" s="45"/>
      <c r="M2999" s="45"/>
      <c r="N2999" s="45"/>
      <c r="O2999" s="45"/>
      <c r="P2999" s="45"/>
      <c r="Q2999" s="45"/>
      <c r="R2999" s="45"/>
      <c r="S2999" s="45"/>
      <c r="T2999" s="45"/>
      <c r="U2999" s="45"/>
    </row>
    <row r="3000">
      <c r="A3000" s="79" t="s">
        <v>21112</v>
      </c>
      <c r="B3000" s="45"/>
      <c r="C3000" s="79" t="s">
        <v>21113</v>
      </c>
      <c r="D3000" s="45"/>
      <c r="E3000" s="79" t="s">
        <v>5478</v>
      </c>
      <c r="F3000" s="79" t="s">
        <v>5300</v>
      </c>
      <c r="G3000" s="80" t="s">
        <v>96</v>
      </c>
      <c r="H3000" s="90">
        <v>7.28E-5</v>
      </c>
      <c r="I3000" s="45"/>
      <c r="J3000" s="45"/>
      <c r="K3000" s="45"/>
      <c r="L3000" s="45"/>
      <c r="M3000" s="45"/>
      <c r="N3000" s="45"/>
      <c r="O3000" s="45"/>
      <c r="P3000" s="45"/>
      <c r="Q3000" s="45"/>
      <c r="R3000" s="45"/>
      <c r="S3000" s="45"/>
      <c r="T3000" s="45"/>
      <c r="U3000" s="45"/>
    </row>
    <row r="3001">
      <c r="A3001" s="79" t="s">
        <v>21114</v>
      </c>
      <c r="B3001" s="45"/>
      <c r="C3001" s="79" t="s">
        <v>21115</v>
      </c>
      <c r="D3001" s="45"/>
      <c r="E3001" s="79" t="s">
        <v>5459</v>
      </c>
      <c r="F3001" s="79" t="s">
        <v>5300</v>
      </c>
      <c r="G3001" s="80" t="s">
        <v>96</v>
      </c>
      <c r="H3001" s="90">
        <v>7.28E-5</v>
      </c>
      <c r="I3001" s="45"/>
      <c r="J3001" s="45"/>
      <c r="K3001" s="45"/>
      <c r="L3001" s="45"/>
      <c r="M3001" s="45"/>
      <c r="N3001" s="45"/>
      <c r="O3001" s="45"/>
      <c r="P3001" s="45"/>
      <c r="Q3001" s="45"/>
      <c r="R3001" s="45"/>
      <c r="S3001" s="45"/>
      <c r="T3001" s="45"/>
      <c r="U3001" s="45"/>
    </row>
    <row r="3002">
      <c r="A3002" s="79" t="s">
        <v>21116</v>
      </c>
      <c r="B3002" s="45"/>
      <c r="C3002" s="79" t="s">
        <v>21117</v>
      </c>
      <c r="D3002" s="45"/>
      <c r="E3002" s="79" t="s">
        <v>5377</v>
      </c>
      <c r="F3002" s="79" t="s">
        <v>5300</v>
      </c>
      <c r="G3002" s="80" t="s">
        <v>96</v>
      </c>
      <c r="H3002" s="90">
        <v>7.28E-5</v>
      </c>
      <c r="I3002" s="45"/>
      <c r="J3002" s="45"/>
      <c r="K3002" s="45"/>
      <c r="L3002" s="45"/>
      <c r="M3002" s="45"/>
      <c r="N3002" s="45"/>
      <c r="O3002" s="45"/>
      <c r="P3002" s="45"/>
      <c r="Q3002" s="45"/>
      <c r="R3002" s="45"/>
      <c r="S3002" s="45"/>
      <c r="T3002" s="45"/>
      <c r="U3002" s="45"/>
    </row>
    <row r="3003">
      <c r="A3003" s="79" t="s">
        <v>21118</v>
      </c>
      <c r="B3003" s="45"/>
      <c r="C3003" s="79" t="s">
        <v>21119</v>
      </c>
      <c r="D3003" s="45"/>
      <c r="E3003" s="79" t="s">
        <v>5478</v>
      </c>
      <c r="F3003" s="79" t="s">
        <v>5300</v>
      </c>
      <c r="G3003" s="80" t="s">
        <v>96</v>
      </c>
      <c r="H3003" s="90">
        <v>7.28E-5</v>
      </c>
      <c r="I3003" s="45"/>
      <c r="J3003" s="45"/>
      <c r="K3003" s="45"/>
      <c r="L3003" s="45"/>
      <c r="M3003" s="45"/>
      <c r="N3003" s="45"/>
      <c r="O3003" s="45"/>
      <c r="P3003" s="45"/>
      <c r="Q3003" s="45"/>
      <c r="R3003" s="45"/>
      <c r="S3003" s="45"/>
      <c r="T3003" s="45"/>
      <c r="U3003" s="45"/>
    </row>
    <row r="3004">
      <c r="A3004" s="79" t="s">
        <v>21120</v>
      </c>
      <c r="B3004" s="45"/>
      <c r="C3004" s="79" t="s">
        <v>21121</v>
      </c>
      <c r="D3004" s="45"/>
      <c r="E3004" s="79" t="s">
        <v>5390</v>
      </c>
      <c r="F3004" s="79" t="s">
        <v>9513</v>
      </c>
      <c r="G3004" s="80" t="s">
        <v>96</v>
      </c>
      <c r="H3004" s="90">
        <v>7.27E-5</v>
      </c>
      <c r="I3004" s="45"/>
      <c r="J3004" s="45"/>
      <c r="K3004" s="45"/>
      <c r="L3004" s="45"/>
      <c r="M3004" s="45"/>
      <c r="N3004" s="45"/>
      <c r="O3004" s="45"/>
      <c r="P3004" s="45"/>
      <c r="Q3004" s="45"/>
      <c r="R3004" s="45"/>
      <c r="S3004" s="45"/>
      <c r="T3004" s="45"/>
      <c r="U3004" s="45"/>
    </row>
    <row r="3005">
      <c r="A3005" s="79" t="s">
        <v>21122</v>
      </c>
      <c r="B3005" s="45"/>
      <c r="C3005" s="79" t="s">
        <v>21123</v>
      </c>
      <c r="D3005" s="45"/>
      <c r="E3005" s="79" t="s">
        <v>5407</v>
      </c>
      <c r="F3005" s="79" t="s">
        <v>5425</v>
      </c>
      <c r="G3005" s="80" t="s">
        <v>96</v>
      </c>
      <c r="H3005" s="90">
        <v>7.27E-5</v>
      </c>
      <c r="I3005" s="45"/>
      <c r="J3005" s="45"/>
      <c r="K3005" s="45"/>
      <c r="L3005" s="45"/>
      <c r="M3005" s="45"/>
      <c r="N3005" s="45"/>
      <c r="O3005" s="45"/>
      <c r="P3005" s="45"/>
      <c r="Q3005" s="45"/>
      <c r="R3005" s="45"/>
      <c r="S3005" s="45"/>
      <c r="T3005" s="45"/>
      <c r="U3005" s="45"/>
    </row>
    <row r="3006">
      <c r="A3006" s="79" t="s">
        <v>21124</v>
      </c>
      <c r="B3006" s="45"/>
      <c r="C3006" s="79" t="s">
        <v>21125</v>
      </c>
      <c r="D3006" s="45"/>
      <c r="E3006" s="79" t="s">
        <v>5390</v>
      </c>
      <c r="F3006" s="79" t="s">
        <v>8784</v>
      </c>
      <c r="G3006" s="80" t="s">
        <v>96</v>
      </c>
      <c r="H3006" s="90">
        <v>7.27E-5</v>
      </c>
      <c r="I3006" s="45"/>
      <c r="J3006" s="45"/>
      <c r="K3006" s="45"/>
      <c r="L3006" s="45"/>
      <c r="M3006" s="45"/>
      <c r="N3006" s="45"/>
      <c r="O3006" s="45"/>
      <c r="P3006" s="45"/>
      <c r="Q3006" s="45"/>
      <c r="R3006" s="45"/>
      <c r="S3006" s="45"/>
      <c r="T3006" s="45"/>
      <c r="U3006" s="45"/>
    </row>
    <row r="3007">
      <c r="A3007" s="79" t="s">
        <v>21126</v>
      </c>
      <c r="B3007" s="45"/>
      <c r="C3007" s="79" t="s">
        <v>21127</v>
      </c>
      <c r="D3007" s="45"/>
      <c r="E3007" s="79" t="s">
        <v>6238</v>
      </c>
      <c r="F3007" s="79" t="s">
        <v>9908</v>
      </c>
      <c r="G3007" s="80" t="s">
        <v>96</v>
      </c>
      <c r="H3007" s="90">
        <v>7.27E-5</v>
      </c>
      <c r="I3007" s="45"/>
      <c r="J3007" s="45"/>
      <c r="K3007" s="45"/>
      <c r="L3007" s="45"/>
      <c r="M3007" s="45"/>
      <c r="N3007" s="45"/>
      <c r="O3007" s="45"/>
      <c r="P3007" s="45"/>
      <c r="Q3007" s="45"/>
      <c r="R3007" s="45"/>
      <c r="S3007" s="45"/>
      <c r="T3007" s="45"/>
      <c r="U3007" s="45"/>
    </row>
    <row r="3008">
      <c r="A3008" s="79" t="s">
        <v>10516</v>
      </c>
      <c r="B3008" s="45"/>
      <c r="C3008" s="79" t="s">
        <v>10517</v>
      </c>
      <c r="D3008" s="45"/>
      <c r="E3008" s="79" t="s">
        <v>5229</v>
      </c>
      <c r="F3008" s="79" t="s">
        <v>8784</v>
      </c>
      <c r="G3008" s="80" t="s">
        <v>96</v>
      </c>
      <c r="H3008" s="90">
        <v>7.26E-5</v>
      </c>
      <c r="I3008" s="45"/>
      <c r="J3008" s="45"/>
      <c r="K3008" s="45"/>
      <c r="L3008" s="45"/>
      <c r="M3008" s="45"/>
      <c r="N3008" s="45"/>
      <c r="O3008" s="45"/>
      <c r="P3008" s="45"/>
      <c r="Q3008" s="45"/>
      <c r="R3008" s="45"/>
      <c r="S3008" s="45"/>
      <c r="T3008" s="45"/>
      <c r="U3008" s="45"/>
    </row>
    <row r="3009">
      <c r="A3009" s="79" t="s">
        <v>21128</v>
      </c>
      <c r="B3009" s="45"/>
      <c r="C3009" s="79" t="s">
        <v>21129</v>
      </c>
      <c r="D3009" s="45"/>
      <c r="E3009" s="79" t="s">
        <v>5390</v>
      </c>
      <c r="F3009" s="79" t="s">
        <v>8784</v>
      </c>
      <c r="G3009" s="80" t="s">
        <v>96</v>
      </c>
      <c r="H3009" s="90">
        <v>7.26E-5</v>
      </c>
      <c r="I3009" s="45"/>
      <c r="J3009" s="45"/>
      <c r="K3009" s="45"/>
      <c r="L3009" s="45"/>
      <c r="M3009" s="45"/>
      <c r="N3009" s="45"/>
      <c r="O3009" s="45"/>
      <c r="P3009" s="45"/>
      <c r="Q3009" s="45"/>
      <c r="R3009" s="45"/>
      <c r="S3009" s="45"/>
      <c r="T3009" s="45"/>
      <c r="U3009" s="45"/>
    </row>
    <row r="3010">
      <c r="A3010" s="79" t="s">
        <v>21130</v>
      </c>
      <c r="B3010" s="45"/>
      <c r="C3010" s="79" t="s">
        <v>21131</v>
      </c>
      <c r="D3010" s="45"/>
      <c r="E3010" s="79" t="s">
        <v>5291</v>
      </c>
      <c r="F3010" s="79" t="s">
        <v>5836</v>
      </c>
      <c r="G3010" s="80" t="s">
        <v>96</v>
      </c>
      <c r="H3010" s="90">
        <v>7.26E-5</v>
      </c>
      <c r="I3010" s="45"/>
      <c r="J3010" s="45"/>
      <c r="K3010" s="45"/>
      <c r="L3010" s="45"/>
      <c r="M3010" s="45"/>
      <c r="N3010" s="45"/>
      <c r="O3010" s="45"/>
      <c r="P3010" s="45"/>
      <c r="Q3010" s="45"/>
      <c r="R3010" s="45"/>
      <c r="S3010" s="45"/>
      <c r="T3010" s="45"/>
      <c r="U3010" s="45"/>
    </row>
    <row r="3011">
      <c r="A3011" s="79" t="s">
        <v>21132</v>
      </c>
      <c r="B3011" s="45"/>
      <c r="C3011" s="79" t="s">
        <v>21133</v>
      </c>
      <c r="D3011" s="45"/>
      <c r="E3011" s="79" t="s">
        <v>5238</v>
      </c>
      <c r="F3011" s="79" t="s">
        <v>8784</v>
      </c>
      <c r="G3011" s="80" t="s">
        <v>96</v>
      </c>
      <c r="H3011" s="90">
        <v>7.26E-5</v>
      </c>
      <c r="I3011" s="45"/>
      <c r="J3011" s="45"/>
      <c r="K3011" s="45"/>
      <c r="L3011" s="45"/>
      <c r="M3011" s="45"/>
      <c r="N3011" s="45"/>
      <c r="O3011" s="45"/>
      <c r="P3011" s="45"/>
      <c r="Q3011" s="45"/>
      <c r="R3011" s="45"/>
      <c r="S3011" s="45"/>
      <c r="T3011" s="45"/>
      <c r="U3011" s="45"/>
    </row>
    <row r="3012">
      <c r="A3012" s="79" t="s">
        <v>21134</v>
      </c>
      <c r="B3012" s="45"/>
      <c r="C3012" s="79" t="s">
        <v>21135</v>
      </c>
      <c r="D3012" s="45"/>
      <c r="E3012" s="79" t="s">
        <v>6238</v>
      </c>
      <c r="F3012" s="79" t="s">
        <v>4095</v>
      </c>
      <c r="G3012" s="80" t="s">
        <v>96</v>
      </c>
      <c r="H3012" s="90">
        <v>7.25E-5</v>
      </c>
      <c r="I3012" s="45"/>
      <c r="J3012" s="45"/>
      <c r="K3012" s="45"/>
      <c r="L3012" s="45"/>
      <c r="M3012" s="45"/>
      <c r="N3012" s="45"/>
      <c r="O3012" s="45"/>
      <c r="P3012" s="45"/>
      <c r="Q3012" s="45"/>
      <c r="R3012" s="45"/>
      <c r="S3012" s="45"/>
      <c r="T3012" s="45"/>
      <c r="U3012" s="45"/>
    </row>
    <row r="3013">
      <c r="A3013" s="79" t="s">
        <v>21136</v>
      </c>
      <c r="B3013" s="45"/>
      <c r="C3013" s="79" t="s">
        <v>21137</v>
      </c>
      <c r="D3013" s="45"/>
      <c r="E3013" s="79" t="s">
        <v>6475</v>
      </c>
      <c r="F3013" s="79" t="s">
        <v>4357</v>
      </c>
      <c r="G3013" s="80" t="s">
        <v>96</v>
      </c>
      <c r="H3013" s="90">
        <v>7.24E-5</v>
      </c>
      <c r="I3013" s="45"/>
      <c r="J3013" s="45"/>
      <c r="K3013" s="45"/>
      <c r="L3013" s="45"/>
      <c r="M3013" s="45"/>
      <c r="N3013" s="45"/>
      <c r="O3013" s="45"/>
      <c r="P3013" s="45"/>
      <c r="Q3013" s="45"/>
      <c r="R3013" s="45"/>
      <c r="S3013" s="45"/>
      <c r="T3013" s="45"/>
      <c r="U3013" s="45"/>
    </row>
    <row r="3014">
      <c r="A3014" s="79" t="s">
        <v>21138</v>
      </c>
      <c r="B3014" s="45"/>
      <c r="C3014" s="79" t="s">
        <v>21139</v>
      </c>
      <c r="D3014" s="45"/>
      <c r="E3014" s="79" t="s">
        <v>5478</v>
      </c>
      <c r="F3014" s="79" t="s">
        <v>5300</v>
      </c>
      <c r="G3014" s="80" t="s">
        <v>96</v>
      </c>
      <c r="H3014" s="90">
        <v>7.23E-5</v>
      </c>
      <c r="I3014" s="45"/>
      <c r="J3014" s="45"/>
      <c r="K3014" s="45"/>
      <c r="L3014" s="45"/>
      <c r="M3014" s="45"/>
      <c r="N3014" s="45"/>
      <c r="O3014" s="45"/>
      <c r="P3014" s="45"/>
      <c r="Q3014" s="45"/>
      <c r="R3014" s="45"/>
      <c r="S3014" s="45"/>
      <c r="T3014" s="45"/>
      <c r="U3014" s="45"/>
    </row>
    <row r="3015">
      <c r="A3015" s="79" t="s">
        <v>21140</v>
      </c>
      <c r="B3015" s="45"/>
      <c r="C3015" s="79" t="s">
        <v>21141</v>
      </c>
      <c r="D3015" s="45"/>
      <c r="E3015" s="79" t="s">
        <v>6266</v>
      </c>
      <c r="F3015" s="79" t="s">
        <v>9513</v>
      </c>
      <c r="G3015" s="80" t="s">
        <v>96</v>
      </c>
      <c r="H3015" s="90">
        <v>7.23E-5</v>
      </c>
      <c r="I3015" s="45"/>
      <c r="J3015" s="45"/>
      <c r="K3015" s="45"/>
      <c r="L3015" s="45"/>
      <c r="M3015" s="45"/>
      <c r="N3015" s="45"/>
      <c r="O3015" s="45"/>
      <c r="P3015" s="45"/>
      <c r="Q3015" s="45"/>
      <c r="R3015" s="45"/>
      <c r="S3015" s="45"/>
      <c r="T3015" s="45"/>
      <c r="U3015" s="45"/>
    </row>
    <row r="3016">
      <c r="A3016" s="79" t="s">
        <v>21142</v>
      </c>
      <c r="B3016" s="45"/>
      <c r="C3016" s="79" t="s">
        <v>21143</v>
      </c>
      <c r="D3016" s="45"/>
      <c r="E3016" s="79" t="s">
        <v>5808</v>
      </c>
      <c r="F3016" s="79" t="s">
        <v>5300</v>
      </c>
      <c r="G3016" s="80" t="s">
        <v>96</v>
      </c>
      <c r="H3016" s="90">
        <v>7.22E-5</v>
      </c>
      <c r="I3016" s="45"/>
      <c r="J3016" s="45"/>
      <c r="K3016" s="45"/>
      <c r="L3016" s="45"/>
      <c r="M3016" s="45"/>
      <c r="N3016" s="45"/>
      <c r="O3016" s="45"/>
      <c r="P3016" s="45"/>
      <c r="Q3016" s="45"/>
      <c r="R3016" s="45"/>
      <c r="S3016" s="45"/>
      <c r="T3016" s="45"/>
      <c r="U3016" s="45"/>
    </row>
    <row r="3017">
      <c r="A3017" s="79" t="s">
        <v>21144</v>
      </c>
      <c r="B3017" s="45"/>
      <c r="C3017" s="79" t="s">
        <v>21145</v>
      </c>
      <c r="D3017" s="45"/>
      <c r="E3017" s="79" t="s">
        <v>5232</v>
      </c>
      <c r="F3017" s="79" t="s">
        <v>5300</v>
      </c>
      <c r="G3017" s="80" t="s">
        <v>96</v>
      </c>
      <c r="H3017" s="90">
        <v>7.2E-5</v>
      </c>
      <c r="I3017" s="45"/>
      <c r="J3017" s="45"/>
      <c r="K3017" s="45"/>
      <c r="L3017" s="45"/>
      <c r="M3017" s="45"/>
      <c r="N3017" s="45"/>
      <c r="O3017" s="45"/>
      <c r="P3017" s="45"/>
      <c r="Q3017" s="45"/>
      <c r="R3017" s="45"/>
      <c r="S3017" s="45"/>
      <c r="T3017" s="45"/>
      <c r="U3017" s="45"/>
    </row>
    <row r="3018">
      <c r="A3018" s="79" t="s">
        <v>21146</v>
      </c>
      <c r="B3018" s="45"/>
      <c r="C3018" s="79" t="s">
        <v>21147</v>
      </c>
      <c r="D3018" s="45"/>
      <c r="E3018" s="79" t="s">
        <v>5478</v>
      </c>
      <c r="F3018" s="79" t="s">
        <v>5300</v>
      </c>
      <c r="G3018" s="80" t="s">
        <v>96</v>
      </c>
      <c r="H3018" s="90">
        <v>7.2E-5</v>
      </c>
      <c r="I3018" s="45"/>
      <c r="J3018" s="45"/>
      <c r="K3018" s="45"/>
      <c r="L3018" s="45"/>
      <c r="M3018" s="45"/>
      <c r="N3018" s="45"/>
      <c r="O3018" s="45"/>
      <c r="P3018" s="45"/>
      <c r="Q3018" s="45"/>
      <c r="R3018" s="45"/>
      <c r="S3018" s="45"/>
      <c r="T3018" s="45"/>
      <c r="U3018" s="45"/>
    </row>
    <row r="3019">
      <c r="A3019" s="79" t="s">
        <v>16561</v>
      </c>
      <c r="B3019" s="45"/>
      <c r="C3019" s="79" t="s">
        <v>21148</v>
      </c>
      <c r="D3019" s="45"/>
      <c r="E3019" s="79" t="s">
        <v>7248</v>
      </c>
      <c r="F3019" s="79" t="s">
        <v>5836</v>
      </c>
      <c r="G3019" s="80" t="s">
        <v>96</v>
      </c>
      <c r="H3019" s="90">
        <v>7.19E-5</v>
      </c>
      <c r="I3019" s="45"/>
      <c r="J3019" s="45"/>
      <c r="K3019" s="45"/>
      <c r="L3019" s="45"/>
      <c r="M3019" s="45"/>
      <c r="N3019" s="45"/>
      <c r="O3019" s="45"/>
      <c r="P3019" s="45"/>
      <c r="Q3019" s="45"/>
      <c r="R3019" s="45"/>
      <c r="S3019" s="45"/>
      <c r="T3019" s="45"/>
      <c r="U3019" s="45"/>
    </row>
    <row r="3020">
      <c r="A3020" s="79" t="s">
        <v>11112</v>
      </c>
      <c r="B3020" s="45"/>
      <c r="C3020" s="79" t="s">
        <v>11113</v>
      </c>
      <c r="D3020" s="45"/>
      <c r="E3020" s="79" t="s">
        <v>5390</v>
      </c>
      <c r="F3020" s="79" t="s">
        <v>9513</v>
      </c>
      <c r="G3020" s="80" t="s">
        <v>96</v>
      </c>
      <c r="H3020" s="90">
        <v>7.19E-5</v>
      </c>
      <c r="I3020" s="45"/>
      <c r="J3020" s="45"/>
      <c r="K3020" s="45"/>
      <c r="L3020" s="45"/>
      <c r="M3020" s="45"/>
      <c r="N3020" s="45"/>
      <c r="O3020" s="45"/>
      <c r="P3020" s="45"/>
      <c r="Q3020" s="45"/>
      <c r="R3020" s="45"/>
      <c r="S3020" s="45"/>
      <c r="T3020" s="45"/>
      <c r="U3020" s="45"/>
    </row>
    <row r="3021">
      <c r="A3021" s="79" t="s">
        <v>21149</v>
      </c>
      <c r="B3021" s="45"/>
      <c r="C3021" s="79" t="s">
        <v>21150</v>
      </c>
      <c r="D3021" s="45"/>
      <c r="E3021" s="79" t="s">
        <v>5609</v>
      </c>
      <c r="F3021" s="79" t="s">
        <v>5425</v>
      </c>
      <c r="G3021" s="80" t="s">
        <v>96</v>
      </c>
      <c r="H3021" s="90">
        <v>7.18E-5</v>
      </c>
      <c r="I3021" s="45"/>
      <c r="J3021" s="45"/>
      <c r="K3021" s="45"/>
      <c r="L3021" s="45"/>
      <c r="M3021" s="45"/>
      <c r="N3021" s="45"/>
      <c r="O3021" s="45"/>
      <c r="P3021" s="45"/>
      <c r="Q3021" s="45"/>
      <c r="R3021" s="45"/>
      <c r="S3021" s="45"/>
      <c r="T3021" s="45"/>
      <c r="U3021" s="45"/>
    </row>
    <row r="3022">
      <c r="A3022" s="79" t="s">
        <v>21151</v>
      </c>
      <c r="B3022" s="45"/>
      <c r="C3022" s="79" t="s">
        <v>21152</v>
      </c>
      <c r="D3022" s="45"/>
      <c r="E3022" s="79" t="s">
        <v>5390</v>
      </c>
      <c r="F3022" s="79" t="s">
        <v>8784</v>
      </c>
      <c r="G3022" s="80" t="s">
        <v>96</v>
      </c>
      <c r="H3022" s="90">
        <v>7.18E-5</v>
      </c>
      <c r="I3022" s="45"/>
      <c r="J3022" s="45"/>
      <c r="K3022" s="45"/>
      <c r="L3022" s="45"/>
      <c r="M3022" s="45"/>
      <c r="N3022" s="45"/>
      <c r="O3022" s="45"/>
      <c r="P3022" s="45"/>
      <c r="Q3022" s="45"/>
      <c r="R3022" s="45"/>
      <c r="S3022" s="45"/>
      <c r="T3022" s="45"/>
      <c r="U3022" s="45"/>
    </row>
    <row r="3023">
      <c r="A3023" s="79" t="s">
        <v>21153</v>
      </c>
      <c r="B3023" s="45"/>
      <c r="C3023" s="79" t="s">
        <v>21154</v>
      </c>
      <c r="D3023" s="45"/>
      <c r="E3023" s="79" t="s">
        <v>5578</v>
      </c>
      <c r="F3023" s="79" t="s">
        <v>5836</v>
      </c>
      <c r="G3023" s="80" t="s">
        <v>96</v>
      </c>
      <c r="H3023" s="90">
        <v>7.18E-5</v>
      </c>
      <c r="I3023" s="45"/>
      <c r="J3023" s="45"/>
      <c r="K3023" s="45"/>
      <c r="L3023" s="45"/>
      <c r="M3023" s="45"/>
      <c r="N3023" s="45"/>
      <c r="O3023" s="45"/>
      <c r="P3023" s="45"/>
      <c r="Q3023" s="45"/>
      <c r="R3023" s="45"/>
      <c r="S3023" s="45"/>
      <c r="T3023" s="45"/>
      <c r="U3023" s="45"/>
    </row>
    <row r="3024">
      <c r="A3024" s="79" t="s">
        <v>21155</v>
      </c>
      <c r="B3024" s="45"/>
      <c r="C3024" s="79" t="s">
        <v>21156</v>
      </c>
      <c r="D3024" s="45"/>
      <c r="E3024" s="79" t="s">
        <v>7251</v>
      </c>
      <c r="F3024" s="79" t="s">
        <v>8784</v>
      </c>
      <c r="G3024" s="80" t="s">
        <v>96</v>
      </c>
      <c r="H3024" s="90">
        <v>7.18E-5</v>
      </c>
      <c r="I3024" s="45"/>
      <c r="J3024" s="45"/>
      <c r="K3024" s="45"/>
      <c r="L3024" s="45"/>
      <c r="M3024" s="45"/>
      <c r="N3024" s="45"/>
      <c r="O3024" s="45"/>
      <c r="P3024" s="45"/>
      <c r="Q3024" s="45"/>
      <c r="R3024" s="45"/>
      <c r="S3024" s="45"/>
      <c r="T3024" s="45"/>
      <c r="U3024" s="45"/>
    </row>
    <row r="3025">
      <c r="A3025" s="79" t="s">
        <v>21157</v>
      </c>
      <c r="B3025" s="45"/>
      <c r="C3025" s="79" t="s">
        <v>21158</v>
      </c>
      <c r="D3025" s="45"/>
      <c r="E3025" s="79" t="s">
        <v>7248</v>
      </c>
      <c r="F3025" s="79" t="s">
        <v>5747</v>
      </c>
      <c r="G3025" s="80" t="s">
        <v>96</v>
      </c>
      <c r="H3025" s="90">
        <v>7.17E-5</v>
      </c>
      <c r="I3025" s="45"/>
      <c r="J3025" s="45"/>
      <c r="K3025" s="45"/>
      <c r="L3025" s="45"/>
      <c r="M3025" s="45"/>
      <c r="N3025" s="45"/>
      <c r="O3025" s="45"/>
      <c r="P3025" s="45"/>
      <c r="Q3025" s="45"/>
      <c r="R3025" s="45"/>
      <c r="S3025" s="45"/>
      <c r="T3025" s="45"/>
      <c r="U3025" s="45"/>
    </row>
    <row r="3026">
      <c r="A3026" s="79" t="s">
        <v>21159</v>
      </c>
      <c r="B3026" s="45"/>
      <c r="C3026" s="79" t="s">
        <v>21160</v>
      </c>
      <c r="D3026" s="45"/>
      <c r="E3026" s="79" t="s">
        <v>5756</v>
      </c>
      <c r="F3026" s="79" t="s">
        <v>8784</v>
      </c>
      <c r="G3026" s="80" t="s">
        <v>96</v>
      </c>
      <c r="H3026" s="90">
        <v>7.16E-5</v>
      </c>
      <c r="I3026" s="45"/>
      <c r="J3026" s="45"/>
      <c r="K3026" s="45"/>
      <c r="L3026" s="45"/>
      <c r="M3026" s="45"/>
      <c r="N3026" s="45"/>
      <c r="O3026" s="45"/>
      <c r="P3026" s="45"/>
      <c r="Q3026" s="45"/>
      <c r="R3026" s="45"/>
      <c r="S3026" s="45"/>
      <c r="T3026" s="45"/>
      <c r="U3026" s="45"/>
    </row>
    <row r="3027">
      <c r="A3027" s="79" t="s">
        <v>21161</v>
      </c>
      <c r="B3027" s="45"/>
      <c r="C3027" s="79" t="s">
        <v>21162</v>
      </c>
      <c r="D3027" s="45"/>
      <c r="E3027" s="79" t="s">
        <v>5215</v>
      </c>
      <c r="F3027" s="79" t="s">
        <v>5300</v>
      </c>
      <c r="G3027" s="80" t="s">
        <v>96</v>
      </c>
      <c r="H3027" s="90">
        <v>7.16E-5</v>
      </c>
      <c r="I3027" s="45"/>
      <c r="J3027" s="45"/>
      <c r="K3027" s="45"/>
      <c r="L3027" s="45"/>
      <c r="M3027" s="45"/>
      <c r="N3027" s="45"/>
      <c r="O3027" s="45"/>
      <c r="P3027" s="45"/>
      <c r="Q3027" s="45"/>
      <c r="R3027" s="45"/>
      <c r="S3027" s="45"/>
      <c r="T3027" s="45"/>
      <c r="U3027" s="45"/>
    </row>
    <row r="3028">
      <c r="A3028" s="79" t="s">
        <v>21163</v>
      </c>
      <c r="B3028" s="45"/>
      <c r="C3028" s="79" t="s">
        <v>21164</v>
      </c>
      <c r="D3028" s="45"/>
      <c r="E3028" s="79" t="s">
        <v>5215</v>
      </c>
      <c r="F3028" s="79" t="s">
        <v>5300</v>
      </c>
      <c r="G3028" s="80" t="s">
        <v>96</v>
      </c>
      <c r="H3028" s="90">
        <v>7.15E-5</v>
      </c>
      <c r="I3028" s="45"/>
      <c r="J3028" s="45"/>
      <c r="K3028" s="45"/>
      <c r="L3028" s="45"/>
      <c r="M3028" s="45"/>
      <c r="N3028" s="45"/>
      <c r="O3028" s="45"/>
      <c r="P3028" s="45"/>
      <c r="Q3028" s="45"/>
      <c r="R3028" s="45"/>
      <c r="S3028" s="45"/>
      <c r="T3028" s="45"/>
      <c r="U3028" s="45"/>
    </row>
    <row r="3029">
      <c r="A3029" s="79" t="s">
        <v>21165</v>
      </c>
      <c r="B3029" s="45"/>
      <c r="C3029" s="79" t="s">
        <v>21166</v>
      </c>
      <c r="D3029" s="45"/>
      <c r="E3029" s="79" t="s">
        <v>6249</v>
      </c>
      <c r="F3029" s="79" t="s">
        <v>5300</v>
      </c>
      <c r="G3029" s="80" t="s">
        <v>96</v>
      </c>
      <c r="H3029" s="90">
        <v>7.15E-5</v>
      </c>
      <c r="I3029" s="45"/>
      <c r="J3029" s="45"/>
      <c r="K3029" s="45"/>
      <c r="L3029" s="45"/>
      <c r="M3029" s="45"/>
      <c r="N3029" s="45"/>
      <c r="O3029" s="45"/>
      <c r="P3029" s="45"/>
      <c r="Q3029" s="45"/>
      <c r="R3029" s="45"/>
      <c r="S3029" s="45"/>
      <c r="T3029" s="45"/>
      <c r="U3029" s="45"/>
    </row>
    <row r="3030">
      <c r="A3030" s="79" t="s">
        <v>21167</v>
      </c>
      <c r="B3030" s="45"/>
      <c r="C3030" s="79" t="s">
        <v>21168</v>
      </c>
      <c r="D3030" s="45"/>
      <c r="E3030" s="79" t="s">
        <v>6475</v>
      </c>
      <c r="F3030" s="79" t="s">
        <v>4357</v>
      </c>
      <c r="G3030" s="80" t="s">
        <v>96</v>
      </c>
      <c r="H3030" s="90">
        <v>7.15E-5</v>
      </c>
      <c r="I3030" s="45"/>
      <c r="J3030" s="45"/>
      <c r="K3030" s="45"/>
      <c r="L3030" s="45"/>
      <c r="M3030" s="45"/>
      <c r="N3030" s="45"/>
      <c r="O3030" s="45"/>
      <c r="P3030" s="45"/>
      <c r="Q3030" s="45"/>
      <c r="R3030" s="45"/>
      <c r="S3030" s="45"/>
      <c r="T3030" s="45"/>
      <c r="U3030" s="45"/>
    </row>
    <row r="3031">
      <c r="A3031" s="79" t="s">
        <v>21169</v>
      </c>
      <c r="B3031" s="45"/>
      <c r="C3031" s="79" t="s">
        <v>21170</v>
      </c>
      <c r="D3031" s="45"/>
      <c r="E3031" s="79" t="s">
        <v>5267</v>
      </c>
      <c r="F3031" s="79" t="s">
        <v>5300</v>
      </c>
      <c r="G3031" s="80" t="s">
        <v>96</v>
      </c>
      <c r="H3031" s="90">
        <v>7.13E-5</v>
      </c>
      <c r="I3031" s="45"/>
      <c r="J3031" s="45"/>
      <c r="K3031" s="45"/>
      <c r="L3031" s="45"/>
      <c r="M3031" s="45"/>
      <c r="N3031" s="45"/>
      <c r="O3031" s="45"/>
      <c r="P3031" s="45"/>
      <c r="Q3031" s="45"/>
      <c r="R3031" s="45"/>
      <c r="S3031" s="45"/>
      <c r="T3031" s="45"/>
      <c r="U3031" s="45"/>
    </row>
    <row r="3032">
      <c r="A3032" s="79" t="s">
        <v>21171</v>
      </c>
      <c r="B3032" s="45"/>
      <c r="C3032" s="79" t="s">
        <v>21172</v>
      </c>
      <c r="D3032" s="45"/>
      <c r="E3032" s="79" t="s">
        <v>5589</v>
      </c>
      <c r="F3032" s="79" t="s">
        <v>8784</v>
      </c>
      <c r="G3032" s="80" t="s">
        <v>96</v>
      </c>
      <c r="H3032" s="90">
        <v>7.13E-5</v>
      </c>
      <c r="I3032" s="45"/>
      <c r="J3032" s="45"/>
      <c r="K3032" s="45"/>
      <c r="L3032" s="45"/>
      <c r="M3032" s="45"/>
      <c r="N3032" s="45"/>
      <c r="O3032" s="45"/>
      <c r="P3032" s="45"/>
      <c r="Q3032" s="45"/>
      <c r="R3032" s="45"/>
      <c r="S3032" s="45"/>
      <c r="T3032" s="45"/>
      <c r="U3032" s="45"/>
    </row>
    <row r="3033">
      <c r="A3033" s="79" t="s">
        <v>21173</v>
      </c>
      <c r="B3033" s="45"/>
      <c r="C3033" s="79" t="s">
        <v>21174</v>
      </c>
      <c r="D3033" s="45"/>
      <c r="E3033" s="79" t="s">
        <v>5715</v>
      </c>
      <c r="F3033" s="79" t="s">
        <v>5300</v>
      </c>
      <c r="G3033" s="80" t="s">
        <v>96</v>
      </c>
      <c r="H3033" s="90">
        <v>7.12E-5</v>
      </c>
      <c r="I3033" s="45"/>
      <c r="J3033" s="45"/>
      <c r="K3033" s="45"/>
      <c r="L3033" s="45"/>
      <c r="M3033" s="45"/>
      <c r="N3033" s="45"/>
      <c r="O3033" s="45"/>
      <c r="P3033" s="45"/>
      <c r="Q3033" s="45"/>
      <c r="R3033" s="45"/>
      <c r="S3033" s="45"/>
      <c r="T3033" s="45"/>
      <c r="U3033" s="45"/>
    </row>
    <row r="3034">
      <c r="A3034" s="79" t="s">
        <v>21175</v>
      </c>
      <c r="B3034" s="45"/>
      <c r="C3034" s="79" t="s">
        <v>21176</v>
      </c>
      <c r="D3034" s="45"/>
      <c r="E3034" s="79" t="s">
        <v>8154</v>
      </c>
      <c r="F3034" s="79" t="s">
        <v>5300</v>
      </c>
      <c r="G3034" s="80" t="s">
        <v>96</v>
      </c>
      <c r="H3034" s="90">
        <v>7.12E-5</v>
      </c>
      <c r="I3034" s="45"/>
      <c r="J3034" s="45"/>
      <c r="K3034" s="45"/>
      <c r="L3034" s="45"/>
      <c r="M3034" s="45"/>
      <c r="N3034" s="45"/>
      <c r="O3034" s="45"/>
      <c r="P3034" s="45"/>
      <c r="Q3034" s="45"/>
      <c r="R3034" s="45"/>
      <c r="S3034" s="45"/>
      <c r="T3034" s="45"/>
      <c r="U3034" s="45"/>
    </row>
    <row r="3035">
      <c r="A3035" s="79" t="s">
        <v>21177</v>
      </c>
      <c r="B3035" s="45"/>
      <c r="C3035" s="79" t="s">
        <v>21178</v>
      </c>
      <c r="D3035" s="45"/>
      <c r="E3035" s="79" t="s">
        <v>5283</v>
      </c>
      <c r="F3035" s="79" t="s">
        <v>5300</v>
      </c>
      <c r="G3035" s="80" t="s">
        <v>96</v>
      </c>
      <c r="H3035" s="90">
        <v>7.11E-5</v>
      </c>
      <c r="I3035" s="45"/>
      <c r="J3035" s="45"/>
      <c r="K3035" s="45"/>
      <c r="L3035" s="45"/>
      <c r="M3035" s="45"/>
      <c r="N3035" s="45"/>
      <c r="O3035" s="45"/>
      <c r="P3035" s="45"/>
      <c r="Q3035" s="45"/>
      <c r="R3035" s="45"/>
      <c r="S3035" s="45"/>
      <c r="T3035" s="45"/>
      <c r="U3035" s="45"/>
    </row>
    <row r="3036">
      <c r="A3036" s="79" t="s">
        <v>21179</v>
      </c>
      <c r="B3036" s="45"/>
      <c r="C3036" s="79" t="s">
        <v>21180</v>
      </c>
      <c r="D3036" s="45"/>
      <c r="E3036" s="79" t="s">
        <v>6090</v>
      </c>
      <c r="F3036" s="79" t="s">
        <v>8784</v>
      </c>
      <c r="G3036" s="80" t="s">
        <v>96</v>
      </c>
      <c r="H3036" s="90">
        <v>7.11E-5</v>
      </c>
      <c r="I3036" s="45"/>
      <c r="J3036" s="45"/>
      <c r="K3036" s="45"/>
      <c r="L3036" s="45"/>
      <c r="M3036" s="45"/>
      <c r="N3036" s="45"/>
      <c r="O3036" s="45"/>
      <c r="P3036" s="45"/>
      <c r="Q3036" s="45"/>
      <c r="R3036" s="45"/>
      <c r="S3036" s="45"/>
      <c r="T3036" s="45"/>
      <c r="U3036" s="45"/>
    </row>
    <row r="3037">
      <c r="A3037" s="79" t="s">
        <v>21181</v>
      </c>
      <c r="B3037" s="45"/>
      <c r="C3037" s="79" t="s">
        <v>21182</v>
      </c>
      <c r="D3037" s="45"/>
      <c r="E3037" s="79" t="s">
        <v>5675</v>
      </c>
      <c r="F3037" s="79" t="s">
        <v>5300</v>
      </c>
      <c r="G3037" s="80" t="s">
        <v>96</v>
      </c>
      <c r="H3037" s="90">
        <v>7.1E-5</v>
      </c>
      <c r="I3037" s="45"/>
      <c r="J3037" s="45"/>
      <c r="K3037" s="45"/>
      <c r="L3037" s="45"/>
      <c r="M3037" s="45"/>
      <c r="N3037" s="45"/>
      <c r="O3037" s="45"/>
      <c r="P3037" s="45"/>
      <c r="Q3037" s="45"/>
      <c r="R3037" s="45"/>
      <c r="S3037" s="45"/>
      <c r="T3037" s="45"/>
      <c r="U3037" s="45"/>
    </row>
    <row r="3038">
      <c r="A3038" s="79" t="s">
        <v>21183</v>
      </c>
      <c r="B3038" s="45"/>
      <c r="C3038" s="79" t="s">
        <v>21184</v>
      </c>
      <c r="D3038" s="45"/>
      <c r="E3038" s="79" t="s">
        <v>5341</v>
      </c>
      <c r="F3038" s="79" t="s">
        <v>6988</v>
      </c>
      <c r="G3038" s="80" t="s">
        <v>96</v>
      </c>
      <c r="H3038" s="90">
        <v>7.1E-5</v>
      </c>
      <c r="I3038" s="45"/>
      <c r="J3038" s="45"/>
      <c r="K3038" s="45"/>
      <c r="L3038" s="45"/>
      <c r="M3038" s="45"/>
      <c r="N3038" s="45"/>
      <c r="O3038" s="45"/>
      <c r="P3038" s="45"/>
      <c r="Q3038" s="45"/>
      <c r="R3038" s="45"/>
      <c r="S3038" s="45"/>
      <c r="T3038" s="45"/>
      <c r="U3038" s="45"/>
    </row>
    <row r="3039">
      <c r="A3039" s="79" t="s">
        <v>21185</v>
      </c>
      <c r="B3039" s="45"/>
      <c r="C3039" s="79" t="s">
        <v>21186</v>
      </c>
      <c r="D3039" s="45"/>
      <c r="E3039" s="79" t="s">
        <v>5478</v>
      </c>
      <c r="F3039" s="79" t="s">
        <v>5300</v>
      </c>
      <c r="G3039" s="80" t="s">
        <v>96</v>
      </c>
      <c r="H3039" s="90">
        <v>7.1E-5</v>
      </c>
      <c r="I3039" s="45"/>
      <c r="J3039" s="45"/>
      <c r="K3039" s="45"/>
      <c r="L3039" s="45"/>
      <c r="M3039" s="45"/>
      <c r="N3039" s="45"/>
      <c r="O3039" s="45"/>
      <c r="P3039" s="45"/>
      <c r="Q3039" s="45"/>
      <c r="R3039" s="45"/>
      <c r="S3039" s="45"/>
      <c r="T3039" s="45"/>
      <c r="U3039" s="45"/>
    </row>
    <row r="3040">
      <c r="A3040" s="79" t="s">
        <v>21187</v>
      </c>
      <c r="B3040" s="45"/>
      <c r="C3040" s="79" t="s">
        <v>21188</v>
      </c>
      <c r="D3040" s="45"/>
      <c r="E3040" s="79" t="s">
        <v>5316</v>
      </c>
      <c r="F3040" s="79" t="s">
        <v>5300</v>
      </c>
      <c r="G3040" s="80" t="s">
        <v>96</v>
      </c>
      <c r="H3040" s="90">
        <v>7.09E-5</v>
      </c>
      <c r="I3040" s="45"/>
      <c r="J3040" s="45"/>
      <c r="K3040" s="45"/>
      <c r="L3040" s="45"/>
      <c r="M3040" s="45"/>
      <c r="N3040" s="45"/>
      <c r="O3040" s="45"/>
      <c r="P3040" s="45"/>
      <c r="Q3040" s="45"/>
      <c r="R3040" s="45"/>
      <c r="S3040" s="45"/>
      <c r="T3040" s="45"/>
      <c r="U3040" s="45"/>
    </row>
    <row r="3041">
      <c r="A3041" s="79" t="s">
        <v>21189</v>
      </c>
      <c r="B3041" s="45"/>
      <c r="C3041" s="79" t="s">
        <v>21190</v>
      </c>
      <c r="D3041" s="45"/>
      <c r="E3041" s="79" t="s">
        <v>5276</v>
      </c>
      <c r="F3041" s="79" t="s">
        <v>5300</v>
      </c>
      <c r="G3041" s="80" t="s">
        <v>96</v>
      </c>
      <c r="H3041" s="90">
        <v>7.09E-5</v>
      </c>
      <c r="I3041" s="45"/>
      <c r="J3041" s="45"/>
      <c r="K3041" s="45"/>
      <c r="L3041" s="45"/>
      <c r="M3041" s="45"/>
      <c r="N3041" s="45"/>
      <c r="O3041" s="45"/>
      <c r="P3041" s="45"/>
      <c r="Q3041" s="45"/>
      <c r="R3041" s="45"/>
      <c r="S3041" s="45"/>
      <c r="T3041" s="45"/>
      <c r="U3041" s="45"/>
    </row>
    <row r="3042">
      <c r="A3042" s="79" t="s">
        <v>21191</v>
      </c>
      <c r="B3042" s="45"/>
      <c r="C3042" s="79" t="s">
        <v>21192</v>
      </c>
      <c r="D3042" s="45"/>
      <c r="E3042" s="79" t="s">
        <v>5561</v>
      </c>
      <c r="F3042" s="79" t="s">
        <v>4095</v>
      </c>
      <c r="G3042" s="80" t="s">
        <v>96</v>
      </c>
      <c r="H3042" s="90">
        <v>7.08E-5</v>
      </c>
      <c r="I3042" s="45"/>
      <c r="J3042" s="45"/>
      <c r="K3042" s="45"/>
      <c r="L3042" s="45"/>
      <c r="M3042" s="45"/>
      <c r="N3042" s="45"/>
      <c r="O3042" s="45"/>
      <c r="P3042" s="45"/>
      <c r="Q3042" s="45"/>
      <c r="R3042" s="45"/>
      <c r="S3042" s="45"/>
      <c r="T3042" s="45"/>
      <c r="U3042" s="45"/>
    </row>
    <row r="3043">
      <c r="A3043" s="79" t="s">
        <v>21193</v>
      </c>
      <c r="B3043" s="45"/>
      <c r="C3043" s="79" t="s">
        <v>21194</v>
      </c>
      <c r="D3043" s="45"/>
      <c r="E3043" s="79" t="s">
        <v>6191</v>
      </c>
      <c r="F3043" s="79" t="s">
        <v>4357</v>
      </c>
      <c r="G3043" s="80" t="s">
        <v>96</v>
      </c>
      <c r="H3043" s="90">
        <v>7.08E-5</v>
      </c>
      <c r="I3043" s="45"/>
      <c r="J3043" s="45"/>
      <c r="K3043" s="45"/>
      <c r="L3043" s="45"/>
      <c r="M3043" s="45"/>
      <c r="N3043" s="45"/>
      <c r="O3043" s="45"/>
      <c r="P3043" s="45"/>
      <c r="Q3043" s="45"/>
      <c r="R3043" s="45"/>
      <c r="S3043" s="45"/>
      <c r="T3043" s="45"/>
      <c r="U3043" s="45"/>
    </row>
    <row r="3044">
      <c r="A3044" s="79" t="s">
        <v>21195</v>
      </c>
      <c r="B3044" s="45"/>
      <c r="C3044" s="79" t="s">
        <v>21196</v>
      </c>
      <c r="D3044" s="45"/>
      <c r="E3044" s="79" t="s">
        <v>5276</v>
      </c>
      <c r="F3044" s="79" t="s">
        <v>5300</v>
      </c>
      <c r="G3044" s="80" t="s">
        <v>96</v>
      </c>
      <c r="H3044" s="90">
        <v>7.06E-5</v>
      </c>
      <c r="I3044" s="45"/>
      <c r="J3044" s="45"/>
      <c r="K3044" s="45"/>
      <c r="L3044" s="45"/>
      <c r="M3044" s="45"/>
      <c r="N3044" s="45"/>
      <c r="O3044" s="45"/>
      <c r="P3044" s="45"/>
      <c r="Q3044" s="45"/>
      <c r="R3044" s="45"/>
      <c r="S3044" s="45"/>
      <c r="T3044" s="45"/>
      <c r="U3044" s="45"/>
    </row>
    <row r="3045">
      <c r="A3045" s="79" t="s">
        <v>6492</v>
      </c>
      <c r="B3045" s="45"/>
      <c r="C3045" s="79" t="s">
        <v>21197</v>
      </c>
      <c r="D3045" s="45"/>
      <c r="E3045" s="79" t="s">
        <v>5215</v>
      </c>
      <c r="F3045" s="79" t="s">
        <v>6220</v>
      </c>
      <c r="G3045" s="80" t="s">
        <v>96</v>
      </c>
      <c r="H3045" s="90">
        <v>7.05E-5</v>
      </c>
      <c r="I3045" s="45"/>
      <c r="J3045" s="45"/>
      <c r="K3045" s="45"/>
      <c r="L3045" s="45"/>
      <c r="M3045" s="45"/>
      <c r="N3045" s="45"/>
      <c r="O3045" s="45"/>
      <c r="P3045" s="45"/>
      <c r="Q3045" s="45"/>
      <c r="R3045" s="45"/>
      <c r="S3045" s="45"/>
      <c r="T3045" s="45"/>
      <c r="U3045" s="45"/>
    </row>
    <row r="3046">
      <c r="A3046" s="79" t="s">
        <v>21198</v>
      </c>
      <c r="B3046" s="45"/>
      <c r="C3046" s="79" t="s">
        <v>21199</v>
      </c>
      <c r="D3046" s="45"/>
      <c r="E3046" s="79" t="s">
        <v>5775</v>
      </c>
      <c r="F3046" s="79" t="s">
        <v>5300</v>
      </c>
      <c r="G3046" s="80" t="s">
        <v>96</v>
      </c>
      <c r="H3046" s="90">
        <v>7.04E-5</v>
      </c>
      <c r="I3046" s="45"/>
      <c r="J3046" s="45"/>
      <c r="K3046" s="45"/>
      <c r="L3046" s="45"/>
      <c r="M3046" s="45"/>
      <c r="N3046" s="45"/>
      <c r="O3046" s="45"/>
      <c r="P3046" s="45"/>
      <c r="Q3046" s="45"/>
      <c r="R3046" s="45"/>
      <c r="S3046" s="45"/>
      <c r="T3046" s="45"/>
      <c r="U3046" s="45"/>
    </row>
    <row r="3047">
      <c r="A3047" s="79" t="s">
        <v>21200</v>
      </c>
      <c r="B3047" s="45"/>
      <c r="C3047" s="79" t="s">
        <v>21201</v>
      </c>
      <c r="D3047" s="45"/>
      <c r="E3047" s="79" t="s">
        <v>8230</v>
      </c>
      <c r="F3047" s="79" t="s">
        <v>8784</v>
      </c>
      <c r="G3047" s="80" t="s">
        <v>96</v>
      </c>
      <c r="H3047" s="90">
        <v>7.04E-5</v>
      </c>
      <c r="I3047" s="45"/>
      <c r="J3047" s="45"/>
      <c r="K3047" s="45"/>
      <c r="L3047" s="45"/>
      <c r="M3047" s="45"/>
      <c r="N3047" s="45"/>
      <c r="O3047" s="45"/>
      <c r="P3047" s="45"/>
      <c r="Q3047" s="45"/>
      <c r="R3047" s="45"/>
      <c r="S3047" s="45"/>
      <c r="T3047" s="45"/>
      <c r="U3047" s="45"/>
    </row>
    <row r="3048">
      <c r="A3048" s="79" t="s">
        <v>21202</v>
      </c>
      <c r="B3048" s="45"/>
      <c r="C3048" s="79" t="s">
        <v>21203</v>
      </c>
      <c r="D3048" s="45"/>
      <c r="E3048" s="79" t="s">
        <v>7360</v>
      </c>
      <c r="F3048" s="79" t="s">
        <v>8784</v>
      </c>
      <c r="G3048" s="80" t="s">
        <v>96</v>
      </c>
      <c r="H3048" s="90">
        <v>7.03E-5</v>
      </c>
      <c r="I3048" s="45"/>
      <c r="J3048" s="45"/>
      <c r="K3048" s="45"/>
      <c r="L3048" s="45"/>
      <c r="M3048" s="45"/>
      <c r="N3048" s="45"/>
      <c r="O3048" s="45"/>
      <c r="P3048" s="45"/>
      <c r="Q3048" s="45"/>
      <c r="R3048" s="45"/>
      <c r="S3048" s="45"/>
      <c r="T3048" s="45"/>
      <c r="U3048" s="45"/>
    </row>
    <row r="3049">
      <c r="A3049" s="79" t="s">
        <v>21204</v>
      </c>
      <c r="B3049" s="45"/>
      <c r="C3049" s="79" t="s">
        <v>21205</v>
      </c>
      <c r="D3049" s="45"/>
      <c r="E3049" s="79" t="s">
        <v>5215</v>
      </c>
      <c r="F3049" s="79" t="s">
        <v>8784</v>
      </c>
      <c r="G3049" s="80" t="s">
        <v>96</v>
      </c>
      <c r="H3049" s="90">
        <v>7.02E-5</v>
      </c>
      <c r="I3049" s="45"/>
      <c r="J3049" s="45"/>
      <c r="K3049" s="45"/>
      <c r="L3049" s="45"/>
      <c r="M3049" s="45"/>
      <c r="N3049" s="45"/>
      <c r="O3049" s="45"/>
      <c r="P3049" s="45"/>
      <c r="Q3049" s="45"/>
      <c r="R3049" s="45"/>
      <c r="S3049" s="45"/>
      <c r="T3049" s="45"/>
      <c r="U3049" s="45"/>
    </row>
    <row r="3050">
      <c r="A3050" s="79" t="s">
        <v>21206</v>
      </c>
      <c r="B3050" s="45"/>
      <c r="C3050" s="79" t="s">
        <v>21207</v>
      </c>
      <c r="D3050" s="45"/>
      <c r="E3050" s="79" t="s">
        <v>5229</v>
      </c>
      <c r="F3050" s="79" t="s">
        <v>8784</v>
      </c>
      <c r="G3050" s="80" t="s">
        <v>96</v>
      </c>
      <c r="H3050" s="90">
        <v>7.01E-5</v>
      </c>
      <c r="I3050" s="45"/>
      <c r="J3050" s="45"/>
      <c r="K3050" s="45"/>
      <c r="L3050" s="45"/>
      <c r="M3050" s="45"/>
      <c r="N3050" s="45"/>
      <c r="O3050" s="45"/>
      <c r="P3050" s="45"/>
      <c r="Q3050" s="45"/>
      <c r="R3050" s="45"/>
      <c r="S3050" s="45"/>
      <c r="T3050" s="45"/>
      <c r="U3050" s="45"/>
    </row>
    <row r="3051">
      <c r="A3051" s="79" t="s">
        <v>21208</v>
      </c>
      <c r="B3051" s="45"/>
      <c r="C3051" s="79" t="s">
        <v>21209</v>
      </c>
      <c r="D3051" s="45"/>
      <c r="E3051" s="79" t="s">
        <v>5516</v>
      </c>
      <c r="F3051" s="79" t="s">
        <v>5300</v>
      </c>
      <c r="G3051" s="80" t="s">
        <v>96</v>
      </c>
      <c r="H3051" s="90">
        <v>7.0E-5</v>
      </c>
      <c r="I3051" s="45"/>
      <c r="J3051" s="45"/>
      <c r="K3051" s="45"/>
      <c r="L3051" s="45"/>
      <c r="M3051" s="45"/>
      <c r="N3051" s="45"/>
      <c r="O3051" s="45"/>
      <c r="P3051" s="45"/>
      <c r="Q3051" s="45"/>
      <c r="R3051" s="45"/>
      <c r="S3051" s="45"/>
      <c r="T3051" s="45"/>
      <c r="U3051" s="45"/>
    </row>
    <row r="3052">
      <c r="A3052" s="79" t="s">
        <v>21210</v>
      </c>
      <c r="B3052" s="45"/>
      <c r="C3052" s="79" t="s">
        <v>21211</v>
      </c>
      <c r="D3052" s="45"/>
      <c r="E3052" s="79" t="s">
        <v>5283</v>
      </c>
      <c r="F3052" s="79" t="s">
        <v>5300</v>
      </c>
      <c r="G3052" s="80" t="s">
        <v>96</v>
      </c>
      <c r="H3052" s="90">
        <v>7.0E-5</v>
      </c>
      <c r="I3052" s="45"/>
      <c r="J3052" s="45"/>
      <c r="K3052" s="45"/>
      <c r="L3052" s="45"/>
      <c r="M3052" s="45"/>
      <c r="N3052" s="45"/>
      <c r="O3052" s="45"/>
      <c r="P3052" s="45"/>
      <c r="Q3052" s="45"/>
      <c r="R3052" s="45"/>
      <c r="S3052" s="45"/>
      <c r="T3052" s="45"/>
      <c r="U3052" s="45"/>
    </row>
    <row r="3053">
      <c r="A3053" s="79" t="s">
        <v>21212</v>
      </c>
      <c r="B3053" s="45"/>
      <c r="C3053" s="79" t="s">
        <v>21213</v>
      </c>
      <c r="D3053" s="45"/>
      <c r="E3053" s="79" t="s">
        <v>5215</v>
      </c>
      <c r="F3053" s="79" t="s">
        <v>5300</v>
      </c>
      <c r="G3053" s="80" t="s">
        <v>96</v>
      </c>
      <c r="H3053" s="90">
        <v>7.0E-5</v>
      </c>
      <c r="I3053" s="45"/>
      <c r="J3053" s="45"/>
      <c r="K3053" s="45"/>
      <c r="L3053" s="45"/>
      <c r="M3053" s="45"/>
      <c r="N3053" s="45"/>
      <c r="O3053" s="45"/>
      <c r="P3053" s="45"/>
      <c r="Q3053" s="45"/>
      <c r="R3053" s="45"/>
      <c r="S3053" s="45"/>
      <c r="T3053" s="45"/>
      <c r="U3053" s="45"/>
    </row>
    <row r="3054">
      <c r="A3054" s="79" t="s">
        <v>21214</v>
      </c>
      <c r="B3054" s="45"/>
      <c r="C3054" s="79" t="s">
        <v>21215</v>
      </c>
      <c r="D3054" s="45"/>
      <c r="E3054" s="79" t="s">
        <v>5448</v>
      </c>
      <c r="F3054" s="79" t="s">
        <v>8784</v>
      </c>
      <c r="G3054" s="80" t="s">
        <v>96</v>
      </c>
      <c r="H3054" s="90">
        <v>6.99E-5</v>
      </c>
      <c r="I3054" s="45"/>
      <c r="J3054" s="45"/>
      <c r="K3054" s="45"/>
      <c r="L3054" s="45"/>
      <c r="M3054" s="45"/>
      <c r="N3054" s="45"/>
      <c r="O3054" s="45"/>
      <c r="P3054" s="45"/>
      <c r="Q3054" s="45"/>
      <c r="R3054" s="45"/>
      <c r="S3054" s="45"/>
      <c r="T3054" s="45"/>
      <c r="U3054" s="45"/>
    </row>
    <row r="3055">
      <c r="A3055" s="79" t="s">
        <v>21216</v>
      </c>
      <c r="B3055" s="45"/>
      <c r="C3055" s="79" t="s">
        <v>21217</v>
      </c>
      <c r="D3055" s="45"/>
      <c r="E3055" s="79" t="s">
        <v>6238</v>
      </c>
      <c r="F3055" s="79" t="s">
        <v>4095</v>
      </c>
      <c r="G3055" s="80" t="s">
        <v>96</v>
      </c>
      <c r="H3055" s="90">
        <v>6.99E-5</v>
      </c>
      <c r="I3055" s="45"/>
      <c r="J3055" s="45"/>
      <c r="K3055" s="45"/>
      <c r="L3055" s="45"/>
      <c r="M3055" s="45"/>
      <c r="N3055" s="45"/>
      <c r="O3055" s="45"/>
      <c r="P3055" s="45"/>
      <c r="Q3055" s="45"/>
      <c r="R3055" s="45"/>
      <c r="S3055" s="45"/>
      <c r="T3055" s="45"/>
      <c r="U3055" s="45"/>
    </row>
    <row r="3056">
      <c r="A3056" s="79" t="s">
        <v>21218</v>
      </c>
      <c r="B3056" s="45"/>
      <c r="C3056" s="79" t="s">
        <v>21219</v>
      </c>
      <c r="D3056" s="45"/>
      <c r="E3056" s="79" t="s">
        <v>5374</v>
      </c>
      <c r="F3056" s="79" t="s">
        <v>8784</v>
      </c>
      <c r="G3056" s="80" t="s">
        <v>96</v>
      </c>
      <c r="H3056" s="90">
        <v>6.98E-5</v>
      </c>
      <c r="I3056" s="45"/>
      <c r="J3056" s="45"/>
      <c r="K3056" s="45"/>
      <c r="L3056" s="45"/>
      <c r="M3056" s="45"/>
      <c r="N3056" s="45"/>
      <c r="O3056" s="45"/>
      <c r="P3056" s="45"/>
      <c r="Q3056" s="45"/>
      <c r="R3056" s="45"/>
      <c r="S3056" s="45"/>
      <c r="T3056" s="45"/>
      <c r="U3056" s="45"/>
    </row>
    <row r="3057">
      <c r="A3057" s="79" t="s">
        <v>21220</v>
      </c>
      <c r="B3057" s="45"/>
      <c r="C3057" s="79" t="s">
        <v>21221</v>
      </c>
      <c r="D3057" s="45"/>
      <c r="E3057" s="79" t="s">
        <v>5501</v>
      </c>
      <c r="F3057" s="79" t="s">
        <v>4095</v>
      </c>
      <c r="G3057" s="80" t="s">
        <v>96</v>
      </c>
      <c r="H3057" s="90">
        <v>6.98E-5</v>
      </c>
      <c r="I3057" s="45"/>
      <c r="J3057" s="45"/>
      <c r="K3057" s="45"/>
      <c r="L3057" s="45"/>
      <c r="M3057" s="45"/>
      <c r="N3057" s="45"/>
      <c r="O3057" s="45"/>
      <c r="P3057" s="45"/>
      <c r="Q3057" s="45"/>
      <c r="R3057" s="45"/>
      <c r="S3057" s="45"/>
      <c r="T3057" s="45"/>
      <c r="U3057" s="45"/>
    </row>
    <row r="3058">
      <c r="A3058" s="79" t="s">
        <v>21222</v>
      </c>
      <c r="B3058" s="45"/>
      <c r="C3058" s="79" t="s">
        <v>21223</v>
      </c>
      <c r="D3058" s="45"/>
      <c r="E3058" s="79" t="s">
        <v>6266</v>
      </c>
      <c r="F3058" s="79" t="s">
        <v>9021</v>
      </c>
      <c r="G3058" s="80" t="s">
        <v>96</v>
      </c>
      <c r="H3058" s="90">
        <v>6.98E-5</v>
      </c>
      <c r="I3058" s="45"/>
      <c r="J3058" s="45"/>
      <c r="K3058" s="45"/>
      <c r="L3058" s="45"/>
      <c r="M3058" s="45"/>
      <c r="N3058" s="45"/>
      <c r="O3058" s="45"/>
      <c r="P3058" s="45"/>
      <c r="Q3058" s="45"/>
      <c r="R3058" s="45"/>
      <c r="S3058" s="45"/>
      <c r="T3058" s="45"/>
      <c r="U3058" s="45"/>
    </row>
    <row r="3059">
      <c r="A3059" s="79" t="s">
        <v>21224</v>
      </c>
      <c r="B3059" s="45"/>
      <c r="C3059" s="79" t="s">
        <v>21225</v>
      </c>
      <c r="D3059" s="45"/>
      <c r="E3059" s="79" t="s">
        <v>5311</v>
      </c>
      <c r="F3059" s="79" t="s">
        <v>5300</v>
      </c>
      <c r="G3059" s="80" t="s">
        <v>96</v>
      </c>
      <c r="H3059" s="90">
        <v>6.97E-5</v>
      </c>
      <c r="I3059" s="45"/>
      <c r="J3059" s="45"/>
      <c r="K3059" s="45"/>
      <c r="L3059" s="45"/>
      <c r="M3059" s="45"/>
      <c r="N3059" s="45"/>
      <c r="O3059" s="45"/>
      <c r="P3059" s="45"/>
      <c r="Q3059" s="45"/>
      <c r="R3059" s="45"/>
      <c r="S3059" s="45"/>
      <c r="T3059" s="45"/>
      <c r="U3059" s="45"/>
    </row>
    <row r="3060">
      <c r="A3060" s="79" t="s">
        <v>21226</v>
      </c>
      <c r="B3060" s="45"/>
      <c r="C3060" s="79" t="s">
        <v>21227</v>
      </c>
      <c r="D3060" s="45"/>
      <c r="E3060" s="79" t="s">
        <v>6759</v>
      </c>
      <c r="F3060" s="79" t="s">
        <v>5300</v>
      </c>
      <c r="G3060" s="80" t="s">
        <v>96</v>
      </c>
      <c r="H3060" s="90">
        <v>6.97E-5</v>
      </c>
      <c r="I3060" s="45"/>
      <c r="J3060" s="45"/>
      <c r="K3060" s="45"/>
      <c r="L3060" s="45"/>
      <c r="M3060" s="45"/>
      <c r="N3060" s="45"/>
      <c r="O3060" s="45"/>
      <c r="P3060" s="45"/>
      <c r="Q3060" s="45"/>
      <c r="R3060" s="45"/>
      <c r="S3060" s="45"/>
      <c r="T3060" s="45"/>
      <c r="U3060" s="45"/>
    </row>
    <row r="3061">
      <c r="A3061" s="79" t="s">
        <v>21228</v>
      </c>
      <c r="B3061" s="45"/>
      <c r="C3061" s="79" t="s">
        <v>21229</v>
      </c>
      <c r="D3061" s="45"/>
      <c r="E3061" s="79" t="s">
        <v>5238</v>
      </c>
      <c r="F3061" s="79" t="s">
        <v>8784</v>
      </c>
      <c r="G3061" s="80" t="s">
        <v>96</v>
      </c>
      <c r="H3061" s="90">
        <v>6.96E-5</v>
      </c>
      <c r="I3061" s="45"/>
      <c r="J3061" s="45"/>
      <c r="K3061" s="45"/>
      <c r="L3061" s="45"/>
      <c r="M3061" s="45"/>
      <c r="N3061" s="45"/>
      <c r="O3061" s="45"/>
      <c r="P3061" s="45"/>
      <c r="Q3061" s="45"/>
      <c r="R3061" s="45"/>
      <c r="S3061" s="45"/>
      <c r="T3061" s="45"/>
      <c r="U3061" s="45"/>
    </row>
    <row r="3062">
      <c r="A3062" s="79" t="s">
        <v>21230</v>
      </c>
      <c r="B3062" s="45"/>
      <c r="C3062" s="79" t="s">
        <v>21231</v>
      </c>
      <c r="D3062" s="45"/>
      <c r="E3062" s="79" t="s">
        <v>5459</v>
      </c>
      <c r="F3062" s="79" t="s">
        <v>8784</v>
      </c>
      <c r="G3062" s="80" t="s">
        <v>96</v>
      </c>
      <c r="H3062" s="90">
        <v>6.96E-5</v>
      </c>
      <c r="I3062" s="45"/>
      <c r="J3062" s="45"/>
      <c r="K3062" s="45"/>
      <c r="L3062" s="45"/>
      <c r="M3062" s="45"/>
      <c r="N3062" s="45"/>
      <c r="O3062" s="45"/>
      <c r="P3062" s="45"/>
      <c r="Q3062" s="45"/>
      <c r="R3062" s="45"/>
      <c r="S3062" s="45"/>
      <c r="T3062" s="45"/>
      <c r="U3062" s="45"/>
    </row>
    <row r="3063">
      <c r="A3063" s="79" t="s">
        <v>21232</v>
      </c>
      <c r="B3063" s="45"/>
      <c r="C3063" s="79" t="s">
        <v>21233</v>
      </c>
      <c r="D3063" s="45"/>
      <c r="E3063" s="79" t="s">
        <v>6115</v>
      </c>
      <c r="F3063" s="79" t="s">
        <v>4357</v>
      </c>
      <c r="G3063" s="80" t="s">
        <v>96</v>
      </c>
      <c r="H3063" s="90">
        <v>6.95E-5</v>
      </c>
      <c r="I3063" s="45"/>
      <c r="J3063" s="45"/>
      <c r="K3063" s="45"/>
      <c r="L3063" s="45"/>
      <c r="M3063" s="45"/>
      <c r="N3063" s="45"/>
      <c r="O3063" s="45"/>
      <c r="P3063" s="45"/>
      <c r="Q3063" s="45"/>
      <c r="R3063" s="45"/>
      <c r="S3063" s="45"/>
      <c r="T3063" s="45"/>
      <c r="U3063" s="45"/>
    </row>
    <row r="3064">
      <c r="A3064" s="79" t="s">
        <v>21234</v>
      </c>
      <c r="B3064" s="45"/>
      <c r="C3064" s="79" t="s">
        <v>21235</v>
      </c>
      <c r="D3064" s="45"/>
      <c r="E3064" s="79" t="s">
        <v>6249</v>
      </c>
      <c r="F3064" s="79" t="s">
        <v>8784</v>
      </c>
      <c r="G3064" s="80" t="s">
        <v>96</v>
      </c>
      <c r="H3064" s="90">
        <v>6.95E-5</v>
      </c>
      <c r="I3064" s="45"/>
      <c r="J3064" s="45"/>
      <c r="K3064" s="45"/>
      <c r="L3064" s="45"/>
      <c r="M3064" s="45"/>
      <c r="N3064" s="45"/>
      <c r="O3064" s="45"/>
      <c r="P3064" s="45"/>
      <c r="Q3064" s="45"/>
      <c r="R3064" s="45"/>
      <c r="S3064" s="45"/>
      <c r="T3064" s="45"/>
      <c r="U3064" s="45"/>
    </row>
    <row r="3065">
      <c r="A3065" s="79" t="s">
        <v>21236</v>
      </c>
      <c r="B3065" s="45"/>
      <c r="C3065" s="79" t="s">
        <v>21237</v>
      </c>
      <c r="D3065" s="45"/>
      <c r="E3065" s="79" t="s">
        <v>5321</v>
      </c>
      <c r="F3065" s="79" t="s">
        <v>5268</v>
      </c>
      <c r="G3065" s="80" t="s">
        <v>96</v>
      </c>
      <c r="H3065" s="90">
        <v>6.94E-5</v>
      </c>
      <c r="I3065" s="45"/>
      <c r="J3065" s="45"/>
      <c r="K3065" s="45"/>
      <c r="L3065" s="45"/>
      <c r="M3065" s="45"/>
      <c r="N3065" s="45"/>
      <c r="O3065" s="45"/>
      <c r="P3065" s="45"/>
      <c r="Q3065" s="45"/>
      <c r="R3065" s="45"/>
      <c r="S3065" s="45"/>
      <c r="T3065" s="45"/>
      <c r="U3065" s="45"/>
    </row>
    <row r="3066">
      <c r="A3066" s="79" t="s">
        <v>21238</v>
      </c>
      <c r="B3066" s="45"/>
      <c r="C3066" s="79" t="s">
        <v>21239</v>
      </c>
      <c r="D3066" s="45"/>
      <c r="E3066" s="79" t="s">
        <v>5735</v>
      </c>
      <c r="F3066" s="79" t="s">
        <v>8784</v>
      </c>
      <c r="G3066" s="80" t="s">
        <v>96</v>
      </c>
      <c r="H3066" s="90">
        <v>6.94E-5</v>
      </c>
      <c r="I3066" s="45"/>
      <c r="J3066" s="45"/>
      <c r="K3066" s="45"/>
      <c r="L3066" s="45"/>
      <c r="M3066" s="45"/>
      <c r="N3066" s="45"/>
      <c r="O3066" s="45"/>
      <c r="P3066" s="45"/>
      <c r="Q3066" s="45"/>
      <c r="R3066" s="45"/>
      <c r="S3066" s="45"/>
      <c r="T3066" s="45"/>
      <c r="U3066" s="45"/>
    </row>
    <row r="3067">
      <c r="A3067" s="79" t="s">
        <v>21240</v>
      </c>
      <c r="B3067" s="45"/>
      <c r="C3067" s="79" t="s">
        <v>21241</v>
      </c>
      <c r="D3067" s="45"/>
      <c r="E3067" s="79" t="s">
        <v>5650</v>
      </c>
      <c r="F3067" s="79" t="s">
        <v>5425</v>
      </c>
      <c r="G3067" s="80" t="s">
        <v>96</v>
      </c>
      <c r="H3067" s="90">
        <v>6.94E-5</v>
      </c>
      <c r="I3067" s="45"/>
      <c r="J3067" s="45"/>
      <c r="K3067" s="45"/>
      <c r="L3067" s="45"/>
      <c r="M3067" s="45"/>
      <c r="N3067" s="45"/>
      <c r="O3067" s="45"/>
      <c r="P3067" s="45"/>
      <c r="Q3067" s="45"/>
      <c r="R3067" s="45"/>
      <c r="S3067" s="45"/>
      <c r="T3067" s="45"/>
      <c r="U3067" s="45"/>
    </row>
    <row r="3068">
      <c r="A3068" s="79" t="s">
        <v>21242</v>
      </c>
      <c r="B3068" s="45"/>
      <c r="C3068" s="79" t="s">
        <v>21243</v>
      </c>
      <c r="D3068" s="45"/>
      <c r="E3068" s="79" t="s">
        <v>5276</v>
      </c>
      <c r="F3068" s="79" t="s">
        <v>5300</v>
      </c>
      <c r="G3068" s="80" t="s">
        <v>96</v>
      </c>
      <c r="H3068" s="90">
        <v>6.93E-5</v>
      </c>
      <c r="I3068" s="45"/>
      <c r="J3068" s="45"/>
      <c r="K3068" s="45"/>
      <c r="L3068" s="45"/>
      <c r="M3068" s="45"/>
      <c r="N3068" s="45"/>
      <c r="O3068" s="45"/>
      <c r="P3068" s="45"/>
      <c r="Q3068" s="45"/>
      <c r="R3068" s="45"/>
      <c r="S3068" s="45"/>
      <c r="T3068" s="45"/>
      <c r="U3068" s="45"/>
    </row>
    <row r="3069">
      <c r="A3069" s="79" t="s">
        <v>21244</v>
      </c>
      <c r="B3069" s="45"/>
      <c r="C3069" s="79" t="s">
        <v>21245</v>
      </c>
      <c r="D3069" s="45"/>
      <c r="E3069" s="79" t="s">
        <v>5624</v>
      </c>
      <c r="F3069" s="79" t="s">
        <v>5836</v>
      </c>
      <c r="G3069" s="80" t="s">
        <v>96</v>
      </c>
      <c r="H3069" s="90">
        <v>6.93E-5</v>
      </c>
      <c r="I3069" s="45"/>
      <c r="J3069" s="45"/>
      <c r="K3069" s="45"/>
      <c r="L3069" s="45"/>
      <c r="M3069" s="45"/>
      <c r="N3069" s="45"/>
      <c r="O3069" s="45"/>
      <c r="P3069" s="45"/>
      <c r="Q3069" s="45"/>
      <c r="R3069" s="45"/>
      <c r="S3069" s="45"/>
      <c r="T3069" s="45"/>
      <c r="U3069" s="45"/>
    </row>
    <row r="3070">
      <c r="A3070" s="79" t="s">
        <v>21246</v>
      </c>
      <c r="B3070" s="45"/>
      <c r="C3070" s="79" t="s">
        <v>21247</v>
      </c>
      <c r="D3070" s="45"/>
      <c r="E3070" s="79" t="s">
        <v>5253</v>
      </c>
      <c r="F3070" s="79" t="s">
        <v>21248</v>
      </c>
      <c r="G3070" s="80" t="s">
        <v>96</v>
      </c>
      <c r="H3070" s="90">
        <v>6.93E-5</v>
      </c>
      <c r="I3070" s="45"/>
      <c r="J3070" s="45"/>
      <c r="K3070" s="45"/>
      <c r="L3070" s="45"/>
      <c r="M3070" s="45"/>
      <c r="N3070" s="45"/>
      <c r="O3070" s="45"/>
      <c r="P3070" s="45"/>
      <c r="Q3070" s="45"/>
      <c r="R3070" s="45"/>
      <c r="S3070" s="45"/>
      <c r="T3070" s="45"/>
      <c r="U3070" s="45"/>
    </row>
    <row r="3071">
      <c r="A3071" s="79" t="s">
        <v>21249</v>
      </c>
      <c r="B3071" s="45"/>
      <c r="C3071" s="79" t="s">
        <v>21250</v>
      </c>
      <c r="D3071" s="45"/>
      <c r="E3071" s="79" t="s">
        <v>5390</v>
      </c>
      <c r="F3071" s="79" t="s">
        <v>8784</v>
      </c>
      <c r="G3071" s="80" t="s">
        <v>96</v>
      </c>
      <c r="H3071" s="90">
        <v>6.92E-5</v>
      </c>
      <c r="I3071" s="45"/>
      <c r="J3071" s="45"/>
      <c r="K3071" s="45"/>
      <c r="L3071" s="45"/>
      <c r="M3071" s="45"/>
      <c r="N3071" s="45"/>
      <c r="O3071" s="45"/>
      <c r="P3071" s="45"/>
      <c r="Q3071" s="45"/>
      <c r="R3071" s="45"/>
      <c r="S3071" s="45"/>
      <c r="T3071" s="45"/>
      <c r="U3071" s="45"/>
    </row>
    <row r="3072">
      <c r="A3072" s="79" t="s">
        <v>4684</v>
      </c>
      <c r="B3072" s="45"/>
      <c r="C3072" s="79" t="s">
        <v>21251</v>
      </c>
      <c r="D3072" s="45"/>
      <c r="E3072" s="79" t="s">
        <v>5564</v>
      </c>
      <c r="F3072" s="79" t="s">
        <v>5425</v>
      </c>
      <c r="G3072" s="80" t="s">
        <v>96</v>
      </c>
      <c r="H3072" s="90">
        <v>6.91E-5</v>
      </c>
      <c r="I3072" s="45"/>
      <c r="J3072" s="45"/>
      <c r="K3072" s="45"/>
      <c r="L3072" s="45"/>
      <c r="M3072" s="45"/>
      <c r="N3072" s="45"/>
      <c r="O3072" s="45"/>
      <c r="P3072" s="45"/>
      <c r="Q3072" s="45"/>
      <c r="R3072" s="45"/>
      <c r="S3072" s="45"/>
      <c r="T3072" s="45"/>
      <c r="U3072" s="45"/>
    </row>
    <row r="3073">
      <c r="A3073" s="79" t="s">
        <v>21252</v>
      </c>
      <c r="B3073" s="45"/>
      <c r="C3073" s="79" t="s">
        <v>21253</v>
      </c>
      <c r="D3073" s="45"/>
      <c r="E3073" s="79" t="s">
        <v>5434</v>
      </c>
      <c r="F3073" s="79" t="s">
        <v>8784</v>
      </c>
      <c r="G3073" s="80" t="s">
        <v>96</v>
      </c>
      <c r="H3073" s="90">
        <v>6.9E-5</v>
      </c>
      <c r="I3073" s="45"/>
      <c r="J3073" s="45"/>
      <c r="K3073" s="45"/>
      <c r="L3073" s="45"/>
      <c r="M3073" s="45"/>
      <c r="N3073" s="45"/>
      <c r="O3073" s="45"/>
      <c r="P3073" s="45"/>
      <c r="Q3073" s="45"/>
      <c r="R3073" s="45"/>
      <c r="S3073" s="45"/>
      <c r="T3073" s="45"/>
      <c r="U3073" s="45"/>
    </row>
    <row r="3074">
      <c r="A3074" s="79" t="s">
        <v>21254</v>
      </c>
      <c r="B3074" s="45"/>
      <c r="C3074" s="79" t="s">
        <v>21255</v>
      </c>
      <c r="D3074" s="45"/>
      <c r="E3074" s="79" t="s">
        <v>5283</v>
      </c>
      <c r="F3074" s="79" t="s">
        <v>8784</v>
      </c>
      <c r="G3074" s="80" t="s">
        <v>96</v>
      </c>
      <c r="H3074" s="90">
        <v>6.9E-5</v>
      </c>
      <c r="I3074" s="45"/>
      <c r="J3074" s="45"/>
      <c r="K3074" s="45"/>
      <c r="L3074" s="45"/>
      <c r="M3074" s="45"/>
      <c r="N3074" s="45"/>
      <c r="O3074" s="45"/>
      <c r="P3074" s="45"/>
      <c r="Q3074" s="45"/>
      <c r="R3074" s="45"/>
      <c r="S3074" s="45"/>
      <c r="T3074" s="45"/>
      <c r="U3074" s="45"/>
    </row>
    <row r="3075">
      <c r="A3075" s="79" t="s">
        <v>21256</v>
      </c>
      <c r="B3075" s="45"/>
      <c r="C3075" s="79" t="s">
        <v>21257</v>
      </c>
      <c r="D3075" s="45"/>
      <c r="E3075" s="79" t="s">
        <v>5374</v>
      </c>
      <c r="F3075" s="79" t="s">
        <v>5300</v>
      </c>
      <c r="G3075" s="80" t="s">
        <v>96</v>
      </c>
      <c r="H3075" s="90">
        <v>6.9E-5</v>
      </c>
      <c r="I3075" s="45"/>
      <c r="J3075" s="45"/>
      <c r="K3075" s="45"/>
      <c r="L3075" s="45"/>
      <c r="M3075" s="45"/>
      <c r="N3075" s="45"/>
      <c r="O3075" s="45"/>
      <c r="P3075" s="45"/>
      <c r="Q3075" s="45"/>
      <c r="R3075" s="45"/>
      <c r="S3075" s="45"/>
      <c r="T3075" s="45"/>
      <c r="U3075" s="45"/>
    </row>
    <row r="3076">
      <c r="A3076" s="79" t="s">
        <v>21258</v>
      </c>
      <c r="B3076" s="45"/>
      <c r="C3076" s="79" t="s">
        <v>21259</v>
      </c>
      <c r="D3076" s="45"/>
      <c r="E3076" s="79" t="s">
        <v>5366</v>
      </c>
      <c r="F3076" s="79" t="s">
        <v>8784</v>
      </c>
      <c r="G3076" s="80" t="s">
        <v>96</v>
      </c>
      <c r="H3076" s="90">
        <v>6.9E-5</v>
      </c>
      <c r="I3076" s="45"/>
      <c r="J3076" s="45"/>
      <c r="K3076" s="45"/>
      <c r="L3076" s="45"/>
      <c r="M3076" s="45"/>
      <c r="N3076" s="45"/>
      <c r="O3076" s="45"/>
      <c r="P3076" s="45"/>
      <c r="Q3076" s="45"/>
      <c r="R3076" s="45"/>
      <c r="S3076" s="45"/>
      <c r="T3076" s="45"/>
      <c r="U3076" s="45"/>
    </row>
    <row r="3077">
      <c r="A3077" s="79" t="s">
        <v>21260</v>
      </c>
      <c r="B3077" s="45"/>
      <c r="C3077" s="79" t="s">
        <v>21261</v>
      </c>
      <c r="D3077" s="45"/>
      <c r="E3077" s="79" t="s">
        <v>5296</v>
      </c>
      <c r="F3077" s="79" t="s">
        <v>4095</v>
      </c>
      <c r="G3077" s="80" t="s">
        <v>96</v>
      </c>
      <c r="H3077" s="90">
        <v>6.9E-5</v>
      </c>
      <c r="I3077" s="45"/>
      <c r="J3077" s="45"/>
      <c r="K3077" s="45"/>
      <c r="L3077" s="45"/>
      <c r="M3077" s="45"/>
      <c r="N3077" s="45"/>
      <c r="O3077" s="45"/>
      <c r="P3077" s="45"/>
      <c r="Q3077" s="45"/>
      <c r="R3077" s="45"/>
      <c r="S3077" s="45"/>
      <c r="T3077" s="45"/>
      <c r="U3077" s="45"/>
    </row>
    <row r="3078">
      <c r="A3078" s="79" t="s">
        <v>21262</v>
      </c>
      <c r="B3078" s="45"/>
      <c r="C3078" s="79" t="s">
        <v>21263</v>
      </c>
      <c r="D3078" s="45"/>
      <c r="E3078" s="79" t="s">
        <v>6238</v>
      </c>
      <c r="F3078" s="79" t="s">
        <v>4436</v>
      </c>
      <c r="G3078" s="80" t="s">
        <v>96</v>
      </c>
      <c r="H3078" s="90">
        <v>6.89E-5</v>
      </c>
      <c r="I3078" s="45"/>
      <c r="J3078" s="45"/>
      <c r="K3078" s="45"/>
      <c r="L3078" s="45"/>
      <c r="M3078" s="45"/>
      <c r="N3078" s="45"/>
      <c r="O3078" s="45"/>
      <c r="P3078" s="45"/>
      <c r="Q3078" s="45"/>
      <c r="R3078" s="45"/>
      <c r="S3078" s="45"/>
      <c r="T3078" s="45"/>
      <c r="U3078" s="45"/>
    </row>
    <row r="3079">
      <c r="A3079" s="79" t="s">
        <v>21264</v>
      </c>
      <c r="B3079" s="45"/>
      <c r="C3079" s="79" t="s">
        <v>21265</v>
      </c>
      <c r="D3079" s="45"/>
      <c r="E3079" s="79" t="s">
        <v>6487</v>
      </c>
      <c r="F3079" s="79" t="s">
        <v>5300</v>
      </c>
      <c r="G3079" s="80" t="s">
        <v>96</v>
      </c>
      <c r="H3079" s="90">
        <v>6.89E-5</v>
      </c>
      <c r="I3079" s="45"/>
      <c r="J3079" s="45"/>
      <c r="K3079" s="45"/>
      <c r="L3079" s="45"/>
      <c r="M3079" s="45"/>
      <c r="N3079" s="45"/>
      <c r="O3079" s="45"/>
      <c r="P3079" s="45"/>
      <c r="Q3079" s="45"/>
      <c r="R3079" s="45"/>
      <c r="S3079" s="45"/>
      <c r="T3079" s="45"/>
      <c r="U3079" s="45"/>
    </row>
    <row r="3080">
      <c r="A3080" s="79" t="s">
        <v>21266</v>
      </c>
      <c r="B3080" s="45"/>
      <c r="C3080" s="79" t="s">
        <v>21267</v>
      </c>
      <c r="D3080" s="45"/>
      <c r="E3080" s="79" t="s">
        <v>5335</v>
      </c>
      <c r="F3080" s="79" t="s">
        <v>5300</v>
      </c>
      <c r="G3080" s="80" t="s">
        <v>96</v>
      </c>
      <c r="H3080" s="90">
        <v>6.88E-5</v>
      </c>
      <c r="I3080" s="45"/>
      <c r="J3080" s="45"/>
      <c r="K3080" s="45"/>
      <c r="L3080" s="45"/>
      <c r="M3080" s="45"/>
      <c r="N3080" s="45"/>
      <c r="O3080" s="45"/>
      <c r="P3080" s="45"/>
      <c r="Q3080" s="45"/>
      <c r="R3080" s="45"/>
      <c r="S3080" s="45"/>
      <c r="T3080" s="45"/>
      <c r="U3080" s="45"/>
    </row>
    <row r="3081">
      <c r="A3081" s="79" t="s">
        <v>21268</v>
      </c>
      <c r="B3081" s="45"/>
      <c r="C3081" s="79" t="s">
        <v>21269</v>
      </c>
      <c r="D3081" s="45"/>
      <c r="E3081" s="79" t="s">
        <v>8110</v>
      </c>
      <c r="F3081" s="79" t="s">
        <v>5300</v>
      </c>
      <c r="G3081" s="80" t="s">
        <v>96</v>
      </c>
      <c r="H3081" s="90">
        <v>6.88E-5</v>
      </c>
      <c r="I3081" s="45"/>
      <c r="J3081" s="45"/>
      <c r="K3081" s="45"/>
      <c r="L3081" s="45"/>
      <c r="M3081" s="45"/>
      <c r="N3081" s="45"/>
      <c r="O3081" s="45"/>
      <c r="P3081" s="45"/>
      <c r="Q3081" s="45"/>
      <c r="R3081" s="45"/>
      <c r="S3081" s="45"/>
      <c r="T3081" s="45"/>
      <c r="U3081" s="45"/>
    </row>
    <row r="3082">
      <c r="A3082" s="79" t="s">
        <v>21270</v>
      </c>
      <c r="B3082" s="45"/>
      <c r="C3082" s="79" t="s">
        <v>21271</v>
      </c>
      <c r="D3082" s="45"/>
      <c r="E3082" s="79" t="s">
        <v>5756</v>
      </c>
      <c r="F3082" s="79" t="s">
        <v>18084</v>
      </c>
      <c r="G3082" s="80" t="s">
        <v>96</v>
      </c>
      <c r="H3082" s="90">
        <v>6.88E-5</v>
      </c>
      <c r="I3082" s="45"/>
      <c r="J3082" s="45"/>
      <c r="K3082" s="45"/>
      <c r="L3082" s="45"/>
      <c r="M3082" s="45"/>
      <c r="N3082" s="45"/>
      <c r="O3082" s="45"/>
      <c r="P3082" s="45"/>
      <c r="Q3082" s="45"/>
      <c r="R3082" s="45"/>
      <c r="S3082" s="45"/>
      <c r="T3082" s="45"/>
      <c r="U3082" s="45"/>
    </row>
    <row r="3083">
      <c r="A3083" s="79" t="s">
        <v>21272</v>
      </c>
      <c r="B3083" s="45"/>
      <c r="C3083" s="79" t="s">
        <v>21273</v>
      </c>
      <c r="D3083" s="45"/>
      <c r="E3083" s="79" t="s">
        <v>5276</v>
      </c>
      <c r="F3083" s="79" t="s">
        <v>6988</v>
      </c>
      <c r="G3083" s="80" t="s">
        <v>96</v>
      </c>
      <c r="H3083" s="90">
        <v>6.85E-5</v>
      </c>
      <c r="I3083" s="45"/>
      <c r="J3083" s="45"/>
      <c r="K3083" s="45"/>
      <c r="L3083" s="45"/>
      <c r="M3083" s="45"/>
      <c r="N3083" s="45"/>
      <c r="O3083" s="45"/>
      <c r="P3083" s="45"/>
      <c r="Q3083" s="45"/>
      <c r="R3083" s="45"/>
      <c r="S3083" s="45"/>
      <c r="T3083" s="45"/>
      <c r="U3083" s="45"/>
    </row>
    <row r="3084">
      <c r="A3084" s="79" t="s">
        <v>21274</v>
      </c>
      <c r="B3084" s="45"/>
      <c r="C3084" s="79" t="s">
        <v>21275</v>
      </c>
      <c r="D3084" s="45"/>
      <c r="E3084" s="79" t="s">
        <v>5650</v>
      </c>
      <c r="F3084" s="79" t="s">
        <v>5300</v>
      </c>
      <c r="G3084" s="80" t="s">
        <v>96</v>
      </c>
      <c r="H3084" s="90">
        <v>6.84E-5</v>
      </c>
      <c r="I3084" s="45"/>
      <c r="J3084" s="45"/>
      <c r="K3084" s="45"/>
      <c r="L3084" s="45"/>
      <c r="M3084" s="45"/>
      <c r="N3084" s="45"/>
      <c r="O3084" s="45"/>
      <c r="P3084" s="45"/>
      <c r="Q3084" s="45"/>
      <c r="R3084" s="45"/>
      <c r="S3084" s="45"/>
      <c r="T3084" s="45"/>
      <c r="U3084" s="45"/>
    </row>
    <row r="3085">
      <c r="A3085" s="79" t="s">
        <v>21276</v>
      </c>
      <c r="B3085" s="45"/>
      <c r="C3085" s="79" t="s">
        <v>21277</v>
      </c>
      <c r="D3085" s="45"/>
      <c r="E3085" s="79" t="s">
        <v>5650</v>
      </c>
      <c r="F3085" s="79" t="s">
        <v>8784</v>
      </c>
      <c r="G3085" s="80" t="s">
        <v>96</v>
      </c>
      <c r="H3085" s="90">
        <v>6.84E-5</v>
      </c>
      <c r="I3085" s="45"/>
      <c r="J3085" s="45"/>
      <c r="K3085" s="45"/>
      <c r="L3085" s="45"/>
      <c r="M3085" s="45"/>
      <c r="N3085" s="45"/>
      <c r="O3085" s="45"/>
      <c r="P3085" s="45"/>
      <c r="Q3085" s="45"/>
      <c r="R3085" s="45"/>
      <c r="S3085" s="45"/>
      <c r="T3085" s="45"/>
      <c r="U3085" s="45"/>
    </row>
    <row r="3086">
      <c r="A3086" s="79" t="s">
        <v>21278</v>
      </c>
      <c r="B3086" s="45"/>
      <c r="C3086" s="79" t="s">
        <v>21279</v>
      </c>
      <c r="D3086" s="45"/>
      <c r="E3086" s="79" t="s">
        <v>18577</v>
      </c>
      <c r="F3086" s="79" t="s">
        <v>5300</v>
      </c>
      <c r="G3086" s="80" t="s">
        <v>96</v>
      </c>
      <c r="H3086" s="90">
        <v>6.83E-5</v>
      </c>
      <c r="I3086" s="45"/>
      <c r="J3086" s="45"/>
      <c r="K3086" s="45"/>
      <c r="L3086" s="45"/>
      <c r="M3086" s="45"/>
      <c r="N3086" s="45"/>
      <c r="O3086" s="45"/>
      <c r="P3086" s="45"/>
      <c r="Q3086" s="45"/>
      <c r="R3086" s="45"/>
      <c r="S3086" s="45"/>
      <c r="T3086" s="45"/>
      <c r="U3086" s="45"/>
    </row>
    <row r="3087">
      <c r="A3087" s="79" t="s">
        <v>21280</v>
      </c>
      <c r="B3087" s="45"/>
      <c r="C3087" s="79" t="s">
        <v>21281</v>
      </c>
      <c r="D3087" s="45"/>
      <c r="E3087" s="79" t="s">
        <v>7248</v>
      </c>
      <c r="F3087" s="79" t="s">
        <v>5300</v>
      </c>
      <c r="G3087" s="80" t="s">
        <v>96</v>
      </c>
      <c r="H3087" s="90">
        <v>6.83E-5</v>
      </c>
      <c r="I3087" s="45"/>
      <c r="J3087" s="45"/>
      <c r="K3087" s="45"/>
      <c r="L3087" s="45"/>
      <c r="M3087" s="45"/>
      <c r="N3087" s="45"/>
      <c r="O3087" s="45"/>
      <c r="P3087" s="45"/>
      <c r="Q3087" s="45"/>
      <c r="R3087" s="45"/>
      <c r="S3087" s="45"/>
      <c r="T3087" s="45"/>
      <c r="U3087" s="45"/>
    </row>
    <row r="3088">
      <c r="A3088" s="79" t="s">
        <v>21282</v>
      </c>
      <c r="B3088" s="45"/>
      <c r="C3088" s="79" t="s">
        <v>21283</v>
      </c>
      <c r="D3088" s="45"/>
      <c r="E3088" s="79" t="s">
        <v>6223</v>
      </c>
      <c r="F3088" s="79" t="s">
        <v>5268</v>
      </c>
      <c r="G3088" s="80" t="s">
        <v>96</v>
      </c>
      <c r="H3088" s="90">
        <v>6.81E-5</v>
      </c>
      <c r="I3088" s="45"/>
      <c r="J3088" s="45"/>
      <c r="K3088" s="45"/>
      <c r="L3088" s="45"/>
      <c r="M3088" s="45"/>
      <c r="N3088" s="45"/>
      <c r="O3088" s="45"/>
      <c r="P3088" s="45"/>
      <c r="Q3088" s="45"/>
      <c r="R3088" s="45"/>
      <c r="S3088" s="45"/>
      <c r="T3088" s="45"/>
      <c r="U3088" s="45"/>
    </row>
    <row r="3089">
      <c r="A3089" s="79" t="s">
        <v>21284</v>
      </c>
      <c r="B3089" s="45"/>
      <c r="C3089" s="79" t="s">
        <v>21285</v>
      </c>
      <c r="D3089" s="45"/>
      <c r="E3089" s="79" t="s">
        <v>18917</v>
      </c>
      <c r="F3089" s="79" t="s">
        <v>8784</v>
      </c>
      <c r="G3089" s="80" t="s">
        <v>96</v>
      </c>
      <c r="H3089" s="90">
        <v>6.8E-5</v>
      </c>
      <c r="I3089" s="45"/>
      <c r="J3089" s="45"/>
      <c r="K3089" s="45"/>
      <c r="L3089" s="45"/>
      <c r="M3089" s="45"/>
      <c r="N3089" s="45"/>
      <c r="O3089" s="45"/>
      <c r="P3089" s="45"/>
      <c r="Q3089" s="45"/>
      <c r="R3089" s="45"/>
      <c r="S3089" s="45"/>
      <c r="T3089" s="45"/>
      <c r="U3089" s="45"/>
    </row>
    <row r="3090">
      <c r="A3090" s="79" t="s">
        <v>21286</v>
      </c>
      <c r="B3090" s="45"/>
      <c r="C3090" s="79" t="s">
        <v>21287</v>
      </c>
      <c r="D3090" s="45"/>
      <c r="E3090" s="79" t="s">
        <v>5691</v>
      </c>
      <c r="F3090" s="79" t="s">
        <v>4095</v>
      </c>
      <c r="G3090" s="80" t="s">
        <v>96</v>
      </c>
      <c r="H3090" s="90">
        <v>6.8E-5</v>
      </c>
      <c r="I3090" s="45"/>
      <c r="J3090" s="45"/>
      <c r="K3090" s="45"/>
      <c r="L3090" s="45"/>
      <c r="M3090" s="45"/>
      <c r="N3090" s="45"/>
      <c r="O3090" s="45"/>
      <c r="P3090" s="45"/>
      <c r="Q3090" s="45"/>
      <c r="R3090" s="45"/>
      <c r="S3090" s="45"/>
      <c r="T3090" s="45"/>
      <c r="U3090" s="45"/>
    </row>
    <row r="3091">
      <c r="A3091" s="79" t="s">
        <v>21288</v>
      </c>
      <c r="B3091" s="45"/>
      <c r="C3091" s="79" t="s">
        <v>21289</v>
      </c>
      <c r="D3091" s="45"/>
      <c r="E3091" s="79" t="s">
        <v>9553</v>
      </c>
      <c r="F3091" s="79" t="s">
        <v>5300</v>
      </c>
      <c r="G3091" s="80" t="s">
        <v>96</v>
      </c>
      <c r="H3091" s="90">
        <v>6.79E-5</v>
      </c>
      <c r="I3091" s="45"/>
      <c r="J3091" s="45"/>
      <c r="K3091" s="45"/>
      <c r="L3091" s="45"/>
      <c r="M3091" s="45"/>
      <c r="N3091" s="45"/>
      <c r="O3091" s="45"/>
      <c r="P3091" s="45"/>
      <c r="Q3091" s="45"/>
      <c r="R3091" s="45"/>
      <c r="S3091" s="45"/>
      <c r="T3091" s="45"/>
      <c r="U3091" s="45"/>
    </row>
    <row r="3092">
      <c r="A3092" s="79" t="s">
        <v>21290</v>
      </c>
      <c r="B3092" s="45"/>
      <c r="C3092" s="79" t="s">
        <v>21291</v>
      </c>
      <c r="D3092" s="45"/>
      <c r="E3092" s="79" t="s">
        <v>5377</v>
      </c>
      <c r="F3092" s="79" t="s">
        <v>4357</v>
      </c>
      <c r="G3092" s="80" t="s">
        <v>96</v>
      </c>
      <c r="H3092" s="90">
        <v>6.78E-5</v>
      </c>
      <c r="I3092" s="45"/>
      <c r="J3092" s="45"/>
      <c r="K3092" s="45"/>
      <c r="L3092" s="45"/>
      <c r="M3092" s="45"/>
      <c r="N3092" s="45"/>
      <c r="O3092" s="45"/>
      <c r="P3092" s="45"/>
      <c r="Q3092" s="45"/>
      <c r="R3092" s="45"/>
      <c r="S3092" s="45"/>
      <c r="T3092" s="45"/>
      <c r="U3092" s="45"/>
    </row>
    <row r="3093">
      <c r="A3093" s="79" t="s">
        <v>6459</v>
      </c>
      <c r="B3093" s="45"/>
      <c r="C3093" s="79" t="s">
        <v>21292</v>
      </c>
      <c r="D3093" s="45"/>
      <c r="E3093" s="79" t="s">
        <v>5478</v>
      </c>
      <c r="F3093" s="79" t="s">
        <v>8784</v>
      </c>
      <c r="G3093" s="80" t="s">
        <v>96</v>
      </c>
      <c r="H3093" s="90">
        <v>6.77E-5</v>
      </c>
      <c r="I3093" s="45"/>
      <c r="J3093" s="45"/>
      <c r="K3093" s="45"/>
      <c r="L3093" s="45"/>
      <c r="M3093" s="45"/>
      <c r="N3093" s="45"/>
      <c r="O3093" s="45"/>
      <c r="P3093" s="45"/>
      <c r="Q3093" s="45"/>
      <c r="R3093" s="45"/>
      <c r="S3093" s="45"/>
      <c r="T3093" s="45"/>
      <c r="U3093" s="45"/>
    </row>
    <row r="3094">
      <c r="A3094" s="79" t="s">
        <v>21293</v>
      </c>
      <c r="B3094" s="45"/>
      <c r="C3094" s="79" t="s">
        <v>21294</v>
      </c>
      <c r="D3094" s="45"/>
      <c r="E3094" s="79" t="s">
        <v>5868</v>
      </c>
      <c r="F3094" s="79" t="s">
        <v>5425</v>
      </c>
      <c r="G3094" s="80" t="s">
        <v>96</v>
      </c>
      <c r="H3094" s="90">
        <v>6.77E-5</v>
      </c>
      <c r="I3094" s="45"/>
      <c r="J3094" s="45"/>
      <c r="K3094" s="45"/>
      <c r="L3094" s="45"/>
      <c r="M3094" s="45"/>
      <c r="N3094" s="45"/>
      <c r="O3094" s="45"/>
      <c r="P3094" s="45"/>
      <c r="Q3094" s="45"/>
      <c r="R3094" s="45"/>
      <c r="S3094" s="45"/>
      <c r="T3094" s="45"/>
      <c r="U3094" s="45"/>
    </row>
    <row r="3095">
      <c r="A3095" s="79" t="s">
        <v>21295</v>
      </c>
      <c r="B3095" s="45"/>
      <c r="C3095" s="79" t="s">
        <v>21296</v>
      </c>
      <c r="D3095" s="45"/>
      <c r="E3095" s="79" t="s">
        <v>5218</v>
      </c>
      <c r="F3095" s="79" t="s">
        <v>5300</v>
      </c>
      <c r="G3095" s="80" t="s">
        <v>96</v>
      </c>
      <c r="H3095" s="90">
        <v>6.77E-5</v>
      </c>
      <c r="I3095" s="45"/>
      <c r="J3095" s="45"/>
      <c r="K3095" s="45"/>
      <c r="L3095" s="45"/>
      <c r="M3095" s="45"/>
      <c r="N3095" s="45"/>
      <c r="O3095" s="45"/>
      <c r="P3095" s="45"/>
      <c r="Q3095" s="45"/>
      <c r="R3095" s="45"/>
      <c r="S3095" s="45"/>
      <c r="T3095" s="45"/>
      <c r="U3095" s="45"/>
    </row>
    <row r="3096">
      <c r="A3096" s="79" t="s">
        <v>21297</v>
      </c>
      <c r="B3096" s="45"/>
      <c r="C3096" s="79" t="s">
        <v>21298</v>
      </c>
      <c r="D3096" s="45"/>
      <c r="E3096" s="79" t="s">
        <v>5407</v>
      </c>
      <c r="F3096" s="79" t="s">
        <v>4153</v>
      </c>
      <c r="G3096" s="80" t="s">
        <v>96</v>
      </c>
      <c r="H3096" s="90">
        <v>6.77E-5</v>
      </c>
      <c r="I3096" s="45"/>
      <c r="J3096" s="45"/>
      <c r="K3096" s="45"/>
      <c r="L3096" s="45"/>
      <c r="M3096" s="45"/>
      <c r="N3096" s="45"/>
      <c r="O3096" s="45"/>
      <c r="P3096" s="45"/>
      <c r="Q3096" s="45"/>
      <c r="R3096" s="45"/>
      <c r="S3096" s="45"/>
      <c r="T3096" s="45"/>
      <c r="U3096" s="45"/>
    </row>
    <row r="3097">
      <c r="A3097" s="79" t="s">
        <v>21299</v>
      </c>
      <c r="B3097" s="45"/>
      <c r="C3097" s="79" t="s">
        <v>21300</v>
      </c>
      <c r="D3097" s="45"/>
      <c r="E3097" s="79" t="s">
        <v>5715</v>
      </c>
      <c r="F3097" s="79" t="s">
        <v>5300</v>
      </c>
      <c r="G3097" s="80" t="s">
        <v>96</v>
      </c>
      <c r="H3097" s="90">
        <v>6.76E-5</v>
      </c>
      <c r="I3097" s="45"/>
      <c r="J3097" s="45"/>
      <c r="K3097" s="45"/>
      <c r="L3097" s="45"/>
      <c r="M3097" s="45"/>
      <c r="N3097" s="45"/>
      <c r="O3097" s="45"/>
      <c r="P3097" s="45"/>
      <c r="Q3097" s="45"/>
      <c r="R3097" s="45"/>
      <c r="S3097" s="45"/>
      <c r="T3097" s="45"/>
      <c r="U3097" s="45"/>
    </row>
    <row r="3098">
      <c r="A3098" s="79" t="s">
        <v>21301</v>
      </c>
      <c r="B3098" s="45"/>
      <c r="C3098" s="79" t="s">
        <v>21302</v>
      </c>
      <c r="D3098" s="45"/>
      <c r="E3098" s="79" t="s">
        <v>5478</v>
      </c>
      <c r="F3098" s="79" t="s">
        <v>5300</v>
      </c>
      <c r="G3098" s="80" t="s">
        <v>96</v>
      </c>
      <c r="H3098" s="90">
        <v>6.76E-5</v>
      </c>
      <c r="I3098" s="45"/>
      <c r="J3098" s="45"/>
      <c r="K3098" s="45"/>
      <c r="L3098" s="45"/>
      <c r="M3098" s="45"/>
      <c r="N3098" s="45"/>
      <c r="O3098" s="45"/>
      <c r="P3098" s="45"/>
      <c r="Q3098" s="45"/>
      <c r="R3098" s="45"/>
      <c r="S3098" s="45"/>
      <c r="T3098" s="45"/>
      <c r="U3098" s="45"/>
    </row>
    <row r="3099">
      <c r="A3099" s="79" t="s">
        <v>21303</v>
      </c>
      <c r="B3099" s="45"/>
      <c r="C3099" s="79" t="s">
        <v>21304</v>
      </c>
      <c r="D3099" s="45"/>
      <c r="E3099" s="79" t="s">
        <v>5283</v>
      </c>
      <c r="F3099" s="79" t="s">
        <v>5300</v>
      </c>
      <c r="G3099" s="80" t="s">
        <v>96</v>
      </c>
      <c r="H3099" s="90">
        <v>6.76E-5</v>
      </c>
      <c r="I3099" s="45"/>
      <c r="J3099" s="45"/>
      <c r="K3099" s="45"/>
      <c r="L3099" s="45"/>
      <c r="M3099" s="45"/>
      <c r="N3099" s="45"/>
      <c r="O3099" s="45"/>
      <c r="P3099" s="45"/>
      <c r="Q3099" s="45"/>
      <c r="R3099" s="45"/>
      <c r="S3099" s="45"/>
      <c r="T3099" s="45"/>
      <c r="U3099" s="45"/>
    </row>
    <row r="3100">
      <c r="A3100" s="79" t="s">
        <v>21305</v>
      </c>
      <c r="B3100" s="45"/>
      <c r="C3100" s="79" t="s">
        <v>21306</v>
      </c>
      <c r="D3100" s="45"/>
      <c r="E3100" s="79" t="s">
        <v>5691</v>
      </c>
      <c r="F3100" s="79" t="s">
        <v>5300</v>
      </c>
      <c r="G3100" s="80" t="s">
        <v>96</v>
      </c>
      <c r="H3100" s="90">
        <v>6.75E-5</v>
      </c>
      <c r="I3100" s="45"/>
      <c r="J3100" s="45"/>
      <c r="K3100" s="45"/>
      <c r="L3100" s="45"/>
      <c r="M3100" s="45"/>
      <c r="N3100" s="45"/>
      <c r="O3100" s="45"/>
      <c r="P3100" s="45"/>
      <c r="Q3100" s="45"/>
      <c r="R3100" s="45"/>
      <c r="S3100" s="45"/>
      <c r="T3100" s="45"/>
      <c r="U3100" s="45"/>
    </row>
    <row r="3101">
      <c r="A3101" s="79" t="s">
        <v>21307</v>
      </c>
      <c r="B3101" s="45"/>
      <c r="C3101" s="79" t="s">
        <v>21308</v>
      </c>
      <c r="D3101" s="45"/>
      <c r="E3101" s="79" t="s">
        <v>5218</v>
      </c>
      <c r="F3101" s="79" t="s">
        <v>9021</v>
      </c>
      <c r="G3101" s="80" t="s">
        <v>96</v>
      </c>
      <c r="H3101" s="90">
        <v>6.75E-5</v>
      </c>
      <c r="I3101" s="45"/>
      <c r="J3101" s="45"/>
      <c r="K3101" s="45"/>
      <c r="L3101" s="45"/>
      <c r="M3101" s="45"/>
      <c r="N3101" s="45"/>
      <c r="O3101" s="45"/>
      <c r="P3101" s="45"/>
      <c r="Q3101" s="45"/>
      <c r="R3101" s="45"/>
      <c r="S3101" s="45"/>
      <c r="T3101" s="45"/>
      <c r="U3101" s="45"/>
    </row>
    <row r="3102">
      <c r="A3102" s="79" t="s">
        <v>21309</v>
      </c>
      <c r="B3102" s="45"/>
      <c r="C3102" s="79" t="s">
        <v>21310</v>
      </c>
      <c r="D3102" s="45"/>
      <c r="E3102" s="79" t="s">
        <v>5395</v>
      </c>
      <c r="F3102" s="79" t="s">
        <v>5300</v>
      </c>
      <c r="G3102" s="80" t="s">
        <v>96</v>
      </c>
      <c r="H3102" s="90">
        <v>6.75E-5</v>
      </c>
      <c r="I3102" s="45"/>
      <c r="J3102" s="45"/>
      <c r="K3102" s="45"/>
      <c r="L3102" s="45"/>
      <c r="M3102" s="45"/>
      <c r="N3102" s="45"/>
      <c r="O3102" s="45"/>
      <c r="P3102" s="45"/>
      <c r="Q3102" s="45"/>
      <c r="R3102" s="45"/>
      <c r="S3102" s="45"/>
      <c r="T3102" s="45"/>
      <c r="U3102" s="45"/>
    </row>
    <row r="3103">
      <c r="A3103" s="79" t="s">
        <v>21311</v>
      </c>
      <c r="B3103" s="45"/>
      <c r="C3103" s="79" t="s">
        <v>21312</v>
      </c>
      <c r="D3103" s="45"/>
      <c r="E3103" s="79" t="s">
        <v>5478</v>
      </c>
      <c r="F3103" s="79" t="s">
        <v>5300</v>
      </c>
      <c r="G3103" s="80" t="s">
        <v>96</v>
      </c>
      <c r="H3103" s="90">
        <v>6.74E-5</v>
      </c>
      <c r="I3103" s="45"/>
      <c r="J3103" s="45"/>
      <c r="K3103" s="45"/>
      <c r="L3103" s="45"/>
      <c r="M3103" s="45"/>
      <c r="N3103" s="45"/>
      <c r="O3103" s="45"/>
      <c r="P3103" s="45"/>
      <c r="Q3103" s="45"/>
      <c r="R3103" s="45"/>
      <c r="S3103" s="45"/>
      <c r="T3103" s="45"/>
      <c r="U3103" s="45"/>
    </row>
    <row r="3104">
      <c r="A3104" s="79" t="s">
        <v>21313</v>
      </c>
      <c r="B3104" s="45"/>
      <c r="C3104" s="79" t="s">
        <v>21314</v>
      </c>
      <c r="D3104" s="45"/>
      <c r="E3104" s="79" t="s">
        <v>5456</v>
      </c>
      <c r="F3104" s="79" t="s">
        <v>8784</v>
      </c>
      <c r="G3104" s="80" t="s">
        <v>96</v>
      </c>
      <c r="H3104" s="90">
        <v>6.73E-5</v>
      </c>
      <c r="I3104" s="45"/>
      <c r="J3104" s="45"/>
      <c r="K3104" s="45"/>
      <c r="L3104" s="45"/>
      <c r="M3104" s="45"/>
      <c r="N3104" s="45"/>
      <c r="O3104" s="45"/>
      <c r="P3104" s="45"/>
      <c r="Q3104" s="45"/>
      <c r="R3104" s="45"/>
      <c r="S3104" s="45"/>
      <c r="T3104" s="45"/>
      <c r="U3104" s="45"/>
    </row>
    <row r="3105">
      <c r="A3105" s="79" t="s">
        <v>21315</v>
      </c>
      <c r="B3105" s="45"/>
      <c r="C3105" s="79" t="s">
        <v>21316</v>
      </c>
      <c r="D3105" s="45"/>
      <c r="E3105" s="79" t="s">
        <v>5264</v>
      </c>
      <c r="F3105" s="79" t="s">
        <v>8784</v>
      </c>
      <c r="G3105" s="80" t="s">
        <v>96</v>
      </c>
      <c r="H3105" s="90">
        <v>6.72E-5</v>
      </c>
      <c r="I3105" s="45"/>
      <c r="J3105" s="45"/>
      <c r="K3105" s="45"/>
      <c r="L3105" s="45"/>
      <c r="M3105" s="45"/>
      <c r="N3105" s="45"/>
      <c r="O3105" s="45"/>
      <c r="P3105" s="45"/>
      <c r="Q3105" s="45"/>
      <c r="R3105" s="45"/>
      <c r="S3105" s="45"/>
      <c r="T3105" s="45"/>
      <c r="U3105" s="45"/>
    </row>
    <row r="3106">
      <c r="A3106" s="79" t="s">
        <v>21317</v>
      </c>
      <c r="B3106" s="45"/>
      <c r="C3106" s="79" t="s">
        <v>21318</v>
      </c>
      <c r="D3106" s="45"/>
      <c r="E3106" s="79" t="s">
        <v>5253</v>
      </c>
      <c r="F3106" s="79" t="s">
        <v>5300</v>
      </c>
      <c r="G3106" s="80" t="s">
        <v>96</v>
      </c>
      <c r="H3106" s="90">
        <v>6.72E-5</v>
      </c>
      <c r="I3106" s="45"/>
      <c r="J3106" s="45"/>
      <c r="K3106" s="45"/>
      <c r="L3106" s="45"/>
      <c r="M3106" s="45"/>
      <c r="N3106" s="45"/>
      <c r="O3106" s="45"/>
      <c r="P3106" s="45"/>
      <c r="Q3106" s="45"/>
      <c r="R3106" s="45"/>
      <c r="S3106" s="45"/>
      <c r="T3106" s="45"/>
      <c r="U3106" s="45"/>
    </row>
    <row r="3107">
      <c r="A3107" s="79" t="s">
        <v>21319</v>
      </c>
      <c r="B3107" s="45"/>
      <c r="C3107" s="79" t="s">
        <v>21320</v>
      </c>
      <c r="D3107" s="45"/>
      <c r="E3107" s="79" t="s">
        <v>7169</v>
      </c>
      <c r="F3107" s="79" t="s">
        <v>5300</v>
      </c>
      <c r="G3107" s="80" t="s">
        <v>96</v>
      </c>
      <c r="H3107" s="90">
        <v>6.71E-5</v>
      </c>
      <c r="I3107" s="45"/>
      <c r="J3107" s="45"/>
      <c r="K3107" s="45"/>
      <c r="L3107" s="45"/>
      <c r="M3107" s="45"/>
      <c r="N3107" s="45"/>
      <c r="O3107" s="45"/>
      <c r="P3107" s="45"/>
      <c r="Q3107" s="45"/>
      <c r="R3107" s="45"/>
      <c r="S3107" s="45"/>
      <c r="T3107" s="45"/>
      <c r="U3107" s="45"/>
    </row>
    <row r="3108">
      <c r="A3108" s="79" t="s">
        <v>21321</v>
      </c>
      <c r="B3108" s="45"/>
      <c r="C3108" s="79" t="s">
        <v>21322</v>
      </c>
      <c r="D3108" s="45"/>
      <c r="E3108" s="79" t="s">
        <v>5450</v>
      </c>
      <c r="F3108" s="79" t="s">
        <v>5300</v>
      </c>
      <c r="G3108" s="80" t="s">
        <v>96</v>
      </c>
      <c r="H3108" s="90">
        <v>6.71E-5</v>
      </c>
      <c r="I3108" s="45"/>
      <c r="J3108" s="45"/>
      <c r="K3108" s="45"/>
      <c r="L3108" s="45"/>
      <c r="M3108" s="45"/>
      <c r="N3108" s="45"/>
      <c r="O3108" s="45"/>
      <c r="P3108" s="45"/>
      <c r="Q3108" s="45"/>
      <c r="R3108" s="45"/>
      <c r="S3108" s="45"/>
      <c r="T3108" s="45"/>
      <c r="U3108" s="45"/>
    </row>
    <row r="3109">
      <c r="A3109" s="79" t="s">
        <v>21323</v>
      </c>
      <c r="B3109" s="45"/>
      <c r="C3109" s="79" t="s">
        <v>21324</v>
      </c>
      <c r="D3109" s="45"/>
      <c r="E3109" s="79" t="s">
        <v>5404</v>
      </c>
      <c r="F3109" s="79" t="s">
        <v>4095</v>
      </c>
      <c r="G3109" s="80" t="s">
        <v>96</v>
      </c>
      <c r="H3109" s="90">
        <v>6.7E-5</v>
      </c>
      <c r="I3109" s="45"/>
      <c r="J3109" s="45"/>
      <c r="K3109" s="45"/>
      <c r="L3109" s="45"/>
      <c r="M3109" s="45"/>
      <c r="N3109" s="45"/>
      <c r="O3109" s="45"/>
      <c r="P3109" s="45"/>
      <c r="Q3109" s="45"/>
      <c r="R3109" s="45"/>
      <c r="S3109" s="45"/>
      <c r="T3109" s="45"/>
      <c r="U3109" s="45"/>
    </row>
    <row r="3110">
      <c r="A3110" s="79" t="s">
        <v>21325</v>
      </c>
      <c r="B3110" s="45"/>
      <c r="C3110" s="79" t="s">
        <v>21326</v>
      </c>
      <c r="D3110" s="45"/>
      <c r="E3110" s="79" t="s">
        <v>5467</v>
      </c>
      <c r="F3110" s="79" t="s">
        <v>5300</v>
      </c>
      <c r="G3110" s="80" t="s">
        <v>96</v>
      </c>
      <c r="H3110" s="90">
        <v>6.7E-5</v>
      </c>
      <c r="I3110" s="45"/>
      <c r="J3110" s="45"/>
      <c r="K3110" s="45"/>
      <c r="L3110" s="45"/>
      <c r="M3110" s="45"/>
      <c r="N3110" s="45"/>
      <c r="O3110" s="45"/>
      <c r="P3110" s="45"/>
      <c r="Q3110" s="45"/>
      <c r="R3110" s="45"/>
      <c r="S3110" s="45"/>
      <c r="T3110" s="45"/>
      <c r="U3110" s="45"/>
    </row>
    <row r="3111">
      <c r="A3111" s="79" t="s">
        <v>21327</v>
      </c>
      <c r="B3111" s="45"/>
      <c r="C3111" s="79" t="s">
        <v>21328</v>
      </c>
      <c r="D3111" s="45"/>
      <c r="E3111" s="79" t="s">
        <v>5341</v>
      </c>
      <c r="F3111" s="79" t="s">
        <v>5836</v>
      </c>
      <c r="G3111" s="80" t="s">
        <v>96</v>
      </c>
      <c r="H3111" s="90">
        <v>6.7E-5</v>
      </c>
      <c r="I3111" s="45"/>
      <c r="J3111" s="45"/>
      <c r="K3111" s="45"/>
      <c r="L3111" s="45"/>
      <c r="M3111" s="45"/>
      <c r="N3111" s="45"/>
      <c r="O3111" s="45"/>
      <c r="P3111" s="45"/>
      <c r="Q3111" s="45"/>
      <c r="R3111" s="45"/>
      <c r="S3111" s="45"/>
      <c r="T3111" s="45"/>
      <c r="U3111" s="45"/>
    </row>
    <row r="3112">
      <c r="A3112" s="79" t="s">
        <v>21329</v>
      </c>
      <c r="B3112" s="45"/>
      <c r="C3112" s="79" t="s">
        <v>21330</v>
      </c>
      <c r="D3112" s="45"/>
      <c r="E3112" s="79" t="s">
        <v>5374</v>
      </c>
      <c r="F3112" s="79" t="s">
        <v>5300</v>
      </c>
      <c r="G3112" s="80" t="s">
        <v>96</v>
      </c>
      <c r="H3112" s="90">
        <v>6.69E-5</v>
      </c>
      <c r="I3112" s="45"/>
      <c r="J3112" s="45"/>
      <c r="K3112" s="45"/>
      <c r="L3112" s="45"/>
      <c r="M3112" s="45"/>
      <c r="N3112" s="45"/>
      <c r="O3112" s="45"/>
      <c r="P3112" s="45"/>
      <c r="Q3112" s="45"/>
      <c r="R3112" s="45"/>
      <c r="S3112" s="45"/>
      <c r="T3112" s="45"/>
      <c r="U3112" s="45"/>
    </row>
    <row r="3113">
      <c r="A3113" s="79" t="s">
        <v>21331</v>
      </c>
      <c r="B3113" s="45"/>
      <c r="C3113" s="79" t="s">
        <v>21332</v>
      </c>
      <c r="D3113" s="45"/>
      <c r="E3113" s="79" t="s">
        <v>5326</v>
      </c>
      <c r="F3113" s="79" t="s">
        <v>8784</v>
      </c>
      <c r="G3113" s="80" t="s">
        <v>96</v>
      </c>
      <c r="H3113" s="90">
        <v>6.69E-5</v>
      </c>
      <c r="I3113" s="45"/>
      <c r="J3113" s="45"/>
      <c r="K3113" s="45"/>
      <c r="L3113" s="45"/>
      <c r="M3113" s="45"/>
      <c r="N3113" s="45"/>
      <c r="O3113" s="45"/>
      <c r="P3113" s="45"/>
      <c r="Q3113" s="45"/>
      <c r="R3113" s="45"/>
      <c r="S3113" s="45"/>
      <c r="T3113" s="45"/>
      <c r="U3113" s="45"/>
    </row>
    <row r="3114">
      <c r="A3114" s="79" t="s">
        <v>21333</v>
      </c>
      <c r="B3114" s="45"/>
      <c r="C3114" s="79" t="s">
        <v>21334</v>
      </c>
      <c r="D3114" s="45"/>
      <c r="E3114" s="79" t="s">
        <v>5374</v>
      </c>
      <c r="F3114" s="79" t="s">
        <v>8784</v>
      </c>
      <c r="G3114" s="80" t="s">
        <v>96</v>
      </c>
      <c r="H3114" s="90">
        <v>6.69E-5</v>
      </c>
      <c r="I3114" s="45"/>
      <c r="J3114" s="45"/>
      <c r="K3114" s="45"/>
      <c r="L3114" s="45"/>
      <c r="M3114" s="45"/>
      <c r="N3114" s="45"/>
      <c r="O3114" s="45"/>
      <c r="P3114" s="45"/>
      <c r="Q3114" s="45"/>
      <c r="R3114" s="45"/>
      <c r="S3114" s="45"/>
      <c r="T3114" s="45"/>
      <c r="U3114" s="45"/>
    </row>
    <row r="3115">
      <c r="A3115" s="79" t="s">
        <v>21335</v>
      </c>
      <c r="B3115" s="45"/>
      <c r="C3115" s="79" t="s">
        <v>21336</v>
      </c>
      <c r="D3115" s="45"/>
      <c r="E3115" s="79" t="s">
        <v>5218</v>
      </c>
      <c r="F3115" s="79" t="s">
        <v>8784</v>
      </c>
      <c r="G3115" s="80" t="s">
        <v>96</v>
      </c>
      <c r="H3115" s="90">
        <v>6.68E-5</v>
      </c>
      <c r="I3115" s="45"/>
      <c r="J3115" s="45"/>
      <c r="K3115" s="45"/>
      <c r="L3115" s="45"/>
      <c r="M3115" s="45"/>
      <c r="N3115" s="45"/>
      <c r="O3115" s="45"/>
      <c r="P3115" s="45"/>
      <c r="Q3115" s="45"/>
      <c r="R3115" s="45"/>
      <c r="S3115" s="45"/>
      <c r="T3115" s="45"/>
      <c r="U3115" s="45"/>
    </row>
    <row r="3116">
      <c r="A3116" s="79" t="s">
        <v>21337</v>
      </c>
      <c r="B3116" s="45"/>
      <c r="C3116" s="79" t="s">
        <v>21338</v>
      </c>
      <c r="D3116" s="45"/>
      <c r="E3116" s="79" t="s">
        <v>5609</v>
      </c>
      <c r="F3116" s="79" t="s">
        <v>5836</v>
      </c>
      <c r="G3116" s="80" t="s">
        <v>96</v>
      </c>
      <c r="H3116" s="90">
        <v>6.68E-5</v>
      </c>
      <c r="I3116" s="45"/>
      <c r="J3116" s="45"/>
      <c r="K3116" s="45"/>
      <c r="L3116" s="45"/>
      <c r="M3116" s="45"/>
      <c r="N3116" s="45"/>
      <c r="O3116" s="45"/>
      <c r="P3116" s="45"/>
      <c r="Q3116" s="45"/>
      <c r="R3116" s="45"/>
      <c r="S3116" s="45"/>
      <c r="T3116" s="45"/>
      <c r="U3116" s="45"/>
    </row>
    <row r="3117">
      <c r="A3117" s="79" t="s">
        <v>21339</v>
      </c>
      <c r="B3117" s="45"/>
      <c r="C3117" s="79" t="s">
        <v>21340</v>
      </c>
      <c r="D3117" s="45"/>
      <c r="E3117" s="79" t="s">
        <v>5390</v>
      </c>
      <c r="F3117" s="79" t="s">
        <v>8784</v>
      </c>
      <c r="G3117" s="80" t="s">
        <v>96</v>
      </c>
      <c r="H3117" s="90">
        <v>6.66E-5</v>
      </c>
      <c r="I3117" s="45"/>
      <c r="J3117" s="45"/>
      <c r="K3117" s="45"/>
      <c r="L3117" s="45"/>
      <c r="M3117" s="45"/>
      <c r="N3117" s="45"/>
      <c r="O3117" s="45"/>
      <c r="P3117" s="45"/>
      <c r="Q3117" s="45"/>
      <c r="R3117" s="45"/>
      <c r="S3117" s="45"/>
      <c r="T3117" s="45"/>
      <c r="U3117" s="45"/>
    </row>
    <row r="3118">
      <c r="A3118" s="79" t="s">
        <v>21341</v>
      </c>
      <c r="B3118" s="45"/>
      <c r="C3118" s="79" t="s">
        <v>21342</v>
      </c>
      <c r="D3118" s="45"/>
      <c r="E3118" s="79" t="s">
        <v>5715</v>
      </c>
      <c r="F3118" s="79" t="s">
        <v>5300</v>
      </c>
      <c r="G3118" s="80" t="s">
        <v>96</v>
      </c>
      <c r="H3118" s="90">
        <v>6.66E-5</v>
      </c>
      <c r="I3118" s="45"/>
      <c r="J3118" s="45"/>
      <c r="K3118" s="45"/>
      <c r="L3118" s="45"/>
      <c r="M3118" s="45"/>
      <c r="N3118" s="45"/>
      <c r="O3118" s="45"/>
      <c r="P3118" s="45"/>
      <c r="Q3118" s="45"/>
      <c r="R3118" s="45"/>
      <c r="S3118" s="45"/>
      <c r="T3118" s="45"/>
      <c r="U3118" s="45"/>
    </row>
    <row r="3119">
      <c r="A3119" s="79" t="s">
        <v>11488</v>
      </c>
      <c r="B3119" s="45"/>
      <c r="C3119" s="79" t="s">
        <v>21343</v>
      </c>
      <c r="D3119" s="45"/>
      <c r="E3119" s="79" t="s">
        <v>5715</v>
      </c>
      <c r="F3119" s="79" t="s">
        <v>5300</v>
      </c>
      <c r="G3119" s="80" t="s">
        <v>96</v>
      </c>
      <c r="H3119" s="90">
        <v>6.65E-5</v>
      </c>
      <c r="I3119" s="45"/>
      <c r="J3119" s="45"/>
      <c r="K3119" s="45"/>
      <c r="L3119" s="45"/>
      <c r="M3119" s="45"/>
      <c r="N3119" s="45"/>
      <c r="O3119" s="45"/>
      <c r="P3119" s="45"/>
      <c r="Q3119" s="45"/>
      <c r="R3119" s="45"/>
      <c r="S3119" s="45"/>
      <c r="T3119" s="45"/>
      <c r="U3119" s="45"/>
    </row>
    <row r="3120">
      <c r="A3120" s="79" t="s">
        <v>21344</v>
      </c>
      <c r="B3120" s="45"/>
      <c r="C3120" s="79" t="s">
        <v>21345</v>
      </c>
      <c r="D3120" s="45"/>
      <c r="E3120" s="79" t="s">
        <v>5453</v>
      </c>
      <c r="F3120" s="79" t="s">
        <v>9021</v>
      </c>
      <c r="G3120" s="80" t="s">
        <v>96</v>
      </c>
      <c r="H3120" s="90">
        <v>6.64E-5</v>
      </c>
      <c r="I3120" s="45"/>
      <c r="J3120" s="45"/>
      <c r="K3120" s="45"/>
      <c r="L3120" s="45"/>
      <c r="M3120" s="45"/>
      <c r="N3120" s="45"/>
      <c r="O3120" s="45"/>
      <c r="P3120" s="45"/>
      <c r="Q3120" s="45"/>
      <c r="R3120" s="45"/>
      <c r="S3120" s="45"/>
      <c r="T3120" s="45"/>
      <c r="U3120" s="45"/>
    </row>
    <row r="3121">
      <c r="A3121" s="79" t="s">
        <v>21346</v>
      </c>
      <c r="B3121" s="45"/>
      <c r="C3121" s="79" t="s">
        <v>21347</v>
      </c>
      <c r="D3121" s="45"/>
      <c r="E3121" s="79" t="s">
        <v>5215</v>
      </c>
      <c r="F3121" s="79" t="s">
        <v>5300</v>
      </c>
      <c r="G3121" s="80" t="s">
        <v>96</v>
      </c>
      <c r="H3121" s="90">
        <v>6.64E-5</v>
      </c>
      <c r="I3121" s="45"/>
      <c r="J3121" s="45"/>
      <c r="K3121" s="45"/>
      <c r="L3121" s="45"/>
      <c r="M3121" s="45"/>
      <c r="N3121" s="45"/>
      <c r="O3121" s="45"/>
      <c r="P3121" s="45"/>
      <c r="Q3121" s="45"/>
      <c r="R3121" s="45"/>
      <c r="S3121" s="45"/>
      <c r="T3121" s="45"/>
      <c r="U3121" s="45"/>
    </row>
    <row r="3122">
      <c r="A3122" s="79" t="s">
        <v>21348</v>
      </c>
      <c r="B3122" s="45"/>
      <c r="C3122" s="79" t="s">
        <v>21349</v>
      </c>
      <c r="D3122" s="45"/>
      <c r="E3122" s="79" t="s">
        <v>5516</v>
      </c>
      <c r="F3122" s="79" t="s">
        <v>5329</v>
      </c>
      <c r="G3122" s="80" t="s">
        <v>96</v>
      </c>
      <c r="H3122" s="90">
        <v>6.64E-5</v>
      </c>
      <c r="I3122" s="45"/>
      <c r="J3122" s="45"/>
      <c r="K3122" s="45"/>
      <c r="L3122" s="45"/>
      <c r="M3122" s="45"/>
      <c r="N3122" s="45"/>
      <c r="O3122" s="45"/>
      <c r="P3122" s="45"/>
      <c r="Q3122" s="45"/>
      <c r="R3122" s="45"/>
      <c r="S3122" s="45"/>
      <c r="T3122" s="45"/>
      <c r="U3122" s="45"/>
    </row>
    <row r="3123">
      <c r="A3123" s="79" t="s">
        <v>21350</v>
      </c>
      <c r="B3123" s="45"/>
      <c r="C3123" s="79" t="s">
        <v>21351</v>
      </c>
      <c r="D3123" s="45"/>
      <c r="E3123" s="79" t="s">
        <v>5404</v>
      </c>
      <c r="F3123" s="79" t="s">
        <v>5300</v>
      </c>
      <c r="G3123" s="80" t="s">
        <v>96</v>
      </c>
      <c r="H3123" s="90">
        <v>6.63E-5</v>
      </c>
      <c r="I3123" s="45"/>
      <c r="J3123" s="45"/>
      <c r="K3123" s="45"/>
      <c r="L3123" s="45"/>
      <c r="M3123" s="45"/>
      <c r="N3123" s="45"/>
      <c r="O3123" s="45"/>
      <c r="P3123" s="45"/>
      <c r="Q3123" s="45"/>
      <c r="R3123" s="45"/>
      <c r="S3123" s="45"/>
      <c r="T3123" s="45"/>
      <c r="U3123" s="45"/>
    </row>
    <row r="3124">
      <c r="A3124" s="79" t="s">
        <v>21352</v>
      </c>
      <c r="B3124" s="45"/>
      <c r="C3124" s="79" t="s">
        <v>21353</v>
      </c>
      <c r="D3124" s="45"/>
      <c r="E3124" s="79" t="s">
        <v>5395</v>
      </c>
      <c r="F3124" s="79" t="s">
        <v>8784</v>
      </c>
      <c r="G3124" s="80" t="s">
        <v>96</v>
      </c>
      <c r="H3124" s="90">
        <v>6.63E-5</v>
      </c>
      <c r="I3124" s="45"/>
      <c r="J3124" s="45"/>
      <c r="K3124" s="45"/>
      <c r="L3124" s="45"/>
      <c r="M3124" s="45"/>
      <c r="N3124" s="45"/>
      <c r="O3124" s="45"/>
      <c r="P3124" s="45"/>
      <c r="Q3124" s="45"/>
      <c r="R3124" s="45"/>
      <c r="S3124" s="45"/>
      <c r="T3124" s="45"/>
      <c r="U3124" s="45"/>
    </row>
    <row r="3125">
      <c r="A3125" s="79" t="s">
        <v>21354</v>
      </c>
      <c r="B3125" s="45"/>
      <c r="C3125" s="79" t="s">
        <v>21355</v>
      </c>
      <c r="D3125" s="45"/>
      <c r="E3125" s="79" t="s">
        <v>5407</v>
      </c>
      <c r="F3125" s="79" t="s">
        <v>9513</v>
      </c>
      <c r="G3125" s="80" t="s">
        <v>96</v>
      </c>
      <c r="H3125" s="90">
        <v>6.62E-5</v>
      </c>
      <c r="I3125" s="45"/>
      <c r="J3125" s="45"/>
      <c r="K3125" s="45"/>
      <c r="L3125" s="45"/>
      <c r="M3125" s="45"/>
      <c r="N3125" s="45"/>
      <c r="O3125" s="45"/>
      <c r="P3125" s="45"/>
      <c r="Q3125" s="45"/>
      <c r="R3125" s="45"/>
      <c r="S3125" s="45"/>
      <c r="T3125" s="45"/>
      <c r="U3125" s="45"/>
    </row>
    <row r="3126">
      <c r="A3126" s="79" t="s">
        <v>11138</v>
      </c>
      <c r="B3126" s="45"/>
      <c r="C3126" s="79" t="s">
        <v>11139</v>
      </c>
      <c r="D3126" s="45"/>
      <c r="E3126" s="79" t="s">
        <v>6172</v>
      </c>
      <c r="F3126" s="79" t="s">
        <v>5941</v>
      </c>
      <c r="G3126" s="80" t="s">
        <v>96</v>
      </c>
      <c r="H3126" s="90">
        <v>6.61E-5</v>
      </c>
      <c r="I3126" s="45"/>
      <c r="J3126" s="45"/>
      <c r="K3126" s="45"/>
      <c r="L3126" s="45"/>
      <c r="M3126" s="45"/>
      <c r="N3126" s="45"/>
      <c r="O3126" s="45"/>
      <c r="P3126" s="45"/>
      <c r="Q3126" s="45"/>
      <c r="R3126" s="45"/>
      <c r="S3126" s="45"/>
      <c r="T3126" s="45"/>
      <c r="U3126" s="45"/>
    </row>
    <row r="3127">
      <c r="A3127" s="79" t="s">
        <v>21356</v>
      </c>
      <c r="B3127" s="45"/>
      <c r="C3127" s="79" t="s">
        <v>21357</v>
      </c>
      <c r="D3127" s="45"/>
      <c r="E3127" s="79" t="s">
        <v>5775</v>
      </c>
      <c r="F3127" s="79" t="s">
        <v>5300</v>
      </c>
      <c r="G3127" s="80" t="s">
        <v>96</v>
      </c>
      <c r="H3127" s="90">
        <v>6.61E-5</v>
      </c>
      <c r="I3127" s="45"/>
      <c r="J3127" s="45"/>
      <c r="K3127" s="45"/>
      <c r="L3127" s="45"/>
      <c r="M3127" s="45"/>
      <c r="N3127" s="45"/>
      <c r="O3127" s="45"/>
      <c r="P3127" s="45"/>
      <c r="Q3127" s="45"/>
      <c r="R3127" s="45"/>
      <c r="S3127" s="45"/>
      <c r="T3127" s="45"/>
      <c r="U3127" s="45"/>
    </row>
    <row r="3128">
      <c r="A3128" s="79" t="s">
        <v>21358</v>
      </c>
      <c r="B3128" s="45"/>
      <c r="C3128" s="79" t="s">
        <v>21359</v>
      </c>
      <c r="D3128" s="45"/>
      <c r="E3128" s="79" t="s">
        <v>5561</v>
      </c>
      <c r="F3128" s="79" t="s">
        <v>6210</v>
      </c>
      <c r="G3128" s="80" t="s">
        <v>96</v>
      </c>
      <c r="H3128" s="90">
        <v>6.6E-5</v>
      </c>
      <c r="I3128" s="45"/>
      <c r="J3128" s="45"/>
      <c r="K3128" s="45"/>
      <c r="L3128" s="45"/>
      <c r="M3128" s="45"/>
      <c r="N3128" s="45"/>
      <c r="O3128" s="45"/>
      <c r="P3128" s="45"/>
      <c r="Q3128" s="45"/>
      <c r="R3128" s="45"/>
      <c r="S3128" s="45"/>
      <c r="T3128" s="45"/>
      <c r="U3128" s="45"/>
    </row>
    <row r="3129">
      <c r="A3129" s="79" t="s">
        <v>21360</v>
      </c>
      <c r="B3129" s="45"/>
      <c r="C3129" s="79" t="s">
        <v>21361</v>
      </c>
      <c r="D3129" s="45"/>
      <c r="E3129" s="79" t="s">
        <v>5311</v>
      </c>
      <c r="F3129" s="79" t="s">
        <v>5300</v>
      </c>
      <c r="G3129" s="80" t="s">
        <v>96</v>
      </c>
      <c r="H3129" s="90">
        <v>6.6E-5</v>
      </c>
      <c r="I3129" s="45"/>
      <c r="J3129" s="45"/>
      <c r="K3129" s="45"/>
      <c r="L3129" s="45"/>
      <c r="M3129" s="45"/>
      <c r="N3129" s="45"/>
      <c r="O3129" s="45"/>
      <c r="P3129" s="45"/>
      <c r="Q3129" s="45"/>
      <c r="R3129" s="45"/>
      <c r="S3129" s="45"/>
      <c r="T3129" s="45"/>
      <c r="U3129" s="45"/>
    </row>
    <row r="3130">
      <c r="A3130" s="79" t="s">
        <v>21362</v>
      </c>
      <c r="B3130" s="45"/>
      <c r="C3130" s="79" t="s">
        <v>21363</v>
      </c>
      <c r="D3130" s="45"/>
      <c r="E3130" s="79" t="s">
        <v>5395</v>
      </c>
      <c r="F3130" s="79" t="s">
        <v>5300</v>
      </c>
      <c r="G3130" s="80" t="s">
        <v>96</v>
      </c>
      <c r="H3130" s="90">
        <v>6.6E-5</v>
      </c>
      <c r="I3130" s="45"/>
      <c r="J3130" s="45"/>
      <c r="K3130" s="45"/>
      <c r="L3130" s="45"/>
      <c r="M3130" s="45"/>
      <c r="N3130" s="45"/>
      <c r="O3130" s="45"/>
      <c r="P3130" s="45"/>
      <c r="Q3130" s="45"/>
      <c r="R3130" s="45"/>
      <c r="S3130" s="45"/>
      <c r="T3130" s="45"/>
      <c r="U3130" s="45"/>
    </row>
    <row r="3131">
      <c r="A3131" s="79" t="s">
        <v>21364</v>
      </c>
      <c r="B3131" s="45"/>
      <c r="C3131" s="79" t="s">
        <v>21365</v>
      </c>
      <c r="D3131" s="45"/>
      <c r="E3131" s="79" t="s">
        <v>5215</v>
      </c>
      <c r="F3131" s="79" t="s">
        <v>5300</v>
      </c>
      <c r="G3131" s="80" t="s">
        <v>96</v>
      </c>
      <c r="H3131" s="90">
        <v>6.6E-5</v>
      </c>
      <c r="I3131" s="45"/>
      <c r="J3131" s="45"/>
      <c r="K3131" s="45"/>
      <c r="L3131" s="45"/>
      <c r="M3131" s="45"/>
      <c r="N3131" s="45"/>
      <c r="O3131" s="45"/>
      <c r="P3131" s="45"/>
      <c r="Q3131" s="45"/>
      <c r="R3131" s="45"/>
      <c r="S3131" s="45"/>
      <c r="T3131" s="45"/>
      <c r="U3131" s="45"/>
    </row>
    <row r="3132">
      <c r="A3132" s="79" t="s">
        <v>10038</v>
      </c>
      <c r="B3132" s="45"/>
      <c r="C3132" s="79" t="s">
        <v>21366</v>
      </c>
      <c r="D3132" s="45"/>
      <c r="E3132" s="79" t="s">
        <v>5675</v>
      </c>
      <c r="F3132" s="79" t="s">
        <v>5300</v>
      </c>
      <c r="G3132" s="80" t="s">
        <v>96</v>
      </c>
      <c r="H3132" s="90">
        <v>6.6E-5</v>
      </c>
      <c r="I3132" s="45"/>
      <c r="J3132" s="45"/>
      <c r="K3132" s="45"/>
      <c r="L3132" s="45"/>
      <c r="M3132" s="45"/>
      <c r="N3132" s="45"/>
      <c r="O3132" s="45"/>
      <c r="P3132" s="45"/>
      <c r="Q3132" s="45"/>
      <c r="R3132" s="45"/>
      <c r="S3132" s="45"/>
      <c r="T3132" s="45"/>
      <c r="U3132" s="45"/>
    </row>
    <row r="3133">
      <c r="A3133" s="79" t="s">
        <v>21367</v>
      </c>
      <c r="B3133" s="45"/>
      <c r="C3133" s="79" t="s">
        <v>21368</v>
      </c>
      <c r="D3133" s="45"/>
      <c r="E3133" s="79" t="s">
        <v>5226</v>
      </c>
      <c r="F3133" s="79" t="s">
        <v>5300</v>
      </c>
      <c r="G3133" s="80" t="s">
        <v>96</v>
      </c>
      <c r="H3133" s="90">
        <v>6.59E-5</v>
      </c>
      <c r="I3133" s="45"/>
      <c r="J3133" s="45"/>
      <c r="K3133" s="45"/>
      <c r="L3133" s="45"/>
      <c r="M3133" s="45"/>
      <c r="N3133" s="45"/>
      <c r="O3133" s="45"/>
      <c r="P3133" s="45"/>
      <c r="Q3133" s="45"/>
      <c r="R3133" s="45"/>
      <c r="S3133" s="45"/>
      <c r="T3133" s="45"/>
      <c r="U3133" s="45"/>
    </row>
    <row r="3134">
      <c r="A3134" s="79" t="s">
        <v>21369</v>
      </c>
      <c r="B3134" s="45"/>
      <c r="C3134" s="79" t="s">
        <v>21370</v>
      </c>
      <c r="D3134" s="45"/>
      <c r="E3134" s="79" t="s">
        <v>5434</v>
      </c>
      <c r="F3134" s="79" t="s">
        <v>8784</v>
      </c>
      <c r="G3134" s="80" t="s">
        <v>96</v>
      </c>
      <c r="H3134" s="90">
        <v>6.59E-5</v>
      </c>
      <c r="I3134" s="45"/>
      <c r="J3134" s="45"/>
      <c r="K3134" s="45"/>
      <c r="L3134" s="45"/>
      <c r="M3134" s="45"/>
      <c r="N3134" s="45"/>
      <c r="O3134" s="45"/>
      <c r="P3134" s="45"/>
      <c r="Q3134" s="45"/>
      <c r="R3134" s="45"/>
      <c r="S3134" s="45"/>
      <c r="T3134" s="45"/>
      <c r="U3134" s="45"/>
    </row>
    <row r="3135">
      <c r="A3135" s="79" t="s">
        <v>21371</v>
      </c>
      <c r="B3135" s="45"/>
      <c r="C3135" s="79" t="s">
        <v>21372</v>
      </c>
      <c r="D3135" s="45"/>
      <c r="E3135" s="79" t="s">
        <v>5735</v>
      </c>
      <c r="F3135" s="79" t="s">
        <v>8784</v>
      </c>
      <c r="G3135" s="80" t="s">
        <v>96</v>
      </c>
      <c r="H3135" s="90">
        <v>6.59E-5</v>
      </c>
      <c r="I3135" s="45"/>
      <c r="J3135" s="45"/>
      <c r="K3135" s="45"/>
      <c r="L3135" s="45"/>
      <c r="M3135" s="45"/>
      <c r="N3135" s="45"/>
      <c r="O3135" s="45"/>
      <c r="P3135" s="45"/>
      <c r="Q3135" s="45"/>
      <c r="R3135" s="45"/>
      <c r="S3135" s="45"/>
      <c r="T3135" s="45"/>
      <c r="U3135" s="45"/>
    </row>
    <row r="3136">
      <c r="A3136" s="79" t="s">
        <v>21373</v>
      </c>
      <c r="B3136" s="45"/>
      <c r="C3136" s="79" t="s">
        <v>21374</v>
      </c>
      <c r="D3136" s="45"/>
      <c r="E3136" s="79" t="s">
        <v>5280</v>
      </c>
      <c r="F3136" s="79" t="s">
        <v>5300</v>
      </c>
      <c r="G3136" s="80" t="s">
        <v>96</v>
      </c>
      <c r="H3136" s="90">
        <v>6.59E-5</v>
      </c>
      <c r="I3136" s="45"/>
      <c r="J3136" s="45"/>
      <c r="K3136" s="45"/>
      <c r="L3136" s="45"/>
      <c r="M3136" s="45"/>
      <c r="N3136" s="45"/>
      <c r="O3136" s="45"/>
      <c r="P3136" s="45"/>
      <c r="Q3136" s="45"/>
      <c r="R3136" s="45"/>
      <c r="S3136" s="45"/>
      <c r="T3136" s="45"/>
      <c r="U3136" s="45"/>
    </row>
    <row r="3137">
      <c r="A3137" s="79" t="s">
        <v>21375</v>
      </c>
      <c r="B3137" s="45"/>
      <c r="C3137" s="79" t="s">
        <v>21376</v>
      </c>
      <c r="D3137" s="45"/>
      <c r="E3137" s="79" t="s">
        <v>5478</v>
      </c>
      <c r="F3137" s="79" t="s">
        <v>6988</v>
      </c>
      <c r="G3137" s="80" t="s">
        <v>96</v>
      </c>
      <c r="H3137" s="90">
        <v>6.58E-5</v>
      </c>
      <c r="I3137" s="45"/>
      <c r="J3137" s="45"/>
      <c r="K3137" s="45"/>
      <c r="L3137" s="45"/>
      <c r="M3137" s="45"/>
      <c r="N3137" s="45"/>
      <c r="O3137" s="45"/>
      <c r="P3137" s="45"/>
      <c r="Q3137" s="45"/>
      <c r="R3137" s="45"/>
      <c r="S3137" s="45"/>
      <c r="T3137" s="45"/>
      <c r="U3137" s="45"/>
    </row>
    <row r="3138">
      <c r="A3138" s="79" t="s">
        <v>21377</v>
      </c>
      <c r="B3138" s="45"/>
      <c r="C3138" s="79" t="s">
        <v>21378</v>
      </c>
      <c r="D3138" s="45"/>
      <c r="E3138" s="79" t="s">
        <v>5226</v>
      </c>
      <c r="F3138" s="79" t="s">
        <v>5300</v>
      </c>
      <c r="G3138" s="80" t="s">
        <v>96</v>
      </c>
      <c r="H3138" s="90">
        <v>6.58E-5</v>
      </c>
      <c r="I3138" s="45"/>
      <c r="J3138" s="45"/>
      <c r="K3138" s="45"/>
      <c r="L3138" s="45"/>
      <c r="M3138" s="45"/>
      <c r="N3138" s="45"/>
      <c r="O3138" s="45"/>
      <c r="P3138" s="45"/>
      <c r="Q3138" s="45"/>
      <c r="R3138" s="45"/>
      <c r="S3138" s="45"/>
      <c r="T3138" s="45"/>
      <c r="U3138" s="45"/>
    </row>
    <row r="3139">
      <c r="A3139" s="79" t="s">
        <v>21379</v>
      </c>
      <c r="B3139" s="45"/>
      <c r="C3139" s="79" t="s">
        <v>21380</v>
      </c>
      <c r="D3139" s="45"/>
      <c r="E3139" s="79" t="s">
        <v>5232</v>
      </c>
      <c r="F3139" s="79" t="s">
        <v>8784</v>
      </c>
      <c r="G3139" s="80" t="s">
        <v>96</v>
      </c>
      <c r="H3139" s="90">
        <v>6.58E-5</v>
      </c>
      <c r="I3139" s="45"/>
      <c r="J3139" s="45"/>
      <c r="K3139" s="45"/>
      <c r="L3139" s="45"/>
      <c r="M3139" s="45"/>
      <c r="N3139" s="45"/>
      <c r="O3139" s="45"/>
      <c r="P3139" s="45"/>
      <c r="Q3139" s="45"/>
      <c r="R3139" s="45"/>
      <c r="S3139" s="45"/>
      <c r="T3139" s="45"/>
      <c r="U3139" s="45"/>
    </row>
    <row r="3140">
      <c r="A3140" s="79" t="s">
        <v>21381</v>
      </c>
      <c r="B3140" s="45"/>
      <c r="C3140" s="79" t="s">
        <v>21382</v>
      </c>
      <c r="D3140" s="45"/>
      <c r="E3140" s="79" t="s">
        <v>5291</v>
      </c>
      <c r="F3140" s="79" t="s">
        <v>5300</v>
      </c>
      <c r="G3140" s="80" t="s">
        <v>96</v>
      </c>
      <c r="H3140" s="90">
        <v>6.57E-5</v>
      </c>
      <c r="I3140" s="45"/>
      <c r="J3140" s="45"/>
      <c r="K3140" s="45"/>
      <c r="L3140" s="45"/>
      <c r="M3140" s="45"/>
      <c r="N3140" s="45"/>
      <c r="O3140" s="45"/>
      <c r="P3140" s="45"/>
      <c r="Q3140" s="45"/>
      <c r="R3140" s="45"/>
      <c r="S3140" s="45"/>
      <c r="T3140" s="45"/>
      <c r="U3140" s="45"/>
    </row>
    <row r="3141">
      <c r="A3141" s="79" t="s">
        <v>21383</v>
      </c>
      <c r="B3141" s="45"/>
      <c r="C3141" s="79" t="s">
        <v>21384</v>
      </c>
      <c r="D3141" s="45"/>
      <c r="E3141" s="79" t="s">
        <v>5561</v>
      </c>
      <c r="F3141" s="79" t="s">
        <v>5300</v>
      </c>
      <c r="G3141" s="80" t="s">
        <v>96</v>
      </c>
      <c r="H3141" s="90">
        <v>6.57E-5</v>
      </c>
      <c r="I3141" s="45"/>
      <c r="J3141" s="45"/>
      <c r="K3141" s="45"/>
      <c r="L3141" s="45"/>
      <c r="M3141" s="45"/>
      <c r="N3141" s="45"/>
      <c r="O3141" s="45"/>
      <c r="P3141" s="45"/>
      <c r="Q3141" s="45"/>
      <c r="R3141" s="45"/>
      <c r="S3141" s="45"/>
      <c r="T3141" s="45"/>
      <c r="U3141" s="45"/>
    </row>
    <row r="3142">
      <c r="A3142" s="79" t="s">
        <v>21385</v>
      </c>
      <c r="B3142" s="45"/>
      <c r="C3142" s="79" t="s">
        <v>21386</v>
      </c>
      <c r="D3142" s="45"/>
      <c r="E3142" s="79" t="s">
        <v>5241</v>
      </c>
      <c r="F3142" s="79" t="s">
        <v>9299</v>
      </c>
      <c r="G3142" s="80" t="s">
        <v>96</v>
      </c>
      <c r="H3142" s="90">
        <v>6.56E-5</v>
      </c>
      <c r="I3142" s="45"/>
      <c r="J3142" s="45"/>
      <c r="K3142" s="45"/>
      <c r="L3142" s="45"/>
      <c r="M3142" s="45"/>
      <c r="N3142" s="45"/>
      <c r="O3142" s="45"/>
      <c r="P3142" s="45"/>
      <c r="Q3142" s="45"/>
      <c r="R3142" s="45"/>
      <c r="S3142" s="45"/>
      <c r="T3142" s="45"/>
      <c r="U3142" s="45"/>
    </row>
    <row r="3143">
      <c r="A3143" s="79" t="s">
        <v>21387</v>
      </c>
      <c r="B3143" s="45"/>
      <c r="C3143" s="79" t="s">
        <v>21388</v>
      </c>
      <c r="D3143" s="45"/>
      <c r="E3143" s="79" t="s">
        <v>9553</v>
      </c>
      <c r="F3143" s="79" t="s">
        <v>5941</v>
      </c>
      <c r="G3143" s="80" t="s">
        <v>96</v>
      </c>
      <c r="H3143" s="90">
        <v>6.55E-5</v>
      </c>
      <c r="I3143" s="45"/>
      <c r="J3143" s="45"/>
      <c r="K3143" s="45"/>
      <c r="L3143" s="45"/>
      <c r="M3143" s="45"/>
      <c r="N3143" s="45"/>
      <c r="O3143" s="45"/>
      <c r="P3143" s="45"/>
      <c r="Q3143" s="45"/>
      <c r="R3143" s="45"/>
      <c r="S3143" s="45"/>
      <c r="T3143" s="45"/>
      <c r="U3143" s="45"/>
    </row>
    <row r="3144">
      <c r="A3144" s="79" t="s">
        <v>21389</v>
      </c>
      <c r="B3144" s="45"/>
      <c r="C3144" s="79" t="s">
        <v>21390</v>
      </c>
      <c r="D3144" s="45"/>
      <c r="E3144" s="79" t="s">
        <v>6266</v>
      </c>
      <c r="F3144" s="79" t="s">
        <v>9021</v>
      </c>
      <c r="G3144" s="80" t="s">
        <v>96</v>
      </c>
      <c r="H3144" s="90">
        <v>6.55E-5</v>
      </c>
      <c r="I3144" s="45"/>
      <c r="J3144" s="45"/>
      <c r="K3144" s="45"/>
      <c r="L3144" s="45"/>
      <c r="M3144" s="45"/>
      <c r="N3144" s="45"/>
      <c r="O3144" s="45"/>
      <c r="P3144" s="45"/>
      <c r="Q3144" s="45"/>
      <c r="R3144" s="45"/>
      <c r="S3144" s="45"/>
      <c r="T3144" s="45"/>
      <c r="U3144" s="45"/>
    </row>
    <row r="3145">
      <c r="A3145" s="79" t="s">
        <v>21391</v>
      </c>
      <c r="B3145" s="45"/>
      <c r="C3145" s="79" t="s">
        <v>21392</v>
      </c>
      <c r="D3145" s="45"/>
      <c r="E3145" s="79" t="s">
        <v>7471</v>
      </c>
      <c r="F3145" s="79" t="s">
        <v>5300</v>
      </c>
      <c r="G3145" s="80" t="s">
        <v>96</v>
      </c>
      <c r="H3145" s="90">
        <v>6.54E-5</v>
      </c>
      <c r="I3145" s="45"/>
      <c r="J3145" s="45"/>
      <c r="K3145" s="45"/>
      <c r="L3145" s="45"/>
      <c r="M3145" s="45"/>
      <c r="N3145" s="45"/>
      <c r="O3145" s="45"/>
      <c r="P3145" s="45"/>
      <c r="Q3145" s="45"/>
      <c r="R3145" s="45"/>
      <c r="S3145" s="45"/>
      <c r="T3145" s="45"/>
      <c r="U3145" s="45"/>
    </row>
    <row r="3146">
      <c r="A3146" s="79" t="s">
        <v>21393</v>
      </c>
      <c r="B3146" s="45"/>
      <c r="C3146" s="79" t="s">
        <v>21394</v>
      </c>
      <c r="D3146" s="45"/>
      <c r="E3146" s="79" t="s">
        <v>5246</v>
      </c>
      <c r="F3146" s="79" t="s">
        <v>6210</v>
      </c>
      <c r="G3146" s="80" t="s">
        <v>96</v>
      </c>
      <c r="H3146" s="90">
        <v>6.54E-5</v>
      </c>
      <c r="I3146" s="45"/>
      <c r="J3146" s="45"/>
      <c r="K3146" s="45"/>
      <c r="L3146" s="45"/>
      <c r="M3146" s="45"/>
      <c r="N3146" s="45"/>
      <c r="O3146" s="45"/>
      <c r="P3146" s="45"/>
      <c r="Q3146" s="45"/>
      <c r="R3146" s="45"/>
      <c r="S3146" s="45"/>
      <c r="T3146" s="45"/>
      <c r="U3146" s="45"/>
    </row>
    <row r="3147">
      <c r="A3147" s="79" t="s">
        <v>21395</v>
      </c>
      <c r="B3147" s="45"/>
      <c r="C3147" s="79" t="s">
        <v>21396</v>
      </c>
      <c r="D3147" s="45"/>
      <c r="E3147" s="79" t="s">
        <v>5650</v>
      </c>
      <c r="F3147" s="79" t="s">
        <v>5300</v>
      </c>
      <c r="G3147" s="80" t="s">
        <v>96</v>
      </c>
      <c r="H3147" s="90">
        <v>6.54E-5</v>
      </c>
      <c r="I3147" s="45"/>
      <c r="J3147" s="45"/>
      <c r="K3147" s="45"/>
      <c r="L3147" s="45"/>
      <c r="M3147" s="45"/>
      <c r="N3147" s="45"/>
      <c r="O3147" s="45"/>
      <c r="P3147" s="45"/>
      <c r="Q3147" s="45"/>
      <c r="R3147" s="45"/>
      <c r="S3147" s="45"/>
      <c r="T3147" s="45"/>
      <c r="U3147" s="45"/>
    </row>
    <row r="3148">
      <c r="A3148" s="79" t="s">
        <v>5839</v>
      </c>
      <c r="B3148" s="45"/>
      <c r="C3148" s="79" t="s">
        <v>21397</v>
      </c>
      <c r="D3148" s="45"/>
      <c r="E3148" s="79" t="s">
        <v>5478</v>
      </c>
      <c r="F3148" s="79" t="s">
        <v>5836</v>
      </c>
      <c r="G3148" s="80" t="s">
        <v>96</v>
      </c>
      <c r="H3148" s="90">
        <v>6.53E-5</v>
      </c>
      <c r="I3148" s="45"/>
      <c r="J3148" s="45"/>
      <c r="K3148" s="45"/>
      <c r="L3148" s="45"/>
      <c r="M3148" s="45"/>
      <c r="N3148" s="45"/>
      <c r="O3148" s="45"/>
      <c r="P3148" s="45"/>
      <c r="Q3148" s="45"/>
      <c r="R3148" s="45"/>
      <c r="S3148" s="45"/>
      <c r="T3148" s="45"/>
      <c r="U3148" s="45"/>
    </row>
    <row r="3149">
      <c r="A3149" s="79" t="s">
        <v>21398</v>
      </c>
      <c r="B3149" s="45"/>
      <c r="C3149" s="79" t="s">
        <v>21399</v>
      </c>
      <c r="D3149" s="45"/>
      <c r="E3149" s="79" t="s">
        <v>5450</v>
      </c>
      <c r="F3149" s="79" t="s">
        <v>5425</v>
      </c>
      <c r="G3149" s="80" t="s">
        <v>96</v>
      </c>
      <c r="H3149" s="90">
        <v>6.53E-5</v>
      </c>
      <c r="I3149" s="45"/>
      <c r="J3149" s="45"/>
      <c r="K3149" s="45"/>
      <c r="L3149" s="45"/>
      <c r="M3149" s="45"/>
      <c r="N3149" s="45"/>
      <c r="O3149" s="45"/>
      <c r="P3149" s="45"/>
      <c r="Q3149" s="45"/>
      <c r="R3149" s="45"/>
      <c r="S3149" s="45"/>
      <c r="T3149" s="45"/>
      <c r="U3149" s="45"/>
    </row>
    <row r="3150">
      <c r="A3150" s="79" t="s">
        <v>21400</v>
      </c>
      <c r="B3150" s="45"/>
      <c r="C3150" s="79" t="s">
        <v>21401</v>
      </c>
      <c r="D3150" s="45"/>
      <c r="E3150" s="79" t="s">
        <v>5578</v>
      </c>
      <c r="F3150" s="79" t="s">
        <v>5300</v>
      </c>
      <c r="G3150" s="80" t="s">
        <v>96</v>
      </c>
      <c r="H3150" s="90">
        <v>6.52E-5</v>
      </c>
      <c r="I3150" s="45"/>
      <c r="J3150" s="45"/>
      <c r="K3150" s="45"/>
      <c r="L3150" s="45"/>
      <c r="M3150" s="45"/>
      <c r="N3150" s="45"/>
      <c r="O3150" s="45"/>
      <c r="P3150" s="45"/>
      <c r="Q3150" s="45"/>
      <c r="R3150" s="45"/>
      <c r="S3150" s="45"/>
      <c r="T3150" s="45"/>
      <c r="U3150" s="45"/>
    </row>
    <row r="3151">
      <c r="A3151" s="79" t="s">
        <v>21402</v>
      </c>
      <c r="B3151" s="45"/>
      <c r="C3151" s="79" t="s">
        <v>21403</v>
      </c>
      <c r="D3151" s="45"/>
      <c r="E3151" s="79" t="s">
        <v>5215</v>
      </c>
      <c r="F3151" s="79" t="s">
        <v>5300</v>
      </c>
      <c r="G3151" s="80" t="s">
        <v>96</v>
      </c>
      <c r="H3151" s="90">
        <v>6.52E-5</v>
      </c>
      <c r="I3151" s="45"/>
      <c r="J3151" s="45"/>
      <c r="K3151" s="45"/>
      <c r="L3151" s="45"/>
      <c r="M3151" s="45"/>
      <c r="N3151" s="45"/>
      <c r="O3151" s="45"/>
      <c r="P3151" s="45"/>
      <c r="Q3151" s="45"/>
      <c r="R3151" s="45"/>
      <c r="S3151" s="45"/>
      <c r="T3151" s="45"/>
      <c r="U3151" s="45"/>
    </row>
    <row r="3152">
      <c r="A3152" s="79" t="s">
        <v>21404</v>
      </c>
      <c r="B3152" s="45"/>
      <c r="C3152" s="79" t="s">
        <v>21405</v>
      </c>
      <c r="D3152" s="45"/>
      <c r="E3152" s="79" t="s">
        <v>5374</v>
      </c>
      <c r="F3152" s="79" t="s">
        <v>8784</v>
      </c>
      <c r="G3152" s="80" t="s">
        <v>96</v>
      </c>
      <c r="H3152" s="90">
        <v>6.51E-5</v>
      </c>
      <c r="I3152" s="45"/>
      <c r="J3152" s="45"/>
      <c r="K3152" s="45"/>
      <c r="L3152" s="45"/>
      <c r="M3152" s="45"/>
      <c r="N3152" s="45"/>
      <c r="O3152" s="45"/>
      <c r="P3152" s="45"/>
      <c r="Q3152" s="45"/>
      <c r="R3152" s="45"/>
      <c r="S3152" s="45"/>
      <c r="T3152" s="45"/>
      <c r="U3152" s="45"/>
    </row>
    <row r="3153">
      <c r="A3153" s="79" t="s">
        <v>21406</v>
      </c>
      <c r="B3153" s="45"/>
      <c r="C3153" s="79" t="s">
        <v>21407</v>
      </c>
      <c r="D3153" s="45"/>
      <c r="E3153" s="79" t="s">
        <v>9937</v>
      </c>
      <c r="F3153" s="79" t="s">
        <v>5300</v>
      </c>
      <c r="G3153" s="80" t="s">
        <v>96</v>
      </c>
      <c r="H3153" s="90">
        <v>6.51E-5</v>
      </c>
      <c r="I3153" s="45"/>
      <c r="J3153" s="45"/>
      <c r="K3153" s="45"/>
      <c r="L3153" s="45"/>
      <c r="M3153" s="45"/>
      <c r="N3153" s="45"/>
      <c r="O3153" s="45"/>
      <c r="P3153" s="45"/>
      <c r="Q3153" s="45"/>
      <c r="R3153" s="45"/>
      <c r="S3153" s="45"/>
      <c r="T3153" s="45"/>
      <c r="U3153" s="45"/>
    </row>
    <row r="3154">
      <c r="A3154" s="79" t="s">
        <v>21408</v>
      </c>
      <c r="B3154" s="45"/>
      <c r="C3154" s="79" t="s">
        <v>21409</v>
      </c>
      <c r="D3154" s="45"/>
      <c r="E3154" s="79" t="s">
        <v>5478</v>
      </c>
      <c r="F3154" s="79" t="s">
        <v>5300</v>
      </c>
      <c r="G3154" s="80" t="s">
        <v>96</v>
      </c>
      <c r="H3154" s="90">
        <v>6.51E-5</v>
      </c>
      <c r="I3154" s="45"/>
      <c r="J3154" s="45"/>
      <c r="K3154" s="45"/>
      <c r="L3154" s="45"/>
      <c r="M3154" s="45"/>
      <c r="N3154" s="45"/>
      <c r="O3154" s="45"/>
      <c r="P3154" s="45"/>
      <c r="Q3154" s="45"/>
      <c r="R3154" s="45"/>
      <c r="S3154" s="45"/>
      <c r="T3154" s="45"/>
      <c r="U3154" s="45"/>
    </row>
    <row r="3155">
      <c r="A3155" s="79" t="s">
        <v>21410</v>
      </c>
      <c r="B3155" s="45"/>
      <c r="C3155" s="79" t="s">
        <v>21411</v>
      </c>
      <c r="D3155" s="45"/>
      <c r="E3155" s="79" t="s">
        <v>5390</v>
      </c>
      <c r="F3155" s="79" t="s">
        <v>5300</v>
      </c>
      <c r="G3155" s="80" t="s">
        <v>96</v>
      </c>
      <c r="H3155" s="90">
        <v>6.51E-5</v>
      </c>
      <c r="I3155" s="45"/>
      <c r="J3155" s="45"/>
      <c r="K3155" s="45"/>
      <c r="L3155" s="45"/>
      <c r="M3155" s="45"/>
      <c r="N3155" s="45"/>
      <c r="O3155" s="45"/>
      <c r="P3155" s="45"/>
      <c r="Q3155" s="45"/>
      <c r="R3155" s="45"/>
      <c r="S3155" s="45"/>
      <c r="T3155" s="45"/>
      <c r="U3155" s="45"/>
    </row>
    <row r="3156">
      <c r="A3156" s="79" t="s">
        <v>21412</v>
      </c>
      <c r="B3156" s="45"/>
      <c r="C3156" s="79" t="s">
        <v>21413</v>
      </c>
      <c r="D3156" s="45"/>
      <c r="E3156" s="79" t="s">
        <v>8648</v>
      </c>
      <c r="F3156" s="79" t="s">
        <v>9021</v>
      </c>
      <c r="G3156" s="80" t="s">
        <v>96</v>
      </c>
      <c r="H3156" s="90">
        <v>6.48E-5</v>
      </c>
      <c r="I3156" s="45"/>
      <c r="J3156" s="45"/>
      <c r="K3156" s="45"/>
      <c r="L3156" s="45"/>
      <c r="M3156" s="45"/>
      <c r="N3156" s="45"/>
      <c r="O3156" s="45"/>
      <c r="P3156" s="45"/>
      <c r="Q3156" s="45"/>
      <c r="R3156" s="45"/>
      <c r="S3156" s="45"/>
      <c r="T3156" s="45"/>
      <c r="U3156" s="45"/>
    </row>
    <row r="3157">
      <c r="A3157" s="79" t="s">
        <v>21414</v>
      </c>
      <c r="B3157" s="45"/>
      <c r="C3157" s="79" t="s">
        <v>21415</v>
      </c>
      <c r="D3157" s="45"/>
      <c r="E3157" s="79" t="s">
        <v>5407</v>
      </c>
      <c r="F3157" s="79" t="s">
        <v>8784</v>
      </c>
      <c r="G3157" s="80" t="s">
        <v>96</v>
      </c>
      <c r="H3157" s="90">
        <v>6.45E-5</v>
      </c>
      <c r="I3157" s="45"/>
      <c r="J3157" s="45"/>
      <c r="K3157" s="45"/>
      <c r="L3157" s="45"/>
      <c r="M3157" s="45"/>
      <c r="N3157" s="45"/>
      <c r="O3157" s="45"/>
      <c r="P3157" s="45"/>
      <c r="Q3157" s="45"/>
      <c r="R3157" s="45"/>
      <c r="S3157" s="45"/>
      <c r="T3157" s="45"/>
      <c r="U3157" s="45"/>
    </row>
    <row r="3158">
      <c r="A3158" s="79" t="s">
        <v>21416</v>
      </c>
      <c r="B3158" s="45"/>
      <c r="C3158" s="79" t="s">
        <v>21417</v>
      </c>
      <c r="D3158" s="45"/>
      <c r="E3158" s="79" t="s">
        <v>5283</v>
      </c>
      <c r="F3158" s="79" t="s">
        <v>5300</v>
      </c>
      <c r="G3158" s="80" t="s">
        <v>96</v>
      </c>
      <c r="H3158" s="90">
        <v>6.44E-5</v>
      </c>
      <c r="I3158" s="45"/>
      <c r="J3158" s="45"/>
      <c r="K3158" s="45"/>
      <c r="L3158" s="45"/>
      <c r="M3158" s="45"/>
      <c r="N3158" s="45"/>
      <c r="O3158" s="45"/>
      <c r="P3158" s="45"/>
      <c r="Q3158" s="45"/>
      <c r="R3158" s="45"/>
      <c r="S3158" s="45"/>
      <c r="T3158" s="45"/>
      <c r="U3158" s="45"/>
    </row>
    <row r="3159">
      <c r="A3159" s="79" t="s">
        <v>21418</v>
      </c>
      <c r="B3159" s="45"/>
      <c r="C3159" s="79" t="s">
        <v>21419</v>
      </c>
      <c r="D3159" s="45"/>
      <c r="E3159" s="79" t="s">
        <v>6427</v>
      </c>
      <c r="F3159" s="79" t="s">
        <v>5300</v>
      </c>
      <c r="G3159" s="80" t="s">
        <v>96</v>
      </c>
      <c r="H3159" s="90">
        <v>6.44E-5</v>
      </c>
      <c r="I3159" s="45"/>
      <c r="J3159" s="45"/>
      <c r="K3159" s="45"/>
      <c r="L3159" s="45"/>
      <c r="M3159" s="45"/>
      <c r="N3159" s="45"/>
      <c r="O3159" s="45"/>
      <c r="P3159" s="45"/>
      <c r="Q3159" s="45"/>
      <c r="R3159" s="45"/>
      <c r="S3159" s="45"/>
      <c r="T3159" s="45"/>
      <c r="U3159" s="45"/>
    </row>
    <row r="3160">
      <c r="A3160" s="79" t="s">
        <v>21420</v>
      </c>
      <c r="B3160" s="45"/>
      <c r="C3160" s="79" t="s">
        <v>21421</v>
      </c>
      <c r="D3160" s="45"/>
      <c r="E3160" s="79" t="s">
        <v>5448</v>
      </c>
      <c r="F3160" s="79" t="s">
        <v>5300</v>
      </c>
      <c r="G3160" s="80" t="s">
        <v>96</v>
      </c>
      <c r="H3160" s="90">
        <v>6.43E-5</v>
      </c>
      <c r="I3160" s="45"/>
      <c r="J3160" s="45"/>
      <c r="K3160" s="45"/>
      <c r="L3160" s="45"/>
      <c r="M3160" s="45"/>
      <c r="N3160" s="45"/>
      <c r="O3160" s="45"/>
      <c r="P3160" s="45"/>
      <c r="Q3160" s="45"/>
      <c r="R3160" s="45"/>
      <c r="S3160" s="45"/>
      <c r="T3160" s="45"/>
      <c r="U3160" s="45"/>
    </row>
    <row r="3161">
      <c r="A3161" s="79" t="s">
        <v>21422</v>
      </c>
      <c r="B3161" s="45"/>
      <c r="C3161" s="79" t="s">
        <v>21423</v>
      </c>
      <c r="D3161" s="45"/>
      <c r="E3161" s="79" t="s">
        <v>5215</v>
      </c>
      <c r="F3161" s="79" t="s">
        <v>5300</v>
      </c>
      <c r="G3161" s="80" t="s">
        <v>96</v>
      </c>
      <c r="H3161" s="90">
        <v>6.43E-5</v>
      </c>
      <c r="I3161" s="45"/>
      <c r="J3161" s="45"/>
      <c r="K3161" s="45"/>
      <c r="L3161" s="45"/>
      <c r="M3161" s="45"/>
      <c r="N3161" s="45"/>
      <c r="O3161" s="45"/>
      <c r="P3161" s="45"/>
      <c r="Q3161" s="45"/>
      <c r="R3161" s="45"/>
      <c r="S3161" s="45"/>
      <c r="T3161" s="45"/>
      <c r="U3161" s="45"/>
    </row>
    <row r="3162">
      <c r="A3162" s="79" t="s">
        <v>21424</v>
      </c>
      <c r="B3162" s="45"/>
      <c r="C3162" s="79" t="s">
        <v>21425</v>
      </c>
      <c r="D3162" s="45"/>
      <c r="E3162" s="79" t="s">
        <v>5366</v>
      </c>
      <c r="F3162" s="79" t="s">
        <v>8784</v>
      </c>
      <c r="G3162" s="80" t="s">
        <v>96</v>
      </c>
      <c r="H3162" s="90">
        <v>6.42E-5</v>
      </c>
      <c r="I3162" s="45"/>
      <c r="J3162" s="45"/>
      <c r="K3162" s="45"/>
      <c r="L3162" s="45"/>
      <c r="M3162" s="45"/>
      <c r="N3162" s="45"/>
      <c r="O3162" s="45"/>
      <c r="P3162" s="45"/>
      <c r="Q3162" s="45"/>
      <c r="R3162" s="45"/>
      <c r="S3162" s="45"/>
      <c r="T3162" s="45"/>
      <c r="U3162" s="45"/>
    </row>
    <row r="3163">
      <c r="A3163" s="79" t="s">
        <v>21426</v>
      </c>
      <c r="B3163" s="45"/>
      <c r="C3163" s="79" t="s">
        <v>21427</v>
      </c>
      <c r="D3163" s="45"/>
      <c r="E3163" s="79" t="s">
        <v>5211</v>
      </c>
      <c r="F3163" s="79" t="s">
        <v>5836</v>
      </c>
      <c r="G3163" s="80" t="s">
        <v>96</v>
      </c>
      <c r="H3163" s="90">
        <v>6.41E-5</v>
      </c>
      <c r="I3163" s="45"/>
      <c r="J3163" s="45"/>
      <c r="K3163" s="45"/>
      <c r="L3163" s="45"/>
      <c r="M3163" s="45"/>
      <c r="N3163" s="45"/>
      <c r="O3163" s="45"/>
      <c r="P3163" s="45"/>
      <c r="Q3163" s="45"/>
      <c r="R3163" s="45"/>
      <c r="S3163" s="45"/>
      <c r="T3163" s="45"/>
      <c r="U3163" s="45"/>
    </row>
    <row r="3164">
      <c r="A3164" s="79" t="s">
        <v>21428</v>
      </c>
      <c r="B3164" s="45"/>
      <c r="C3164" s="79" t="s">
        <v>21429</v>
      </c>
      <c r="D3164" s="45"/>
      <c r="E3164" s="79" t="s">
        <v>7846</v>
      </c>
      <c r="F3164" s="79" t="s">
        <v>5300</v>
      </c>
      <c r="G3164" s="80" t="s">
        <v>96</v>
      </c>
      <c r="H3164" s="90">
        <v>6.41E-5</v>
      </c>
      <c r="I3164" s="45"/>
      <c r="J3164" s="45"/>
      <c r="K3164" s="45"/>
      <c r="L3164" s="45"/>
      <c r="M3164" s="45"/>
      <c r="N3164" s="45"/>
      <c r="O3164" s="45"/>
      <c r="P3164" s="45"/>
      <c r="Q3164" s="45"/>
      <c r="R3164" s="45"/>
      <c r="S3164" s="45"/>
      <c r="T3164" s="45"/>
      <c r="U3164" s="45"/>
    </row>
    <row r="3165">
      <c r="A3165" s="79" t="s">
        <v>21430</v>
      </c>
      <c r="B3165" s="45"/>
      <c r="C3165" s="79" t="s">
        <v>21431</v>
      </c>
      <c r="D3165" s="45"/>
      <c r="E3165" s="79" t="s">
        <v>5407</v>
      </c>
      <c r="F3165" s="79" t="s">
        <v>5425</v>
      </c>
      <c r="G3165" s="80" t="s">
        <v>96</v>
      </c>
      <c r="H3165" s="90">
        <v>6.39E-5</v>
      </c>
      <c r="I3165" s="45"/>
      <c r="J3165" s="45"/>
      <c r="K3165" s="45"/>
      <c r="L3165" s="45"/>
      <c r="M3165" s="45"/>
      <c r="N3165" s="45"/>
      <c r="O3165" s="45"/>
      <c r="P3165" s="45"/>
      <c r="Q3165" s="45"/>
      <c r="R3165" s="45"/>
      <c r="S3165" s="45"/>
      <c r="T3165" s="45"/>
      <c r="U3165" s="45"/>
    </row>
    <row r="3166">
      <c r="A3166" s="79" t="s">
        <v>21432</v>
      </c>
      <c r="B3166" s="45"/>
      <c r="C3166" s="79" t="s">
        <v>21433</v>
      </c>
      <c r="D3166" s="45"/>
      <c r="E3166" s="79" t="s">
        <v>5404</v>
      </c>
      <c r="F3166" s="79" t="s">
        <v>5300</v>
      </c>
      <c r="G3166" s="80" t="s">
        <v>96</v>
      </c>
      <c r="H3166" s="90">
        <v>6.39E-5</v>
      </c>
      <c r="I3166" s="45"/>
      <c r="J3166" s="45"/>
      <c r="K3166" s="45"/>
      <c r="L3166" s="45"/>
      <c r="M3166" s="45"/>
      <c r="N3166" s="45"/>
      <c r="O3166" s="45"/>
      <c r="P3166" s="45"/>
      <c r="Q3166" s="45"/>
      <c r="R3166" s="45"/>
      <c r="S3166" s="45"/>
      <c r="T3166" s="45"/>
      <c r="U3166" s="45"/>
    </row>
    <row r="3167">
      <c r="A3167" s="79" t="s">
        <v>19440</v>
      </c>
      <c r="B3167" s="45"/>
      <c r="C3167" s="79" t="s">
        <v>21434</v>
      </c>
      <c r="D3167" s="45"/>
      <c r="E3167" s="79" t="s">
        <v>5335</v>
      </c>
      <c r="F3167" s="79" t="s">
        <v>5425</v>
      </c>
      <c r="G3167" s="80" t="s">
        <v>96</v>
      </c>
      <c r="H3167" s="90">
        <v>6.38E-5</v>
      </c>
      <c r="I3167" s="45"/>
      <c r="J3167" s="45"/>
      <c r="K3167" s="45"/>
      <c r="L3167" s="45"/>
      <c r="M3167" s="45"/>
      <c r="N3167" s="45"/>
      <c r="O3167" s="45"/>
      <c r="P3167" s="45"/>
      <c r="Q3167" s="45"/>
      <c r="R3167" s="45"/>
      <c r="S3167" s="45"/>
      <c r="T3167" s="45"/>
      <c r="U3167" s="45"/>
    </row>
    <row r="3168">
      <c r="A3168" s="79" t="s">
        <v>21435</v>
      </c>
      <c r="B3168" s="45"/>
      <c r="C3168" s="79" t="s">
        <v>21436</v>
      </c>
      <c r="D3168" s="45"/>
      <c r="E3168" s="79" t="s">
        <v>5215</v>
      </c>
      <c r="F3168" s="79" t="s">
        <v>5300</v>
      </c>
      <c r="G3168" s="80" t="s">
        <v>96</v>
      </c>
      <c r="H3168" s="90">
        <v>6.38E-5</v>
      </c>
      <c r="I3168" s="45"/>
      <c r="J3168" s="45"/>
      <c r="K3168" s="45"/>
      <c r="L3168" s="45"/>
      <c r="M3168" s="45"/>
      <c r="N3168" s="45"/>
      <c r="O3168" s="45"/>
      <c r="P3168" s="45"/>
      <c r="Q3168" s="45"/>
      <c r="R3168" s="45"/>
      <c r="S3168" s="45"/>
      <c r="T3168" s="45"/>
      <c r="U3168" s="45"/>
    </row>
    <row r="3169">
      <c r="A3169" s="79" t="s">
        <v>21437</v>
      </c>
      <c r="B3169" s="45"/>
      <c r="C3169" s="79" t="s">
        <v>21438</v>
      </c>
      <c r="D3169" s="45"/>
      <c r="E3169" s="79" t="s">
        <v>5501</v>
      </c>
      <c r="F3169" s="79" t="s">
        <v>8784</v>
      </c>
      <c r="G3169" s="80" t="s">
        <v>96</v>
      </c>
      <c r="H3169" s="90">
        <v>6.37E-5</v>
      </c>
      <c r="I3169" s="45"/>
      <c r="J3169" s="45"/>
      <c r="K3169" s="45"/>
      <c r="L3169" s="45"/>
      <c r="M3169" s="45"/>
      <c r="N3169" s="45"/>
      <c r="O3169" s="45"/>
      <c r="P3169" s="45"/>
      <c r="Q3169" s="45"/>
      <c r="R3169" s="45"/>
      <c r="S3169" s="45"/>
      <c r="T3169" s="45"/>
      <c r="U3169" s="45"/>
    </row>
    <row r="3170">
      <c r="A3170" s="79" t="s">
        <v>21439</v>
      </c>
      <c r="B3170" s="45"/>
      <c r="C3170" s="79" t="s">
        <v>21440</v>
      </c>
      <c r="D3170" s="45"/>
      <c r="E3170" s="79" t="s">
        <v>5561</v>
      </c>
      <c r="F3170" s="79" t="s">
        <v>9021</v>
      </c>
      <c r="G3170" s="80" t="s">
        <v>96</v>
      </c>
      <c r="H3170" s="90">
        <v>6.36E-5</v>
      </c>
      <c r="I3170" s="45"/>
      <c r="J3170" s="45"/>
      <c r="K3170" s="45"/>
      <c r="L3170" s="45"/>
      <c r="M3170" s="45"/>
      <c r="N3170" s="45"/>
      <c r="O3170" s="45"/>
      <c r="P3170" s="45"/>
      <c r="Q3170" s="45"/>
      <c r="R3170" s="45"/>
      <c r="S3170" s="45"/>
      <c r="T3170" s="45"/>
      <c r="U3170" s="45"/>
    </row>
    <row r="3171">
      <c r="A3171" s="79" t="s">
        <v>21441</v>
      </c>
      <c r="B3171" s="45"/>
      <c r="C3171" s="79" t="s">
        <v>21442</v>
      </c>
      <c r="D3171" s="45"/>
      <c r="E3171" s="79" t="s">
        <v>5456</v>
      </c>
      <c r="F3171" s="79" t="s">
        <v>8784</v>
      </c>
      <c r="G3171" s="80" t="s">
        <v>96</v>
      </c>
      <c r="H3171" s="90">
        <v>6.36E-5</v>
      </c>
      <c r="I3171" s="45"/>
      <c r="J3171" s="45"/>
      <c r="K3171" s="45"/>
      <c r="L3171" s="45"/>
      <c r="M3171" s="45"/>
      <c r="N3171" s="45"/>
      <c r="O3171" s="45"/>
      <c r="P3171" s="45"/>
      <c r="Q3171" s="45"/>
      <c r="R3171" s="45"/>
      <c r="S3171" s="45"/>
      <c r="T3171" s="45"/>
      <c r="U3171" s="45"/>
    </row>
    <row r="3172">
      <c r="A3172" s="79" t="s">
        <v>5548</v>
      </c>
      <c r="B3172" s="45"/>
      <c r="C3172" s="79" t="s">
        <v>21443</v>
      </c>
      <c r="D3172" s="45"/>
      <c r="E3172" s="79" t="s">
        <v>5434</v>
      </c>
      <c r="F3172" s="79" t="s">
        <v>5268</v>
      </c>
      <c r="G3172" s="80" t="s">
        <v>96</v>
      </c>
      <c r="H3172" s="90">
        <v>6.35E-5</v>
      </c>
      <c r="I3172" s="45"/>
      <c r="J3172" s="45"/>
      <c r="K3172" s="45"/>
      <c r="L3172" s="45"/>
      <c r="M3172" s="45"/>
      <c r="N3172" s="45"/>
      <c r="O3172" s="45"/>
      <c r="P3172" s="45"/>
      <c r="Q3172" s="45"/>
      <c r="R3172" s="45"/>
      <c r="S3172" s="45"/>
      <c r="T3172" s="45"/>
      <c r="U3172" s="45"/>
    </row>
    <row r="3173">
      <c r="A3173" s="79" t="s">
        <v>21444</v>
      </c>
      <c r="B3173" s="45"/>
      <c r="C3173" s="79" t="s">
        <v>21445</v>
      </c>
      <c r="D3173" s="45"/>
      <c r="E3173" s="79" t="s">
        <v>5961</v>
      </c>
      <c r="F3173" s="79" t="s">
        <v>8784</v>
      </c>
      <c r="G3173" s="80" t="s">
        <v>96</v>
      </c>
      <c r="H3173" s="90">
        <v>6.35E-5</v>
      </c>
      <c r="I3173" s="45"/>
      <c r="J3173" s="45"/>
      <c r="K3173" s="45"/>
      <c r="L3173" s="45"/>
      <c r="M3173" s="45"/>
      <c r="N3173" s="45"/>
      <c r="O3173" s="45"/>
      <c r="P3173" s="45"/>
      <c r="Q3173" s="45"/>
      <c r="R3173" s="45"/>
      <c r="S3173" s="45"/>
      <c r="T3173" s="45"/>
      <c r="U3173" s="45"/>
    </row>
    <row r="3174">
      <c r="A3174" s="79" t="s">
        <v>21446</v>
      </c>
      <c r="B3174" s="45"/>
      <c r="C3174" s="79" t="s">
        <v>21447</v>
      </c>
      <c r="D3174" s="45"/>
      <c r="E3174" s="79" t="s">
        <v>5261</v>
      </c>
      <c r="F3174" s="79" t="s">
        <v>5300</v>
      </c>
      <c r="G3174" s="80" t="s">
        <v>96</v>
      </c>
      <c r="H3174" s="90">
        <v>6.34E-5</v>
      </c>
      <c r="I3174" s="45"/>
      <c r="J3174" s="45"/>
      <c r="K3174" s="45"/>
      <c r="L3174" s="45"/>
      <c r="M3174" s="45"/>
      <c r="N3174" s="45"/>
      <c r="O3174" s="45"/>
      <c r="P3174" s="45"/>
      <c r="Q3174" s="45"/>
      <c r="R3174" s="45"/>
      <c r="S3174" s="45"/>
      <c r="T3174" s="45"/>
      <c r="U3174" s="45"/>
    </row>
    <row r="3175">
      <c r="A3175" s="79" t="s">
        <v>21448</v>
      </c>
      <c r="B3175" s="45"/>
      <c r="C3175" s="79" t="s">
        <v>21449</v>
      </c>
      <c r="D3175" s="45"/>
      <c r="E3175" s="79" t="s">
        <v>5811</v>
      </c>
      <c r="F3175" s="79" t="s">
        <v>5300</v>
      </c>
      <c r="G3175" s="80" t="s">
        <v>96</v>
      </c>
      <c r="H3175" s="90">
        <v>6.34E-5</v>
      </c>
      <c r="I3175" s="45"/>
      <c r="J3175" s="45"/>
      <c r="K3175" s="45"/>
      <c r="L3175" s="45"/>
      <c r="M3175" s="45"/>
      <c r="N3175" s="45"/>
      <c r="O3175" s="45"/>
      <c r="P3175" s="45"/>
      <c r="Q3175" s="45"/>
      <c r="R3175" s="45"/>
      <c r="S3175" s="45"/>
      <c r="T3175" s="45"/>
      <c r="U3175" s="45"/>
    </row>
    <row r="3176">
      <c r="A3176" s="79" t="s">
        <v>21450</v>
      </c>
      <c r="B3176" s="45"/>
      <c r="C3176" s="79" t="s">
        <v>21451</v>
      </c>
      <c r="D3176" s="45"/>
      <c r="E3176" s="79" t="s">
        <v>5283</v>
      </c>
      <c r="F3176" s="79" t="s">
        <v>4095</v>
      </c>
      <c r="G3176" s="80" t="s">
        <v>96</v>
      </c>
      <c r="H3176" s="90">
        <v>6.34E-5</v>
      </c>
      <c r="I3176" s="45"/>
      <c r="J3176" s="45"/>
      <c r="K3176" s="45"/>
      <c r="L3176" s="45"/>
      <c r="M3176" s="45"/>
      <c r="N3176" s="45"/>
      <c r="O3176" s="45"/>
      <c r="P3176" s="45"/>
      <c r="Q3176" s="45"/>
      <c r="R3176" s="45"/>
      <c r="S3176" s="45"/>
      <c r="T3176" s="45"/>
      <c r="U3176" s="45"/>
    </row>
    <row r="3177">
      <c r="A3177" s="79" t="s">
        <v>21452</v>
      </c>
      <c r="B3177" s="45"/>
      <c r="C3177" s="79" t="s">
        <v>21453</v>
      </c>
      <c r="D3177" s="45"/>
      <c r="E3177" s="79" t="s">
        <v>6115</v>
      </c>
      <c r="F3177" s="79" t="s">
        <v>8784</v>
      </c>
      <c r="G3177" s="80" t="s">
        <v>96</v>
      </c>
      <c r="H3177" s="90">
        <v>6.33E-5</v>
      </c>
      <c r="I3177" s="45"/>
      <c r="J3177" s="45"/>
      <c r="K3177" s="45"/>
      <c r="L3177" s="45"/>
      <c r="M3177" s="45"/>
      <c r="N3177" s="45"/>
      <c r="O3177" s="45"/>
      <c r="P3177" s="45"/>
      <c r="Q3177" s="45"/>
      <c r="R3177" s="45"/>
      <c r="S3177" s="45"/>
      <c r="T3177" s="45"/>
      <c r="U3177" s="45"/>
    </row>
    <row r="3178">
      <c r="A3178" s="79" t="s">
        <v>21454</v>
      </c>
      <c r="B3178" s="45"/>
      <c r="C3178" s="79" t="s">
        <v>21455</v>
      </c>
      <c r="D3178" s="45"/>
      <c r="E3178" s="79" t="s">
        <v>5434</v>
      </c>
      <c r="F3178" s="79" t="s">
        <v>9021</v>
      </c>
      <c r="G3178" s="80" t="s">
        <v>96</v>
      </c>
      <c r="H3178" s="90">
        <v>6.33E-5</v>
      </c>
      <c r="I3178" s="45"/>
      <c r="J3178" s="45"/>
      <c r="K3178" s="45"/>
      <c r="L3178" s="45"/>
      <c r="M3178" s="45"/>
      <c r="N3178" s="45"/>
      <c r="O3178" s="45"/>
      <c r="P3178" s="45"/>
      <c r="Q3178" s="45"/>
      <c r="R3178" s="45"/>
      <c r="S3178" s="45"/>
      <c r="T3178" s="45"/>
      <c r="U3178" s="45"/>
    </row>
    <row r="3179">
      <c r="A3179" s="79" t="s">
        <v>21456</v>
      </c>
      <c r="B3179" s="45"/>
      <c r="C3179" s="79" t="s">
        <v>21457</v>
      </c>
      <c r="D3179" s="45"/>
      <c r="E3179" s="79" t="s">
        <v>5215</v>
      </c>
      <c r="F3179" s="79" t="s">
        <v>5300</v>
      </c>
      <c r="G3179" s="80" t="s">
        <v>96</v>
      </c>
      <c r="H3179" s="90">
        <v>6.33E-5</v>
      </c>
      <c r="I3179" s="45"/>
      <c r="J3179" s="45"/>
      <c r="K3179" s="45"/>
      <c r="L3179" s="45"/>
      <c r="M3179" s="45"/>
      <c r="N3179" s="45"/>
      <c r="O3179" s="45"/>
      <c r="P3179" s="45"/>
      <c r="Q3179" s="45"/>
      <c r="R3179" s="45"/>
      <c r="S3179" s="45"/>
      <c r="T3179" s="45"/>
      <c r="U3179" s="45"/>
    </row>
    <row r="3180">
      <c r="A3180" s="79" t="s">
        <v>21458</v>
      </c>
      <c r="B3180" s="45"/>
      <c r="C3180" s="79" t="s">
        <v>21459</v>
      </c>
      <c r="D3180" s="45"/>
      <c r="E3180" s="79" t="s">
        <v>5624</v>
      </c>
      <c r="F3180" s="79" t="s">
        <v>8784</v>
      </c>
      <c r="G3180" s="80" t="s">
        <v>96</v>
      </c>
      <c r="H3180" s="90">
        <v>6.33E-5</v>
      </c>
      <c r="I3180" s="45"/>
      <c r="J3180" s="45"/>
      <c r="K3180" s="45"/>
      <c r="L3180" s="45"/>
      <c r="M3180" s="45"/>
      <c r="N3180" s="45"/>
      <c r="O3180" s="45"/>
      <c r="P3180" s="45"/>
      <c r="Q3180" s="45"/>
      <c r="R3180" s="45"/>
      <c r="S3180" s="45"/>
      <c r="T3180" s="45"/>
      <c r="U3180" s="45"/>
    </row>
    <row r="3181">
      <c r="A3181" s="79" t="s">
        <v>21460</v>
      </c>
      <c r="B3181" s="45"/>
      <c r="C3181" s="79" t="s">
        <v>21461</v>
      </c>
      <c r="D3181" s="45"/>
      <c r="E3181" s="79" t="s">
        <v>6729</v>
      </c>
      <c r="F3181" s="79" t="s">
        <v>4095</v>
      </c>
      <c r="G3181" s="80" t="s">
        <v>96</v>
      </c>
      <c r="H3181" s="90">
        <v>6.31E-5</v>
      </c>
      <c r="I3181" s="45"/>
      <c r="J3181" s="45"/>
      <c r="K3181" s="45"/>
      <c r="L3181" s="45"/>
      <c r="M3181" s="45"/>
      <c r="N3181" s="45"/>
      <c r="O3181" s="45"/>
      <c r="P3181" s="45"/>
      <c r="Q3181" s="45"/>
      <c r="R3181" s="45"/>
      <c r="S3181" s="45"/>
      <c r="T3181" s="45"/>
      <c r="U3181" s="45"/>
    </row>
    <row r="3182">
      <c r="A3182" s="79" t="s">
        <v>21462</v>
      </c>
      <c r="B3182" s="45"/>
      <c r="C3182" s="79" t="s">
        <v>21463</v>
      </c>
      <c r="D3182" s="45"/>
      <c r="E3182" s="79" t="s">
        <v>5309</v>
      </c>
      <c r="F3182" s="79" t="s">
        <v>5300</v>
      </c>
      <c r="G3182" s="80" t="s">
        <v>96</v>
      </c>
      <c r="H3182" s="90">
        <v>6.31E-5</v>
      </c>
      <c r="I3182" s="45"/>
      <c r="J3182" s="45"/>
      <c r="K3182" s="45"/>
      <c r="L3182" s="45"/>
      <c r="M3182" s="45"/>
      <c r="N3182" s="45"/>
      <c r="O3182" s="45"/>
      <c r="P3182" s="45"/>
      <c r="Q3182" s="45"/>
      <c r="R3182" s="45"/>
      <c r="S3182" s="45"/>
      <c r="T3182" s="45"/>
      <c r="U3182" s="45"/>
    </row>
    <row r="3183">
      <c r="A3183" s="79" t="s">
        <v>21464</v>
      </c>
      <c r="B3183" s="45"/>
      <c r="C3183" s="79" t="s">
        <v>21465</v>
      </c>
      <c r="D3183" s="45"/>
      <c r="E3183" s="79" t="s">
        <v>5641</v>
      </c>
      <c r="F3183" s="79" t="s">
        <v>5836</v>
      </c>
      <c r="G3183" s="80" t="s">
        <v>96</v>
      </c>
      <c r="H3183" s="90">
        <v>6.31E-5</v>
      </c>
      <c r="I3183" s="45"/>
      <c r="J3183" s="45"/>
      <c r="K3183" s="45"/>
      <c r="L3183" s="45"/>
      <c r="M3183" s="45"/>
      <c r="N3183" s="45"/>
      <c r="O3183" s="45"/>
      <c r="P3183" s="45"/>
      <c r="Q3183" s="45"/>
      <c r="R3183" s="45"/>
      <c r="S3183" s="45"/>
      <c r="T3183" s="45"/>
      <c r="U3183" s="45"/>
    </row>
    <row r="3184">
      <c r="A3184" s="79" t="s">
        <v>21466</v>
      </c>
      <c r="B3184" s="45"/>
      <c r="C3184" s="79" t="s">
        <v>21467</v>
      </c>
      <c r="D3184" s="45"/>
      <c r="E3184" s="79" t="s">
        <v>5241</v>
      </c>
      <c r="F3184" s="79" t="s">
        <v>8784</v>
      </c>
      <c r="G3184" s="80" t="s">
        <v>96</v>
      </c>
      <c r="H3184" s="90">
        <v>6.31E-5</v>
      </c>
      <c r="I3184" s="45"/>
      <c r="J3184" s="45"/>
      <c r="K3184" s="45"/>
      <c r="L3184" s="45"/>
      <c r="M3184" s="45"/>
      <c r="N3184" s="45"/>
      <c r="O3184" s="45"/>
      <c r="P3184" s="45"/>
      <c r="Q3184" s="45"/>
      <c r="R3184" s="45"/>
      <c r="S3184" s="45"/>
      <c r="T3184" s="45"/>
      <c r="U3184" s="45"/>
    </row>
    <row r="3185">
      <c r="A3185" s="79" t="s">
        <v>21468</v>
      </c>
      <c r="B3185" s="45"/>
      <c r="C3185" s="79" t="s">
        <v>21469</v>
      </c>
      <c r="D3185" s="45"/>
      <c r="E3185" s="79" t="s">
        <v>5609</v>
      </c>
      <c r="F3185" s="79" t="s">
        <v>5425</v>
      </c>
      <c r="G3185" s="80" t="s">
        <v>96</v>
      </c>
      <c r="H3185" s="90">
        <v>6.31E-5</v>
      </c>
      <c r="I3185" s="45"/>
      <c r="J3185" s="45"/>
      <c r="K3185" s="45"/>
      <c r="L3185" s="45"/>
      <c r="M3185" s="45"/>
      <c r="N3185" s="45"/>
      <c r="O3185" s="45"/>
      <c r="P3185" s="45"/>
      <c r="Q3185" s="45"/>
      <c r="R3185" s="45"/>
      <c r="S3185" s="45"/>
      <c r="T3185" s="45"/>
      <c r="U3185" s="45"/>
    </row>
    <row r="3186">
      <c r="A3186" s="79" t="s">
        <v>21470</v>
      </c>
      <c r="B3186" s="45"/>
      <c r="C3186" s="79" t="s">
        <v>21471</v>
      </c>
      <c r="D3186" s="45"/>
      <c r="E3186" s="79" t="s">
        <v>5735</v>
      </c>
      <c r="F3186" s="79" t="s">
        <v>5836</v>
      </c>
      <c r="G3186" s="80" t="s">
        <v>96</v>
      </c>
      <c r="H3186" s="90">
        <v>6.29E-5</v>
      </c>
      <c r="I3186" s="45"/>
      <c r="J3186" s="45"/>
      <c r="K3186" s="45"/>
      <c r="L3186" s="45"/>
      <c r="M3186" s="45"/>
      <c r="N3186" s="45"/>
      <c r="O3186" s="45"/>
      <c r="P3186" s="45"/>
      <c r="Q3186" s="45"/>
      <c r="R3186" s="45"/>
      <c r="S3186" s="45"/>
      <c r="T3186" s="45"/>
      <c r="U3186" s="45"/>
    </row>
    <row r="3187">
      <c r="A3187" s="79" t="s">
        <v>21472</v>
      </c>
      <c r="B3187" s="45"/>
      <c r="C3187" s="79" t="s">
        <v>21473</v>
      </c>
      <c r="D3187" s="45"/>
      <c r="E3187" s="79" t="s">
        <v>5478</v>
      </c>
      <c r="F3187" s="79" t="s">
        <v>5300</v>
      </c>
      <c r="G3187" s="80" t="s">
        <v>96</v>
      </c>
      <c r="H3187" s="90">
        <v>6.27E-5</v>
      </c>
      <c r="I3187" s="45"/>
      <c r="J3187" s="45"/>
      <c r="K3187" s="45"/>
      <c r="L3187" s="45"/>
      <c r="M3187" s="45"/>
      <c r="N3187" s="45"/>
      <c r="O3187" s="45"/>
      <c r="P3187" s="45"/>
      <c r="Q3187" s="45"/>
      <c r="R3187" s="45"/>
      <c r="S3187" s="45"/>
      <c r="T3187" s="45"/>
      <c r="U3187" s="45"/>
    </row>
    <row r="3188">
      <c r="A3188" s="79" t="s">
        <v>21474</v>
      </c>
      <c r="B3188" s="45"/>
      <c r="C3188" s="79" t="s">
        <v>21475</v>
      </c>
      <c r="D3188" s="45"/>
      <c r="E3188" s="79" t="s">
        <v>5215</v>
      </c>
      <c r="F3188" s="79" t="s">
        <v>5300</v>
      </c>
      <c r="G3188" s="80" t="s">
        <v>96</v>
      </c>
      <c r="H3188" s="90">
        <v>6.27E-5</v>
      </c>
      <c r="I3188" s="45"/>
      <c r="J3188" s="45"/>
      <c r="K3188" s="45"/>
      <c r="L3188" s="45"/>
      <c r="M3188" s="45"/>
      <c r="N3188" s="45"/>
      <c r="O3188" s="45"/>
      <c r="P3188" s="45"/>
      <c r="Q3188" s="45"/>
      <c r="R3188" s="45"/>
      <c r="S3188" s="45"/>
      <c r="T3188" s="45"/>
      <c r="U3188" s="45"/>
    </row>
    <row r="3189">
      <c r="A3189" s="79" t="s">
        <v>21476</v>
      </c>
      <c r="B3189" s="45"/>
      <c r="C3189" s="79" t="s">
        <v>21477</v>
      </c>
      <c r="D3189" s="45"/>
      <c r="E3189" s="79" t="s">
        <v>5249</v>
      </c>
      <c r="F3189" s="79" t="s">
        <v>9698</v>
      </c>
      <c r="G3189" s="80" t="s">
        <v>96</v>
      </c>
      <c r="H3189" s="90">
        <v>6.27E-5</v>
      </c>
      <c r="I3189" s="45"/>
      <c r="J3189" s="45"/>
      <c r="K3189" s="45"/>
      <c r="L3189" s="45"/>
      <c r="M3189" s="45"/>
      <c r="N3189" s="45"/>
      <c r="O3189" s="45"/>
      <c r="P3189" s="45"/>
      <c r="Q3189" s="45"/>
      <c r="R3189" s="45"/>
      <c r="S3189" s="45"/>
      <c r="T3189" s="45"/>
      <c r="U3189" s="45"/>
    </row>
    <row r="3190">
      <c r="A3190" s="79" t="s">
        <v>21478</v>
      </c>
      <c r="B3190" s="45"/>
      <c r="C3190" s="79" t="s">
        <v>21479</v>
      </c>
      <c r="D3190" s="45"/>
      <c r="E3190" s="79" t="s">
        <v>5456</v>
      </c>
      <c r="F3190" s="79" t="s">
        <v>8784</v>
      </c>
      <c r="G3190" s="80" t="s">
        <v>96</v>
      </c>
      <c r="H3190" s="90">
        <v>6.26E-5</v>
      </c>
      <c r="I3190" s="45"/>
      <c r="J3190" s="45"/>
      <c r="K3190" s="45"/>
      <c r="L3190" s="45"/>
      <c r="M3190" s="45"/>
      <c r="N3190" s="45"/>
      <c r="O3190" s="45"/>
      <c r="P3190" s="45"/>
      <c r="Q3190" s="45"/>
      <c r="R3190" s="45"/>
      <c r="S3190" s="45"/>
      <c r="T3190" s="45"/>
      <c r="U3190" s="45"/>
    </row>
    <row r="3191">
      <c r="A3191" s="79" t="s">
        <v>4495</v>
      </c>
      <c r="B3191" s="45"/>
      <c r="C3191" s="79" t="s">
        <v>21480</v>
      </c>
      <c r="D3191" s="45"/>
      <c r="E3191" s="79" t="s">
        <v>5218</v>
      </c>
      <c r="F3191" s="79" t="s">
        <v>4436</v>
      </c>
      <c r="G3191" s="80" t="s">
        <v>96</v>
      </c>
      <c r="H3191" s="90">
        <v>6.25E-5</v>
      </c>
      <c r="I3191" s="45"/>
      <c r="J3191" s="45"/>
      <c r="K3191" s="45"/>
      <c r="L3191" s="45"/>
      <c r="M3191" s="45"/>
      <c r="N3191" s="45"/>
      <c r="O3191" s="45"/>
      <c r="P3191" s="45"/>
      <c r="Q3191" s="45"/>
      <c r="R3191" s="45"/>
      <c r="S3191" s="45"/>
      <c r="T3191" s="45"/>
      <c r="U3191" s="45"/>
    </row>
    <row r="3192">
      <c r="A3192" s="79" t="s">
        <v>21481</v>
      </c>
      <c r="B3192" s="45"/>
      <c r="C3192" s="79" t="s">
        <v>21482</v>
      </c>
      <c r="D3192" s="45"/>
      <c r="E3192" s="79" t="s">
        <v>5513</v>
      </c>
      <c r="F3192" s="79" t="s">
        <v>5300</v>
      </c>
      <c r="G3192" s="80" t="s">
        <v>96</v>
      </c>
      <c r="H3192" s="90">
        <v>6.24E-5</v>
      </c>
      <c r="I3192" s="45"/>
      <c r="J3192" s="45"/>
      <c r="K3192" s="45"/>
      <c r="L3192" s="45"/>
      <c r="M3192" s="45"/>
      <c r="N3192" s="45"/>
      <c r="O3192" s="45"/>
      <c r="P3192" s="45"/>
      <c r="Q3192" s="45"/>
      <c r="R3192" s="45"/>
      <c r="S3192" s="45"/>
      <c r="T3192" s="45"/>
      <c r="U3192" s="45"/>
    </row>
    <row r="3193">
      <c r="A3193" s="79" t="s">
        <v>21483</v>
      </c>
      <c r="B3193" s="45"/>
      <c r="C3193" s="79" t="s">
        <v>21484</v>
      </c>
      <c r="D3193" s="45"/>
      <c r="E3193" s="79" t="s">
        <v>5241</v>
      </c>
      <c r="F3193" s="79" t="s">
        <v>5425</v>
      </c>
      <c r="G3193" s="80" t="s">
        <v>96</v>
      </c>
      <c r="H3193" s="90">
        <v>6.24E-5</v>
      </c>
      <c r="I3193" s="45"/>
      <c r="J3193" s="45"/>
      <c r="K3193" s="45"/>
      <c r="L3193" s="45"/>
      <c r="M3193" s="45"/>
      <c r="N3193" s="45"/>
      <c r="O3193" s="45"/>
      <c r="P3193" s="45"/>
      <c r="Q3193" s="45"/>
      <c r="R3193" s="45"/>
      <c r="S3193" s="45"/>
      <c r="T3193" s="45"/>
      <c r="U3193" s="45"/>
    </row>
    <row r="3194">
      <c r="A3194" s="79" t="s">
        <v>4487</v>
      </c>
      <c r="B3194" s="45"/>
      <c r="C3194" s="79" t="s">
        <v>21485</v>
      </c>
      <c r="D3194" s="45"/>
      <c r="E3194" s="79" t="s">
        <v>5229</v>
      </c>
      <c r="F3194" s="79" t="s">
        <v>5836</v>
      </c>
      <c r="G3194" s="80" t="s">
        <v>96</v>
      </c>
      <c r="H3194" s="90">
        <v>6.24E-5</v>
      </c>
      <c r="I3194" s="45"/>
      <c r="J3194" s="45"/>
      <c r="K3194" s="45"/>
      <c r="L3194" s="45"/>
      <c r="M3194" s="45"/>
      <c r="N3194" s="45"/>
      <c r="O3194" s="45"/>
      <c r="P3194" s="45"/>
      <c r="Q3194" s="45"/>
      <c r="R3194" s="45"/>
      <c r="S3194" s="45"/>
      <c r="T3194" s="45"/>
      <c r="U3194" s="45"/>
    </row>
    <row r="3195">
      <c r="A3195" s="79" t="s">
        <v>21486</v>
      </c>
      <c r="B3195" s="45"/>
      <c r="C3195" s="79" t="s">
        <v>21487</v>
      </c>
      <c r="D3195" s="45"/>
      <c r="E3195" s="79" t="s">
        <v>7248</v>
      </c>
      <c r="F3195" s="79" t="s">
        <v>6210</v>
      </c>
      <c r="G3195" s="80" t="s">
        <v>96</v>
      </c>
      <c r="H3195" s="90">
        <v>6.24E-5</v>
      </c>
      <c r="I3195" s="45"/>
      <c r="J3195" s="45"/>
      <c r="K3195" s="45"/>
      <c r="L3195" s="45"/>
      <c r="M3195" s="45"/>
      <c r="N3195" s="45"/>
      <c r="O3195" s="45"/>
      <c r="P3195" s="45"/>
      <c r="Q3195" s="45"/>
      <c r="R3195" s="45"/>
      <c r="S3195" s="45"/>
      <c r="T3195" s="45"/>
      <c r="U3195" s="45"/>
    </row>
    <row r="3196">
      <c r="A3196" s="79" t="s">
        <v>21488</v>
      </c>
      <c r="B3196" s="45"/>
      <c r="C3196" s="79" t="s">
        <v>21489</v>
      </c>
      <c r="D3196" s="45"/>
      <c r="E3196" s="79" t="s">
        <v>5366</v>
      </c>
      <c r="F3196" s="79" t="s">
        <v>8784</v>
      </c>
      <c r="G3196" s="80" t="s">
        <v>96</v>
      </c>
      <c r="H3196" s="90">
        <v>6.24E-5</v>
      </c>
      <c r="I3196" s="45"/>
      <c r="J3196" s="45"/>
      <c r="K3196" s="45"/>
      <c r="L3196" s="45"/>
      <c r="M3196" s="45"/>
      <c r="N3196" s="45"/>
      <c r="O3196" s="45"/>
      <c r="P3196" s="45"/>
      <c r="Q3196" s="45"/>
      <c r="R3196" s="45"/>
      <c r="S3196" s="45"/>
      <c r="T3196" s="45"/>
      <c r="U3196" s="45"/>
    </row>
    <row r="3197">
      <c r="A3197" s="79" t="s">
        <v>21490</v>
      </c>
      <c r="B3197" s="45"/>
      <c r="C3197" s="79" t="s">
        <v>21491</v>
      </c>
      <c r="D3197" s="45"/>
      <c r="E3197" s="79" t="s">
        <v>5215</v>
      </c>
      <c r="F3197" s="79" t="s">
        <v>8784</v>
      </c>
      <c r="G3197" s="80" t="s">
        <v>96</v>
      </c>
      <c r="H3197" s="90">
        <v>6.23E-5</v>
      </c>
      <c r="I3197" s="45"/>
      <c r="J3197" s="45"/>
      <c r="K3197" s="45"/>
      <c r="L3197" s="45"/>
      <c r="M3197" s="45"/>
      <c r="N3197" s="45"/>
      <c r="O3197" s="45"/>
      <c r="P3197" s="45"/>
      <c r="Q3197" s="45"/>
      <c r="R3197" s="45"/>
      <c r="S3197" s="45"/>
      <c r="T3197" s="45"/>
      <c r="U3197" s="45"/>
    </row>
    <row r="3198">
      <c r="A3198" s="79" t="s">
        <v>21492</v>
      </c>
      <c r="B3198" s="45"/>
      <c r="C3198" s="79" t="s">
        <v>21493</v>
      </c>
      <c r="D3198" s="45"/>
      <c r="E3198" s="79" t="s">
        <v>6514</v>
      </c>
      <c r="F3198" s="79" t="s">
        <v>5425</v>
      </c>
      <c r="G3198" s="80" t="s">
        <v>96</v>
      </c>
      <c r="H3198" s="90">
        <v>6.23E-5</v>
      </c>
      <c r="I3198" s="45"/>
      <c r="J3198" s="45"/>
      <c r="K3198" s="45"/>
      <c r="L3198" s="45"/>
      <c r="M3198" s="45"/>
      <c r="N3198" s="45"/>
      <c r="O3198" s="45"/>
      <c r="P3198" s="45"/>
      <c r="Q3198" s="45"/>
      <c r="R3198" s="45"/>
      <c r="S3198" s="45"/>
      <c r="T3198" s="45"/>
      <c r="U3198" s="45"/>
    </row>
    <row r="3199">
      <c r="A3199" s="79" t="s">
        <v>21494</v>
      </c>
      <c r="B3199" s="45"/>
      <c r="C3199" s="79" t="s">
        <v>21495</v>
      </c>
      <c r="D3199" s="45"/>
      <c r="E3199" s="79" t="s">
        <v>5226</v>
      </c>
      <c r="F3199" s="79" t="s">
        <v>9299</v>
      </c>
      <c r="G3199" s="80" t="s">
        <v>96</v>
      </c>
      <c r="H3199" s="90">
        <v>6.21E-5</v>
      </c>
      <c r="I3199" s="45"/>
      <c r="J3199" s="45"/>
      <c r="K3199" s="45"/>
      <c r="L3199" s="45"/>
      <c r="M3199" s="45"/>
      <c r="N3199" s="45"/>
      <c r="O3199" s="45"/>
      <c r="P3199" s="45"/>
      <c r="Q3199" s="45"/>
      <c r="R3199" s="45"/>
      <c r="S3199" s="45"/>
      <c r="T3199" s="45"/>
      <c r="U3199" s="45"/>
    </row>
    <row r="3200">
      <c r="A3200" s="79" t="s">
        <v>21496</v>
      </c>
      <c r="B3200" s="45"/>
      <c r="C3200" s="79" t="s">
        <v>21497</v>
      </c>
      <c r="D3200" s="45"/>
      <c r="E3200" s="79" t="s">
        <v>6172</v>
      </c>
      <c r="F3200" s="79" t="s">
        <v>8784</v>
      </c>
      <c r="G3200" s="80" t="s">
        <v>96</v>
      </c>
      <c r="H3200" s="90">
        <v>6.21E-5</v>
      </c>
      <c r="I3200" s="45"/>
      <c r="J3200" s="45"/>
      <c r="K3200" s="45"/>
      <c r="L3200" s="45"/>
      <c r="M3200" s="45"/>
      <c r="N3200" s="45"/>
      <c r="O3200" s="45"/>
      <c r="P3200" s="45"/>
      <c r="Q3200" s="45"/>
      <c r="R3200" s="45"/>
      <c r="S3200" s="45"/>
      <c r="T3200" s="45"/>
      <c r="U3200" s="45"/>
    </row>
    <row r="3201">
      <c r="A3201" s="79" t="s">
        <v>21498</v>
      </c>
      <c r="B3201" s="45"/>
      <c r="C3201" s="79" t="s">
        <v>21499</v>
      </c>
      <c r="D3201" s="45"/>
      <c r="E3201" s="79" t="s">
        <v>5211</v>
      </c>
      <c r="F3201" s="79" t="s">
        <v>5836</v>
      </c>
      <c r="G3201" s="80" t="s">
        <v>96</v>
      </c>
      <c r="H3201" s="90">
        <v>6.2E-5</v>
      </c>
      <c r="I3201" s="45"/>
      <c r="J3201" s="45"/>
      <c r="K3201" s="45"/>
      <c r="L3201" s="45"/>
      <c r="M3201" s="45"/>
      <c r="N3201" s="45"/>
      <c r="O3201" s="45"/>
      <c r="P3201" s="45"/>
      <c r="Q3201" s="45"/>
      <c r="R3201" s="45"/>
      <c r="S3201" s="45"/>
      <c r="T3201" s="45"/>
      <c r="U3201" s="45"/>
    </row>
    <row r="3202">
      <c r="A3202" s="79" t="s">
        <v>21500</v>
      </c>
      <c r="B3202" s="45"/>
      <c r="C3202" s="79" t="s">
        <v>21501</v>
      </c>
      <c r="D3202" s="45"/>
      <c r="E3202" s="79" t="s">
        <v>5316</v>
      </c>
      <c r="F3202" s="79" t="s">
        <v>5836</v>
      </c>
      <c r="G3202" s="80" t="s">
        <v>96</v>
      </c>
      <c r="H3202" s="90">
        <v>6.19E-5</v>
      </c>
      <c r="I3202" s="45"/>
      <c r="J3202" s="45"/>
      <c r="K3202" s="45"/>
      <c r="L3202" s="45"/>
      <c r="M3202" s="45"/>
      <c r="N3202" s="45"/>
      <c r="O3202" s="45"/>
      <c r="P3202" s="45"/>
      <c r="Q3202" s="45"/>
      <c r="R3202" s="45"/>
      <c r="S3202" s="45"/>
      <c r="T3202" s="45"/>
      <c r="U3202" s="45"/>
    </row>
    <row r="3203">
      <c r="A3203" s="79" t="s">
        <v>21502</v>
      </c>
      <c r="B3203" s="45"/>
      <c r="C3203" s="79" t="s">
        <v>21503</v>
      </c>
      <c r="D3203" s="45"/>
      <c r="E3203" s="79" t="s">
        <v>5467</v>
      </c>
      <c r="F3203" s="79" t="s">
        <v>8784</v>
      </c>
      <c r="G3203" s="80" t="s">
        <v>96</v>
      </c>
      <c r="H3203" s="90">
        <v>6.19E-5</v>
      </c>
      <c r="I3203" s="45"/>
      <c r="J3203" s="45"/>
      <c r="K3203" s="45"/>
      <c r="L3203" s="45"/>
      <c r="M3203" s="45"/>
      <c r="N3203" s="45"/>
      <c r="O3203" s="45"/>
      <c r="P3203" s="45"/>
      <c r="Q3203" s="45"/>
      <c r="R3203" s="45"/>
      <c r="S3203" s="45"/>
      <c r="T3203" s="45"/>
      <c r="U3203" s="45"/>
    </row>
    <row r="3204">
      <c r="A3204" s="79" t="s">
        <v>21504</v>
      </c>
      <c r="B3204" s="45"/>
      <c r="C3204" s="79" t="s">
        <v>21505</v>
      </c>
      <c r="D3204" s="45"/>
      <c r="E3204" s="79" t="s">
        <v>5422</v>
      </c>
      <c r="F3204" s="79" t="s">
        <v>5300</v>
      </c>
      <c r="G3204" s="80" t="s">
        <v>96</v>
      </c>
      <c r="H3204" s="90">
        <v>6.19E-5</v>
      </c>
      <c r="I3204" s="45"/>
      <c r="J3204" s="45"/>
      <c r="K3204" s="45"/>
      <c r="L3204" s="45"/>
      <c r="M3204" s="45"/>
      <c r="N3204" s="45"/>
      <c r="O3204" s="45"/>
      <c r="P3204" s="45"/>
      <c r="Q3204" s="45"/>
      <c r="R3204" s="45"/>
      <c r="S3204" s="45"/>
      <c r="T3204" s="45"/>
      <c r="U3204" s="45"/>
    </row>
    <row r="3205">
      <c r="A3205" s="79" t="s">
        <v>21506</v>
      </c>
      <c r="B3205" s="45"/>
      <c r="C3205" s="79" t="s">
        <v>21507</v>
      </c>
      <c r="D3205" s="45"/>
      <c r="E3205" s="79" t="s">
        <v>6275</v>
      </c>
      <c r="F3205" s="79" t="s">
        <v>8784</v>
      </c>
      <c r="G3205" s="80" t="s">
        <v>96</v>
      </c>
      <c r="H3205" s="90">
        <v>6.18E-5</v>
      </c>
      <c r="I3205" s="45"/>
      <c r="J3205" s="45"/>
      <c r="K3205" s="45"/>
      <c r="L3205" s="45"/>
      <c r="M3205" s="45"/>
      <c r="N3205" s="45"/>
      <c r="O3205" s="45"/>
      <c r="P3205" s="45"/>
      <c r="Q3205" s="45"/>
      <c r="R3205" s="45"/>
      <c r="S3205" s="45"/>
      <c r="T3205" s="45"/>
      <c r="U3205" s="45"/>
    </row>
    <row r="3206">
      <c r="A3206" s="79" t="s">
        <v>21508</v>
      </c>
      <c r="B3206" s="45"/>
      <c r="C3206" s="79" t="s">
        <v>21509</v>
      </c>
      <c r="D3206" s="45"/>
      <c r="E3206" s="79" t="s">
        <v>5271</v>
      </c>
      <c r="F3206" s="79" t="s">
        <v>8784</v>
      </c>
      <c r="G3206" s="80" t="s">
        <v>96</v>
      </c>
      <c r="H3206" s="90">
        <v>6.18E-5</v>
      </c>
      <c r="I3206" s="45"/>
      <c r="J3206" s="45"/>
      <c r="K3206" s="45"/>
      <c r="L3206" s="45"/>
      <c r="M3206" s="45"/>
      <c r="N3206" s="45"/>
      <c r="O3206" s="45"/>
      <c r="P3206" s="45"/>
      <c r="Q3206" s="45"/>
      <c r="R3206" s="45"/>
      <c r="S3206" s="45"/>
      <c r="T3206" s="45"/>
      <c r="U3206" s="45"/>
    </row>
    <row r="3207">
      <c r="A3207" s="79" t="s">
        <v>21510</v>
      </c>
      <c r="B3207" s="45"/>
      <c r="C3207" s="79" t="s">
        <v>21511</v>
      </c>
      <c r="D3207" s="45"/>
      <c r="E3207" s="79" t="s">
        <v>5501</v>
      </c>
      <c r="F3207" s="79" t="s">
        <v>8784</v>
      </c>
      <c r="G3207" s="80" t="s">
        <v>96</v>
      </c>
      <c r="H3207" s="90">
        <v>6.18E-5</v>
      </c>
      <c r="I3207" s="45"/>
      <c r="J3207" s="45"/>
      <c r="K3207" s="45"/>
      <c r="L3207" s="45"/>
      <c r="M3207" s="45"/>
      <c r="N3207" s="45"/>
      <c r="O3207" s="45"/>
      <c r="P3207" s="45"/>
      <c r="Q3207" s="45"/>
      <c r="R3207" s="45"/>
      <c r="S3207" s="45"/>
      <c r="T3207" s="45"/>
      <c r="U3207" s="45"/>
    </row>
    <row r="3208">
      <c r="A3208" s="79" t="s">
        <v>21512</v>
      </c>
      <c r="B3208" s="45"/>
      <c r="C3208" s="79" t="s">
        <v>21513</v>
      </c>
      <c r="D3208" s="45"/>
      <c r="E3208" s="79" t="s">
        <v>6759</v>
      </c>
      <c r="F3208" s="79" t="s">
        <v>8759</v>
      </c>
      <c r="G3208" s="80" t="s">
        <v>96</v>
      </c>
      <c r="H3208" s="90">
        <v>6.17E-5</v>
      </c>
      <c r="I3208" s="45"/>
      <c r="J3208" s="45"/>
      <c r="K3208" s="45"/>
      <c r="L3208" s="45"/>
      <c r="M3208" s="45"/>
      <c r="N3208" s="45"/>
      <c r="O3208" s="45"/>
      <c r="P3208" s="45"/>
      <c r="Q3208" s="45"/>
      <c r="R3208" s="45"/>
      <c r="S3208" s="45"/>
      <c r="T3208" s="45"/>
      <c r="U3208" s="45"/>
    </row>
    <row r="3209">
      <c r="A3209" s="79" t="s">
        <v>21514</v>
      </c>
      <c r="B3209" s="45"/>
      <c r="C3209" s="79" t="s">
        <v>21515</v>
      </c>
      <c r="D3209" s="45"/>
      <c r="E3209" s="79" t="s">
        <v>5561</v>
      </c>
      <c r="F3209" s="79" t="s">
        <v>9021</v>
      </c>
      <c r="G3209" s="80" t="s">
        <v>96</v>
      </c>
      <c r="H3209" s="90">
        <v>6.17E-5</v>
      </c>
      <c r="I3209" s="45"/>
      <c r="J3209" s="45"/>
      <c r="K3209" s="45"/>
      <c r="L3209" s="45"/>
      <c r="M3209" s="45"/>
      <c r="N3209" s="45"/>
      <c r="O3209" s="45"/>
      <c r="P3209" s="45"/>
      <c r="Q3209" s="45"/>
      <c r="R3209" s="45"/>
      <c r="S3209" s="45"/>
      <c r="T3209" s="45"/>
      <c r="U3209" s="45"/>
    </row>
    <row r="3210">
      <c r="A3210" s="79" t="s">
        <v>21516</v>
      </c>
      <c r="B3210" s="45"/>
      <c r="C3210" s="79" t="s">
        <v>21517</v>
      </c>
      <c r="D3210" s="45"/>
      <c r="E3210" s="79" t="s">
        <v>5459</v>
      </c>
      <c r="F3210" s="79" t="s">
        <v>5300</v>
      </c>
      <c r="G3210" s="80" t="s">
        <v>96</v>
      </c>
      <c r="H3210" s="90">
        <v>6.17E-5</v>
      </c>
      <c r="I3210" s="45"/>
      <c r="J3210" s="45"/>
      <c r="K3210" s="45"/>
      <c r="L3210" s="45"/>
      <c r="M3210" s="45"/>
      <c r="N3210" s="45"/>
      <c r="O3210" s="45"/>
      <c r="P3210" s="45"/>
      <c r="Q3210" s="45"/>
      <c r="R3210" s="45"/>
      <c r="S3210" s="45"/>
      <c r="T3210" s="45"/>
      <c r="U3210" s="45"/>
    </row>
    <row r="3211">
      <c r="A3211" s="79" t="s">
        <v>21518</v>
      </c>
      <c r="B3211" s="45"/>
      <c r="C3211" s="79" t="s">
        <v>21519</v>
      </c>
      <c r="D3211" s="45"/>
      <c r="E3211" s="79" t="s">
        <v>5215</v>
      </c>
      <c r="F3211" s="79" t="s">
        <v>5300</v>
      </c>
      <c r="G3211" s="80" t="s">
        <v>96</v>
      </c>
      <c r="H3211" s="90">
        <v>6.16E-5</v>
      </c>
      <c r="I3211" s="45"/>
      <c r="J3211" s="45"/>
      <c r="K3211" s="45"/>
      <c r="L3211" s="45"/>
      <c r="M3211" s="45"/>
      <c r="N3211" s="45"/>
      <c r="O3211" s="45"/>
      <c r="P3211" s="45"/>
      <c r="Q3211" s="45"/>
      <c r="R3211" s="45"/>
      <c r="S3211" s="45"/>
      <c r="T3211" s="45"/>
      <c r="U3211" s="45"/>
    </row>
    <row r="3212">
      <c r="A3212" s="79" t="s">
        <v>21520</v>
      </c>
      <c r="B3212" s="45"/>
      <c r="C3212" s="79" t="s">
        <v>21521</v>
      </c>
      <c r="D3212" s="45"/>
      <c r="E3212" s="79" t="s">
        <v>5407</v>
      </c>
      <c r="F3212" s="79" t="s">
        <v>8784</v>
      </c>
      <c r="G3212" s="80" t="s">
        <v>96</v>
      </c>
      <c r="H3212" s="90">
        <v>6.15E-5</v>
      </c>
      <c r="I3212" s="45"/>
      <c r="J3212" s="45"/>
      <c r="K3212" s="45"/>
      <c r="L3212" s="45"/>
      <c r="M3212" s="45"/>
      <c r="N3212" s="45"/>
      <c r="O3212" s="45"/>
      <c r="P3212" s="45"/>
      <c r="Q3212" s="45"/>
      <c r="R3212" s="45"/>
      <c r="S3212" s="45"/>
      <c r="T3212" s="45"/>
      <c r="U3212" s="45"/>
    </row>
    <row r="3213">
      <c r="A3213" s="79" t="s">
        <v>21522</v>
      </c>
      <c r="B3213" s="45"/>
      <c r="C3213" s="79" t="s">
        <v>21523</v>
      </c>
      <c r="D3213" s="45"/>
      <c r="E3213" s="79" t="s">
        <v>7248</v>
      </c>
      <c r="F3213" s="79" t="s">
        <v>5300</v>
      </c>
      <c r="G3213" s="80" t="s">
        <v>96</v>
      </c>
      <c r="H3213" s="90">
        <v>6.15E-5</v>
      </c>
      <c r="I3213" s="45"/>
      <c r="J3213" s="45"/>
      <c r="K3213" s="45"/>
      <c r="L3213" s="45"/>
      <c r="M3213" s="45"/>
      <c r="N3213" s="45"/>
      <c r="O3213" s="45"/>
      <c r="P3213" s="45"/>
      <c r="Q3213" s="45"/>
      <c r="R3213" s="45"/>
      <c r="S3213" s="45"/>
      <c r="T3213" s="45"/>
      <c r="U3213" s="45"/>
    </row>
    <row r="3214">
      <c r="A3214" s="79" t="s">
        <v>21524</v>
      </c>
      <c r="B3214" s="45"/>
      <c r="C3214" s="79" t="s">
        <v>21525</v>
      </c>
      <c r="D3214" s="45"/>
      <c r="E3214" s="79" t="s">
        <v>5338</v>
      </c>
      <c r="F3214" s="79" t="s">
        <v>8784</v>
      </c>
      <c r="G3214" s="80" t="s">
        <v>96</v>
      </c>
      <c r="H3214" s="90">
        <v>6.15E-5</v>
      </c>
      <c r="I3214" s="45"/>
      <c r="J3214" s="45"/>
      <c r="K3214" s="45"/>
      <c r="L3214" s="45"/>
      <c r="M3214" s="45"/>
      <c r="N3214" s="45"/>
      <c r="O3214" s="45"/>
      <c r="P3214" s="45"/>
      <c r="Q3214" s="45"/>
      <c r="R3214" s="45"/>
      <c r="S3214" s="45"/>
      <c r="T3214" s="45"/>
      <c r="U3214" s="45"/>
    </row>
    <row r="3215">
      <c r="A3215" s="79" t="s">
        <v>21526</v>
      </c>
      <c r="B3215" s="45"/>
      <c r="C3215" s="79" t="s">
        <v>21527</v>
      </c>
      <c r="D3215" s="45"/>
      <c r="E3215" s="79" t="s">
        <v>5374</v>
      </c>
      <c r="F3215" s="79" t="s">
        <v>5747</v>
      </c>
      <c r="G3215" s="80" t="s">
        <v>96</v>
      </c>
      <c r="H3215" s="90">
        <v>6.14E-5</v>
      </c>
      <c r="I3215" s="45"/>
      <c r="J3215" s="45"/>
      <c r="K3215" s="45"/>
      <c r="L3215" s="45"/>
      <c r="M3215" s="45"/>
      <c r="N3215" s="45"/>
      <c r="O3215" s="45"/>
      <c r="P3215" s="45"/>
      <c r="Q3215" s="45"/>
      <c r="R3215" s="45"/>
      <c r="S3215" s="45"/>
      <c r="T3215" s="45"/>
      <c r="U3215" s="45"/>
    </row>
    <row r="3216">
      <c r="A3216" s="79" t="s">
        <v>21528</v>
      </c>
      <c r="B3216" s="45"/>
      <c r="C3216" s="79" t="s">
        <v>21529</v>
      </c>
      <c r="D3216" s="45"/>
      <c r="E3216" s="79" t="s">
        <v>5226</v>
      </c>
      <c r="F3216" s="79" t="s">
        <v>5836</v>
      </c>
      <c r="G3216" s="80" t="s">
        <v>96</v>
      </c>
      <c r="H3216" s="90">
        <v>6.14E-5</v>
      </c>
      <c r="I3216" s="45"/>
      <c r="J3216" s="45"/>
      <c r="K3216" s="45"/>
      <c r="L3216" s="45"/>
      <c r="M3216" s="45"/>
      <c r="N3216" s="45"/>
      <c r="O3216" s="45"/>
      <c r="P3216" s="45"/>
      <c r="Q3216" s="45"/>
      <c r="R3216" s="45"/>
      <c r="S3216" s="45"/>
      <c r="T3216" s="45"/>
      <c r="U3216" s="45"/>
    </row>
    <row r="3217">
      <c r="A3217" s="79" t="s">
        <v>21530</v>
      </c>
      <c r="B3217" s="45"/>
      <c r="C3217" s="79" t="s">
        <v>21531</v>
      </c>
      <c r="D3217" s="45"/>
      <c r="E3217" s="79" t="s">
        <v>5249</v>
      </c>
      <c r="F3217" s="79" t="s">
        <v>9513</v>
      </c>
      <c r="G3217" s="80" t="s">
        <v>96</v>
      </c>
      <c r="H3217" s="90">
        <v>6.14E-5</v>
      </c>
      <c r="I3217" s="45"/>
      <c r="J3217" s="45"/>
      <c r="K3217" s="45"/>
      <c r="L3217" s="45"/>
      <c r="M3217" s="45"/>
      <c r="N3217" s="45"/>
      <c r="O3217" s="45"/>
      <c r="P3217" s="45"/>
      <c r="Q3217" s="45"/>
      <c r="R3217" s="45"/>
      <c r="S3217" s="45"/>
      <c r="T3217" s="45"/>
      <c r="U3217" s="45"/>
    </row>
    <row r="3218">
      <c r="A3218" s="79" t="s">
        <v>21532</v>
      </c>
      <c r="B3218" s="45"/>
      <c r="C3218" s="79" t="s">
        <v>21533</v>
      </c>
      <c r="D3218" s="45"/>
      <c r="E3218" s="79" t="s">
        <v>5238</v>
      </c>
      <c r="F3218" s="79" t="s">
        <v>8784</v>
      </c>
      <c r="G3218" s="80" t="s">
        <v>96</v>
      </c>
      <c r="H3218" s="90">
        <v>6.14E-5</v>
      </c>
      <c r="I3218" s="45"/>
      <c r="J3218" s="45"/>
      <c r="K3218" s="45"/>
      <c r="L3218" s="45"/>
      <c r="M3218" s="45"/>
      <c r="N3218" s="45"/>
      <c r="O3218" s="45"/>
      <c r="P3218" s="45"/>
      <c r="Q3218" s="45"/>
      <c r="R3218" s="45"/>
      <c r="S3218" s="45"/>
      <c r="T3218" s="45"/>
      <c r="U3218" s="45"/>
    </row>
    <row r="3219">
      <c r="A3219" s="79" t="s">
        <v>21534</v>
      </c>
      <c r="B3219" s="45"/>
      <c r="C3219" s="79" t="s">
        <v>21535</v>
      </c>
      <c r="D3219" s="45"/>
      <c r="E3219" s="79" t="s">
        <v>5326</v>
      </c>
      <c r="F3219" s="79" t="s">
        <v>8784</v>
      </c>
      <c r="G3219" s="80" t="s">
        <v>96</v>
      </c>
      <c r="H3219" s="90">
        <v>6.13E-5</v>
      </c>
      <c r="I3219" s="45"/>
      <c r="J3219" s="45"/>
      <c r="K3219" s="45"/>
      <c r="L3219" s="45"/>
      <c r="M3219" s="45"/>
      <c r="N3219" s="45"/>
      <c r="O3219" s="45"/>
      <c r="P3219" s="45"/>
      <c r="Q3219" s="45"/>
      <c r="R3219" s="45"/>
      <c r="S3219" s="45"/>
      <c r="T3219" s="45"/>
      <c r="U3219" s="45"/>
    </row>
    <row r="3220">
      <c r="A3220" s="79" t="s">
        <v>21536</v>
      </c>
      <c r="B3220" s="45"/>
      <c r="C3220" s="79" t="s">
        <v>21537</v>
      </c>
      <c r="D3220" s="45"/>
      <c r="E3220" s="79" t="s">
        <v>5309</v>
      </c>
      <c r="F3220" s="79" t="s">
        <v>5300</v>
      </c>
      <c r="G3220" s="80" t="s">
        <v>96</v>
      </c>
      <c r="H3220" s="90">
        <v>6.13E-5</v>
      </c>
      <c r="I3220" s="45"/>
      <c r="J3220" s="45"/>
      <c r="K3220" s="45"/>
      <c r="L3220" s="45"/>
      <c r="M3220" s="45"/>
      <c r="N3220" s="45"/>
      <c r="O3220" s="45"/>
      <c r="P3220" s="45"/>
      <c r="Q3220" s="45"/>
      <c r="R3220" s="45"/>
      <c r="S3220" s="45"/>
      <c r="T3220" s="45"/>
      <c r="U3220" s="45"/>
    </row>
    <row r="3221">
      <c r="A3221" s="79" t="s">
        <v>21538</v>
      </c>
      <c r="B3221" s="45"/>
      <c r="C3221" s="79" t="s">
        <v>21539</v>
      </c>
      <c r="D3221" s="45"/>
      <c r="E3221" s="79" t="s">
        <v>5335</v>
      </c>
      <c r="F3221" s="79" t="s">
        <v>8784</v>
      </c>
      <c r="G3221" s="80" t="s">
        <v>96</v>
      </c>
      <c r="H3221" s="90">
        <v>6.13E-5</v>
      </c>
      <c r="I3221" s="45"/>
      <c r="J3221" s="45"/>
      <c r="K3221" s="45"/>
      <c r="L3221" s="45"/>
      <c r="M3221" s="45"/>
      <c r="N3221" s="45"/>
      <c r="O3221" s="45"/>
      <c r="P3221" s="45"/>
      <c r="Q3221" s="45"/>
      <c r="R3221" s="45"/>
      <c r="S3221" s="45"/>
      <c r="T3221" s="45"/>
      <c r="U3221" s="45"/>
    </row>
    <row r="3222">
      <c r="A3222" s="79" t="s">
        <v>21540</v>
      </c>
      <c r="B3222" s="45"/>
      <c r="C3222" s="79" t="s">
        <v>21541</v>
      </c>
      <c r="D3222" s="45"/>
      <c r="E3222" s="79" t="s">
        <v>5855</v>
      </c>
      <c r="F3222" s="79" t="s">
        <v>8784</v>
      </c>
      <c r="G3222" s="80" t="s">
        <v>96</v>
      </c>
      <c r="H3222" s="90">
        <v>6.12E-5</v>
      </c>
      <c r="I3222" s="45"/>
      <c r="J3222" s="45"/>
      <c r="K3222" s="45"/>
      <c r="L3222" s="45"/>
      <c r="M3222" s="45"/>
      <c r="N3222" s="45"/>
      <c r="O3222" s="45"/>
      <c r="P3222" s="45"/>
      <c r="Q3222" s="45"/>
      <c r="R3222" s="45"/>
      <c r="S3222" s="45"/>
      <c r="T3222" s="45"/>
      <c r="U3222" s="45"/>
    </row>
    <row r="3223">
      <c r="A3223" s="79" t="s">
        <v>21542</v>
      </c>
      <c r="B3223" s="45"/>
      <c r="C3223" s="79" t="s">
        <v>21543</v>
      </c>
      <c r="D3223" s="45"/>
      <c r="E3223" s="79" t="s">
        <v>5404</v>
      </c>
      <c r="F3223" s="79" t="s">
        <v>8784</v>
      </c>
      <c r="G3223" s="80" t="s">
        <v>96</v>
      </c>
      <c r="H3223" s="90">
        <v>6.11E-5</v>
      </c>
      <c r="I3223" s="45"/>
      <c r="J3223" s="45"/>
      <c r="K3223" s="45"/>
      <c r="L3223" s="45"/>
      <c r="M3223" s="45"/>
      <c r="N3223" s="45"/>
      <c r="O3223" s="45"/>
      <c r="P3223" s="45"/>
      <c r="Q3223" s="45"/>
      <c r="R3223" s="45"/>
      <c r="S3223" s="45"/>
      <c r="T3223" s="45"/>
      <c r="U3223" s="45"/>
    </row>
    <row r="3224">
      <c r="A3224" s="79" t="s">
        <v>21544</v>
      </c>
      <c r="B3224" s="45"/>
      <c r="C3224" s="79" t="s">
        <v>21545</v>
      </c>
      <c r="D3224" s="45"/>
      <c r="E3224" s="79" t="s">
        <v>9189</v>
      </c>
      <c r="F3224" s="79" t="s">
        <v>5300</v>
      </c>
      <c r="G3224" s="80" t="s">
        <v>96</v>
      </c>
      <c r="H3224" s="90">
        <v>6.1E-5</v>
      </c>
      <c r="I3224" s="45"/>
      <c r="J3224" s="45"/>
      <c r="K3224" s="45"/>
      <c r="L3224" s="45"/>
      <c r="M3224" s="45"/>
      <c r="N3224" s="45"/>
      <c r="O3224" s="45"/>
      <c r="P3224" s="45"/>
      <c r="Q3224" s="45"/>
      <c r="R3224" s="45"/>
      <c r="S3224" s="45"/>
      <c r="T3224" s="45"/>
      <c r="U3224" s="45"/>
    </row>
    <row r="3225">
      <c r="A3225" s="79" t="s">
        <v>6204</v>
      </c>
      <c r="B3225" s="45"/>
      <c r="C3225" s="79" t="s">
        <v>21546</v>
      </c>
      <c r="D3225" s="45"/>
      <c r="E3225" s="79" t="s">
        <v>5395</v>
      </c>
      <c r="F3225" s="79" t="s">
        <v>5300</v>
      </c>
      <c r="G3225" s="80" t="s">
        <v>96</v>
      </c>
      <c r="H3225" s="90">
        <v>6.1E-5</v>
      </c>
      <c r="I3225" s="45"/>
      <c r="J3225" s="45"/>
      <c r="K3225" s="45"/>
      <c r="L3225" s="45"/>
      <c r="M3225" s="45"/>
      <c r="N3225" s="45"/>
      <c r="O3225" s="45"/>
      <c r="P3225" s="45"/>
      <c r="Q3225" s="45"/>
      <c r="R3225" s="45"/>
      <c r="S3225" s="45"/>
      <c r="T3225" s="45"/>
      <c r="U3225" s="45"/>
    </row>
    <row r="3226">
      <c r="A3226" s="79" t="s">
        <v>21547</v>
      </c>
      <c r="B3226" s="45"/>
      <c r="C3226" s="79" t="s">
        <v>21548</v>
      </c>
      <c r="D3226" s="45"/>
      <c r="E3226" s="79" t="s">
        <v>5261</v>
      </c>
      <c r="F3226" s="79" t="s">
        <v>5300</v>
      </c>
      <c r="G3226" s="80" t="s">
        <v>96</v>
      </c>
      <c r="H3226" s="90">
        <v>6.1E-5</v>
      </c>
      <c r="I3226" s="45"/>
      <c r="J3226" s="45"/>
      <c r="K3226" s="45"/>
      <c r="L3226" s="45"/>
      <c r="M3226" s="45"/>
      <c r="N3226" s="45"/>
      <c r="O3226" s="45"/>
      <c r="P3226" s="45"/>
      <c r="Q3226" s="45"/>
      <c r="R3226" s="45"/>
      <c r="S3226" s="45"/>
      <c r="T3226" s="45"/>
      <c r="U3226" s="45"/>
    </row>
    <row r="3227">
      <c r="A3227" s="79" t="s">
        <v>21549</v>
      </c>
      <c r="B3227" s="45"/>
      <c r="C3227" s="79" t="s">
        <v>21550</v>
      </c>
      <c r="D3227" s="45"/>
      <c r="E3227" s="79" t="s">
        <v>7476</v>
      </c>
      <c r="F3227" s="79" t="s">
        <v>5300</v>
      </c>
      <c r="G3227" s="80" t="s">
        <v>96</v>
      </c>
      <c r="H3227" s="90">
        <v>6.1E-5</v>
      </c>
      <c r="I3227" s="45"/>
      <c r="J3227" s="45"/>
      <c r="K3227" s="45"/>
      <c r="L3227" s="45"/>
      <c r="M3227" s="45"/>
      <c r="N3227" s="45"/>
      <c r="O3227" s="45"/>
      <c r="P3227" s="45"/>
      <c r="Q3227" s="45"/>
      <c r="R3227" s="45"/>
      <c r="S3227" s="45"/>
      <c r="T3227" s="45"/>
      <c r="U3227" s="45"/>
    </row>
    <row r="3228">
      <c r="A3228" s="79" t="s">
        <v>21551</v>
      </c>
      <c r="B3228" s="45"/>
      <c r="C3228" s="79" t="s">
        <v>21552</v>
      </c>
      <c r="D3228" s="45"/>
      <c r="E3228" s="79" t="s">
        <v>5218</v>
      </c>
      <c r="F3228" s="79" t="s">
        <v>5300</v>
      </c>
      <c r="G3228" s="80" t="s">
        <v>96</v>
      </c>
      <c r="H3228" s="90">
        <v>6.1E-5</v>
      </c>
      <c r="I3228" s="45"/>
      <c r="J3228" s="45"/>
      <c r="K3228" s="45"/>
      <c r="L3228" s="45"/>
      <c r="M3228" s="45"/>
      <c r="N3228" s="45"/>
      <c r="O3228" s="45"/>
      <c r="P3228" s="45"/>
      <c r="Q3228" s="45"/>
      <c r="R3228" s="45"/>
      <c r="S3228" s="45"/>
      <c r="T3228" s="45"/>
      <c r="U3228" s="45"/>
    </row>
    <row r="3229">
      <c r="A3229" s="79" t="s">
        <v>21553</v>
      </c>
      <c r="B3229" s="45"/>
      <c r="C3229" s="79" t="s">
        <v>21554</v>
      </c>
      <c r="D3229" s="45"/>
      <c r="E3229" s="79" t="s">
        <v>5456</v>
      </c>
      <c r="F3229" s="79" t="s">
        <v>8784</v>
      </c>
      <c r="G3229" s="80" t="s">
        <v>96</v>
      </c>
      <c r="H3229" s="90">
        <v>6.09E-5</v>
      </c>
      <c r="I3229" s="45"/>
      <c r="J3229" s="45"/>
      <c r="K3229" s="45"/>
      <c r="L3229" s="45"/>
      <c r="M3229" s="45"/>
      <c r="N3229" s="45"/>
      <c r="O3229" s="45"/>
      <c r="P3229" s="45"/>
      <c r="Q3229" s="45"/>
      <c r="R3229" s="45"/>
      <c r="S3229" s="45"/>
      <c r="T3229" s="45"/>
      <c r="U3229" s="45"/>
    </row>
    <row r="3230">
      <c r="A3230" s="79" t="s">
        <v>21555</v>
      </c>
      <c r="B3230" s="45"/>
      <c r="C3230" s="79" t="s">
        <v>21556</v>
      </c>
      <c r="D3230" s="45"/>
      <c r="E3230" s="79" t="s">
        <v>5326</v>
      </c>
      <c r="F3230" s="79" t="s">
        <v>5300</v>
      </c>
      <c r="G3230" s="80" t="s">
        <v>96</v>
      </c>
      <c r="H3230" s="90">
        <v>6.09E-5</v>
      </c>
      <c r="I3230" s="45"/>
      <c r="J3230" s="45"/>
      <c r="K3230" s="45"/>
      <c r="L3230" s="45"/>
      <c r="M3230" s="45"/>
      <c r="N3230" s="45"/>
      <c r="O3230" s="45"/>
      <c r="P3230" s="45"/>
      <c r="Q3230" s="45"/>
      <c r="R3230" s="45"/>
      <c r="S3230" s="45"/>
      <c r="T3230" s="45"/>
      <c r="U3230" s="45"/>
    </row>
    <row r="3231">
      <c r="A3231" s="79" t="s">
        <v>21557</v>
      </c>
      <c r="B3231" s="45"/>
      <c r="C3231" s="79" t="s">
        <v>21558</v>
      </c>
      <c r="D3231" s="45"/>
      <c r="E3231" s="79" t="s">
        <v>5756</v>
      </c>
      <c r="F3231" s="79" t="s">
        <v>9299</v>
      </c>
      <c r="G3231" s="80" t="s">
        <v>96</v>
      </c>
      <c r="H3231" s="90">
        <v>6.08E-5</v>
      </c>
      <c r="I3231" s="45"/>
      <c r="J3231" s="45"/>
      <c r="K3231" s="45"/>
      <c r="L3231" s="45"/>
      <c r="M3231" s="45"/>
      <c r="N3231" s="45"/>
      <c r="O3231" s="45"/>
      <c r="P3231" s="45"/>
      <c r="Q3231" s="45"/>
      <c r="R3231" s="45"/>
      <c r="S3231" s="45"/>
      <c r="T3231" s="45"/>
      <c r="U3231" s="45"/>
    </row>
    <row r="3232">
      <c r="A3232" s="79" t="s">
        <v>21559</v>
      </c>
      <c r="B3232" s="45"/>
      <c r="C3232" s="79" t="s">
        <v>21560</v>
      </c>
      <c r="D3232" s="45"/>
      <c r="E3232" s="79" t="s">
        <v>5434</v>
      </c>
      <c r="F3232" s="79" t="s">
        <v>5300</v>
      </c>
      <c r="G3232" s="80" t="s">
        <v>96</v>
      </c>
      <c r="H3232" s="90">
        <v>6.08E-5</v>
      </c>
      <c r="I3232" s="45"/>
      <c r="J3232" s="45"/>
      <c r="K3232" s="45"/>
      <c r="L3232" s="45"/>
      <c r="M3232" s="45"/>
      <c r="N3232" s="45"/>
      <c r="O3232" s="45"/>
      <c r="P3232" s="45"/>
      <c r="Q3232" s="45"/>
      <c r="R3232" s="45"/>
      <c r="S3232" s="45"/>
      <c r="T3232" s="45"/>
      <c r="U3232" s="45"/>
    </row>
    <row r="3233">
      <c r="A3233" s="79" t="s">
        <v>21561</v>
      </c>
      <c r="B3233" s="45"/>
      <c r="C3233" s="79" t="s">
        <v>21562</v>
      </c>
      <c r="D3233" s="45"/>
      <c r="E3233" s="79" t="s">
        <v>5961</v>
      </c>
      <c r="F3233" s="79" t="s">
        <v>8784</v>
      </c>
      <c r="G3233" s="80" t="s">
        <v>96</v>
      </c>
      <c r="H3233" s="90">
        <v>6.08E-5</v>
      </c>
      <c r="I3233" s="45"/>
      <c r="J3233" s="45"/>
      <c r="K3233" s="45"/>
      <c r="L3233" s="45"/>
      <c r="M3233" s="45"/>
      <c r="N3233" s="45"/>
      <c r="O3233" s="45"/>
      <c r="P3233" s="45"/>
      <c r="Q3233" s="45"/>
      <c r="R3233" s="45"/>
      <c r="S3233" s="45"/>
      <c r="T3233" s="45"/>
      <c r="U3233" s="45"/>
    </row>
    <row r="3234">
      <c r="A3234" s="79" t="s">
        <v>21563</v>
      </c>
      <c r="B3234" s="45"/>
      <c r="C3234" s="79" t="s">
        <v>21564</v>
      </c>
      <c r="D3234" s="45"/>
      <c r="E3234" s="79" t="s">
        <v>9810</v>
      </c>
      <c r="F3234" s="79" t="s">
        <v>5300</v>
      </c>
      <c r="G3234" s="80" t="s">
        <v>96</v>
      </c>
      <c r="H3234" s="90">
        <v>6.07E-5</v>
      </c>
      <c r="I3234" s="45"/>
      <c r="J3234" s="45"/>
      <c r="K3234" s="45"/>
      <c r="L3234" s="45"/>
      <c r="M3234" s="45"/>
      <c r="N3234" s="45"/>
      <c r="O3234" s="45"/>
      <c r="P3234" s="45"/>
      <c r="Q3234" s="45"/>
      <c r="R3234" s="45"/>
      <c r="S3234" s="45"/>
      <c r="T3234" s="45"/>
      <c r="U3234" s="45"/>
    </row>
    <row r="3235">
      <c r="A3235" s="79" t="s">
        <v>21565</v>
      </c>
      <c r="B3235" s="45"/>
      <c r="C3235" s="79" t="s">
        <v>21566</v>
      </c>
      <c r="D3235" s="45"/>
      <c r="E3235" s="79" t="s">
        <v>5456</v>
      </c>
      <c r="F3235" s="79" t="s">
        <v>5300</v>
      </c>
      <c r="G3235" s="80" t="s">
        <v>96</v>
      </c>
      <c r="H3235" s="90">
        <v>6.07E-5</v>
      </c>
      <c r="I3235" s="45"/>
      <c r="J3235" s="45"/>
      <c r="K3235" s="45"/>
      <c r="L3235" s="45"/>
      <c r="M3235" s="45"/>
      <c r="N3235" s="45"/>
      <c r="O3235" s="45"/>
      <c r="P3235" s="45"/>
      <c r="Q3235" s="45"/>
      <c r="R3235" s="45"/>
      <c r="S3235" s="45"/>
      <c r="T3235" s="45"/>
      <c r="U3235" s="45"/>
    </row>
    <row r="3236">
      <c r="A3236" s="79" t="s">
        <v>21567</v>
      </c>
      <c r="B3236" s="45"/>
      <c r="C3236" s="79" t="s">
        <v>21568</v>
      </c>
      <c r="D3236" s="45"/>
      <c r="E3236" s="79" t="s">
        <v>5501</v>
      </c>
      <c r="F3236" s="79" t="s">
        <v>8784</v>
      </c>
      <c r="G3236" s="80" t="s">
        <v>96</v>
      </c>
      <c r="H3236" s="90">
        <v>6.07E-5</v>
      </c>
      <c r="I3236" s="45"/>
      <c r="J3236" s="45"/>
      <c r="K3236" s="45"/>
      <c r="L3236" s="45"/>
      <c r="M3236" s="45"/>
      <c r="N3236" s="45"/>
      <c r="O3236" s="45"/>
      <c r="P3236" s="45"/>
      <c r="Q3236" s="45"/>
      <c r="R3236" s="45"/>
      <c r="S3236" s="45"/>
      <c r="T3236" s="45"/>
      <c r="U3236" s="45"/>
    </row>
    <row r="3237">
      <c r="A3237" s="79" t="s">
        <v>21569</v>
      </c>
      <c r="B3237" s="45"/>
      <c r="C3237" s="79" t="s">
        <v>21570</v>
      </c>
      <c r="D3237" s="45"/>
      <c r="E3237" s="79" t="s">
        <v>5735</v>
      </c>
      <c r="F3237" s="79" t="s">
        <v>5300</v>
      </c>
      <c r="G3237" s="80" t="s">
        <v>96</v>
      </c>
      <c r="H3237" s="90">
        <v>6.07E-5</v>
      </c>
      <c r="I3237" s="45"/>
      <c r="J3237" s="45"/>
      <c r="K3237" s="45"/>
      <c r="L3237" s="45"/>
      <c r="M3237" s="45"/>
      <c r="N3237" s="45"/>
      <c r="O3237" s="45"/>
      <c r="P3237" s="45"/>
      <c r="Q3237" s="45"/>
      <c r="R3237" s="45"/>
      <c r="S3237" s="45"/>
      <c r="T3237" s="45"/>
      <c r="U3237" s="45"/>
    </row>
    <row r="3238">
      <c r="A3238" s="79" t="s">
        <v>21571</v>
      </c>
      <c r="B3238" s="45"/>
      <c r="C3238" s="79" t="s">
        <v>21572</v>
      </c>
      <c r="D3238" s="45"/>
      <c r="E3238" s="79" t="s">
        <v>6877</v>
      </c>
      <c r="F3238" s="79" t="s">
        <v>8784</v>
      </c>
      <c r="G3238" s="80" t="s">
        <v>96</v>
      </c>
      <c r="H3238" s="90">
        <v>6.06E-5</v>
      </c>
      <c r="I3238" s="45"/>
      <c r="J3238" s="45"/>
      <c r="K3238" s="45"/>
      <c r="L3238" s="45"/>
      <c r="M3238" s="45"/>
      <c r="N3238" s="45"/>
      <c r="O3238" s="45"/>
      <c r="P3238" s="45"/>
      <c r="Q3238" s="45"/>
      <c r="R3238" s="45"/>
      <c r="S3238" s="45"/>
      <c r="T3238" s="45"/>
      <c r="U3238" s="45"/>
    </row>
    <row r="3239">
      <c r="A3239" s="79" t="s">
        <v>21573</v>
      </c>
      <c r="B3239" s="45"/>
      <c r="C3239" s="79" t="s">
        <v>21574</v>
      </c>
      <c r="D3239" s="45"/>
      <c r="E3239" s="79" t="s">
        <v>5434</v>
      </c>
      <c r="F3239" s="79" t="s">
        <v>5836</v>
      </c>
      <c r="G3239" s="80" t="s">
        <v>96</v>
      </c>
      <c r="H3239" s="90">
        <v>6.05E-5</v>
      </c>
      <c r="I3239" s="45"/>
      <c r="J3239" s="45"/>
      <c r="K3239" s="45"/>
      <c r="L3239" s="45"/>
      <c r="M3239" s="45"/>
      <c r="N3239" s="45"/>
      <c r="O3239" s="45"/>
      <c r="P3239" s="45"/>
      <c r="Q3239" s="45"/>
      <c r="R3239" s="45"/>
      <c r="S3239" s="45"/>
      <c r="T3239" s="45"/>
      <c r="U3239" s="45"/>
    </row>
    <row r="3240">
      <c r="A3240" s="79" t="s">
        <v>19316</v>
      </c>
      <c r="B3240" s="45"/>
      <c r="C3240" s="79" t="s">
        <v>21575</v>
      </c>
      <c r="D3240" s="45"/>
      <c r="E3240" s="79" t="s">
        <v>5374</v>
      </c>
      <c r="F3240" s="79" t="s">
        <v>5425</v>
      </c>
      <c r="G3240" s="80" t="s">
        <v>96</v>
      </c>
      <c r="H3240" s="90">
        <v>6.04E-5</v>
      </c>
      <c r="I3240" s="45"/>
      <c r="J3240" s="45"/>
      <c r="K3240" s="45"/>
      <c r="L3240" s="45"/>
      <c r="M3240" s="45"/>
      <c r="N3240" s="45"/>
      <c r="O3240" s="45"/>
      <c r="P3240" s="45"/>
      <c r="Q3240" s="45"/>
      <c r="R3240" s="45"/>
      <c r="S3240" s="45"/>
      <c r="T3240" s="45"/>
      <c r="U3240" s="45"/>
    </row>
    <row r="3241">
      <c r="A3241" s="79" t="s">
        <v>21576</v>
      </c>
      <c r="B3241" s="45"/>
      <c r="C3241" s="79" t="s">
        <v>21577</v>
      </c>
      <c r="D3241" s="45"/>
      <c r="E3241" s="79" t="s">
        <v>5211</v>
      </c>
      <c r="F3241" s="79" t="s">
        <v>5836</v>
      </c>
      <c r="G3241" s="80" t="s">
        <v>96</v>
      </c>
      <c r="H3241" s="90">
        <v>6.04E-5</v>
      </c>
      <c r="I3241" s="45"/>
      <c r="J3241" s="45"/>
      <c r="K3241" s="45"/>
      <c r="L3241" s="45"/>
      <c r="M3241" s="45"/>
      <c r="N3241" s="45"/>
      <c r="O3241" s="45"/>
      <c r="P3241" s="45"/>
      <c r="Q3241" s="45"/>
      <c r="R3241" s="45"/>
      <c r="S3241" s="45"/>
      <c r="T3241" s="45"/>
      <c r="U3241" s="45"/>
    </row>
    <row r="3242">
      <c r="A3242" s="79" t="s">
        <v>21578</v>
      </c>
      <c r="B3242" s="45"/>
      <c r="C3242" s="79" t="s">
        <v>21579</v>
      </c>
      <c r="D3242" s="45"/>
      <c r="E3242" s="79" t="s">
        <v>5462</v>
      </c>
      <c r="F3242" s="79" t="s">
        <v>17657</v>
      </c>
      <c r="G3242" s="80" t="s">
        <v>96</v>
      </c>
      <c r="H3242" s="90">
        <v>6.04E-5</v>
      </c>
      <c r="I3242" s="45"/>
      <c r="J3242" s="45"/>
      <c r="K3242" s="45"/>
      <c r="L3242" s="45"/>
      <c r="M3242" s="45"/>
      <c r="N3242" s="45"/>
      <c r="O3242" s="45"/>
      <c r="P3242" s="45"/>
      <c r="Q3242" s="45"/>
      <c r="R3242" s="45"/>
      <c r="S3242" s="45"/>
      <c r="T3242" s="45"/>
      <c r="U3242" s="45"/>
    </row>
    <row r="3243">
      <c r="A3243" s="79" t="s">
        <v>21580</v>
      </c>
      <c r="B3243" s="45"/>
      <c r="C3243" s="79" t="s">
        <v>21581</v>
      </c>
      <c r="D3243" s="45"/>
      <c r="E3243" s="79" t="s">
        <v>5366</v>
      </c>
      <c r="F3243" s="79" t="s">
        <v>8784</v>
      </c>
      <c r="G3243" s="80" t="s">
        <v>96</v>
      </c>
      <c r="H3243" s="90">
        <v>6.03E-5</v>
      </c>
      <c r="I3243" s="45"/>
      <c r="J3243" s="45"/>
      <c r="K3243" s="45"/>
      <c r="L3243" s="45"/>
      <c r="M3243" s="45"/>
      <c r="N3243" s="45"/>
      <c r="O3243" s="45"/>
      <c r="P3243" s="45"/>
      <c r="Q3243" s="45"/>
      <c r="R3243" s="45"/>
      <c r="S3243" s="45"/>
      <c r="T3243" s="45"/>
      <c r="U3243" s="45"/>
    </row>
    <row r="3244">
      <c r="A3244" s="79" t="s">
        <v>21582</v>
      </c>
      <c r="B3244" s="45"/>
      <c r="C3244" s="79" t="s">
        <v>21583</v>
      </c>
      <c r="D3244" s="45"/>
      <c r="E3244" s="79" t="s">
        <v>6389</v>
      </c>
      <c r="F3244" s="79" t="s">
        <v>4095</v>
      </c>
      <c r="G3244" s="80" t="s">
        <v>96</v>
      </c>
      <c r="H3244" s="90">
        <v>6.02E-5</v>
      </c>
      <c r="I3244" s="45"/>
      <c r="J3244" s="45"/>
      <c r="K3244" s="45"/>
      <c r="L3244" s="45"/>
      <c r="M3244" s="45"/>
      <c r="N3244" s="45"/>
      <c r="O3244" s="45"/>
      <c r="P3244" s="45"/>
      <c r="Q3244" s="45"/>
      <c r="R3244" s="45"/>
      <c r="S3244" s="45"/>
      <c r="T3244" s="45"/>
      <c r="U3244" s="45"/>
    </row>
    <row r="3245">
      <c r="A3245" s="79" t="s">
        <v>21584</v>
      </c>
      <c r="B3245" s="45"/>
      <c r="C3245" s="79" t="s">
        <v>21585</v>
      </c>
      <c r="D3245" s="45"/>
      <c r="E3245" s="79" t="s">
        <v>5215</v>
      </c>
      <c r="F3245" s="79" t="s">
        <v>5300</v>
      </c>
      <c r="G3245" s="80" t="s">
        <v>96</v>
      </c>
      <c r="H3245" s="90">
        <v>6.02E-5</v>
      </c>
      <c r="I3245" s="45"/>
      <c r="J3245" s="45"/>
      <c r="K3245" s="45"/>
      <c r="L3245" s="45"/>
      <c r="M3245" s="45"/>
      <c r="N3245" s="45"/>
      <c r="O3245" s="45"/>
      <c r="P3245" s="45"/>
      <c r="Q3245" s="45"/>
      <c r="R3245" s="45"/>
      <c r="S3245" s="45"/>
      <c r="T3245" s="45"/>
      <c r="U3245" s="45"/>
    </row>
    <row r="3246">
      <c r="A3246" s="79" t="s">
        <v>21586</v>
      </c>
      <c r="B3246" s="45"/>
      <c r="C3246" s="79" t="s">
        <v>21587</v>
      </c>
      <c r="D3246" s="45"/>
      <c r="E3246" s="79" t="s">
        <v>7846</v>
      </c>
      <c r="F3246" s="79" t="s">
        <v>8784</v>
      </c>
      <c r="G3246" s="80" t="s">
        <v>96</v>
      </c>
      <c r="H3246" s="90">
        <v>6.02E-5</v>
      </c>
      <c r="I3246" s="45"/>
      <c r="J3246" s="45"/>
      <c r="K3246" s="45"/>
      <c r="L3246" s="45"/>
      <c r="M3246" s="45"/>
      <c r="N3246" s="45"/>
      <c r="O3246" s="45"/>
      <c r="P3246" s="45"/>
      <c r="Q3246" s="45"/>
      <c r="R3246" s="45"/>
      <c r="S3246" s="45"/>
      <c r="T3246" s="45"/>
      <c r="U3246" s="45"/>
    </row>
    <row r="3247">
      <c r="A3247" s="79" t="s">
        <v>21588</v>
      </c>
      <c r="B3247" s="45"/>
      <c r="C3247" s="79" t="s">
        <v>21589</v>
      </c>
      <c r="D3247" s="45"/>
      <c r="E3247" s="79" t="s">
        <v>6150</v>
      </c>
      <c r="F3247" s="79" t="s">
        <v>5300</v>
      </c>
      <c r="G3247" s="80" t="s">
        <v>96</v>
      </c>
      <c r="H3247" s="90">
        <v>6.02E-5</v>
      </c>
      <c r="I3247" s="45"/>
      <c r="J3247" s="45"/>
      <c r="K3247" s="45"/>
      <c r="L3247" s="45"/>
      <c r="M3247" s="45"/>
      <c r="N3247" s="45"/>
      <c r="O3247" s="45"/>
      <c r="P3247" s="45"/>
      <c r="Q3247" s="45"/>
      <c r="R3247" s="45"/>
      <c r="S3247" s="45"/>
      <c r="T3247" s="45"/>
      <c r="U3247" s="45"/>
    </row>
    <row r="3248">
      <c r="A3248" s="79" t="s">
        <v>21590</v>
      </c>
      <c r="B3248" s="45"/>
      <c r="C3248" s="79" t="s">
        <v>21591</v>
      </c>
      <c r="D3248" s="45"/>
      <c r="E3248" s="79" t="s">
        <v>5478</v>
      </c>
      <c r="F3248" s="79" t="s">
        <v>5300</v>
      </c>
      <c r="G3248" s="80" t="s">
        <v>96</v>
      </c>
      <c r="H3248" s="90">
        <v>6.02E-5</v>
      </c>
      <c r="I3248" s="45"/>
      <c r="J3248" s="45"/>
      <c r="K3248" s="45"/>
      <c r="L3248" s="45"/>
      <c r="M3248" s="45"/>
      <c r="N3248" s="45"/>
      <c r="O3248" s="45"/>
      <c r="P3248" s="45"/>
      <c r="Q3248" s="45"/>
      <c r="R3248" s="45"/>
      <c r="S3248" s="45"/>
      <c r="T3248" s="45"/>
      <c r="U3248" s="45"/>
    </row>
    <row r="3249">
      <c r="A3249" s="79" t="s">
        <v>21592</v>
      </c>
      <c r="B3249" s="45"/>
      <c r="C3249" s="79" t="s">
        <v>21593</v>
      </c>
      <c r="D3249" s="45"/>
      <c r="E3249" s="79" t="s">
        <v>7169</v>
      </c>
      <c r="F3249" s="79" t="s">
        <v>5300</v>
      </c>
      <c r="G3249" s="80" t="s">
        <v>96</v>
      </c>
      <c r="H3249" s="90">
        <v>6.01E-5</v>
      </c>
      <c r="I3249" s="45"/>
      <c r="J3249" s="45"/>
      <c r="K3249" s="45"/>
      <c r="L3249" s="45"/>
      <c r="M3249" s="45"/>
      <c r="N3249" s="45"/>
      <c r="O3249" s="45"/>
      <c r="P3249" s="45"/>
      <c r="Q3249" s="45"/>
      <c r="R3249" s="45"/>
      <c r="S3249" s="45"/>
      <c r="T3249" s="45"/>
      <c r="U3249" s="45"/>
    </row>
    <row r="3250">
      <c r="A3250" s="79" t="s">
        <v>21594</v>
      </c>
      <c r="B3250" s="45"/>
      <c r="C3250" s="79" t="s">
        <v>21595</v>
      </c>
      <c r="D3250" s="45"/>
      <c r="E3250" s="79" t="s">
        <v>5249</v>
      </c>
      <c r="F3250" s="79" t="s">
        <v>5300</v>
      </c>
      <c r="G3250" s="80" t="s">
        <v>96</v>
      </c>
      <c r="H3250" s="90">
        <v>6.0E-5</v>
      </c>
      <c r="I3250" s="45"/>
      <c r="J3250" s="45"/>
      <c r="K3250" s="45"/>
      <c r="L3250" s="45"/>
      <c r="M3250" s="45"/>
      <c r="N3250" s="45"/>
      <c r="O3250" s="45"/>
      <c r="P3250" s="45"/>
      <c r="Q3250" s="45"/>
      <c r="R3250" s="45"/>
      <c r="S3250" s="45"/>
      <c r="T3250" s="45"/>
      <c r="U3250" s="45"/>
    </row>
    <row r="3251">
      <c r="A3251" s="79" t="s">
        <v>21596</v>
      </c>
      <c r="B3251" s="45"/>
      <c r="C3251" s="79" t="s">
        <v>21597</v>
      </c>
      <c r="D3251" s="45"/>
      <c r="E3251" s="79" t="s">
        <v>5267</v>
      </c>
      <c r="F3251" s="79" t="s">
        <v>5425</v>
      </c>
      <c r="G3251" s="80" t="s">
        <v>96</v>
      </c>
      <c r="H3251" s="90">
        <v>6.0E-5</v>
      </c>
      <c r="I3251" s="45"/>
      <c r="J3251" s="45"/>
      <c r="K3251" s="45"/>
      <c r="L3251" s="45"/>
      <c r="M3251" s="45"/>
      <c r="N3251" s="45"/>
      <c r="O3251" s="45"/>
      <c r="P3251" s="45"/>
      <c r="Q3251" s="45"/>
      <c r="R3251" s="45"/>
      <c r="S3251" s="45"/>
      <c r="T3251" s="45"/>
      <c r="U3251" s="45"/>
    </row>
    <row r="3252">
      <c r="A3252" s="79" t="s">
        <v>21598</v>
      </c>
      <c r="B3252" s="45"/>
      <c r="C3252" s="79" t="s">
        <v>21599</v>
      </c>
      <c r="D3252" s="45"/>
      <c r="E3252" s="79" t="s">
        <v>5241</v>
      </c>
      <c r="F3252" s="79" t="s">
        <v>8767</v>
      </c>
      <c r="G3252" s="80" t="s">
        <v>96</v>
      </c>
      <c r="H3252" s="90">
        <v>5.99E-5</v>
      </c>
      <c r="I3252" s="45"/>
      <c r="J3252" s="45"/>
      <c r="K3252" s="45"/>
      <c r="L3252" s="45"/>
      <c r="M3252" s="45"/>
      <c r="N3252" s="45"/>
      <c r="O3252" s="45"/>
      <c r="P3252" s="45"/>
      <c r="Q3252" s="45"/>
      <c r="R3252" s="45"/>
      <c r="S3252" s="45"/>
      <c r="T3252" s="45"/>
      <c r="U3252" s="45"/>
    </row>
    <row r="3253">
      <c r="A3253" s="79" t="s">
        <v>21600</v>
      </c>
      <c r="B3253" s="45"/>
      <c r="C3253" s="79" t="s">
        <v>21601</v>
      </c>
      <c r="D3253" s="45"/>
      <c r="E3253" s="79" t="s">
        <v>6012</v>
      </c>
      <c r="F3253" s="79" t="s">
        <v>5300</v>
      </c>
      <c r="G3253" s="80" t="s">
        <v>96</v>
      </c>
      <c r="H3253" s="90">
        <v>5.98E-5</v>
      </c>
      <c r="I3253" s="45"/>
      <c r="J3253" s="45"/>
      <c r="K3253" s="45"/>
      <c r="L3253" s="45"/>
      <c r="M3253" s="45"/>
      <c r="N3253" s="45"/>
      <c r="O3253" s="45"/>
      <c r="P3253" s="45"/>
      <c r="Q3253" s="45"/>
      <c r="R3253" s="45"/>
      <c r="S3253" s="45"/>
      <c r="T3253" s="45"/>
      <c r="U3253" s="45"/>
    </row>
    <row r="3254">
      <c r="A3254" s="79" t="s">
        <v>21602</v>
      </c>
      <c r="B3254" s="45"/>
      <c r="C3254" s="79" t="s">
        <v>21603</v>
      </c>
      <c r="D3254" s="45"/>
      <c r="E3254" s="79" t="s">
        <v>5235</v>
      </c>
      <c r="F3254" s="79" t="s">
        <v>8784</v>
      </c>
      <c r="G3254" s="80" t="s">
        <v>96</v>
      </c>
      <c r="H3254" s="90">
        <v>5.97E-5</v>
      </c>
      <c r="I3254" s="45"/>
      <c r="J3254" s="45"/>
      <c r="K3254" s="45"/>
      <c r="L3254" s="45"/>
      <c r="M3254" s="45"/>
      <c r="N3254" s="45"/>
      <c r="O3254" s="45"/>
      <c r="P3254" s="45"/>
      <c r="Q3254" s="45"/>
      <c r="R3254" s="45"/>
      <c r="S3254" s="45"/>
      <c r="T3254" s="45"/>
      <c r="U3254" s="45"/>
    </row>
    <row r="3255">
      <c r="A3255" s="79" t="s">
        <v>21604</v>
      </c>
      <c r="B3255" s="45"/>
      <c r="C3255" s="79" t="s">
        <v>21605</v>
      </c>
      <c r="D3255" s="45"/>
      <c r="E3255" s="79" t="s">
        <v>5296</v>
      </c>
      <c r="F3255" s="79" t="s">
        <v>8784</v>
      </c>
      <c r="G3255" s="80" t="s">
        <v>96</v>
      </c>
      <c r="H3255" s="90">
        <v>5.97E-5</v>
      </c>
      <c r="I3255" s="45"/>
      <c r="J3255" s="45"/>
      <c r="K3255" s="45"/>
      <c r="L3255" s="45"/>
      <c r="M3255" s="45"/>
      <c r="N3255" s="45"/>
      <c r="O3255" s="45"/>
      <c r="P3255" s="45"/>
      <c r="Q3255" s="45"/>
      <c r="R3255" s="45"/>
      <c r="S3255" s="45"/>
      <c r="T3255" s="45"/>
      <c r="U3255" s="45"/>
    </row>
    <row r="3256">
      <c r="A3256" s="79" t="s">
        <v>21606</v>
      </c>
      <c r="B3256" s="45"/>
      <c r="C3256" s="79" t="s">
        <v>21607</v>
      </c>
      <c r="D3256" s="45"/>
      <c r="E3256" s="79" t="s">
        <v>5390</v>
      </c>
      <c r="F3256" s="79" t="s">
        <v>8784</v>
      </c>
      <c r="G3256" s="80" t="s">
        <v>96</v>
      </c>
      <c r="H3256" s="90">
        <v>5.97E-5</v>
      </c>
      <c r="I3256" s="45"/>
      <c r="J3256" s="45"/>
      <c r="K3256" s="45"/>
      <c r="L3256" s="45"/>
      <c r="M3256" s="45"/>
      <c r="N3256" s="45"/>
      <c r="O3256" s="45"/>
      <c r="P3256" s="45"/>
      <c r="Q3256" s="45"/>
      <c r="R3256" s="45"/>
      <c r="S3256" s="45"/>
      <c r="T3256" s="45"/>
      <c r="U3256" s="45"/>
    </row>
    <row r="3257">
      <c r="A3257" s="79" t="s">
        <v>21608</v>
      </c>
      <c r="B3257" s="45"/>
      <c r="C3257" s="79" t="s">
        <v>21609</v>
      </c>
      <c r="D3257" s="45"/>
      <c r="E3257" s="79" t="s">
        <v>5309</v>
      </c>
      <c r="F3257" s="79" t="s">
        <v>5300</v>
      </c>
      <c r="G3257" s="80" t="s">
        <v>96</v>
      </c>
      <c r="H3257" s="90">
        <v>5.97E-5</v>
      </c>
      <c r="I3257" s="45"/>
      <c r="J3257" s="45"/>
      <c r="K3257" s="45"/>
      <c r="L3257" s="45"/>
      <c r="M3257" s="45"/>
      <c r="N3257" s="45"/>
      <c r="O3257" s="45"/>
      <c r="P3257" s="45"/>
      <c r="Q3257" s="45"/>
      <c r="R3257" s="45"/>
      <c r="S3257" s="45"/>
      <c r="T3257" s="45"/>
      <c r="U3257" s="45"/>
    </row>
    <row r="3258">
      <c r="A3258" s="79" t="s">
        <v>21610</v>
      </c>
      <c r="B3258" s="45"/>
      <c r="C3258" s="79" t="s">
        <v>21611</v>
      </c>
      <c r="D3258" s="45"/>
      <c r="E3258" s="79" t="s">
        <v>6249</v>
      </c>
      <c r="F3258" s="79" t="s">
        <v>5300</v>
      </c>
      <c r="G3258" s="80" t="s">
        <v>96</v>
      </c>
      <c r="H3258" s="90">
        <v>5.97E-5</v>
      </c>
      <c r="I3258" s="45"/>
      <c r="J3258" s="45"/>
      <c r="K3258" s="45"/>
      <c r="L3258" s="45"/>
      <c r="M3258" s="45"/>
      <c r="N3258" s="45"/>
      <c r="O3258" s="45"/>
      <c r="P3258" s="45"/>
      <c r="Q3258" s="45"/>
      <c r="R3258" s="45"/>
      <c r="S3258" s="45"/>
      <c r="T3258" s="45"/>
      <c r="U3258" s="45"/>
    </row>
    <row r="3259">
      <c r="A3259" s="79" t="s">
        <v>21612</v>
      </c>
      <c r="B3259" s="45"/>
      <c r="C3259" s="79" t="s">
        <v>21613</v>
      </c>
      <c r="D3259" s="45"/>
      <c r="E3259" s="79" t="s">
        <v>5335</v>
      </c>
      <c r="F3259" s="79" t="s">
        <v>5300</v>
      </c>
      <c r="G3259" s="80" t="s">
        <v>96</v>
      </c>
      <c r="H3259" s="90">
        <v>5.95E-5</v>
      </c>
      <c r="I3259" s="45"/>
      <c r="J3259" s="45"/>
      <c r="K3259" s="45"/>
      <c r="L3259" s="45"/>
      <c r="M3259" s="45"/>
      <c r="N3259" s="45"/>
      <c r="O3259" s="45"/>
      <c r="P3259" s="45"/>
      <c r="Q3259" s="45"/>
      <c r="R3259" s="45"/>
      <c r="S3259" s="45"/>
      <c r="T3259" s="45"/>
      <c r="U3259" s="45"/>
    </row>
    <row r="3260">
      <c r="A3260" s="79" t="s">
        <v>21614</v>
      </c>
      <c r="B3260" s="45"/>
      <c r="C3260" s="79" t="s">
        <v>21615</v>
      </c>
      <c r="D3260" s="45"/>
      <c r="E3260" s="79" t="s">
        <v>5341</v>
      </c>
      <c r="F3260" s="79" t="s">
        <v>9414</v>
      </c>
      <c r="G3260" s="80" t="s">
        <v>96</v>
      </c>
      <c r="H3260" s="90">
        <v>5.95E-5</v>
      </c>
      <c r="I3260" s="45"/>
      <c r="J3260" s="45"/>
      <c r="K3260" s="45"/>
      <c r="L3260" s="45"/>
      <c r="M3260" s="45"/>
      <c r="N3260" s="45"/>
      <c r="O3260" s="45"/>
      <c r="P3260" s="45"/>
      <c r="Q3260" s="45"/>
      <c r="R3260" s="45"/>
      <c r="S3260" s="45"/>
      <c r="T3260" s="45"/>
      <c r="U3260" s="45"/>
    </row>
    <row r="3261">
      <c r="A3261" s="79" t="s">
        <v>21616</v>
      </c>
      <c r="B3261" s="45"/>
      <c r="C3261" s="79" t="s">
        <v>21617</v>
      </c>
      <c r="D3261" s="45"/>
      <c r="E3261" s="79" t="s">
        <v>5226</v>
      </c>
      <c r="F3261" s="79" t="s">
        <v>5836</v>
      </c>
      <c r="G3261" s="80" t="s">
        <v>96</v>
      </c>
      <c r="H3261" s="90">
        <v>5.94E-5</v>
      </c>
      <c r="I3261" s="45"/>
      <c r="J3261" s="45"/>
      <c r="K3261" s="45"/>
      <c r="L3261" s="45"/>
      <c r="M3261" s="45"/>
      <c r="N3261" s="45"/>
      <c r="O3261" s="45"/>
      <c r="P3261" s="45"/>
      <c r="Q3261" s="45"/>
      <c r="R3261" s="45"/>
      <c r="S3261" s="45"/>
      <c r="T3261" s="45"/>
      <c r="U3261" s="45"/>
    </row>
    <row r="3262">
      <c r="A3262" s="79" t="s">
        <v>21618</v>
      </c>
      <c r="B3262" s="45"/>
      <c r="C3262" s="79" t="s">
        <v>21619</v>
      </c>
      <c r="D3262" s="45"/>
      <c r="E3262" s="79" t="s">
        <v>6480</v>
      </c>
      <c r="F3262" s="79" t="s">
        <v>8784</v>
      </c>
      <c r="G3262" s="80" t="s">
        <v>96</v>
      </c>
      <c r="H3262" s="90">
        <v>5.94E-5</v>
      </c>
      <c r="I3262" s="45"/>
      <c r="J3262" s="45"/>
      <c r="K3262" s="45"/>
      <c r="L3262" s="45"/>
      <c r="M3262" s="45"/>
      <c r="N3262" s="45"/>
      <c r="O3262" s="45"/>
      <c r="P3262" s="45"/>
      <c r="Q3262" s="45"/>
      <c r="R3262" s="45"/>
      <c r="S3262" s="45"/>
      <c r="T3262" s="45"/>
      <c r="U3262" s="45"/>
    </row>
    <row r="3263">
      <c r="A3263" s="79" t="s">
        <v>21620</v>
      </c>
      <c r="B3263" s="45"/>
      <c r="C3263" s="79" t="s">
        <v>21621</v>
      </c>
      <c r="D3263" s="45"/>
      <c r="E3263" s="79" t="s">
        <v>5501</v>
      </c>
      <c r="F3263" s="79" t="s">
        <v>8784</v>
      </c>
      <c r="G3263" s="80" t="s">
        <v>96</v>
      </c>
      <c r="H3263" s="90">
        <v>5.93E-5</v>
      </c>
      <c r="I3263" s="45"/>
      <c r="J3263" s="45"/>
      <c r="K3263" s="45"/>
      <c r="L3263" s="45"/>
      <c r="M3263" s="45"/>
      <c r="N3263" s="45"/>
      <c r="O3263" s="45"/>
      <c r="P3263" s="45"/>
      <c r="Q3263" s="45"/>
      <c r="R3263" s="45"/>
      <c r="S3263" s="45"/>
      <c r="T3263" s="45"/>
      <c r="U3263" s="45"/>
    </row>
    <row r="3264">
      <c r="A3264" s="79" t="s">
        <v>21622</v>
      </c>
      <c r="B3264" s="45"/>
      <c r="C3264" s="79" t="s">
        <v>21623</v>
      </c>
      <c r="D3264" s="45"/>
      <c r="E3264" s="79" t="s">
        <v>5467</v>
      </c>
      <c r="F3264" s="79" t="s">
        <v>5300</v>
      </c>
      <c r="G3264" s="80" t="s">
        <v>96</v>
      </c>
      <c r="H3264" s="90">
        <v>5.93E-5</v>
      </c>
      <c r="I3264" s="45"/>
      <c r="J3264" s="45"/>
      <c r="K3264" s="45"/>
      <c r="L3264" s="45"/>
      <c r="M3264" s="45"/>
      <c r="N3264" s="45"/>
      <c r="O3264" s="45"/>
      <c r="P3264" s="45"/>
      <c r="Q3264" s="45"/>
      <c r="R3264" s="45"/>
      <c r="S3264" s="45"/>
      <c r="T3264" s="45"/>
      <c r="U3264" s="45"/>
    </row>
    <row r="3265">
      <c r="A3265" s="79" t="s">
        <v>21624</v>
      </c>
      <c r="B3265" s="45"/>
      <c r="C3265" s="79" t="s">
        <v>21625</v>
      </c>
      <c r="D3265" s="45"/>
      <c r="E3265" s="79" t="s">
        <v>5276</v>
      </c>
      <c r="F3265" s="79" t="s">
        <v>5300</v>
      </c>
      <c r="G3265" s="80" t="s">
        <v>96</v>
      </c>
      <c r="H3265" s="90">
        <v>5.92E-5</v>
      </c>
      <c r="I3265" s="45"/>
      <c r="J3265" s="45"/>
      <c r="K3265" s="45"/>
      <c r="L3265" s="45"/>
      <c r="M3265" s="45"/>
      <c r="N3265" s="45"/>
      <c r="O3265" s="45"/>
      <c r="P3265" s="45"/>
      <c r="Q3265" s="45"/>
      <c r="R3265" s="45"/>
      <c r="S3265" s="45"/>
      <c r="T3265" s="45"/>
      <c r="U3265" s="45"/>
    </row>
    <row r="3266">
      <c r="A3266" s="79" t="s">
        <v>21626</v>
      </c>
      <c r="B3266" s="45"/>
      <c r="C3266" s="79" t="s">
        <v>21627</v>
      </c>
      <c r="D3266" s="45"/>
      <c r="E3266" s="79" t="s">
        <v>5226</v>
      </c>
      <c r="F3266" s="79" t="s">
        <v>5300</v>
      </c>
      <c r="G3266" s="80" t="s">
        <v>96</v>
      </c>
      <c r="H3266" s="90">
        <v>5.92E-5</v>
      </c>
      <c r="I3266" s="45"/>
      <c r="J3266" s="45"/>
      <c r="K3266" s="45"/>
      <c r="L3266" s="45"/>
      <c r="M3266" s="45"/>
      <c r="N3266" s="45"/>
      <c r="O3266" s="45"/>
      <c r="P3266" s="45"/>
      <c r="Q3266" s="45"/>
      <c r="R3266" s="45"/>
      <c r="S3266" s="45"/>
      <c r="T3266" s="45"/>
      <c r="U3266" s="45"/>
    </row>
    <row r="3267">
      <c r="A3267" s="79" t="s">
        <v>16565</v>
      </c>
      <c r="B3267" s="45"/>
      <c r="C3267" s="79" t="s">
        <v>21628</v>
      </c>
      <c r="D3267" s="45"/>
      <c r="E3267" s="79" t="s">
        <v>5641</v>
      </c>
      <c r="F3267" s="79" t="s">
        <v>5836</v>
      </c>
      <c r="G3267" s="80" t="s">
        <v>96</v>
      </c>
      <c r="H3267" s="90">
        <v>5.92E-5</v>
      </c>
      <c r="I3267" s="45"/>
      <c r="J3267" s="45"/>
      <c r="K3267" s="45"/>
      <c r="L3267" s="45"/>
      <c r="M3267" s="45"/>
      <c r="N3267" s="45"/>
      <c r="O3267" s="45"/>
      <c r="P3267" s="45"/>
      <c r="Q3267" s="45"/>
      <c r="R3267" s="45"/>
      <c r="S3267" s="45"/>
      <c r="T3267" s="45"/>
      <c r="U3267" s="45"/>
    </row>
    <row r="3268">
      <c r="A3268" s="79" t="s">
        <v>21629</v>
      </c>
      <c r="B3268" s="45"/>
      <c r="C3268" s="79" t="s">
        <v>21630</v>
      </c>
      <c r="D3268" s="45"/>
      <c r="E3268" s="79" t="s">
        <v>7169</v>
      </c>
      <c r="F3268" s="79" t="s">
        <v>8784</v>
      </c>
      <c r="G3268" s="80" t="s">
        <v>96</v>
      </c>
      <c r="H3268" s="90">
        <v>5.92E-5</v>
      </c>
      <c r="I3268" s="45"/>
      <c r="J3268" s="45"/>
      <c r="K3268" s="45"/>
      <c r="L3268" s="45"/>
      <c r="M3268" s="45"/>
      <c r="N3268" s="45"/>
      <c r="O3268" s="45"/>
      <c r="P3268" s="45"/>
      <c r="Q3268" s="45"/>
      <c r="R3268" s="45"/>
      <c r="S3268" s="45"/>
      <c r="T3268" s="45"/>
      <c r="U3268" s="45"/>
    </row>
    <row r="3269">
      <c r="A3269" s="79" t="s">
        <v>21631</v>
      </c>
      <c r="B3269" s="45"/>
      <c r="C3269" s="79" t="s">
        <v>21632</v>
      </c>
      <c r="D3269" s="45"/>
      <c r="E3269" s="79" t="s">
        <v>6338</v>
      </c>
      <c r="F3269" s="79" t="s">
        <v>9513</v>
      </c>
      <c r="G3269" s="80" t="s">
        <v>96</v>
      </c>
      <c r="H3269" s="90">
        <v>5.91E-5</v>
      </c>
      <c r="I3269" s="45"/>
      <c r="J3269" s="45"/>
      <c r="K3269" s="45"/>
      <c r="L3269" s="45"/>
      <c r="M3269" s="45"/>
      <c r="N3269" s="45"/>
      <c r="O3269" s="45"/>
      <c r="P3269" s="45"/>
      <c r="Q3269" s="45"/>
      <c r="R3269" s="45"/>
      <c r="S3269" s="45"/>
      <c r="T3269" s="45"/>
      <c r="U3269" s="45"/>
    </row>
    <row r="3270">
      <c r="A3270" s="79" t="s">
        <v>21633</v>
      </c>
      <c r="B3270" s="45"/>
      <c r="C3270" s="79" t="s">
        <v>21634</v>
      </c>
      <c r="D3270" s="45"/>
      <c r="E3270" s="79" t="s">
        <v>5218</v>
      </c>
      <c r="F3270" s="79" t="s">
        <v>8784</v>
      </c>
      <c r="G3270" s="80" t="s">
        <v>96</v>
      </c>
      <c r="H3270" s="90">
        <v>5.9E-5</v>
      </c>
      <c r="I3270" s="45"/>
      <c r="J3270" s="45"/>
      <c r="K3270" s="45"/>
      <c r="L3270" s="45"/>
      <c r="M3270" s="45"/>
      <c r="N3270" s="45"/>
      <c r="O3270" s="45"/>
      <c r="P3270" s="45"/>
      <c r="Q3270" s="45"/>
      <c r="R3270" s="45"/>
      <c r="S3270" s="45"/>
      <c r="T3270" s="45"/>
      <c r="U3270" s="45"/>
    </row>
    <row r="3271">
      <c r="A3271" s="79" t="s">
        <v>21635</v>
      </c>
      <c r="B3271" s="45"/>
      <c r="C3271" s="79" t="s">
        <v>21636</v>
      </c>
      <c r="D3271" s="45"/>
      <c r="E3271" s="79" t="s">
        <v>5742</v>
      </c>
      <c r="F3271" s="79" t="s">
        <v>8784</v>
      </c>
      <c r="G3271" s="80" t="s">
        <v>96</v>
      </c>
      <c r="H3271" s="90">
        <v>5.9E-5</v>
      </c>
      <c r="I3271" s="45"/>
      <c r="J3271" s="45"/>
      <c r="K3271" s="45"/>
      <c r="L3271" s="45"/>
      <c r="M3271" s="45"/>
      <c r="N3271" s="45"/>
      <c r="O3271" s="45"/>
      <c r="P3271" s="45"/>
      <c r="Q3271" s="45"/>
      <c r="R3271" s="45"/>
      <c r="S3271" s="45"/>
      <c r="T3271" s="45"/>
      <c r="U3271" s="45"/>
    </row>
    <row r="3272">
      <c r="A3272" s="79" t="s">
        <v>21637</v>
      </c>
      <c r="B3272" s="45"/>
      <c r="C3272" s="79" t="s">
        <v>21638</v>
      </c>
      <c r="D3272" s="45"/>
      <c r="E3272" s="79" t="s">
        <v>5291</v>
      </c>
      <c r="F3272" s="79" t="s">
        <v>5941</v>
      </c>
      <c r="G3272" s="80" t="s">
        <v>96</v>
      </c>
      <c r="H3272" s="90">
        <v>5.9E-5</v>
      </c>
      <c r="I3272" s="45"/>
      <c r="J3272" s="45"/>
      <c r="K3272" s="45"/>
      <c r="L3272" s="45"/>
      <c r="M3272" s="45"/>
      <c r="N3272" s="45"/>
      <c r="O3272" s="45"/>
      <c r="P3272" s="45"/>
      <c r="Q3272" s="45"/>
      <c r="R3272" s="45"/>
      <c r="S3272" s="45"/>
      <c r="T3272" s="45"/>
      <c r="U3272" s="45"/>
    </row>
    <row r="3273">
      <c r="A3273" s="79" t="s">
        <v>16975</v>
      </c>
      <c r="B3273" s="45"/>
      <c r="C3273" s="79" t="s">
        <v>21639</v>
      </c>
      <c r="D3273" s="45"/>
      <c r="E3273" s="79" t="s">
        <v>5431</v>
      </c>
      <c r="F3273" s="79" t="s">
        <v>4436</v>
      </c>
      <c r="G3273" s="80" t="s">
        <v>96</v>
      </c>
      <c r="H3273" s="90">
        <v>5.9E-5</v>
      </c>
      <c r="I3273" s="45"/>
      <c r="J3273" s="45"/>
      <c r="K3273" s="45"/>
      <c r="L3273" s="45"/>
      <c r="M3273" s="45"/>
      <c r="N3273" s="45"/>
      <c r="O3273" s="45"/>
      <c r="P3273" s="45"/>
      <c r="Q3273" s="45"/>
      <c r="R3273" s="45"/>
      <c r="S3273" s="45"/>
      <c r="T3273" s="45"/>
      <c r="U3273" s="45"/>
    </row>
    <row r="3274">
      <c r="A3274" s="79" t="s">
        <v>21640</v>
      </c>
      <c r="B3274" s="45"/>
      <c r="C3274" s="79" t="s">
        <v>21641</v>
      </c>
      <c r="D3274" s="45"/>
      <c r="E3274" s="79" t="s">
        <v>5232</v>
      </c>
      <c r="F3274" s="79" t="s">
        <v>8784</v>
      </c>
      <c r="G3274" s="80" t="s">
        <v>96</v>
      </c>
      <c r="H3274" s="90">
        <v>5.89E-5</v>
      </c>
      <c r="I3274" s="45"/>
      <c r="J3274" s="45"/>
      <c r="K3274" s="45"/>
      <c r="L3274" s="45"/>
      <c r="M3274" s="45"/>
      <c r="N3274" s="45"/>
      <c r="O3274" s="45"/>
      <c r="P3274" s="45"/>
      <c r="Q3274" s="45"/>
      <c r="R3274" s="45"/>
      <c r="S3274" s="45"/>
      <c r="T3274" s="45"/>
      <c r="U3274" s="45"/>
    </row>
    <row r="3275">
      <c r="A3275" s="79" t="s">
        <v>21642</v>
      </c>
      <c r="B3275" s="45"/>
      <c r="C3275" s="79" t="s">
        <v>21643</v>
      </c>
      <c r="D3275" s="45"/>
      <c r="E3275" s="79" t="s">
        <v>5229</v>
      </c>
      <c r="F3275" s="79" t="s">
        <v>8784</v>
      </c>
      <c r="G3275" s="80" t="s">
        <v>96</v>
      </c>
      <c r="H3275" s="90">
        <v>5.89E-5</v>
      </c>
      <c r="I3275" s="45"/>
      <c r="J3275" s="45"/>
      <c r="K3275" s="45"/>
      <c r="L3275" s="45"/>
      <c r="M3275" s="45"/>
      <c r="N3275" s="45"/>
      <c r="O3275" s="45"/>
      <c r="P3275" s="45"/>
      <c r="Q3275" s="45"/>
      <c r="R3275" s="45"/>
      <c r="S3275" s="45"/>
      <c r="T3275" s="45"/>
      <c r="U3275" s="45"/>
    </row>
    <row r="3276">
      <c r="A3276" s="79" t="s">
        <v>21644</v>
      </c>
      <c r="B3276" s="45"/>
      <c r="C3276" s="79" t="s">
        <v>21645</v>
      </c>
      <c r="D3276" s="45"/>
      <c r="E3276" s="79" t="s">
        <v>5276</v>
      </c>
      <c r="F3276" s="79" t="s">
        <v>5300</v>
      </c>
      <c r="G3276" s="80" t="s">
        <v>96</v>
      </c>
      <c r="H3276" s="90">
        <v>5.88E-5</v>
      </c>
      <c r="I3276" s="45"/>
      <c r="J3276" s="45"/>
      <c r="K3276" s="45"/>
      <c r="L3276" s="45"/>
      <c r="M3276" s="45"/>
      <c r="N3276" s="45"/>
      <c r="O3276" s="45"/>
      <c r="P3276" s="45"/>
      <c r="Q3276" s="45"/>
      <c r="R3276" s="45"/>
      <c r="S3276" s="45"/>
      <c r="T3276" s="45"/>
      <c r="U3276" s="45"/>
    </row>
    <row r="3277">
      <c r="A3277" s="79" t="s">
        <v>21646</v>
      </c>
      <c r="B3277" s="45"/>
      <c r="C3277" s="79" t="s">
        <v>21647</v>
      </c>
      <c r="D3277" s="45"/>
      <c r="E3277" s="79" t="s">
        <v>7611</v>
      </c>
      <c r="F3277" s="79" t="s">
        <v>8784</v>
      </c>
      <c r="G3277" s="80" t="s">
        <v>96</v>
      </c>
      <c r="H3277" s="90">
        <v>5.87E-5</v>
      </c>
      <c r="I3277" s="45"/>
      <c r="J3277" s="45"/>
      <c r="K3277" s="45"/>
      <c r="L3277" s="45"/>
      <c r="M3277" s="45"/>
      <c r="N3277" s="45"/>
      <c r="O3277" s="45"/>
      <c r="P3277" s="45"/>
      <c r="Q3277" s="45"/>
      <c r="R3277" s="45"/>
      <c r="S3277" s="45"/>
      <c r="T3277" s="45"/>
      <c r="U3277" s="45"/>
    </row>
    <row r="3278">
      <c r="A3278" s="79" t="s">
        <v>21648</v>
      </c>
      <c r="B3278" s="45"/>
      <c r="C3278" s="79" t="s">
        <v>21649</v>
      </c>
      <c r="D3278" s="45"/>
      <c r="E3278" s="79" t="s">
        <v>6427</v>
      </c>
      <c r="F3278" s="79" t="s">
        <v>8784</v>
      </c>
      <c r="G3278" s="80" t="s">
        <v>96</v>
      </c>
      <c r="H3278" s="90">
        <v>5.86E-5</v>
      </c>
      <c r="I3278" s="45"/>
      <c r="J3278" s="45"/>
      <c r="K3278" s="45"/>
      <c r="L3278" s="45"/>
      <c r="M3278" s="45"/>
      <c r="N3278" s="45"/>
      <c r="O3278" s="45"/>
      <c r="P3278" s="45"/>
      <c r="Q3278" s="45"/>
      <c r="R3278" s="45"/>
      <c r="S3278" s="45"/>
      <c r="T3278" s="45"/>
      <c r="U3278" s="45"/>
    </row>
    <row r="3279">
      <c r="A3279" s="79" t="s">
        <v>21650</v>
      </c>
      <c r="B3279" s="45"/>
      <c r="C3279" s="79" t="s">
        <v>21651</v>
      </c>
      <c r="D3279" s="45"/>
      <c r="E3279" s="79" t="s">
        <v>5241</v>
      </c>
      <c r="F3279" s="79" t="s">
        <v>8784</v>
      </c>
      <c r="G3279" s="80" t="s">
        <v>96</v>
      </c>
      <c r="H3279" s="90">
        <v>5.85E-5</v>
      </c>
      <c r="I3279" s="45"/>
      <c r="J3279" s="45"/>
      <c r="K3279" s="45"/>
      <c r="L3279" s="45"/>
      <c r="M3279" s="45"/>
      <c r="N3279" s="45"/>
      <c r="O3279" s="45"/>
      <c r="P3279" s="45"/>
      <c r="Q3279" s="45"/>
      <c r="R3279" s="45"/>
      <c r="S3279" s="45"/>
      <c r="T3279" s="45"/>
      <c r="U3279" s="45"/>
    </row>
    <row r="3280">
      <c r="A3280" s="79" t="s">
        <v>21652</v>
      </c>
      <c r="B3280" s="45"/>
      <c r="C3280" s="79" t="s">
        <v>21653</v>
      </c>
      <c r="D3280" s="45"/>
      <c r="E3280" s="79" t="s">
        <v>5316</v>
      </c>
      <c r="F3280" s="79" t="s">
        <v>5836</v>
      </c>
      <c r="G3280" s="80" t="s">
        <v>96</v>
      </c>
      <c r="H3280" s="90">
        <v>5.85E-5</v>
      </c>
      <c r="I3280" s="45"/>
      <c r="J3280" s="45"/>
      <c r="K3280" s="45"/>
      <c r="L3280" s="45"/>
      <c r="M3280" s="45"/>
      <c r="N3280" s="45"/>
      <c r="O3280" s="45"/>
      <c r="P3280" s="45"/>
      <c r="Q3280" s="45"/>
      <c r="R3280" s="45"/>
      <c r="S3280" s="45"/>
      <c r="T3280" s="45"/>
      <c r="U3280" s="45"/>
    </row>
    <row r="3281">
      <c r="A3281" s="79" t="s">
        <v>21654</v>
      </c>
      <c r="B3281" s="45"/>
      <c r="C3281" s="79" t="s">
        <v>21655</v>
      </c>
      <c r="D3281" s="45"/>
      <c r="E3281" s="79" t="s">
        <v>5235</v>
      </c>
      <c r="F3281" s="79" t="s">
        <v>5300</v>
      </c>
      <c r="G3281" s="80" t="s">
        <v>96</v>
      </c>
      <c r="H3281" s="90">
        <v>5.85E-5</v>
      </c>
      <c r="I3281" s="45"/>
      <c r="J3281" s="45"/>
      <c r="K3281" s="45"/>
      <c r="L3281" s="45"/>
      <c r="M3281" s="45"/>
      <c r="N3281" s="45"/>
      <c r="O3281" s="45"/>
      <c r="P3281" s="45"/>
      <c r="Q3281" s="45"/>
      <c r="R3281" s="45"/>
      <c r="S3281" s="45"/>
      <c r="T3281" s="45"/>
      <c r="U3281" s="45"/>
    </row>
    <row r="3282">
      <c r="A3282" s="79" t="s">
        <v>21656</v>
      </c>
      <c r="B3282" s="45"/>
      <c r="C3282" s="79" t="s">
        <v>21657</v>
      </c>
      <c r="D3282" s="45"/>
      <c r="E3282" s="79" t="s">
        <v>5561</v>
      </c>
      <c r="F3282" s="79" t="s">
        <v>5941</v>
      </c>
      <c r="G3282" s="80" t="s">
        <v>96</v>
      </c>
      <c r="H3282" s="90">
        <v>5.85E-5</v>
      </c>
      <c r="I3282" s="45"/>
      <c r="J3282" s="45"/>
      <c r="K3282" s="45"/>
      <c r="L3282" s="45"/>
      <c r="M3282" s="45"/>
      <c r="N3282" s="45"/>
      <c r="O3282" s="45"/>
      <c r="P3282" s="45"/>
      <c r="Q3282" s="45"/>
      <c r="R3282" s="45"/>
      <c r="S3282" s="45"/>
      <c r="T3282" s="45"/>
      <c r="U3282" s="45"/>
    </row>
    <row r="3283">
      <c r="A3283" s="79" t="s">
        <v>21658</v>
      </c>
      <c r="B3283" s="45"/>
      <c r="C3283" s="79" t="s">
        <v>21659</v>
      </c>
      <c r="D3283" s="45"/>
      <c r="E3283" s="79" t="s">
        <v>5218</v>
      </c>
      <c r="F3283" s="79" t="s">
        <v>8784</v>
      </c>
      <c r="G3283" s="80" t="s">
        <v>96</v>
      </c>
      <c r="H3283" s="90">
        <v>5.84E-5</v>
      </c>
      <c r="I3283" s="45"/>
      <c r="J3283" s="45"/>
      <c r="K3283" s="45"/>
      <c r="L3283" s="45"/>
      <c r="M3283" s="45"/>
      <c r="N3283" s="45"/>
      <c r="O3283" s="45"/>
      <c r="P3283" s="45"/>
      <c r="Q3283" s="45"/>
      <c r="R3283" s="45"/>
      <c r="S3283" s="45"/>
      <c r="T3283" s="45"/>
      <c r="U3283" s="45"/>
    </row>
    <row r="3284">
      <c r="A3284" s="79" t="s">
        <v>21660</v>
      </c>
      <c r="B3284" s="45"/>
      <c r="C3284" s="79" t="s">
        <v>21661</v>
      </c>
      <c r="D3284" s="45"/>
      <c r="E3284" s="79" t="s">
        <v>8110</v>
      </c>
      <c r="F3284" s="79" t="s">
        <v>5300</v>
      </c>
      <c r="G3284" s="80" t="s">
        <v>96</v>
      </c>
      <c r="H3284" s="90">
        <v>5.83E-5</v>
      </c>
      <c r="I3284" s="45"/>
      <c r="J3284" s="45"/>
      <c r="K3284" s="45"/>
      <c r="L3284" s="45"/>
      <c r="M3284" s="45"/>
      <c r="N3284" s="45"/>
      <c r="O3284" s="45"/>
      <c r="P3284" s="45"/>
      <c r="Q3284" s="45"/>
      <c r="R3284" s="45"/>
      <c r="S3284" s="45"/>
      <c r="T3284" s="45"/>
      <c r="U3284" s="45"/>
    </row>
    <row r="3285">
      <c r="A3285" s="79" t="s">
        <v>4331</v>
      </c>
      <c r="B3285" s="45"/>
      <c r="C3285" s="79" t="s">
        <v>21662</v>
      </c>
      <c r="D3285" s="45"/>
      <c r="E3285" s="79" t="s">
        <v>5264</v>
      </c>
      <c r="F3285" s="79" t="s">
        <v>9908</v>
      </c>
      <c r="G3285" s="80" t="s">
        <v>96</v>
      </c>
      <c r="H3285" s="90">
        <v>5.82E-5</v>
      </c>
      <c r="I3285" s="45"/>
      <c r="J3285" s="45"/>
      <c r="K3285" s="45"/>
      <c r="L3285" s="45"/>
      <c r="M3285" s="45"/>
      <c r="N3285" s="45"/>
      <c r="O3285" s="45"/>
      <c r="P3285" s="45"/>
      <c r="Q3285" s="45"/>
      <c r="R3285" s="45"/>
      <c r="S3285" s="45"/>
      <c r="T3285" s="45"/>
      <c r="U3285" s="45"/>
    </row>
    <row r="3286">
      <c r="A3286" s="79" t="s">
        <v>21663</v>
      </c>
      <c r="B3286" s="45"/>
      <c r="C3286" s="79" t="s">
        <v>21664</v>
      </c>
      <c r="D3286" s="45"/>
      <c r="E3286" s="79" t="s">
        <v>5561</v>
      </c>
      <c r="F3286" s="79" t="s">
        <v>4095</v>
      </c>
      <c r="G3286" s="80" t="s">
        <v>96</v>
      </c>
      <c r="H3286" s="90">
        <v>5.82E-5</v>
      </c>
      <c r="I3286" s="45"/>
      <c r="J3286" s="45"/>
      <c r="K3286" s="45"/>
      <c r="L3286" s="45"/>
      <c r="M3286" s="45"/>
      <c r="N3286" s="45"/>
      <c r="O3286" s="45"/>
      <c r="P3286" s="45"/>
      <c r="Q3286" s="45"/>
      <c r="R3286" s="45"/>
      <c r="S3286" s="45"/>
      <c r="T3286" s="45"/>
      <c r="U3286" s="45"/>
    </row>
    <row r="3287">
      <c r="A3287" s="79" t="s">
        <v>21665</v>
      </c>
      <c r="B3287" s="45"/>
      <c r="C3287" s="79" t="s">
        <v>21666</v>
      </c>
      <c r="D3287" s="45"/>
      <c r="E3287" s="79" t="s">
        <v>5561</v>
      </c>
      <c r="F3287" s="79" t="s">
        <v>4436</v>
      </c>
      <c r="G3287" s="80" t="s">
        <v>96</v>
      </c>
      <c r="H3287" s="90">
        <v>5.82E-5</v>
      </c>
      <c r="I3287" s="45"/>
      <c r="J3287" s="45"/>
      <c r="K3287" s="45"/>
      <c r="L3287" s="45"/>
      <c r="M3287" s="45"/>
      <c r="N3287" s="45"/>
      <c r="O3287" s="45"/>
      <c r="P3287" s="45"/>
      <c r="Q3287" s="45"/>
      <c r="R3287" s="45"/>
      <c r="S3287" s="45"/>
      <c r="T3287" s="45"/>
      <c r="U3287" s="45"/>
    </row>
    <row r="3288">
      <c r="A3288" s="79" t="s">
        <v>21667</v>
      </c>
      <c r="B3288" s="45"/>
      <c r="C3288" s="79" t="s">
        <v>21668</v>
      </c>
      <c r="D3288" s="45"/>
      <c r="E3288" s="79" t="s">
        <v>5561</v>
      </c>
      <c r="F3288" s="79" t="s">
        <v>5425</v>
      </c>
      <c r="G3288" s="80" t="s">
        <v>96</v>
      </c>
      <c r="H3288" s="90">
        <v>5.8E-5</v>
      </c>
      <c r="I3288" s="45"/>
      <c r="J3288" s="45"/>
      <c r="K3288" s="45"/>
      <c r="L3288" s="45"/>
      <c r="M3288" s="45"/>
      <c r="N3288" s="45"/>
      <c r="O3288" s="45"/>
      <c r="P3288" s="45"/>
      <c r="Q3288" s="45"/>
      <c r="R3288" s="45"/>
      <c r="S3288" s="45"/>
      <c r="T3288" s="45"/>
      <c r="U3288" s="45"/>
    </row>
    <row r="3289">
      <c r="A3289" s="79" t="s">
        <v>21669</v>
      </c>
      <c r="B3289" s="45"/>
      <c r="C3289" s="79" t="s">
        <v>21670</v>
      </c>
      <c r="D3289" s="45"/>
      <c r="E3289" s="79" t="s">
        <v>5395</v>
      </c>
      <c r="F3289" s="79" t="s">
        <v>8784</v>
      </c>
      <c r="G3289" s="80" t="s">
        <v>96</v>
      </c>
      <c r="H3289" s="90">
        <v>5.8E-5</v>
      </c>
      <c r="I3289" s="45"/>
      <c r="J3289" s="45"/>
      <c r="K3289" s="45"/>
      <c r="L3289" s="45"/>
      <c r="M3289" s="45"/>
      <c r="N3289" s="45"/>
      <c r="O3289" s="45"/>
      <c r="P3289" s="45"/>
      <c r="Q3289" s="45"/>
      <c r="R3289" s="45"/>
      <c r="S3289" s="45"/>
      <c r="T3289" s="45"/>
      <c r="U3289" s="45"/>
    </row>
    <row r="3290">
      <c r="A3290" s="79" t="s">
        <v>21671</v>
      </c>
      <c r="B3290" s="45"/>
      <c r="C3290" s="79" t="s">
        <v>21672</v>
      </c>
      <c r="D3290" s="45"/>
      <c r="E3290" s="79" t="s">
        <v>5341</v>
      </c>
      <c r="F3290" s="79" t="s">
        <v>8784</v>
      </c>
      <c r="G3290" s="80" t="s">
        <v>96</v>
      </c>
      <c r="H3290" s="90">
        <v>5.8E-5</v>
      </c>
      <c r="I3290" s="45"/>
      <c r="J3290" s="45"/>
      <c r="K3290" s="45"/>
      <c r="L3290" s="45"/>
      <c r="M3290" s="45"/>
      <c r="N3290" s="45"/>
      <c r="O3290" s="45"/>
      <c r="P3290" s="45"/>
      <c r="Q3290" s="45"/>
      <c r="R3290" s="45"/>
      <c r="S3290" s="45"/>
      <c r="T3290" s="45"/>
      <c r="U3290" s="45"/>
    </row>
    <row r="3291">
      <c r="A3291" s="79" t="s">
        <v>21673</v>
      </c>
      <c r="B3291" s="45"/>
      <c r="C3291" s="79" t="s">
        <v>21674</v>
      </c>
      <c r="D3291" s="45"/>
      <c r="E3291" s="79" t="s">
        <v>5283</v>
      </c>
      <c r="F3291" s="79" t="s">
        <v>5300</v>
      </c>
      <c r="G3291" s="80" t="s">
        <v>96</v>
      </c>
      <c r="H3291" s="90">
        <v>5.79E-5</v>
      </c>
      <c r="I3291" s="45"/>
      <c r="J3291" s="45"/>
      <c r="K3291" s="45"/>
      <c r="L3291" s="45"/>
      <c r="M3291" s="45"/>
      <c r="N3291" s="45"/>
      <c r="O3291" s="45"/>
      <c r="P3291" s="45"/>
      <c r="Q3291" s="45"/>
      <c r="R3291" s="45"/>
      <c r="S3291" s="45"/>
      <c r="T3291" s="45"/>
      <c r="U3291" s="45"/>
    </row>
    <row r="3292">
      <c r="A3292" s="79" t="s">
        <v>21675</v>
      </c>
      <c r="B3292" s="45"/>
      <c r="C3292" s="79" t="s">
        <v>21676</v>
      </c>
      <c r="D3292" s="45"/>
      <c r="E3292" s="79" t="s">
        <v>5215</v>
      </c>
      <c r="F3292" s="79" t="s">
        <v>5300</v>
      </c>
      <c r="G3292" s="80" t="s">
        <v>96</v>
      </c>
      <c r="H3292" s="90">
        <v>5.78E-5</v>
      </c>
      <c r="I3292" s="45"/>
      <c r="J3292" s="45"/>
      <c r="K3292" s="45"/>
      <c r="L3292" s="45"/>
      <c r="M3292" s="45"/>
      <c r="N3292" s="45"/>
      <c r="O3292" s="45"/>
      <c r="P3292" s="45"/>
      <c r="Q3292" s="45"/>
      <c r="R3292" s="45"/>
      <c r="S3292" s="45"/>
      <c r="T3292" s="45"/>
      <c r="U3292" s="45"/>
    </row>
    <row r="3293">
      <c r="A3293" s="79" t="s">
        <v>21677</v>
      </c>
      <c r="B3293" s="45"/>
      <c r="C3293" s="79" t="s">
        <v>21678</v>
      </c>
      <c r="D3293" s="45"/>
      <c r="E3293" s="79" t="s">
        <v>5215</v>
      </c>
      <c r="F3293" s="79" t="s">
        <v>5300</v>
      </c>
      <c r="G3293" s="80" t="s">
        <v>96</v>
      </c>
      <c r="H3293" s="90">
        <v>5.77E-5</v>
      </c>
      <c r="I3293" s="45"/>
      <c r="J3293" s="45"/>
      <c r="K3293" s="45"/>
      <c r="L3293" s="45"/>
      <c r="M3293" s="45"/>
      <c r="N3293" s="45"/>
      <c r="O3293" s="45"/>
      <c r="P3293" s="45"/>
      <c r="Q3293" s="45"/>
      <c r="R3293" s="45"/>
      <c r="S3293" s="45"/>
      <c r="T3293" s="45"/>
      <c r="U3293" s="45"/>
    </row>
    <row r="3294">
      <c r="A3294" s="79" t="s">
        <v>21679</v>
      </c>
      <c r="B3294" s="45"/>
      <c r="C3294" s="79" t="s">
        <v>21680</v>
      </c>
      <c r="D3294" s="45"/>
      <c r="E3294" s="79" t="s">
        <v>5246</v>
      </c>
      <c r="F3294" s="79" t="s">
        <v>8784</v>
      </c>
      <c r="G3294" s="80" t="s">
        <v>96</v>
      </c>
      <c r="H3294" s="90">
        <v>5.75E-5</v>
      </c>
      <c r="I3294" s="45"/>
      <c r="J3294" s="45"/>
      <c r="K3294" s="45"/>
      <c r="L3294" s="45"/>
      <c r="M3294" s="45"/>
      <c r="N3294" s="45"/>
      <c r="O3294" s="45"/>
      <c r="P3294" s="45"/>
      <c r="Q3294" s="45"/>
      <c r="R3294" s="45"/>
      <c r="S3294" s="45"/>
      <c r="T3294" s="45"/>
      <c r="U3294" s="45"/>
    </row>
    <row r="3295">
      <c r="A3295" s="79" t="s">
        <v>21681</v>
      </c>
      <c r="B3295" s="45"/>
      <c r="C3295" s="79" t="s">
        <v>21682</v>
      </c>
      <c r="D3295" s="45"/>
      <c r="E3295" s="79" t="s">
        <v>5561</v>
      </c>
      <c r="F3295" s="79" t="s">
        <v>9513</v>
      </c>
      <c r="G3295" s="80" t="s">
        <v>96</v>
      </c>
      <c r="H3295" s="90">
        <v>5.74E-5</v>
      </c>
      <c r="I3295" s="45"/>
      <c r="J3295" s="45"/>
      <c r="K3295" s="45"/>
      <c r="L3295" s="45"/>
      <c r="M3295" s="45"/>
      <c r="N3295" s="45"/>
      <c r="O3295" s="45"/>
      <c r="P3295" s="45"/>
      <c r="Q3295" s="45"/>
      <c r="R3295" s="45"/>
      <c r="S3295" s="45"/>
      <c r="T3295" s="45"/>
      <c r="U3295" s="45"/>
    </row>
    <row r="3296">
      <c r="A3296" s="79" t="s">
        <v>21683</v>
      </c>
      <c r="B3296" s="45"/>
      <c r="C3296" s="79" t="s">
        <v>21684</v>
      </c>
      <c r="D3296" s="45"/>
      <c r="E3296" s="79" t="s">
        <v>5434</v>
      </c>
      <c r="F3296" s="79" t="s">
        <v>8784</v>
      </c>
      <c r="G3296" s="80" t="s">
        <v>96</v>
      </c>
      <c r="H3296" s="90">
        <v>5.71E-5</v>
      </c>
      <c r="I3296" s="45"/>
      <c r="J3296" s="45"/>
      <c r="K3296" s="45"/>
      <c r="L3296" s="45"/>
      <c r="M3296" s="45"/>
      <c r="N3296" s="45"/>
      <c r="O3296" s="45"/>
      <c r="P3296" s="45"/>
      <c r="Q3296" s="45"/>
      <c r="R3296" s="45"/>
      <c r="S3296" s="45"/>
      <c r="T3296" s="45"/>
      <c r="U3296" s="45"/>
    </row>
    <row r="3297">
      <c r="A3297" s="79" t="s">
        <v>21685</v>
      </c>
      <c r="B3297" s="45"/>
      <c r="C3297" s="79" t="s">
        <v>21686</v>
      </c>
      <c r="D3297" s="45"/>
      <c r="E3297" s="79" t="s">
        <v>5238</v>
      </c>
      <c r="F3297" s="79" t="s">
        <v>9513</v>
      </c>
      <c r="G3297" s="80" t="s">
        <v>96</v>
      </c>
      <c r="H3297" s="90">
        <v>5.71E-5</v>
      </c>
      <c r="I3297" s="45"/>
      <c r="J3297" s="45"/>
      <c r="K3297" s="45"/>
      <c r="L3297" s="45"/>
      <c r="M3297" s="45"/>
      <c r="N3297" s="45"/>
      <c r="O3297" s="45"/>
      <c r="P3297" s="45"/>
      <c r="Q3297" s="45"/>
      <c r="R3297" s="45"/>
      <c r="S3297" s="45"/>
      <c r="T3297" s="45"/>
      <c r="U3297" s="45"/>
    </row>
    <row r="3298">
      <c r="A3298" s="79" t="s">
        <v>21687</v>
      </c>
      <c r="B3298" s="45"/>
      <c r="C3298" s="79" t="s">
        <v>21688</v>
      </c>
      <c r="D3298" s="45"/>
      <c r="E3298" s="79" t="s">
        <v>6327</v>
      </c>
      <c r="F3298" s="79" t="s">
        <v>8784</v>
      </c>
      <c r="G3298" s="80" t="s">
        <v>96</v>
      </c>
      <c r="H3298" s="90">
        <v>5.71E-5</v>
      </c>
      <c r="I3298" s="45"/>
      <c r="J3298" s="45"/>
      <c r="K3298" s="45"/>
      <c r="L3298" s="45"/>
      <c r="M3298" s="45"/>
      <c r="N3298" s="45"/>
      <c r="O3298" s="45"/>
      <c r="P3298" s="45"/>
      <c r="Q3298" s="45"/>
      <c r="R3298" s="45"/>
      <c r="S3298" s="45"/>
      <c r="T3298" s="45"/>
      <c r="U3298" s="45"/>
    </row>
    <row r="3299">
      <c r="A3299" s="79" t="s">
        <v>21689</v>
      </c>
      <c r="B3299" s="45"/>
      <c r="C3299" s="79" t="s">
        <v>21690</v>
      </c>
      <c r="D3299" s="45"/>
      <c r="E3299" s="79" t="s">
        <v>5218</v>
      </c>
      <c r="F3299" s="79" t="s">
        <v>4095</v>
      </c>
      <c r="G3299" s="80" t="s">
        <v>96</v>
      </c>
      <c r="H3299" s="90">
        <v>5.7E-5</v>
      </c>
      <c r="I3299" s="45"/>
      <c r="J3299" s="45"/>
      <c r="K3299" s="45"/>
      <c r="L3299" s="45"/>
      <c r="M3299" s="45"/>
      <c r="N3299" s="45"/>
      <c r="O3299" s="45"/>
      <c r="P3299" s="45"/>
      <c r="Q3299" s="45"/>
      <c r="R3299" s="45"/>
      <c r="S3299" s="45"/>
      <c r="T3299" s="45"/>
      <c r="U3299" s="45"/>
    </row>
    <row r="3300">
      <c r="A3300" s="79" t="s">
        <v>21691</v>
      </c>
      <c r="B3300" s="45"/>
      <c r="C3300" s="79" t="s">
        <v>21692</v>
      </c>
      <c r="D3300" s="45"/>
      <c r="E3300" s="79" t="s">
        <v>5374</v>
      </c>
      <c r="F3300" s="79" t="s">
        <v>5927</v>
      </c>
      <c r="G3300" s="80" t="s">
        <v>96</v>
      </c>
      <c r="H3300" s="90">
        <v>5.69E-5</v>
      </c>
      <c r="I3300" s="45"/>
      <c r="J3300" s="45"/>
      <c r="K3300" s="45"/>
      <c r="L3300" s="45"/>
      <c r="M3300" s="45"/>
      <c r="N3300" s="45"/>
      <c r="O3300" s="45"/>
      <c r="P3300" s="45"/>
      <c r="Q3300" s="45"/>
      <c r="R3300" s="45"/>
      <c r="S3300" s="45"/>
      <c r="T3300" s="45"/>
      <c r="U3300" s="45"/>
    </row>
    <row r="3301">
      <c r="A3301" s="79" t="s">
        <v>21693</v>
      </c>
      <c r="B3301" s="45"/>
      <c r="C3301" s="79" t="s">
        <v>21694</v>
      </c>
      <c r="D3301" s="45"/>
      <c r="E3301" s="79" t="s">
        <v>7471</v>
      </c>
      <c r="F3301" s="79" t="s">
        <v>8784</v>
      </c>
      <c r="G3301" s="80" t="s">
        <v>96</v>
      </c>
      <c r="H3301" s="90">
        <v>5.69E-5</v>
      </c>
      <c r="I3301" s="45"/>
      <c r="J3301" s="45"/>
      <c r="K3301" s="45"/>
      <c r="L3301" s="45"/>
      <c r="M3301" s="45"/>
      <c r="N3301" s="45"/>
      <c r="O3301" s="45"/>
      <c r="P3301" s="45"/>
      <c r="Q3301" s="45"/>
      <c r="R3301" s="45"/>
      <c r="S3301" s="45"/>
      <c r="T3301" s="45"/>
      <c r="U3301" s="45"/>
    </row>
    <row r="3302">
      <c r="A3302" s="79" t="s">
        <v>21695</v>
      </c>
      <c r="B3302" s="45"/>
      <c r="C3302" s="79" t="s">
        <v>21696</v>
      </c>
      <c r="D3302" s="45"/>
      <c r="E3302" s="79" t="s">
        <v>7236</v>
      </c>
      <c r="F3302" s="79" t="s">
        <v>8784</v>
      </c>
      <c r="G3302" s="80" t="s">
        <v>96</v>
      </c>
      <c r="H3302" s="90">
        <v>5.67E-5</v>
      </c>
      <c r="I3302" s="45"/>
      <c r="J3302" s="45"/>
      <c r="K3302" s="45"/>
      <c r="L3302" s="45"/>
      <c r="M3302" s="45"/>
      <c r="N3302" s="45"/>
      <c r="O3302" s="45"/>
      <c r="P3302" s="45"/>
      <c r="Q3302" s="45"/>
      <c r="R3302" s="45"/>
      <c r="S3302" s="45"/>
      <c r="T3302" s="45"/>
      <c r="U3302" s="45"/>
    </row>
    <row r="3303">
      <c r="A3303" s="79" t="s">
        <v>21697</v>
      </c>
      <c r="B3303" s="45"/>
      <c r="C3303" s="79" t="s">
        <v>21698</v>
      </c>
      <c r="D3303" s="45"/>
      <c r="E3303" s="79" t="s">
        <v>5215</v>
      </c>
      <c r="F3303" s="79" t="s">
        <v>8784</v>
      </c>
      <c r="G3303" s="80" t="s">
        <v>96</v>
      </c>
      <c r="H3303" s="90">
        <v>5.67E-5</v>
      </c>
      <c r="I3303" s="45"/>
      <c r="J3303" s="45"/>
      <c r="K3303" s="45"/>
      <c r="L3303" s="45"/>
      <c r="M3303" s="45"/>
      <c r="N3303" s="45"/>
      <c r="O3303" s="45"/>
      <c r="P3303" s="45"/>
      <c r="Q3303" s="45"/>
      <c r="R3303" s="45"/>
      <c r="S3303" s="45"/>
      <c r="T3303" s="45"/>
      <c r="U3303" s="45"/>
    </row>
    <row r="3304">
      <c r="A3304" s="79" t="s">
        <v>21699</v>
      </c>
      <c r="B3304" s="45"/>
      <c r="C3304" s="79" t="s">
        <v>21700</v>
      </c>
      <c r="D3304" s="45"/>
      <c r="E3304" s="79" t="s">
        <v>5450</v>
      </c>
      <c r="F3304" s="79" t="s">
        <v>5425</v>
      </c>
      <c r="G3304" s="80" t="s">
        <v>96</v>
      </c>
      <c r="H3304" s="90">
        <v>5.65E-5</v>
      </c>
      <c r="I3304" s="45"/>
      <c r="J3304" s="45"/>
      <c r="K3304" s="45"/>
      <c r="L3304" s="45"/>
      <c r="M3304" s="45"/>
      <c r="N3304" s="45"/>
      <c r="O3304" s="45"/>
      <c r="P3304" s="45"/>
      <c r="Q3304" s="45"/>
      <c r="R3304" s="45"/>
      <c r="S3304" s="45"/>
      <c r="T3304" s="45"/>
      <c r="U3304" s="45"/>
    </row>
    <row r="3305">
      <c r="A3305" s="79" t="s">
        <v>21701</v>
      </c>
      <c r="B3305" s="45"/>
      <c r="C3305" s="79" t="s">
        <v>21702</v>
      </c>
      <c r="D3305" s="45"/>
      <c r="E3305" s="79" t="s">
        <v>5450</v>
      </c>
      <c r="F3305" s="79" t="s">
        <v>4095</v>
      </c>
      <c r="G3305" s="80" t="s">
        <v>96</v>
      </c>
      <c r="H3305" s="90">
        <v>5.65E-5</v>
      </c>
      <c r="I3305" s="45"/>
      <c r="J3305" s="45"/>
      <c r="K3305" s="45"/>
      <c r="L3305" s="45"/>
      <c r="M3305" s="45"/>
      <c r="N3305" s="45"/>
      <c r="O3305" s="45"/>
      <c r="P3305" s="45"/>
      <c r="Q3305" s="45"/>
      <c r="R3305" s="45"/>
      <c r="S3305" s="45"/>
      <c r="T3305" s="45"/>
      <c r="U3305" s="45"/>
    </row>
    <row r="3306">
      <c r="A3306" s="79" t="s">
        <v>21703</v>
      </c>
      <c r="B3306" s="45"/>
      <c r="C3306" s="79" t="s">
        <v>21704</v>
      </c>
      <c r="D3306" s="45"/>
      <c r="E3306" s="79" t="s">
        <v>6480</v>
      </c>
      <c r="F3306" s="79" t="s">
        <v>8784</v>
      </c>
      <c r="G3306" s="80" t="s">
        <v>96</v>
      </c>
      <c r="H3306" s="90">
        <v>5.65E-5</v>
      </c>
      <c r="I3306" s="45"/>
      <c r="J3306" s="45"/>
      <c r="K3306" s="45"/>
      <c r="L3306" s="45"/>
      <c r="M3306" s="45"/>
      <c r="N3306" s="45"/>
      <c r="O3306" s="45"/>
      <c r="P3306" s="45"/>
      <c r="Q3306" s="45"/>
      <c r="R3306" s="45"/>
      <c r="S3306" s="45"/>
      <c r="T3306" s="45"/>
      <c r="U3306" s="45"/>
    </row>
    <row r="3307">
      <c r="A3307" s="79" t="s">
        <v>21705</v>
      </c>
      <c r="B3307" s="45"/>
      <c r="C3307" s="79" t="s">
        <v>21706</v>
      </c>
      <c r="D3307" s="45"/>
      <c r="E3307" s="79" t="s">
        <v>5478</v>
      </c>
      <c r="F3307" s="79" t="s">
        <v>5300</v>
      </c>
      <c r="G3307" s="80" t="s">
        <v>96</v>
      </c>
      <c r="H3307" s="90">
        <v>5.64E-5</v>
      </c>
      <c r="I3307" s="45"/>
      <c r="J3307" s="45"/>
      <c r="K3307" s="45"/>
      <c r="L3307" s="45"/>
      <c r="M3307" s="45"/>
      <c r="N3307" s="45"/>
      <c r="O3307" s="45"/>
      <c r="P3307" s="45"/>
      <c r="Q3307" s="45"/>
      <c r="R3307" s="45"/>
      <c r="S3307" s="45"/>
      <c r="T3307" s="45"/>
      <c r="U3307" s="45"/>
    </row>
    <row r="3308">
      <c r="A3308" s="79" t="s">
        <v>21707</v>
      </c>
      <c r="B3308" s="45"/>
      <c r="C3308" s="79" t="s">
        <v>21708</v>
      </c>
      <c r="D3308" s="45"/>
      <c r="E3308" s="79" t="s">
        <v>5456</v>
      </c>
      <c r="F3308" s="79" t="s">
        <v>8784</v>
      </c>
      <c r="G3308" s="80" t="s">
        <v>96</v>
      </c>
      <c r="H3308" s="90">
        <v>5.63E-5</v>
      </c>
      <c r="I3308" s="45"/>
      <c r="J3308" s="45"/>
      <c r="K3308" s="45"/>
      <c r="L3308" s="45"/>
      <c r="M3308" s="45"/>
      <c r="N3308" s="45"/>
      <c r="O3308" s="45"/>
      <c r="P3308" s="45"/>
      <c r="Q3308" s="45"/>
      <c r="R3308" s="45"/>
      <c r="S3308" s="45"/>
      <c r="T3308" s="45"/>
      <c r="U3308" s="45"/>
    </row>
    <row r="3309">
      <c r="A3309" s="79" t="s">
        <v>21709</v>
      </c>
      <c r="B3309" s="45"/>
      <c r="C3309" s="79" t="s">
        <v>21710</v>
      </c>
      <c r="D3309" s="45"/>
      <c r="E3309" s="79" t="s">
        <v>5232</v>
      </c>
      <c r="F3309" s="79" t="s">
        <v>5300</v>
      </c>
      <c r="G3309" s="80" t="s">
        <v>96</v>
      </c>
      <c r="H3309" s="90">
        <v>5.63E-5</v>
      </c>
      <c r="I3309" s="45"/>
      <c r="J3309" s="45"/>
      <c r="K3309" s="45"/>
      <c r="L3309" s="45"/>
      <c r="M3309" s="45"/>
      <c r="N3309" s="45"/>
      <c r="O3309" s="45"/>
      <c r="P3309" s="45"/>
      <c r="Q3309" s="45"/>
      <c r="R3309" s="45"/>
      <c r="S3309" s="45"/>
      <c r="T3309" s="45"/>
      <c r="U3309" s="45"/>
    </row>
    <row r="3310">
      <c r="A3310" s="79" t="s">
        <v>21711</v>
      </c>
      <c r="B3310" s="45"/>
      <c r="C3310" s="79" t="s">
        <v>19093</v>
      </c>
      <c r="D3310" s="45"/>
      <c r="E3310" s="79" t="s">
        <v>5624</v>
      </c>
      <c r="F3310" s="79" t="s">
        <v>5836</v>
      </c>
      <c r="G3310" s="80" t="s">
        <v>96</v>
      </c>
      <c r="H3310" s="90">
        <v>5.62E-5</v>
      </c>
      <c r="I3310" s="45"/>
      <c r="J3310" s="45"/>
      <c r="K3310" s="45"/>
      <c r="L3310" s="45"/>
      <c r="M3310" s="45"/>
      <c r="N3310" s="45"/>
      <c r="O3310" s="45"/>
      <c r="P3310" s="45"/>
      <c r="Q3310" s="45"/>
      <c r="R3310" s="45"/>
      <c r="S3310" s="45"/>
      <c r="T3310" s="45"/>
      <c r="U3310" s="45"/>
    </row>
    <row r="3311">
      <c r="A3311" s="79" t="s">
        <v>21712</v>
      </c>
      <c r="B3311" s="45"/>
      <c r="C3311" s="79" t="s">
        <v>21713</v>
      </c>
      <c r="D3311" s="45"/>
      <c r="E3311" s="79" t="s">
        <v>5650</v>
      </c>
      <c r="F3311" s="79" t="s">
        <v>4095</v>
      </c>
      <c r="G3311" s="80" t="s">
        <v>96</v>
      </c>
      <c r="H3311" s="90">
        <v>5.62E-5</v>
      </c>
      <c r="I3311" s="45"/>
      <c r="J3311" s="45"/>
      <c r="K3311" s="45"/>
      <c r="L3311" s="45"/>
      <c r="M3311" s="45"/>
      <c r="N3311" s="45"/>
      <c r="O3311" s="45"/>
      <c r="P3311" s="45"/>
      <c r="Q3311" s="45"/>
      <c r="R3311" s="45"/>
      <c r="S3311" s="45"/>
      <c r="T3311" s="45"/>
      <c r="U3311" s="45"/>
    </row>
    <row r="3312">
      <c r="A3312" s="79" t="s">
        <v>21714</v>
      </c>
      <c r="B3312" s="45"/>
      <c r="C3312" s="79" t="s">
        <v>21715</v>
      </c>
      <c r="D3312" s="45"/>
      <c r="E3312" s="79" t="s">
        <v>5226</v>
      </c>
      <c r="F3312" s="79" t="s">
        <v>5425</v>
      </c>
      <c r="G3312" s="80" t="s">
        <v>96</v>
      </c>
      <c r="H3312" s="90">
        <v>5.61E-5</v>
      </c>
      <c r="I3312" s="45"/>
      <c r="J3312" s="45"/>
      <c r="K3312" s="45"/>
      <c r="L3312" s="45"/>
      <c r="M3312" s="45"/>
      <c r="N3312" s="45"/>
      <c r="O3312" s="45"/>
      <c r="P3312" s="45"/>
      <c r="Q3312" s="45"/>
      <c r="R3312" s="45"/>
      <c r="S3312" s="45"/>
      <c r="T3312" s="45"/>
      <c r="U3312" s="45"/>
    </row>
    <row r="3313">
      <c r="A3313" s="79" t="s">
        <v>21716</v>
      </c>
      <c r="B3313" s="45"/>
      <c r="C3313" s="79" t="s">
        <v>21717</v>
      </c>
      <c r="D3313" s="45"/>
      <c r="E3313" s="79" t="s">
        <v>5756</v>
      </c>
      <c r="F3313" s="79" t="s">
        <v>18084</v>
      </c>
      <c r="G3313" s="80" t="s">
        <v>96</v>
      </c>
      <c r="H3313" s="90">
        <v>5.6E-5</v>
      </c>
      <c r="I3313" s="45"/>
      <c r="J3313" s="45"/>
      <c r="K3313" s="45"/>
      <c r="L3313" s="45"/>
      <c r="M3313" s="45"/>
      <c r="N3313" s="45"/>
      <c r="O3313" s="45"/>
      <c r="P3313" s="45"/>
      <c r="Q3313" s="45"/>
      <c r="R3313" s="45"/>
      <c r="S3313" s="45"/>
      <c r="T3313" s="45"/>
      <c r="U3313" s="45"/>
    </row>
    <row r="3314">
      <c r="A3314" s="79" t="s">
        <v>21718</v>
      </c>
      <c r="B3314" s="45"/>
      <c r="C3314" s="79" t="s">
        <v>21719</v>
      </c>
      <c r="D3314" s="45"/>
      <c r="E3314" s="79" t="s">
        <v>6012</v>
      </c>
      <c r="F3314" s="79" t="s">
        <v>9299</v>
      </c>
      <c r="G3314" s="80" t="s">
        <v>96</v>
      </c>
      <c r="H3314" s="90">
        <v>5.6E-5</v>
      </c>
      <c r="I3314" s="45"/>
      <c r="J3314" s="45"/>
      <c r="K3314" s="45"/>
      <c r="L3314" s="45"/>
      <c r="M3314" s="45"/>
      <c r="N3314" s="45"/>
      <c r="O3314" s="45"/>
      <c r="P3314" s="45"/>
      <c r="Q3314" s="45"/>
      <c r="R3314" s="45"/>
      <c r="S3314" s="45"/>
      <c r="T3314" s="45"/>
      <c r="U3314" s="45"/>
    </row>
    <row r="3315">
      <c r="A3315" s="79" t="s">
        <v>21720</v>
      </c>
      <c r="B3315" s="45"/>
      <c r="C3315" s="79" t="s">
        <v>21721</v>
      </c>
      <c r="D3315" s="45"/>
      <c r="E3315" s="79" t="s">
        <v>5321</v>
      </c>
      <c r="F3315" s="79" t="s">
        <v>5836</v>
      </c>
      <c r="G3315" s="80" t="s">
        <v>96</v>
      </c>
      <c r="H3315" s="90">
        <v>5.59E-5</v>
      </c>
      <c r="I3315" s="45"/>
      <c r="J3315" s="45"/>
      <c r="K3315" s="45"/>
      <c r="L3315" s="45"/>
      <c r="M3315" s="45"/>
      <c r="N3315" s="45"/>
      <c r="O3315" s="45"/>
      <c r="P3315" s="45"/>
      <c r="Q3315" s="45"/>
      <c r="R3315" s="45"/>
      <c r="S3315" s="45"/>
      <c r="T3315" s="45"/>
      <c r="U3315" s="45"/>
    </row>
    <row r="3316">
      <c r="A3316" s="79" t="s">
        <v>21722</v>
      </c>
      <c r="B3316" s="45"/>
      <c r="C3316" s="79" t="s">
        <v>21723</v>
      </c>
      <c r="D3316" s="45"/>
      <c r="E3316" s="79" t="s">
        <v>6157</v>
      </c>
      <c r="F3316" s="79" t="s">
        <v>5300</v>
      </c>
      <c r="G3316" s="80" t="s">
        <v>96</v>
      </c>
      <c r="H3316" s="90">
        <v>5.59E-5</v>
      </c>
      <c r="I3316" s="45"/>
      <c r="J3316" s="45"/>
      <c r="K3316" s="45"/>
      <c r="L3316" s="45"/>
      <c r="M3316" s="45"/>
      <c r="N3316" s="45"/>
      <c r="O3316" s="45"/>
      <c r="P3316" s="45"/>
      <c r="Q3316" s="45"/>
      <c r="R3316" s="45"/>
      <c r="S3316" s="45"/>
      <c r="T3316" s="45"/>
      <c r="U3316" s="45"/>
    </row>
    <row r="3317">
      <c r="A3317" s="79" t="s">
        <v>21724</v>
      </c>
      <c r="B3317" s="45"/>
      <c r="C3317" s="79" t="s">
        <v>21725</v>
      </c>
      <c r="D3317" s="45"/>
      <c r="E3317" s="79" t="s">
        <v>6327</v>
      </c>
      <c r="F3317" s="79" t="s">
        <v>5300</v>
      </c>
      <c r="G3317" s="80" t="s">
        <v>96</v>
      </c>
      <c r="H3317" s="90">
        <v>5.59E-5</v>
      </c>
      <c r="I3317" s="45"/>
      <c r="J3317" s="45"/>
      <c r="K3317" s="45"/>
      <c r="L3317" s="45"/>
      <c r="M3317" s="45"/>
      <c r="N3317" s="45"/>
      <c r="O3317" s="45"/>
      <c r="P3317" s="45"/>
      <c r="Q3317" s="45"/>
      <c r="R3317" s="45"/>
      <c r="S3317" s="45"/>
      <c r="T3317" s="45"/>
      <c r="U3317" s="45"/>
    </row>
    <row r="3318">
      <c r="A3318" s="79" t="s">
        <v>21726</v>
      </c>
      <c r="B3318" s="45"/>
      <c r="C3318" s="79" t="s">
        <v>21727</v>
      </c>
      <c r="D3318" s="45"/>
      <c r="E3318" s="79" t="s">
        <v>5215</v>
      </c>
      <c r="F3318" s="79" t="s">
        <v>5300</v>
      </c>
      <c r="G3318" s="80" t="s">
        <v>96</v>
      </c>
      <c r="H3318" s="90">
        <v>5.59E-5</v>
      </c>
      <c r="I3318" s="45"/>
      <c r="J3318" s="45"/>
      <c r="K3318" s="45"/>
      <c r="L3318" s="45"/>
      <c r="M3318" s="45"/>
      <c r="N3318" s="45"/>
      <c r="O3318" s="45"/>
      <c r="P3318" s="45"/>
      <c r="Q3318" s="45"/>
      <c r="R3318" s="45"/>
      <c r="S3318" s="45"/>
      <c r="T3318" s="45"/>
      <c r="U3318" s="45"/>
    </row>
    <row r="3319">
      <c r="A3319" s="79" t="s">
        <v>21728</v>
      </c>
      <c r="B3319" s="45"/>
      <c r="C3319" s="79" t="s">
        <v>21729</v>
      </c>
      <c r="D3319" s="45"/>
      <c r="E3319" s="79" t="s">
        <v>5326</v>
      </c>
      <c r="F3319" s="79" t="s">
        <v>5300</v>
      </c>
      <c r="G3319" s="80" t="s">
        <v>96</v>
      </c>
      <c r="H3319" s="90">
        <v>5.58E-5</v>
      </c>
      <c r="I3319" s="45"/>
      <c r="J3319" s="45"/>
      <c r="K3319" s="45"/>
      <c r="L3319" s="45"/>
      <c r="M3319" s="45"/>
      <c r="N3319" s="45"/>
      <c r="O3319" s="45"/>
      <c r="P3319" s="45"/>
      <c r="Q3319" s="45"/>
      <c r="R3319" s="45"/>
      <c r="S3319" s="45"/>
      <c r="T3319" s="45"/>
      <c r="U3319" s="45"/>
    </row>
    <row r="3320">
      <c r="A3320" s="79" t="s">
        <v>21730</v>
      </c>
      <c r="B3320" s="45"/>
      <c r="C3320" s="79" t="s">
        <v>21731</v>
      </c>
      <c r="D3320" s="45"/>
      <c r="E3320" s="79" t="s">
        <v>5561</v>
      </c>
      <c r="F3320" s="79" t="s">
        <v>8784</v>
      </c>
      <c r="G3320" s="80" t="s">
        <v>96</v>
      </c>
      <c r="H3320" s="90">
        <v>5.58E-5</v>
      </c>
      <c r="I3320" s="45"/>
      <c r="J3320" s="45"/>
      <c r="K3320" s="45"/>
      <c r="L3320" s="45"/>
      <c r="M3320" s="45"/>
      <c r="N3320" s="45"/>
      <c r="O3320" s="45"/>
      <c r="P3320" s="45"/>
      <c r="Q3320" s="45"/>
      <c r="R3320" s="45"/>
      <c r="S3320" s="45"/>
      <c r="T3320" s="45"/>
      <c r="U3320" s="45"/>
    </row>
    <row r="3321">
      <c r="A3321" s="79" t="s">
        <v>21732</v>
      </c>
      <c r="B3321" s="45"/>
      <c r="C3321" s="79" t="s">
        <v>21733</v>
      </c>
      <c r="D3321" s="45"/>
      <c r="E3321" s="79" t="s">
        <v>5855</v>
      </c>
      <c r="F3321" s="79" t="s">
        <v>8784</v>
      </c>
      <c r="G3321" s="80" t="s">
        <v>96</v>
      </c>
      <c r="H3321" s="90">
        <v>5.58E-5</v>
      </c>
      <c r="I3321" s="45"/>
      <c r="J3321" s="45"/>
      <c r="K3321" s="45"/>
      <c r="L3321" s="45"/>
      <c r="M3321" s="45"/>
      <c r="N3321" s="45"/>
      <c r="O3321" s="45"/>
      <c r="P3321" s="45"/>
      <c r="Q3321" s="45"/>
      <c r="R3321" s="45"/>
      <c r="S3321" s="45"/>
      <c r="T3321" s="45"/>
      <c r="U3321" s="45"/>
    </row>
    <row r="3322">
      <c r="A3322" s="79" t="s">
        <v>21734</v>
      </c>
      <c r="B3322" s="45"/>
      <c r="C3322" s="79" t="s">
        <v>21735</v>
      </c>
      <c r="D3322" s="45"/>
      <c r="E3322" s="79" t="s">
        <v>5316</v>
      </c>
      <c r="F3322" s="79" t="s">
        <v>5836</v>
      </c>
      <c r="G3322" s="80" t="s">
        <v>96</v>
      </c>
      <c r="H3322" s="90">
        <v>5.57E-5</v>
      </c>
      <c r="I3322" s="45"/>
      <c r="J3322" s="45"/>
      <c r="K3322" s="45"/>
      <c r="L3322" s="45"/>
      <c r="M3322" s="45"/>
      <c r="N3322" s="45"/>
      <c r="O3322" s="45"/>
      <c r="P3322" s="45"/>
      <c r="Q3322" s="45"/>
      <c r="R3322" s="45"/>
      <c r="S3322" s="45"/>
      <c r="T3322" s="45"/>
      <c r="U3322" s="45"/>
    </row>
    <row r="3323">
      <c r="A3323" s="79" t="s">
        <v>11737</v>
      </c>
      <c r="B3323" s="45"/>
      <c r="C3323" s="79" t="s">
        <v>21736</v>
      </c>
      <c r="D3323" s="45"/>
      <c r="E3323" s="79" t="s">
        <v>5267</v>
      </c>
      <c r="F3323" s="79" t="s">
        <v>5836</v>
      </c>
      <c r="G3323" s="80" t="s">
        <v>96</v>
      </c>
      <c r="H3323" s="90">
        <v>5.57E-5</v>
      </c>
      <c r="I3323" s="45"/>
      <c r="J3323" s="45"/>
      <c r="K3323" s="45"/>
      <c r="L3323" s="45"/>
      <c r="M3323" s="45"/>
      <c r="N3323" s="45"/>
      <c r="O3323" s="45"/>
      <c r="P3323" s="45"/>
      <c r="Q3323" s="45"/>
      <c r="R3323" s="45"/>
      <c r="S3323" s="45"/>
      <c r="T3323" s="45"/>
      <c r="U3323" s="45"/>
    </row>
    <row r="3324">
      <c r="A3324" s="79" t="s">
        <v>21737</v>
      </c>
      <c r="B3324" s="45"/>
      <c r="C3324" s="79" t="s">
        <v>21738</v>
      </c>
      <c r="D3324" s="45"/>
      <c r="E3324" s="79" t="s">
        <v>9039</v>
      </c>
      <c r="F3324" s="79" t="s">
        <v>5300</v>
      </c>
      <c r="G3324" s="80" t="s">
        <v>96</v>
      </c>
      <c r="H3324" s="90">
        <v>5.57E-5</v>
      </c>
      <c r="I3324" s="45"/>
      <c r="J3324" s="45"/>
      <c r="K3324" s="45"/>
      <c r="L3324" s="45"/>
      <c r="M3324" s="45"/>
      <c r="N3324" s="45"/>
      <c r="O3324" s="45"/>
      <c r="P3324" s="45"/>
      <c r="Q3324" s="45"/>
      <c r="R3324" s="45"/>
      <c r="S3324" s="45"/>
      <c r="T3324" s="45"/>
      <c r="U3324" s="45"/>
    </row>
    <row r="3325">
      <c r="A3325" s="79" t="s">
        <v>21739</v>
      </c>
      <c r="B3325" s="45"/>
      <c r="C3325" s="79" t="s">
        <v>21740</v>
      </c>
      <c r="D3325" s="45"/>
      <c r="E3325" s="79" t="s">
        <v>5226</v>
      </c>
      <c r="F3325" s="79" t="s">
        <v>5836</v>
      </c>
      <c r="G3325" s="80" t="s">
        <v>96</v>
      </c>
      <c r="H3325" s="90">
        <v>5.56E-5</v>
      </c>
      <c r="I3325" s="45"/>
      <c r="J3325" s="45"/>
      <c r="K3325" s="45"/>
      <c r="L3325" s="45"/>
      <c r="M3325" s="45"/>
      <c r="N3325" s="45"/>
      <c r="O3325" s="45"/>
      <c r="P3325" s="45"/>
      <c r="Q3325" s="45"/>
      <c r="R3325" s="45"/>
      <c r="S3325" s="45"/>
      <c r="T3325" s="45"/>
      <c r="U3325" s="45"/>
    </row>
    <row r="3326">
      <c r="A3326" s="79" t="s">
        <v>21741</v>
      </c>
      <c r="B3326" s="45"/>
      <c r="C3326" s="79" t="s">
        <v>21742</v>
      </c>
      <c r="D3326" s="45"/>
      <c r="E3326" s="79" t="s">
        <v>5478</v>
      </c>
      <c r="F3326" s="79" t="s">
        <v>5425</v>
      </c>
      <c r="G3326" s="80" t="s">
        <v>96</v>
      </c>
      <c r="H3326" s="90">
        <v>5.55E-5</v>
      </c>
      <c r="I3326" s="45"/>
      <c r="J3326" s="45"/>
      <c r="K3326" s="45"/>
      <c r="L3326" s="45"/>
      <c r="M3326" s="45"/>
      <c r="N3326" s="45"/>
      <c r="O3326" s="45"/>
      <c r="P3326" s="45"/>
      <c r="Q3326" s="45"/>
      <c r="R3326" s="45"/>
      <c r="S3326" s="45"/>
      <c r="T3326" s="45"/>
      <c r="U3326" s="45"/>
    </row>
    <row r="3327">
      <c r="A3327" s="79" t="s">
        <v>21743</v>
      </c>
      <c r="B3327" s="45"/>
      <c r="C3327" s="79" t="s">
        <v>21744</v>
      </c>
      <c r="D3327" s="45"/>
      <c r="E3327" s="79" t="s">
        <v>5374</v>
      </c>
      <c r="F3327" s="79" t="s">
        <v>4095</v>
      </c>
      <c r="G3327" s="80" t="s">
        <v>96</v>
      </c>
      <c r="H3327" s="90">
        <v>5.55E-5</v>
      </c>
      <c r="I3327" s="45"/>
      <c r="J3327" s="45"/>
      <c r="K3327" s="45"/>
      <c r="L3327" s="45"/>
      <c r="M3327" s="45"/>
      <c r="N3327" s="45"/>
      <c r="O3327" s="45"/>
      <c r="P3327" s="45"/>
      <c r="Q3327" s="45"/>
      <c r="R3327" s="45"/>
      <c r="S3327" s="45"/>
      <c r="T3327" s="45"/>
      <c r="U3327" s="45"/>
    </row>
    <row r="3328">
      <c r="A3328" s="79" t="s">
        <v>21745</v>
      </c>
      <c r="B3328" s="45"/>
      <c r="C3328" s="79" t="s">
        <v>21746</v>
      </c>
      <c r="D3328" s="45"/>
      <c r="E3328" s="79" t="s">
        <v>5407</v>
      </c>
      <c r="F3328" s="79" t="s">
        <v>8767</v>
      </c>
      <c r="G3328" s="80" t="s">
        <v>96</v>
      </c>
      <c r="H3328" s="90">
        <v>5.55E-5</v>
      </c>
      <c r="I3328" s="45"/>
      <c r="J3328" s="45"/>
      <c r="K3328" s="45"/>
      <c r="L3328" s="45"/>
      <c r="M3328" s="45"/>
      <c r="N3328" s="45"/>
      <c r="O3328" s="45"/>
      <c r="P3328" s="45"/>
      <c r="Q3328" s="45"/>
      <c r="R3328" s="45"/>
      <c r="S3328" s="45"/>
      <c r="T3328" s="45"/>
      <c r="U3328" s="45"/>
    </row>
    <row r="3329">
      <c r="A3329" s="79" t="s">
        <v>21747</v>
      </c>
      <c r="B3329" s="45"/>
      <c r="C3329" s="79" t="s">
        <v>21748</v>
      </c>
      <c r="D3329" s="45"/>
      <c r="E3329" s="79" t="s">
        <v>5374</v>
      </c>
      <c r="F3329" s="79" t="s">
        <v>8784</v>
      </c>
      <c r="G3329" s="80" t="s">
        <v>96</v>
      </c>
      <c r="H3329" s="90">
        <v>5.54E-5</v>
      </c>
      <c r="I3329" s="45"/>
      <c r="J3329" s="45"/>
      <c r="K3329" s="45"/>
      <c r="L3329" s="45"/>
      <c r="M3329" s="45"/>
      <c r="N3329" s="45"/>
      <c r="O3329" s="45"/>
      <c r="P3329" s="45"/>
      <c r="Q3329" s="45"/>
      <c r="R3329" s="45"/>
      <c r="S3329" s="45"/>
      <c r="T3329" s="45"/>
      <c r="U3329" s="45"/>
    </row>
    <row r="3330">
      <c r="A3330" s="79" t="s">
        <v>21749</v>
      </c>
      <c r="B3330" s="45"/>
      <c r="C3330" s="79" t="s">
        <v>21750</v>
      </c>
      <c r="D3330" s="45"/>
      <c r="E3330" s="79" t="s">
        <v>5235</v>
      </c>
      <c r="F3330" s="79" t="s">
        <v>5927</v>
      </c>
      <c r="G3330" s="80" t="s">
        <v>96</v>
      </c>
      <c r="H3330" s="90">
        <v>5.54E-5</v>
      </c>
      <c r="I3330" s="45"/>
      <c r="J3330" s="45"/>
      <c r="K3330" s="45"/>
      <c r="L3330" s="45"/>
      <c r="M3330" s="45"/>
      <c r="N3330" s="45"/>
      <c r="O3330" s="45"/>
      <c r="P3330" s="45"/>
      <c r="Q3330" s="45"/>
      <c r="R3330" s="45"/>
      <c r="S3330" s="45"/>
      <c r="T3330" s="45"/>
      <c r="U3330" s="45"/>
    </row>
    <row r="3331">
      <c r="A3331" s="79" t="s">
        <v>21751</v>
      </c>
      <c r="B3331" s="45"/>
      <c r="C3331" s="79" t="s">
        <v>21752</v>
      </c>
      <c r="D3331" s="45"/>
      <c r="E3331" s="79" t="s">
        <v>6040</v>
      </c>
      <c r="F3331" s="79" t="s">
        <v>5300</v>
      </c>
      <c r="G3331" s="80" t="s">
        <v>96</v>
      </c>
      <c r="H3331" s="90">
        <v>5.54E-5</v>
      </c>
      <c r="I3331" s="45"/>
      <c r="J3331" s="45"/>
      <c r="K3331" s="45"/>
      <c r="L3331" s="45"/>
      <c r="M3331" s="45"/>
      <c r="N3331" s="45"/>
      <c r="O3331" s="45"/>
      <c r="P3331" s="45"/>
      <c r="Q3331" s="45"/>
      <c r="R3331" s="45"/>
      <c r="S3331" s="45"/>
      <c r="T3331" s="45"/>
      <c r="U3331" s="45"/>
    </row>
    <row r="3332">
      <c r="A3332" s="79" t="s">
        <v>21753</v>
      </c>
      <c r="B3332" s="45"/>
      <c r="C3332" s="79" t="s">
        <v>21754</v>
      </c>
      <c r="D3332" s="45"/>
      <c r="E3332" s="79" t="s">
        <v>10530</v>
      </c>
      <c r="F3332" s="79" t="s">
        <v>5300</v>
      </c>
      <c r="G3332" s="80" t="s">
        <v>96</v>
      </c>
      <c r="H3332" s="90">
        <v>5.54E-5</v>
      </c>
      <c r="I3332" s="45"/>
      <c r="J3332" s="45"/>
      <c r="K3332" s="45"/>
      <c r="L3332" s="45"/>
      <c r="M3332" s="45"/>
      <c r="N3332" s="45"/>
      <c r="O3332" s="45"/>
      <c r="P3332" s="45"/>
      <c r="Q3332" s="45"/>
      <c r="R3332" s="45"/>
      <c r="S3332" s="45"/>
      <c r="T3332" s="45"/>
      <c r="U3332" s="45"/>
    </row>
    <row r="3333">
      <c r="A3333" s="79" t="s">
        <v>21755</v>
      </c>
      <c r="B3333" s="45"/>
      <c r="C3333" s="79" t="s">
        <v>21756</v>
      </c>
      <c r="D3333" s="45"/>
      <c r="E3333" s="79" t="s">
        <v>5456</v>
      </c>
      <c r="F3333" s="79" t="s">
        <v>8784</v>
      </c>
      <c r="G3333" s="80" t="s">
        <v>96</v>
      </c>
      <c r="H3333" s="90">
        <v>5.54E-5</v>
      </c>
      <c r="I3333" s="45"/>
      <c r="J3333" s="45"/>
      <c r="K3333" s="45"/>
      <c r="L3333" s="45"/>
      <c r="M3333" s="45"/>
      <c r="N3333" s="45"/>
      <c r="O3333" s="45"/>
      <c r="P3333" s="45"/>
      <c r="Q3333" s="45"/>
      <c r="R3333" s="45"/>
      <c r="S3333" s="45"/>
      <c r="T3333" s="45"/>
      <c r="U3333" s="45"/>
    </row>
    <row r="3334">
      <c r="A3334" s="79" t="s">
        <v>11006</v>
      </c>
      <c r="B3334" s="45"/>
      <c r="C3334" s="79" t="s">
        <v>11007</v>
      </c>
      <c r="D3334" s="45"/>
      <c r="E3334" s="79" t="s">
        <v>5235</v>
      </c>
      <c r="F3334" s="79" t="s">
        <v>5941</v>
      </c>
      <c r="G3334" s="80" t="s">
        <v>96</v>
      </c>
      <c r="H3334" s="90">
        <v>5.53E-5</v>
      </c>
      <c r="I3334" s="45"/>
      <c r="J3334" s="45"/>
      <c r="K3334" s="45"/>
      <c r="L3334" s="45"/>
      <c r="M3334" s="45"/>
      <c r="N3334" s="45"/>
      <c r="O3334" s="45"/>
      <c r="P3334" s="45"/>
      <c r="Q3334" s="45"/>
      <c r="R3334" s="45"/>
      <c r="S3334" s="45"/>
      <c r="T3334" s="45"/>
      <c r="U3334" s="45"/>
    </row>
    <row r="3335">
      <c r="A3335" s="79" t="s">
        <v>21757</v>
      </c>
      <c r="B3335" s="45"/>
      <c r="C3335" s="79" t="s">
        <v>21758</v>
      </c>
      <c r="D3335" s="45"/>
      <c r="E3335" s="79" t="s">
        <v>5309</v>
      </c>
      <c r="F3335" s="79" t="s">
        <v>5300</v>
      </c>
      <c r="G3335" s="80" t="s">
        <v>96</v>
      </c>
      <c r="H3335" s="90">
        <v>5.53E-5</v>
      </c>
      <c r="I3335" s="45"/>
      <c r="J3335" s="45"/>
      <c r="K3335" s="45"/>
      <c r="L3335" s="45"/>
      <c r="M3335" s="45"/>
      <c r="N3335" s="45"/>
      <c r="O3335" s="45"/>
      <c r="P3335" s="45"/>
      <c r="Q3335" s="45"/>
      <c r="R3335" s="45"/>
      <c r="S3335" s="45"/>
      <c r="T3335" s="45"/>
      <c r="U3335" s="45"/>
    </row>
    <row r="3336">
      <c r="A3336" s="79" t="s">
        <v>21759</v>
      </c>
      <c r="B3336" s="45"/>
      <c r="C3336" s="79" t="s">
        <v>21760</v>
      </c>
      <c r="D3336" s="45"/>
      <c r="E3336" s="79" t="s">
        <v>5675</v>
      </c>
      <c r="F3336" s="79" t="s">
        <v>5941</v>
      </c>
      <c r="G3336" s="80" t="s">
        <v>96</v>
      </c>
      <c r="H3336" s="90">
        <v>5.51E-5</v>
      </c>
      <c r="I3336" s="45"/>
      <c r="J3336" s="45"/>
      <c r="K3336" s="45"/>
      <c r="L3336" s="45"/>
      <c r="M3336" s="45"/>
      <c r="N3336" s="45"/>
      <c r="O3336" s="45"/>
      <c r="P3336" s="45"/>
      <c r="Q3336" s="45"/>
      <c r="R3336" s="45"/>
      <c r="S3336" s="45"/>
      <c r="T3336" s="45"/>
      <c r="U3336" s="45"/>
    </row>
    <row r="3337">
      <c r="A3337" s="79" t="s">
        <v>21761</v>
      </c>
      <c r="B3337" s="45"/>
      <c r="C3337" s="79" t="s">
        <v>21762</v>
      </c>
      <c r="D3337" s="45"/>
      <c r="E3337" s="79" t="s">
        <v>6327</v>
      </c>
      <c r="F3337" s="79" t="s">
        <v>9299</v>
      </c>
      <c r="G3337" s="80" t="s">
        <v>96</v>
      </c>
      <c r="H3337" s="90">
        <v>5.51E-5</v>
      </c>
      <c r="I3337" s="45"/>
      <c r="J3337" s="45"/>
      <c r="K3337" s="45"/>
      <c r="L3337" s="45"/>
      <c r="M3337" s="45"/>
      <c r="N3337" s="45"/>
      <c r="O3337" s="45"/>
      <c r="P3337" s="45"/>
      <c r="Q3337" s="45"/>
      <c r="R3337" s="45"/>
      <c r="S3337" s="45"/>
      <c r="T3337" s="45"/>
      <c r="U3337" s="45"/>
    </row>
    <row r="3338">
      <c r="A3338" s="79" t="s">
        <v>21763</v>
      </c>
      <c r="B3338" s="45"/>
      <c r="C3338" s="79" t="s">
        <v>21764</v>
      </c>
      <c r="D3338" s="45"/>
      <c r="E3338" s="79" t="s">
        <v>6172</v>
      </c>
      <c r="F3338" s="79" t="s">
        <v>9414</v>
      </c>
      <c r="G3338" s="80" t="s">
        <v>96</v>
      </c>
      <c r="H3338" s="90">
        <v>5.51E-5</v>
      </c>
      <c r="I3338" s="45"/>
      <c r="J3338" s="45"/>
      <c r="K3338" s="45"/>
      <c r="L3338" s="45"/>
      <c r="M3338" s="45"/>
      <c r="N3338" s="45"/>
      <c r="O3338" s="45"/>
      <c r="P3338" s="45"/>
      <c r="Q3338" s="45"/>
      <c r="R3338" s="45"/>
      <c r="S3338" s="45"/>
      <c r="T3338" s="45"/>
      <c r="U3338" s="45"/>
    </row>
    <row r="3339">
      <c r="A3339" s="79" t="s">
        <v>21765</v>
      </c>
      <c r="B3339" s="45"/>
      <c r="C3339" s="79" t="s">
        <v>21766</v>
      </c>
      <c r="D3339" s="45"/>
      <c r="E3339" s="79" t="s">
        <v>5218</v>
      </c>
      <c r="F3339" s="79" t="s">
        <v>8784</v>
      </c>
      <c r="G3339" s="80" t="s">
        <v>96</v>
      </c>
      <c r="H3339" s="90">
        <v>5.5E-5</v>
      </c>
      <c r="I3339" s="45"/>
      <c r="J3339" s="45"/>
      <c r="K3339" s="45"/>
      <c r="L3339" s="45"/>
      <c r="M3339" s="45"/>
      <c r="N3339" s="45"/>
      <c r="O3339" s="45"/>
      <c r="P3339" s="45"/>
      <c r="Q3339" s="45"/>
      <c r="R3339" s="45"/>
      <c r="S3339" s="45"/>
      <c r="T3339" s="45"/>
      <c r="U3339" s="45"/>
    </row>
    <row r="3340">
      <c r="A3340" s="79" t="s">
        <v>21767</v>
      </c>
      <c r="B3340" s="45"/>
      <c r="C3340" s="79" t="s">
        <v>21768</v>
      </c>
      <c r="D3340" s="45"/>
      <c r="E3340" s="79" t="s">
        <v>5445</v>
      </c>
      <c r="F3340" s="79" t="s">
        <v>5300</v>
      </c>
      <c r="G3340" s="80" t="s">
        <v>96</v>
      </c>
      <c r="H3340" s="90">
        <v>5.5E-5</v>
      </c>
      <c r="I3340" s="45"/>
      <c r="J3340" s="45"/>
      <c r="K3340" s="45"/>
      <c r="L3340" s="45"/>
      <c r="M3340" s="45"/>
      <c r="N3340" s="45"/>
      <c r="O3340" s="45"/>
      <c r="P3340" s="45"/>
      <c r="Q3340" s="45"/>
      <c r="R3340" s="45"/>
      <c r="S3340" s="45"/>
      <c r="T3340" s="45"/>
      <c r="U3340" s="45"/>
    </row>
    <row r="3341">
      <c r="A3341" s="79" t="s">
        <v>21769</v>
      </c>
      <c r="B3341" s="45"/>
      <c r="C3341" s="79" t="s">
        <v>21770</v>
      </c>
      <c r="D3341" s="45"/>
      <c r="E3341" s="79" t="s">
        <v>5434</v>
      </c>
      <c r="F3341" s="79" t="s">
        <v>5300</v>
      </c>
      <c r="G3341" s="80" t="s">
        <v>96</v>
      </c>
      <c r="H3341" s="90">
        <v>5.5E-5</v>
      </c>
      <c r="I3341" s="45"/>
      <c r="J3341" s="45"/>
      <c r="K3341" s="45"/>
      <c r="L3341" s="45"/>
      <c r="M3341" s="45"/>
      <c r="N3341" s="45"/>
      <c r="O3341" s="45"/>
      <c r="P3341" s="45"/>
      <c r="Q3341" s="45"/>
      <c r="R3341" s="45"/>
      <c r="S3341" s="45"/>
      <c r="T3341" s="45"/>
      <c r="U3341" s="45"/>
    </row>
    <row r="3342">
      <c r="A3342" s="79" t="s">
        <v>21771</v>
      </c>
      <c r="B3342" s="45"/>
      <c r="C3342" s="79" t="s">
        <v>21772</v>
      </c>
      <c r="D3342" s="45"/>
      <c r="E3342" s="79" t="s">
        <v>5366</v>
      </c>
      <c r="F3342" s="79" t="s">
        <v>5425</v>
      </c>
      <c r="G3342" s="80" t="s">
        <v>96</v>
      </c>
      <c r="H3342" s="90">
        <v>5.49E-5</v>
      </c>
      <c r="I3342" s="45"/>
      <c r="J3342" s="45"/>
      <c r="K3342" s="45"/>
      <c r="L3342" s="45"/>
      <c r="M3342" s="45"/>
      <c r="N3342" s="45"/>
      <c r="O3342" s="45"/>
      <c r="P3342" s="45"/>
      <c r="Q3342" s="45"/>
      <c r="R3342" s="45"/>
      <c r="S3342" s="45"/>
      <c r="T3342" s="45"/>
      <c r="U3342" s="45"/>
    </row>
    <row r="3343">
      <c r="A3343" s="79" t="s">
        <v>21773</v>
      </c>
      <c r="B3343" s="45"/>
      <c r="C3343" s="79" t="s">
        <v>21774</v>
      </c>
      <c r="D3343" s="45"/>
      <c r="E3343" s="79" t="s">
        <v>5395</v>
      </c>
      <c r="F3343" s="79" t="s">
        <v>5836</v>
      </c>
      <c r="G3343" s="80" t="s">
        <v>96</v>
      </c>
      <c r="H3343" s="90">
        <v>5.49E-5</v>
      </c>
      <c r="I3343" s="45"/>
      <c r="J3343" s="45"/>
      <c r="K3343" s="45"/>
      <c r="L3343" s="45"/>
      <c r="M3343" s="45"/>
      <c r="N3343" s="45"/>
      <c r="O3343" s="45"/>
      <c r="P3343" s="45"/>
      <c r="Q3343" s="45"/>
      <c r="R3343" s="45"/>
      <c r="S3343" s="45"/>
      <c r="T3343" s="45"/>
      <c r="U3343" s="45"/>
    </row>
    <row r="3344">
      <c r="A3344" s="79" t="s">
        <v>21775</v>
      </c>
      <c r="B3344" s="45"/>
      <c r="C3344" s="79" t="s">
        <v>21776</v>
      </c>
      <c r="D3344" s="45"/>
      <c r="E3344" s="79" t="s">
        <v>5226</v>
      </c>
      <c r="F3344" s="79" t="s">
        <v>5300</v>
      </c>
      <c r="G3344" s="80" t="s">
        <v>96</v>
      </c>
      <c r="H3344" s="90">
        <v>5.48E-5</v>
      </c>
      <c r="I3344" s="45"/>
      <c r="J3344" s="45"/>
      <c r="K3344" s="45"/>
      <c r="L3344" s="45"/>
      <c r="M3344" s="45"/>
      <c r="N3344" s="45"/>
      <c r="O3344" s="45"/>
      <c r="P3344" s="45"/>
      <c r="Q3344" s="45"/>
      <c r="R3344" s="45"/>
      <c r="S3344" s="45"/>
      <c r="T3344" s="45"/>
      <c r="U3344" s="45"/>
    </row>
    <row r="3345">
      <c r="A3345" s="79" t="s">
        <v>21777</v>
      </c>
      <c r="B3345" s="45"/>
      <c r="C3345" s="79" t="s">
        <v>21778</v>
      </c>
      <c r="D3345" s="45"/>
      <c r="E3345" s="79" t="s">
        <v>5249</v>
      </c>
      <c r="F3345" s="79" t="s">
        <v>8784</v>
      </c>
      <c r="G3345" s="80" t="s">
        <v>96</v>
      </c>
      <c r="H3345" s="90">
        <v>5.47E-5</v>
      </c>
      <c r="I3345" s="45"/>
      <c r="J3345" s="45"/>
      <c r="K3345" s="45"/>
      <c r="L3345" s="45"/>
      <c r="M3345" s="45"/>
      <c r="N3345" s="45"/>
      <c r="O3345" s="45"/>
      <c r="P3345" s="45"/>
      <c r="Q3345" s="45"/>
      <c r="R3345" s="45"/>
      <c r="S3345" s="45"/>
      <c r="T3345" s="45"/>
      <c r="U3345" s="45"/>
    </row>
    <row r="3346">
      <c r="A3346" s="79" t="s">
        <v>21779</v>
      </c>
      <c r="B3346" s="45"/>
      <c r="C3346" s="79" t="s">
        <v>21780</v>
      </c>
      <c r="D3346" s="45"/>
      <c r="E3346" s="79" t="s">
        <v>5218</v>
      </c>
      <c r="F3346" s="79" t="s">
        <v>5300</v>
      </c>
      <c r="G3346" s="80" t="s">
        <v>96</v>
      </c>
      <c r="H3346" s="90">
        <v>5.47E-5</v>
      </c>
      <c r="I3346" s="45"/>
      <c r="J3346" s="45"/>
      <c r="K3346" s="45"/>
      <c r="L3346" s="45"/>
      <c r="M3346" s="45"/>
      <c r="N3346" s="45"/>
      <c r="O3346" s="45"/>
      <c r="P3346" s="45"/>
      <c r="Q3346" s="45"/>
      <c r="R3346" s="45"/>
      <c r="S3346" s="45"/>
      <c r="T3346" s="45"/>
      <c r="U3346" s="45"/>
    </row>
    <row r="3347">
      <c r="A3347" s="79" t="s">
        <v>21781</v>
      </c>
      <c r="B3347" s="45"/>
      <c r="C3347" s="79" t="s">
        <v>21782</v>
      </c>
      <c r="D3347" s="45"/>
      <c r="E3347" s="79" t="s">
        <v>5808</v>
      </c>
      <c r="F3347" s="79" t="s">
        <v>5300</v>
      </c>
      <c r="G3347" s="80" t="s">
        <v>96</v>
      </c>
      <c r="H3347" s="90">
        <v>5.46E-5</v>
      </c>
      <c r="I3347" s="45"/>
      <c r="J3347" s="45"/>
      <c r="K3347" s="45"/>
      <c r="L3347" s="45"/>
      <c r="M3347" s="45"/>
      <c r="N3347" s="45"/>
      <c r="O3347" s="45"/>
      <c r="P3347" s="45"/>
      <c r="Q3347" s="45"/>
      <c r="R3347" s="45"/>
      <c r="S3347" s="45"/>
      <c r="T3347" s="45"/>
      <c r="U3347" s="45"/>
    </row>
    <row r="3348">
      <c r="A3348" s="79" t="s">
        <v>21783</v>
      </c>
      <c r="B3348" s="45"/>
      <c r="C3348" s="79" t="s">
        <v>21784</v>
      </c>
      <c r="D3348" s="45"/>
      <c r="E3348" s="79" t="s">
        <v>5462</v>
      </c>
      <c r="F3348" s="79" t="s">
        <v>5836</v>
      </c>
      <c r="G3348" s="80" t="s">
        <v>96</v>
      </c>
      <c r="H3348" s="90">
        <v>5.46E-5</v>
      </c>
      <c r="I3348" s="45"/>
      <c r="J3348" s="45"/>
      <c r="K3348" s="45"/>
      <c r="L3348" s="45"/>
      <c r="M3348" s="45"/>
      <c r="N3348" s="45"/>
      <c r="O3348" s="45"/>
      <c r="P3348" s="45"/>
      <c r="Q3348" s="45"/>
      <c r="R3348" s="45"/>
      <c r="S3348" s="45"/>
      <c r="T3348" s="45"/>
      <c r="U3348" s="45"/>
    </row>
    <row r="3349">
      <c r="A3349" s="79" t="s">
        <v>21785</v>
      </c>
      <c r="B3349" s="45"/>
      <c r="C3349" s="79" t="s">
        <v>21786</v>
      </c>
      <c r="D3349" s="45"/>
      <c r="E3349" s="79" t="s">
        <v>5407</v>
      </c>
      <c r="F3349" s="79" t="s">
        <v>5300</v>
      </c>
      <c r="G3349" s="80" t="s">
        <v>96</v>
      </c>
      <c r="H3349" s="90">
        <v>5.45E-5</v>
      </c>
      <c r="I3349" s="45"/>
      <c r="J3349" s="45"/>
      <c r="K3349" s="45"/>
      <c r="L3349" s="45"/>
      <c r="M3349" s="45"/>
      <c r="N3349" s="45"/>
      <c r="O3349" s="45"/>
      <c r="P3349" s="45"/>
      <c r="Q3349" s="45"/>
      <c r="R3349" s="45"/>
      <c r="S3349" s="45"/>
      <c r="T3349" s="45"/>
      <c r="U3349" s="45"/>
    </row>
    <row r="3350">
      <c r="A3350" s="79" t="s">
        <v>21787</v>
      </c>
      <c r="B3350" s="45"/>
      <c r="C3350" s="79" t="s">
        <v>21788</v>
      </c>
      <c r="D3350" s="45"/>
      <c r="E3350" s="79" t="s">
        <v>6630</v>
      </c>
      <c r="F3350" s="79" t="s">
        <v>5300</v>
      </c>
      <c r="G3350" s="80" t="s">
        <v>96</v>
      </c>
      <c r="H3350" s="90">
        <v>5.45E-5</v>
      </c>
      <c r="I3350" s="45"/>
      <c r="J3350" s="45"/>
      <c r="K3350" s="45"/>
      <c r="L3350" s="45"/>
      <c r="M3350" s="45"/>
      <c r="N3350" s="45"/>
      <c r="O3350" s="45"/>
      <c r="P3350" s="45"/>
      <c r="Q3350" s="45"/>
      <c r="R3350" s="45"/>
      <c r="S3350" s="45"/>
      <c r="T3350" s="45"/>
      <c r="U3350" s="45"/>
    </row>
    <row r="3351">
      <c r="A3351" s="79" t="s">
        <v>21789</v>
      </c>
      <c r="B3351" s="45"/>
      <c r="C3351" s="79" t="s">
        <v>21790</v>
      </c>
      <c r="D3351" s="45"/>
      <c r="E3351" s="79" t="s">
        <v>8230</v>
      </c>
      <c r="F3351" s="79" t="s">
        <v>8784</v>
      </c>
      <c r="G3351" s="80" t="s">
        <v>96</v>
      </c>
      <c r="H3351" s="90">
        <v>5.44E-5</v>
      </c>
      <c r="I3351" s="45"/>
      <c r="J3351" s="45"/>
      <c r="K3351" s="45"/>
      <c r="L3351" s="45"/>
      <c r="M3351" s="45"/>
      <c r="N3351" s="45"/>
      <c r="O3351" s="45"/>
      <c r="P3351" s="45"/>
      <c r="Q3351" s="45"/>
      <c r="R3351" s="45"/>
      <c r="S3351" s="45"/>
      <c r="T3351" s="45"/>
      <c r="U3351" s="45"/>
    </row>
    <row r="3352">
      <c r="A3352" s="79" t="s">
        <v>21791</v>
      </c>
      <c r="B3352" s="45"/>
      <c r="C3352" s="79" t="s">
        <v>21792</v>
      </c>
      <c r="D3352" s="45"/>
      <c r="E3352" s="79" t="s">
        <v>5478</v>
      </c>
      <c r="F3352" s="79" t="s">
        <v>5300</v>
      </c>
      <c r="G3352" s="80" t="s">
        <v>96</v>
      </c>
      <c r="H3352" s="90">
        <v>5.44E-5</v>
      </c>
      <c r="I3352" s="45"/>
      <c r="J3352" s="45"/>
      <c r="K3352" s="45"/>
      <c r="L3352" s="45"/>
      <c r="M3352" s="45"/>
      <c r="N3352" s="45"/>
      <c r="O3352" s="45"/>
      <c r="P3352" s="45"/>
      <c r="Q3352" s="45"/>
      <c r="R3352" s="45"/>
      <c r="S3352" s="45"/>
      <c r="T3352" s="45"/>
      <c r="U3352" s="45"/>
    </row>
    <row r="3353">
      <c r="A3353" s="79" t="s">
        <v>21793</v>
      </c>
      <c r="B3353" s="45"/>
      <c r="C3353" s="79" t="s">
        <v>21794</v>
      </c>
      <c r="D3353" s="45"/>
      <c r="E3353" s="79" t="s">
        <v>5516</v>
      </c>
      <c r="F3353" s="79" t="s">
        <v>5300</v>
      </c>
      <c r="G3353" s="80" t="s">
        <v>96</v>
      </c>
      <c r="H3353" s="90">
        <v>5.44E-5</v>
      </c>
      <c r="I3353" s="45"/>
      <c r="J3353" s="45"/>
      <c r="K3353" s="45"/>
      <c r="L3353" s="45"/>
      <c r="M3353" s="45"/>
      <c r="N3353" s="45"/>
      <c r="O3353" s="45"/>
      <c r="P3353" s="45"/>
      <c r="Q3353" s="45"/>
      <c r="R3353" s="45"/>
      <c r="S3353" s="45"/>
      <c r="T3353" s="45"/>
      <c r="U3353" s="45"/>
    </row>
    <row r="3354">
      <c r="A3354" s="79" t="s">
        <v>21795</v>
      </c>
      <c r="B3354" s="45"/>
      <c r="C3354" s="79" t="s">
        <v>21796</v>
      </c>
      <c r="D3354" s="45"/>
      <c r="E3354" s="79" t="s">
        <v>5215</v>
      </c>
      <c r="F3354" s="79" t="s">
        <v>5300</v>
      </c>
      <c r="G3354" s="80" t="s">
        <v>96</v>
      </c>
      <c r="H3354" s="90">
        <v>5.43E-5</v>
      </c>
      <c r="I3354" s="45"/>
      <c r="J3354" s="45"/>
      <c r="K3354" s="45"/>
      <c r="L3354" s="45"/>
      <c r="M3354" s="45"/>
      <c r="N3354" s="45"/>
      <c r="O3354" s="45"/>
      <c r="P3354" s="45"/>
      <c r="Q3354" s="45"/>
      <c r="R3354" s="45"/>
      <c r="S3354" s="45"/>
      <c r="T3354" s="45"/>
      <c r="U3354" s="45"/>
    </row>
    <row r="3355">
      <c r="A3355" s="79" t="s">
        <v>21797</v>
      </c>
      <c r="B3355" s="45"/>
      <c r="C3355" s="79" t="s">
        <v>21798</v>
      </c>
      <c r="D3355" s="45"/>
      <c r="E3355" s="79" t="s">
        <v>8648</v>
      </c>
      <c r="F3355" s="79" t="s">
        <v>8784</v>
      </c>
      <c r="G3355" s="80" t="s">
        <v>96</v>
      </c>
      <c r="H3355" s="90">
        <v>5.41E-5</v>
      </c>
      <c r="I3355" s="45"/>
      <c r="J3355" s="45"/>
      <c r="K3355" s="45"/>
      <c r="L3355" s="45"/>
      <c r="M3355" s="45"/>
      <c r="N3355" s="45"/>
      <c r="O3355" s="45"/>
      <c r="P3355" s="45"/>
      <c r="Q3355" s="45"/>
      <c r="R3355" s="45"/>
      <c r="S3355" s="45"/>
      <c r="T3355" s="45"/>
      <c r="U3355" s="45"/>
    </row>
    <row r="3356">
      <c r="A3356" s="79" t="s">
        <v>21799</v>
      </c>
      <c r="B3356" s="45"/>
      <c r="C3356" s="79" t="s">
        <v>21800</v>
      </c>
      <c r="D3356" s="45"/>
      <c r="E3356" s="79" t="s">
        <v>5513</v>
      </c>
      <c r="F3356" s="79" t="s">
        <v>4095</v>
      </c>
      <c r="G3356" s="80" t="s">
        <v>96</v>
      </c>
      <c r="H3356" s="90">
        <v>5.41E-5</v>
      </c>
      <c r="I3356" s="45"/>
      <c r="J3356" s="45"/>
      <c r="K3356" s="45"/>
      <c r="L3356" s="45"/>
      <c r="M3356" s="45"/>
      <c r="N3356" s="45"/>
      <c r="O3356" s="45"/>
      <c r="P3356" s="45"/>
      <c r="Q3356" s="45"/>
      <c r="R3356" s="45"/>
      <c r="S3356" s="45"/>
      <c r="T3356" s="45"/>
      <c r="U3356" s="45"/>
    </row>
    <row r="3357">
      <c r="A3357" s="79" t="s">
        <v>21801</v>
      </c>
      <c r="B3357" s="45"/>
      <c r="C3357" s="79" t="s">
        <v>21802</v>
      </c>
      <c r="D3357" s="45"/>
      <c r="E3357" s="79" t="s">
        <v>5235</v>
      </c>
      <c r="F3357" s="79" t="s">
        <v>8784</v>
      </c>
      <c r="G3357" s="80" t="s">
        <v>96</v>
      </c>
      <c r="H3357" s="90">
        <v>5.41E-5</v>
      </c>
      <c r="I3357" s="45"/>
      <c r="J3357" s="45"/>
      <c r="K3357" s="45"/>
      <c r="L3357" s="45"/>
      <c r="M3357" s="45"/>
      <c r="N3357" s="45"/>
      <c r="O3357" s="45"/>
      <c r="P3357" s="45"/>
      <c r="Q3357" s="45"/>
      <c r="R3357" s="45"/>
      <c r="S3357" s="45"/>
      <c r="T3357" s="45"/>
      <c r="U3357" s="45"/>
    </row>
    <row r="3358">
      <c r="A3358" s="79" t="s">
        <v>21803</v>
      </c>
      <c r="B3358" s="45"/>
      <c r="C3358" s="79" t="s">
        <v>21804</v>
      </c>
      <c r="D3358" s="45"/>
      <c r="E3358" s="79" t="s">
        <v>5641</v>
      </c>
      <c r="F3358" s="79" t="s">
        <v>4357</v>
      </c>
      <c r="G3358" s="80" t="s">
        <v>96</v>
      </c>
      <c r="H3358" s="90">
        <v>5.4E-5</v>
      </c>
      <c r="I3358" s="45"/>
      <c r="J3358" s="45"/>
      <c r="K3358" s="45"/>
      <c r="L3358" s="45"/>
      <c r="M3358" s="45"/>
      <c r="N3358" s="45"/>
      <c r="O3358" s="45"/>
      <c r="P3358" s="45"/>
      <c r="Q3358" s="45"/>
      <c r="R3358" s="45"/>
      <c r="S3358" s="45"/>
      <c r="T3358" s="45"/>
      <c r="U3358" s="45"/>
    </row>
    <row r="3359">
      <c r="A3359" s="79" t="s">
        <v>21805</v>
      </c>
      <c r="B3359" s="45"/>
      <c r="C3359" s="79" t="s">
        <v>21806</v>
      </c>
      <c r="D3359" s="45"/>
      <c r="E3359" s="79" t="s">
        <v>8110</v>
      </c>
      <c r="F3359" s="79" t="s">
        <v>5300</v>
      </c>
      <c r="G3359" s="80" t="s">
        <v>96</v>
      </c>
      <c r="H3359" s="90">
        <v>5.4E-5</v>
      </c>
      <c r="I3359" s="45"/>
      <c r="J3359" s="45"/>
      <c r="K3359" s="45"/>
      <c r="L3359" s="45"/>
      <c r="M3359" s="45"/>
      <c r="N3359" s="45"/>
      <c r="O3359" s="45"/>
      <c r="P3359" s="45"/>
      <c r="Q3359" s="45"/>
      <c r="R3359" s="45"/>
      <c r="S3359" s="45"/>
      <c r="T3359" s="45"/>
      <c r="U3359" s="45"/>
    </row>
    <row r="3360">
      <c r="A3360" s="79" t="s">
        <v>21807</v>
      </c>
      <c r="B3360" s="45"/>
      <c r="C3360" s="79" t="s">
        <v>21808</v>
      </c>
      <c r="D3360" s="45"/>
      <c r="E3360" s="79" t="s">
        <v>5238</v>
      </c>
      <c r="F3360" s="79" t="s">
        <v>4357</v>
      </c>
      <c r="G3360" s="80" t="s">
        <v>96</v>
      </c>
      <c r="H3360" s="90">
        <v>5.4E-5</v>
      </c>
      <c r="I3360" s="45"/>
      <c r="J3360" s="45"/>
      <c r="K3360" s="45"/>
      <c r="L3360" s="45"/>
      <c r="M3360" s="45"/>
      <c r="N3360" s="45"/>
      <c r="O3360" s="45"/>
      <c r="P3360" s="45"/>
      <c r="Q3360" s="45"/>
      <c r="R3360" s="45"/>
      <c r="S3360" s="45"/>
      <c r="T3360" s="45"/>
      <c r="U3360" s="45"/>
    </row>
    <row r="3361">
      <c r="A3361" s="79" t="s">
        <v>21809</v>
      </c>
      <c r="B3361" s="45"/>
      <c r="C3361" s="79" t="s">
        <v>21810</v>
      </c>
      <c r="D3361" s="45"/>
      <c r="E3361" s="79" t="s">
        <v>5516</v>
      </c>
      <c r="F3361" s="79" t="s">
        <v>5300</v>
      </c>
      <c r="G3361" s="80" t="s">
        <v>96</v>
      </c>
      <c r="H3361" s="90">
        <v>5.4E-5</v>
      </c>
      <c r="I3361" s="45"/>
      <c r="J3361" s="45"/>
      <c r="K3361" s="45"/>
      <c r="L3361" s="45"/>
      <c r="M3361" s="45"/>
      <c r="N3361" s="45"/>
      <c r="O3361" s="45"/>
      <c r="P3361" s="45"/>
      <c r="Q3361" s="45"/>
      <c r="R3361" s="45"/>
      <c r="S3361" s="45"/>
      <c r="T3361" s="45"/>
      <c r="U3361" s="45"/>
    </row>
    <row r="3362">
      <c r="A3362" s="79" t="s">
        <v>11089</v>
      </c>
      <c r="B3362" s="45"/>
      <c r="C3362" s="79" t="s">
        <v>11090</v>
      </c>
      <c r="D3362" s="45"/>
      <c r="E3362" s="79" t="s">
        <v>5215</v>
      </c>
      <c r="F3362" s="79" t="s">
        <v>6220</v>
      </c>
      <c r="G3362" s="80" t="s">
        <v>96</v>
      </c>
      <c r="H3362" s="90">
        <v>5.39E-5</v>
      </c>
      <c r="I3362" s="45"/>
      <c r="J3362" s="45"/>
      <c r="K3362" s="45"/>
      <c r="L3362" s="45"/>
      <c r="M3362" s="45"/>
      <c r="N3362" s="45"/>
      <c r="O3362" s="45"/>
      <c r="P3362" s="45"/>
      <c r="Q3362" s="45"/>
      <c r="R3362" s="45"/>
      <c r="S3362" s="45"/>
      <c r="T3362" s="45"/>
      <c r="U3362" s="45"/>
    </row>
    <row r="3363">
      <c r="A3363" s="79" t="s">
        <v>21811</v>
      </c>
      <c r="B3363" s="45"/>
      <c r="C3363" s="79" t="s">
        <v>21812</v>
      </c>
      <c r="D3363" s="45"/>
      <c r="E3363" s="79" t="s">
        <v>5478</v>
      </c>
      <c r="F3363" s="79" t="s">
        <v>5300</v>
      </c>
      <c r="G3363" s="80" t="s">
        <v>96</v>
      </c>
      <c r="H3363" s="90">
        <v>5.38E-5</v>
      </c>
      <c r="I3363" s="45"/>
      <c r="J3363" s="45"/>
      <c r="K3363" s="45"/>
      <c r="L3363" s="45"/>
      <c r="M3363" s="45"/>
      <c r="N3363" s="45"/>
      <c r="O3363" s="45"/>
      <c r="P3363" s="45"/>
      <c r="Q3363" s="45"/>
      <c r="R3363" s="45"/>
      <c r="S3363" s="45"/>
      <c r="T3363" s="45"/>
      <c r="U3363" s="45"/>
    </row>
    <row r="3364">
      <c r="A3364" s="79" t="s">
        <v>21813</v>
      </c>
      <c r="B3364" s="45"/>
      <c r="C3364" s="79" t="s">
        <v>21814</v>
      </c>
      <c r="D3364" s="45"/>
      <c r="E3364" s="79" t="s">
        <v>5291</v>
      </c>
      <c r="F3364" s="79" t="s">
        <v>5836</v>
      </c>
      <c r="G3364" s="80" t="s">
        <v>96</v>
      </c>
      <c r="H3364" s="90">
        <v>5.38E-5</v>
      </c>
      <c r="I3364" s="45"/>
      <c r="J3364" s="45"/>
      <c r="K3364" s="45"/>
      <c r="L3364" s="45"/>
      <c r="M3364" s="45"/>
      <c r="N3364" s="45"/>
      <c r="O3364" s="45"/>
      <c r="P3364" s="45"/>
      <c r="Q3364" s="45"/>
      <c r="R3364" s="45"/>
      <c r="S3364" s="45"/>
      <c r="T3364" s="45"/>
      <c r="U3364" s="45"/>
    </row>
    <row r="3365">
      <c r="A3365" s="79" t="s">
        <v>21815</v>
      </c>
      <c r="B3365" s="45"/>
      <c r="C3365" s="79" t="s">
        <v>21816</v>
      </c>
      <c r="D3365" s="45"/>
      <c r="E3365" s="79" t="s">
        <v>6130</v>
      </c>
      <c r="F3365" s="79" t="s">
        <v>9021</v>
      </c>
      <c r="G3365" s="80" t="s">
        <v>96</v>
      </c>
      <c r="H3365" s="90">
        <v>5.38E-5</v>
      </c>
      <c r="I3365" s="45"/>
      <c r="J3365" s="45"/>
      <c r="K3365" s="45"/>
      <c r="L3365" s="45"/>
      <c r="M3365" s="45"/>
      <c r="N3365" s="45"/>
      <c r="O3365" s="45"/>
      <c r="P3365" s="45"/>
      <c r="Q3365" s="45"/>
      <c r="R3365" s="45"/>
      <c r="S3365" s="45"/>
      <c r="T3365" s="45"/>
      <c r="U3365" s="45"/>
    </row>
    <row r="3366">
      <c r="A3366" s="79" t="s">
        <v>21817</v>
      </c>
      <c r="B3366" s="45"/>
      <c r="C3366" s="79" t="s">
        <v>21818</v>
      </c>
      <c r="D3366" s="45"/>
      <c r="E3366" s="79" t="s">
        <v>16994</v>
      </c>
      <c r="F3366" s="79" t="s">
        <v>5300</v>
      </c>
      <c r="G3366" s="80" t="s">
        <v>96</v>
      </c>
      <c r="H3366" s="90">
        <v>5.37E-5</v>
      </c>
      <c r="I3366" s="45"/>
      <c r="J3366" s="45"/>
      <c r="K3366" s="45"/>
      <c r="L3366" s="45"/>
      <c r="M3366" s="45"/>
      <c r="N3366" s="45"/>
      <c r="O3366" s="45"/>
      <c r="P3366" s="45"/>
      <c r="Q3366" s="45"/>
      <c r="R3366" s="45"/>
      <c r="S3366" s="45"/>
      <c r="T3366" s="45"/>
      <c r="U3366" s="45"/>
    </row>
    <row r="3367">
      <c r="A3367" s="79" t="s">
        <v>21665</v>
      </c>
      <c r="B3367" s="45"/>
      <c r="C3367" s="79" t="s">
        <v>21819</v>
      </c>
      <c r="D3367" s="45"/>
      <c r="E3367" s="79" t="s">
        <v>5321</v>
      </c>
      <c r="F3367" s="79" t="s">
        <v>5425</v>
      </c>
      <c r="G3367" s="80" t="s">
        <v>96</v>
      </c>
      <c r="H3367" s="90">
        <v>5.37E-5</v>
      </c>
      <c r="I3367" s="45"/>
      <c r="J3367" s="45"/>
      <c r="K3367" s="45"/>
      <c r="L3367" s="45"/>
      <c r="M3367" s="45"/>
      <c r="N3367" s="45"/>
      <c r="O3367" s="45"/>
      <c r="P3367" s="45"/>
      <c r="Q3367" s="45"/>
      <c r="R3367" s="45"/>
      <c r="S3367" s="45"/>
      <c r="T3367" s="45"/>
      <c r="U3367" s="45"/>
    </row>
    <row r="3368">
      <c r="A3368" s="79" t="s">
        <v>21820</v>
      </c>
      <c r="B3368" s="45"/>
      <c r="C3368" s="79" t="s">
        <v>21821</v>
      </c>
      <c r="D3368" s="45"/>
      <c r="E3368" s="79" t="s">
        <v>5253</v>
      </c>
      <c r="F3368" s="79" t="s">
        <v>5300</v>
      </c>
      <c r="G3368" s="80" t="s">
        <v>96</v>
      </c>
      <c r="H3368" s="90">
        <v>5.37E-5</v>
      </c>
      <c r="I3368" s="45"/>
      <c r="J3368" s="45"/>
      <c r="K3368" s="45"/>
      <c r="L3368" s="45"/>
      <c r="M3368" s="45"/>
      <c r="N3368" s="45"/>
      <c r="O3368" s="45"/>
      <c r="P3368" s="45"/>
      <c r="Q3368" s="45"/>
      <c r="R3368" s="45"/>
      <c r="S3368" s="45"/>
      <c r="T3368" s="45"/>
      <c r="U3368" s="45"/>
    </row>
    <row r="3369">
      <c r="A3369" s="79" t="s">
        <v>21822</v>
      </c>
      <c r="B3369" s="45"/>
      <c r="C3369" s="79" t="s">
        <v>21823</v>
      </c>
      <c r="D3369" s="45"/>
      <c r="E3369" s="79" t="s">
        <v>5276</v>
      </c>
      <c r="F3369" s="79" t="s">
        <v>5300</v>
      </c>
      <c r="G3369" s="80" t="s">
        <v>96</v>
      </c>
      <c r="H3369" s="90">
        <v>5.37E-5</v>
      </c>
      <c r="I3369" s="45"/>
      <c r="J3369" s="45"/>
      <c r="K3369" s="45"/>
      <c r="L3369" s="45"/>
      <c r="M3369" s="45"/>
      <c r="N3369" s="45"/>
      <c r="O3369" s="45"/>
      <c r="P3369" s="45"/>
      <c r="Q3369" s="45"/>
      <c r="R3369" s="45"/>
      <c r="S3369" s="45"/>
      <c r="T3369" s="45"/>
      <c r="U3369" s="45"/>
    </row>
    <row r="3370">
      <c r="A3370" s="79" t="s">
        <v>21824</v>
      </c>
      <c r="B3370" s="45"/>
      <c r="C3370" s="79" t="s">
        <v>21825</v>
      </c>
      <c r="D3370" s="45"/>
      <c r="E3370" s="79" t="s">
        <v>5561</v>
      </c>
      <c r="F3370" s="79" t="s">
        <v>5300</v>
      </c>
      <c r="G3370" s="80" t="s">
        <v>96</v>
      </c>
      <c r="H3370" s="90">
        <v>5.37E-5</v>
      </c>
      <c r="I3370" s="45"/>
      <c r="J3370" s="45"/>
      <c r="K3370" s="45"/>
      <c r="L3370" s="45"/>
      <c r="M3370" s="45"/>
      <c r="N3370" s="45"/>
      <c r="O3370" s="45"/>
      <c r="P3370" s="45"/>
      <c r="Q3370" s="45"/>
      <c r="R3370" s="45"/>
      <c r="S3370" s="45"/>
      <c r="T3370" s="45"/>
      <c r="U3370" s="45"/>
    </row>
    <row r="3371">
      <c r="A3371" s="79" t="s">
        <v>21826</v>
      </c>
      <c r="B3371" s="45"/>
      <c r="C3371" s="79" t="s">
        <v>21827</v>
      </c>
      <c r="D3371" s="45"/>
      <c r="E3371" s="79" t="s">
        <v>5434</v>
      </c>
      <c r="F3371" s="79" t="s">
        <v>8784</v>
      </c>
      <c r="G3371" s="80" t="s">
        <v>96</v>
      </c>
      <c r="H3371" s="90">
        <v>5.37E-5</v>
      </c>
      <c r="I3371" s="45"/>
      <c r="J3371" s="45"/>
      <c r="K3371" s="45"/>
      <c r="L3371" s="45"/>
      <c r="M3371" s="45"/>
      <c r="N3371" s="45"/>
      <c r="O3371" s="45"/>
      <c r="P3371" s="45"/>
      <c r="Q3371" s="45"/>
      <c r="R3371" s="45"/>
      <c r="S3371" s="45"/>
      <c r="T3371" s="45"/>
      <c r="U3371" s="45"/>
    </row>
    <row r="3372">
      <c r="A3372" s="79" t="s">
        <v>21828</v>
      </c>
      <c r="B3372" s="45"/>
      <c r="C3372" s="79" t="s">
        <v>21829</v>
      </c>
      <c r="D3372" s="45"/>
      <c r="E3372" s="79" t="s">
        <v>6238</v>
      </c>
      <c r="F3372" s="79" t="s">
        <v>4436</v>
      </c>
      <c r="G3372" s="80" t="s">
        <v>96</v>
      </c>
      <c r="H3372" s="90">
        <v>5.36E-5</v>
      </c>
      <c r="I3372" s="45"/>
      <c r="J3372" s="45"/>
      <c r="K3372" s="45"/>
      <c r="L3372" s="45"/>
      <c r="M3372" s="45"/>
      <c r="N3372" s="45"/>
      <c r="O3372" s="45"/>
      <c r="P3372" s="45"/>
      <c r="Q3372" s="45"/>
      <c r="R3372" s="45"/>
      <c r="S3372" s="45"/>
      <c r="T3372" s="45"/>
      <c r="U3372" s="45"/>
    </row>
    <row r="3373">
      <c r="A3373" s="79" t="s">
        <v>21830</v>
      </c>
      <c r="B3373" s="45"/>
      <c r="C3373" s="79" t="s">
        <v>21831</v>
      </c>
      <c r="D3373" s="45"/>
      <c r="E3373" s="79" t="s">
        <v>5467</v>
      </c>
      <c r="F3373" s="79" t="s">
        <v>8759</v>
      </c>
      <c r="G3373" s="80" t="s">
        <v>96</v>
      </c>
      <c r="H3373" s="90">
        <v>5.36E-5</v>
      </c>
      <c r="I3373" s="45"/>
      <c r="J3373" s="45"/>
      <c r="K3373" s="45"/>
      <c r="L3373" s="45"/>
      <c r="M3373" s="45"/>
      <c r="N3373" s="45"/>
      <c r="O3373" s="45"/>
      <c r="P3373" s="45"/>
      <c r="Q3373" s="45"/>
      <c r="R3373" s="45"/>
      <c r="S3373" s="45"/>
      <c r="T3373" s="45"/>
      <c r="U3373" s="45"/>
    </row>
    <row r="3374">
      <c r="A3374" s="79" t="s">
        <v>21832</v>
      </c>
      <c r="B3374" s="45"/>
      <c r="C3374" s="79" t="s">
        <v>21833</v>
      </c>
      <c r="D3374" s="45"/>
      <c r="E3374" s="79" t="s">
        <v>5226</v>
      </c>
      <c r="F3374" s="79" t="s">
        <v>5836</v>
      </c>
      <c r="G3374" s="80" t="s">
        <v>96</v>
      </c>
      <c r="H3374" s="90">
        <v>5.35E-5</v>
      </c>
      <c r="I3374" s="45"/>
      <c r="J3374" s="45"/>
      <c r="K3374" s="45"/>
      <c r="L3374" s="45"/>
      <c r="M3374" s="45"/>
      <c r="N3374" s="45"/>
      <c r="O3374" s="45"/>
      <c r="P3374" s="45"/>
      <c r="Q3374" s="45"/>
      <c r="R3374" s="45"/>
      <c r="S3374" s="45"/>
      <c r="T3374" s="45"/>
      <c r="U3374" s="45"/>
    </row>
    <row r="3375">
      <c r="A3375" s="79" t="s">
        <v>21834</v>
      </c>
      <c r="B3375" s="45"/>
      <c r="C3375" s="79" t="s">
        <v>21835</v>
      </c>
      <c r="D3375" s="45"/>
      <c r="E3375" s="79" t="s">
        <v>5211</v>
      </c>
      <c r="F3375" s="79" t="s">
        <v>5836</v>
      </c>
      <c r="G3375" s="80" t="s">
        <v>96</v>
      </c>
      <c r="H3375" s="90">
        <v>5.35E-5</v>
      </c>
      <c r="I3375" s="45"/>
      <c r="J3375" s="45"/>
      <c r="K3375" s="45"/>
      <c r="L3375" s="45"/>
      <c r="M3375" s="45"/>
      <c r="N3375" s="45"/>
      <c r="O3375" s="45"/>
      <c r="P3375" s="45"/>
      <c r="Q3375" s="45"/>
      <c r="R3375" s="45"/>
      <c r="S3375" s="45"/>
      <c r="T3375" s="45"/>
      <c r="U3375" s="45"/>
    </row>
    <row r="3376">
      <c r="A3376" s="79" t="s">
        <v>21836</v>
      </c>
      <c r="B3376" s="45"/>
      <c r="C3376" s="79" t="s">
        <v>21837</v>
      </c>
      <c r="D3376" s="45"/>
      <c r="E3376" s="79" t="s">
        <v>5478</v>
      </c>
      <c r="F3376" s="79" t="s">
        <v>5300</v>
      </c>
      <c r="G3376" s="80" t="s">
        <v>96</v>
      </c>
      <c r="H3376" s="90">
        <v>5.35E-5</v>
      </c>
      <c r="I3376" s="45"/>
      <c r="J3376" s="45"/>
      <c r="K3376" s="45"/>
      <c r="L3376" s="45"/>
      <c r="M3376" s="45"/>
      <c r="N3376" s="45"/>
      <c r="O3376" s="45"/>
      <c r="P3376" s="45"/>
      <c r="Q3376" s="45"/>
      <c r="R3376" s="45"/>
      <c r="S3376" s="45"/>
      <c r="T3376" s="45"/>
      <c r="U3376" s="45"/>
    </row>
    <row r="3377">
      <c r="A3377" s="79" t="s">
        <v>21838</v>
      </c>
      <c r="B3377" s="45"/>
      <c r="C3377" s="79" t="s">
        <v>21839</v>
      </c>
      <c r="D3377" s="45"/>
      <c r="E3377" s="79" t="s">
        <v>6115</v>
      </c>
      <c r="F3377" s="79" t="s">
        <v>5747</v>
      </c>
      <c r="G3377" s="80" t="s">
        <v>96</v>
      </c>
      <c r="H3377" s="90">
        <v>5.35E-5</v>
      </c>
      <c r="I3377" s="45"/>
      <c r="J3377" s="45"/>
      <c r="K3377" s="45"/>
      <c r="L3377" s="45"/>
      <c r="M3377" s="45"/>
      <c r="N3377" s="45"/>
      <c r="O3377" s="45"/>
      <c r="P3377" s="45"/>
      <c r="Q3377" s="45"/>
      <c r="R3377" s="45"/>
      <c r="S3377" s="45"/>
      <c r="T3377" s="45"/>
      <c r="U3377" s="45"/>
    </row>
    <row r="3378">
      <c r="A3378" s="79" t="s">
        <v>21840</v>
      </c>
      <c r="B3378" s="45"/>
      <c r="C3378" s="79" t="s">
        <v>21841</v>
      </c>
      <c r="D3378" s="45"/>
      <c r="E3378" s="79" t="s">
        <v>18489</v>
      </c>
      <c r="F3378" s="79" t="s">
        <v>5836</v>
      </c>
      <c r="G3378" s="80" t="s">
        <v>96</v>
      </c>
      <c r="H3378" s="90">
        <v>5.34E-5</v>
      </c>
      <c r="I3378" s="45"/>
      <c r="J3378" s="45"/>
      <c r="K3378" s="45"/>
      <c r="L3378" s="45"/>
      <c r="M3378" s="45"/>
      <c r="N3378" s="45"/>
      <c r="O3378" s="45"/>
      <c r="P3378" s="45"/>
      <c r="Q3378" s="45"/>
      <c r="R3378" s="45"/>
      <c r="S3378" s="45"/>
      <c r="T3378" s="45"/>
      <c r="U3378" s="45"/>
    </row>
    <row r="3379">
      <c r="A3379" s="79" t="s">
        <v>21842</v>
      </c>
      <c r="B3379" s="45"/>
      <c r="C3379" s="79" t="s">
        <v>21843</v>
      </c>
      <c r="D3379" s="45"/>
      <c r="E3379" s="79" t="s">
        <v>5589</v>
      </c>
      <c r="F3379" s="79" t="s">
        <v>5268</v>
      </c>
      <c r="G3379" s="80" t="s">
        <v>96</v>
      </c>
      <c r="H3379" s="90">
        <v>5.33E-5</v>
      </c>
      <c r="I3379" s="45"/>
      <c r="J3379" s="45"/>
      <c r="K3379" s="45"/>
      <c r="L3379" s="45"/>
      <c r="M3379" s="45"/>
      <c r="N3379" s="45"/>
      <c r="O3379" s="45"/>
      <c r="P3379" s="45"/>
      <c r="Q3379" s="45"/>
      <c r="R3379" s="45"/>
      <c r="S3379" s="45"/>
      <c r="T3379" s="45"/>
      <c r="U3379" s="45"/>
    </row>
    <row r="3380">
      <c r="A3380" s="79" t="s">
        <v>21844</v>
      </c>
      <c r="B3380" s="45"/>
      <c r="C3380" s="79" t="s">
        <v>21845</v>
      </c>
      <c r="D3380" s="45"/>
      <c r="E3380" s="79" t="s">
        <v>5276</v>
      </c>
      <c r="F3380" s="79" t="s">
        <v>4095</v>
      </c>
      <c r="G3380" s="80" t="s">
        <v>96</v>
      </c>
      <c r="H3380" s="90">
        <v>5.33E-5</v>
      </c>
      <c r="I3380" s="45"/>
      <c r="J3380" s="45"/>
      <c r="K3380" s="45"/>
      <c r="L3380" s="45"/>
      <c r="M3380" s="45"/>
      <c r="N3380" s="45"/>
      <c r="O3380" s="45"/>
      <c r="P3380" s="45"/>
      <c r="Q3380" s="45"/>
      <c r="R3380" s="45"/>
      <c r="S3380" s="45"/>
      <c r="T3380" s="45"/>
      <c r="U3380" s="45"/>
    </row>
    <row r="3381">
      <c r="A3381" s="79" t="s">
        <v>21846</v>
      </c>
      <c r="B3381" s="45"/>
      <c r="C3381" s="79" t="s">
        <v>21847</v>
      </c>
      <c r="D3381" s="45"/>
      <c r="E3381" s="79" t="s">
        <v>5775</v>
      </c>
      <c r="F3381" s="79" t="s">
        <v>5300</v>
      </c>
      <c r="G3381" s="80" t="s">
        <v>96</v>
      </c>
      <c r="H3381" s="90">
        <v>5.32E-5</v>
      </c>
      <c r="I3381" s="45"/>
      <c r="J3381" s="45"/>
      <c r="K3381" s="45"/>
      <c r="L3381" s="45"/>
      <c r="M3381" s="45"/>
      <c r="N3381" s="45"/>
      <c r="O3381" s="45"/>
      <c r="P3381" s="45"/>
      <c r="Q3381" s="45"/>
      <c r="R3381" s="45"/>
      <c r="S3381" s="45"/>
      <c r="T3381" s="45"/>
      <c r="U3381" s="45"/>
    </row>
    <row r="3382">
      <c r="A3382" s="79" t="s">
        <v>21848</v>
      </c>
      <c r="B3382" s="45"/>
      <c r="C3382" s="79" t="s">
        <v>21849</v>
      </c>
      <c r="D3382" s="45"/>
      <c r="E3382" s="79" t="s">
        <v>5246</v>
      </c>
      <c r="F3382" s="79" t="s">
        <v>5300</v>
      </c>
      <c r="G3382" s="80" t="s">
        <v>96</v>
      </c>
      <c r="H3382" s="90">
        <v>5.32E-5</v>
      </c>
      <c r="I3382" s="45"/>
      <c r="J3382" s="45"/>
      <c r="K3382" s="45"/>
      <c r="L3382" s="45"/>
      <c r="M3382" s="45"/>
      <c r="N3382" s="45"/>
      <c r="O3382" s="45"/>
      <c r="P3382" s="45"/>
      <c r="Q3382" s="45"/>
      <c r="R3382" s="45"/>
      <c r="S3382" s="45"/>
      <c r="T3382" s="45"/>
      <c r="U3382" s="45"/>
    </row>
    <row r="3383">
      <c r="A3383" s="79" t="s">
        <v>21850</v>
      </c>
      <c r="B3383" s="45"/>
      <c r="C3383" s="79" t="s">
        <v>21851</v>
      </c>
      <c r="D3383" s="45"/>
      <c r="E3383" s="79" t="s">
        <v>5215</v>
      </c>
      <c r="F3383" s="79" t="s">
        <v>5300</v>
      </c>
      <c r="G3383" s="80" t="s">
        <v>96</v>
      </c>
      <c r="H3383" s="90">
        <v>5.31E-5</v>
      </c>
      <c r="I3383" s="45"/>
      <c r="J3383" s="45"/>
      <c r="K3383" s="45"/>
      <c r="L3383" s="45"/>
      <c r="M3383" s="45"/>
      <c r="N3383" s="45"/>
      <c r="O3383" s="45"/>
      <c r="P3383" s="45"/>
      <c r="Q3383" s="45"/>
      <c r="R3383" s="45"/>
      <c r="S3383" s="45"/>
      <c r="T3383" s="45"/>
      <c r="U3383" s="45"/>
    </row>
    <row r="3384">
      <c r="A3384" s="79" t="s">
        <v>19533</v>
      </c>
      <c r="B3384" s="45"/>
      <c r="C3384" s="79" t="s">
        <v>21852</v>
      </c>
      <c r="D3384" s="45"/>
      <c r="E3384" s="79" t="s">
        <v>5561</v>
      </c>
      <c r="F3384" s="79" t="s">
        <v>5836</v>
      </c>
      <c r="G3384" s="80" t="s">
        <v>96</v>
      </c>
      <c r="H3384" s="90">
        <v>5.31E-5</v>
      </c>
      <c r="I3384" s="45"/>
      <c r="J3384" s="45"/>
      <c r="K3384" s="45"/>
      <c r="L3384" s="45"/>
      <c r="M3384" s="45"/>
      <c r="N3384" s="45"/>
      <c r="O3384" s="45"/>
      <c r="P3384" s="45"/>
      <c r="Q3384" s="45"/>
      <c r="R3384" s="45"/>
      <c r="S3384" s="45"/>
      <c r="T3384" s="45"/>
      <c r="U3384" s="45"/>
    </row>
    <row r="3385">
      <c r="A3385" s="79" t="s">
        <v>21853</v>
      </c>
      <c r="B3385" s="45"/>
      <c r="C3385" s="79" t="s">
        <v>21854</v>
      </c>
      <c r="D3385" s="45"/>
      <c r="E3385" s="79" t="s">
        <v>5226</v>
      </c>
      <c r="F3385" s="79" t="s">
        <v>9299</v>
      </c>
      <c r="G3385" s="80" t="s">
        <v>96</v>
      </c>
      <c r="H3385" s="90">
        <v>5.31E-5</v>
      </c>
      <c r="I3385" s="45"/>
      <c r="J3385" s="45"/>
      <c r="K3385" s="45"/>
      <c r="L3385" s="45"/>
      <c r="M3385" s="45"/>
      <c r="N3385" s="45"/>
      <c r="O3385" s="45"/>
      <c r="P3385" s="45"/>
      <c r="Q3385" s="45"/>
      <c r="R3385" s="45"/>
      <c r="S3385" s="45"/>
      <c r="T3385" s="45"/>
      <c r="U3385" s="45"/>
    </row>
    <row r="3386">
      <c r="A3386" s="79" t="s">
        <v>21855</v>
      </c>
      <c r="B3386" s="45"/>
      <c r="C3386" s="79" t="s">
        <v>21856</v>
      </c>
      <c r="D3386" s="45"/>
      <c r="E3386" s="79" t="s">
        <v>5215</v>
      </c>
      <c r="F3386" s="79" t="s">
        <v>5300</v>
      </c>
      <c r="G3386" s="80" t="s">
        <v>96</v>
      </c>
      <c r="H3386" s="90">
        <v>5.31E-5</v>
      </c>
      <c r="I3386" s="45"/>
      <c r="J3386" s="45"/>
      <c r="K3386" s="45"/>
      <c r="L3386" s="45"/>
      <c r="M3386" s="45"/>
      <c r="N3386" s="45"/>
      <c r="O3386" s="45"/>
      <c r="P3386" s="45"/>
      <c r="Q3386" s="45"/>
      <c r="R3386" s="45"/>
      <c r="S3386" s="45"/>
      <c r="T3386" s="45"/>
      <c r="U3386" s="45"/>
    </row>
    <row r="3387">
      <c r="A3387" s="79" t="s">
        <v>21857</v>
      </c>
      <c r="B3387" s="45"/>
      <c r="C3387" s="79" t="s">
        <v>18433</v>
      </c>
      <c r="D3387" s="45"/>
      <c r="E3387" s="79" t="s">
        <v>5513</v>
      </c>
      <c r="F3387" s="79" t="s">
        <v>5300</v>
      </c>
      <c r="G3387" s="80" t="s">
        <v>96</v>
      </c>
      <c r="H3387" s="90">
        <v>5.31E-5</v>
      </c>
      <c r="I3387" s="45"/>
      <c r="J3387" s="45"/>
      <c r="K3387" s="45"/>
      <c r="L3387" s="45"/>
      <c r="M3387" s="45"/>
      <c r="N3387" s="45"/>
      <c r="O3387" s="45"/>
      <c r="P3387" s="45"/>
      <c r="Q3387" s="45"/>
      <c r="R3387" s="45"/>
      <c r="S3387" s="45"/>
      <c r="T3387" s="45"/>
      <c r="U3387" s="45"/>
    </row>
    <row r="3388">
      <c r="A3388" s="79" t="s">
        <v>21858</v>
      </c>
      <c r="B3388" s="45"/>
      <c r="C3388" s="79" t="s">
        <v>21859</v>
      </c>
      <c r="D3388" s="45"/>
      <c r="E3388" s="79" t="s">
        <v>5283</v>
      </c>
      <c r="F3388" s="79" t="s">
        <v>4095</v>
      </c>
      <c r="G3388" s="80" t="s">
        <v>96</v>
      </c>
      <c r="H3388" s="90">
        <v>5.31E-5</v>
      </c>
      <c r="I3388" s="45"/>
      <c r="J3388" s="45"/>
      <c r="K3388" s="45"/>
      <c r="L3388" s="45"/>
      <c r="M3388" s="45"/>
      <c r="N3388" s="45"/>
      <c r="O3388" s="45"/>
      <c r="P3388" s="45"/>
      <c r="Q3388" s="45"/>
      <c r="R3388" s="45"/>
      <c r="S3388" s="45"/>
      <c r="T3388" s="45"/>
      <c r="U3388" s="45"/>
    </row>
    <row r="3389">
      <c r="A3389" s="79" t="s">
        <v>21860</v>
      </c>
      <c r="B3389" s="45"/>
      <c r="C3389" s="79" t="s">
        <v>21861</v>
      </c>
      <c r="D3389" s="45"/>
      <c r="E3389" s="79" t="s">
        <v>5561</v>
      </c>
      <c r="F3389" s="79" t="s">
        <v>9021</v>
      </c>
      <c r="G3389" s="80" t="s">
        <v>96</v>
      </c>
      <c r="H3389" s="90">
        <v>5.3E-5</v>
      </c>
      <c r="I3389" s="45"/>
      <c r="J3389" s="45"/>
      <c r="K3389" s="45"/>
      <c r="L3389" s="45"/>
      <c r="M3389" s="45"/>
      <c r="N3389" s="45"/>
      <c r="O3389" s="45"/>
      <c r="P3389" s="45"/>
      <c r="Q3389" s="45"/>
      <c r="R3389" s="45"/>
      <c r="S3389" s="45"/>
      <c r="T3389" s="45"/>
      <c r="U3389" s="45"/>
    </row>
    <row r="3390">
      <c r="A3390" s="79" t="s">
        <v>5959</v>
      </c>
      <c r="B3390" s="45"/>
      <c r="C3390" s="79" t="s">
        <v>21862</v>
      </c>
      <c r="D3390" s="45"/>
      <c r="E3390" s="79" t="s">
        <v>5374</v>
      </c>
      <c r="F3390" s="79" t="s">
        <v>8784</v>
      </c>
      <c r="G3390" s="80" t="s">
        <v>96</v>
      </c>
      <c r="H3390" s="90">
        <v>5.3E-5</v>
      </c>
      <c r="I3390" s="45"/>
      <c r="J3390" s="45"/>
      <c r="K3390" s="45"/>
      <c r="L3390" s="45"/>
      <c r="M3390" s="45"/>
      <c r="N3390" s="45"/>
      <c r="O3390" s="45"/>
      <c r="P3390" s="45"/>
      <c r="Q3390" s="45"/>
      <c r="R3390" s="45"/>
      <c r="S3390" s="45"/>
      <c r="T3390" s="45"/>
      <c r="U3390" s="45"/>
    </row>
    <row r="3391">
      <c r="A3391" s="79" t="s">
        <v>21863</v>
      </c>
      <c r="B3391" s="45"/>
      <c r="C3391" s="79" t="s">
        <v>21864</v>
      </c>
      <c r="D3391" s="45"/>
      <c r="E3391" s="79" t="s">
        <v>5377</v>
      </c>
      <c r="F3391" s="79" t="s">
        <v>8784</v>
      </c>
      <c r="G3391" s="80" t="s">
        <v>96</v>
      </c>
      <c r="H3391" s="90">
        <v>5.3E-5</v>
      </c>
      <c r="I3391" s="45"/>
      <c r="J3391" s="45"/>
      <c r="K3391" s="45"/>
      <c r="L3391" s="45"/>
      <c r="M3391" s="45"/>
      <c r="N3391" s="45"/>
      <c r="O3391" s="45"/>
      <c r="P3391" s="45"/>
      <c r="Q3391" s="45"/>
      <c r="R3391" s="45"/>
      <c r="S3391" s="45"/>
      <c r="T3391" s="45"/>
      <c r="U3391" s="45"/>
    </row>
    <row r="3392">
      <c r="A3392" s="79" t="s">
        <v>21865</v>
      </c>
      <c r="B3392" s="45"/>
      <c r="C3392" s="79" t="s">
        <v>21866</v>
      </c>
      <c r="D3392" s="45"/>
      <c r="E3392" s="79" t="s">
        <v>5516</v>
      </c>
      <c r="F3392" s="79" t="s">
        <v>5300</v>
      </c>
      <c r="G3392" s="80" t="s">
        <v>96</v>
      </c>
      <c r="H3392" s="90">
        <v>5.29E-5</v>
      </c>
      <c r="I3392" s="45"/>
      <c r="J3392" s="45"/>
      <c r="K3392" s="45"/>
      <c r="L3392" s="45"/>
      <c r="M3392" s="45"/>
      <c r="N3392" s="45"/>
      <c r="O3392" s="45"/>
      <c r="P3392" s="45"/>
      <c r="Q3392" s="45"/>
      <c r="R3392" s="45"/>
      <c r="S3392" s="45"/>
      <c r="T3392" s="45"/>
      <c r="U3392" s="45"/>
    </row>
    <row r="3393">
      <c r="A3393" s="79" t="s">
        <v>21867</v>
      </c>
      <c r="B3393" s="45"/>
      <c r="C3393" s="79" t="s">
        <v>21868</v>
      </c>
      <c r="D3393" s="45"/>
      <c r="E3393" s="79" t="s">
        <v>8110</v>
      </c>
      <c r="F3393" s="79" t="s">
        <v>8784</v>
      </c>
      <c r="G3393" s="80" t="s">
        <v>96</v>
      </c>
      <c r="H3393" s="90">
        <v>5.29E-5</v>
      </c>
      <c r="I3393" s="45"/>
      <c r="J3393" s="45"/>
      <c r="K3393" s="45"/>
      <c r="L3393" s="45"/>
      <c r="M3393" s="45"/>
      <c r="N3393" s="45"/>
      <c r="O3393" s="45"/>
      <c r="P3393" s="45"/>
      <c r="Q3393" s="45"/>
      <c r="R3393" s="45"/>
      <c r="S3393" s="45"/>
      <c r="T3393" s="45"/>
      <c r="U3393" s="45"/>
    </row>
    <row r="3394">
      <c r="A3394" s="79" t="s">
        <v>21869</v>
      </c>
      <c r="B3394" s="45"/>
      <c r="C3394" s="79" t="s">
        <v>21870</v>
      </c>
      <c r="D3394" s="45"/>
      <c r="E3394" s="79" t="s">
        <v>5404</v>
      </c>
      <c r="F3394" s="79" t="s">
        <v>4095</v>
      </c>
      <c r="G3394" s="80" t="s">
        <v>96</v>
      </c>
      <c r="H3394" s="90">
        <v>5.28E-5</v>
      </c>
      <c r="I3394" s="45"/>
      <c r="J3394" s="45"/>
      <c r="K3394" s="45"/>
      <c r="L3394" s="45"/>
      <c r="M3394" s="45"/>
      <c r="N3394" s="45"/>
      <c r="O3394" s="45"/>
      <c r="P3394" s="45"/>
      <c r="Q3394" s="45"/>
      <c r="R3394" s="45"/>
      <c r="S3394" s="45"/>
      <c r="T3394" s="45"/>
      <c r="U3394" s="45"/>
    </row>
    <row r="3395">
      <c r="A3395" s="79" t="s">
        <v>21871</v>
      </c>
      <c r="B3395" s="45"/>
      <c r="C3395" s="79" t="s">
        <v>21872</v>
      </c>
      <c r="D3395" s="45"/>
      <c r="E3395" s="79" t="s">
        <v>5390</v>
      </c>
      <c r="F3395" s="79" t="s">
        <v>5425</v>
      </c>
      <c r="G3395" s="80" t="s">
        <v>96</v>
      </c>
      <c r="H3395" s="90">
        <v>5.27E-5</v>
      </c>
      <c r="I3395" s="45"/>
      <c r="J3395" s="45"/>
      <c r="K3395" s="45"/>
      <c r="L3395" s="45"/>
      <c r="M3395" s="45"/>
      <c r="N3395" s="45"/>
      <c r="O3395" s="45"/>
      <c r="P3395" s="45"/>
      <c r="Q3395" s="45"/>
      <c r="R3395" s="45"/>
      <c r="S3395" s="45"/>
      <c r="T3395" s="45"/>
      <c r="U3395" s="45"/>
    </row>
    <row r="3396">
      <c r="A3396" s="79" t="s">
        <v>21873</v>
      </c>
      <c r="B3396" s="45"/>
      <c r="C3396" s="79" t="s">
        <v>21874</v>
      </c>
      <c r="D3396" s="45"/>
      <c r="E3396" s="79" t="s">
        <v>5478</v>
      </c>
      <c r="F3396" s="79" t="s">
        <v>5300</v>
      </c>
      <c r="G3396" s="80" t="s">
        <v>96</v>
      </c>
      <c r="H3396" s="90">
        <v>5.27E-5</v>
      </c>
      <c r="I3396" s="45"/>
      <c r="J3396" s="45"/>
      <c r="K3396" s="45"/>
      <c r="L3396" s="45"/>
      <c r="M3396" s="45"/>
      <c r="N3396" s="45"/>
      <c r="O3396" s="45"/>
      <c r="P3396" s="45"/>
      <c r="Q3396" s="45"/>
      <c r="R3396" s="45"/>
      <c r="S3396" s="45"/>
      <c r="T3396" s="45"/>
      <c r="U3396" s="45"/>
    </row>
    <row r="3397">
      <c r="A3397" s="79" t="s">
        <v>21875</v>
      </c>
      <c r="B3397" s="45"/>
      <c r="C3397" s="79" t="s">
        <v>21876</v>
      </c>
      <c r="D3397" s="45"/>
      <c r="E3397" s="79" t="s">
        <v>5501</v>
      </c>
      <c r="F3397" s="79" t="s">
        <v>8759</v>
      </c>
      <c r="G3397" s="80" t="s">
        <v>96</v>
      </c>
      <c r="H3397" s="90">
        <v>5.26E-5</v>
      </c>
      <c r="I3397" s="45"/>
      <c r="J3397" s="45"/>
      <c r="K3397" s="45"/>
      <c r="L3397" s="45"/>
      <c r="M3397" s="45"/>
      <c r="N3397" s="45"/>
      <c r="O3397" s="45"/>
      <c r="P3397" s="45"/>
      <c r="Q3397" s="45"/>
      <c r="R3397" s="45"/>
      <c r="S3397" s="45"/>
      <c r="T3397" s="45"/>
      <c r="U3397" s="45"/>
    </row>
    <row r="3398">
      <c r="A3398" s="79" t="s">
        <v>21877</v>
      </c>
      <c r="B3398" s="45"/>
      <c r="C3398" s="79" t="s">
        <v>21878</v>
      </c>
      <c r="D3398" s="45"/>
      <c r="E3398" s="79" t="s">
        <v>5390</v>
      </c>
      <c r="F3398" s="79" t="s">
        <v>8784</v>
      </c>
      <c r="G3398" s="80" t="s">
        <v>96</v>
      </c>
      <c r="H3398" s="90">
        <v>5.25E-5</v>
      </c>
      <c r="I3398" s="45"/>
      <c r="J3398" s="45"/>
      <c r="K3398" s="45"/>
      <c r="L3398" s="45"/>
      <c r="M3398" s="45"/>
      <c r="N3398" s="45"/>
      <c r="O3398" s="45"/>
      <c r="P3398" s="45"/>
      <c r="Q3398" s="45"/>
      <c r="R3398" s="45"/>
      <c r="S3398" s="45"/>
      <c r="T3398" s="45"/>
      <c r="U3398" s="45"/>
    </row>
    <row r="3399">
      <c r="A3399" s="79" t="s">
        <v>21879</v>
      </c>
      <c r="B3399" s="45"/>
      <c r="C3399" s="79" t="s">
        <v>21880</v>
      </c>
      <c r="D3399" s="45"/>
      <c r="E3399" s="79" t="s">
        <v>5377</v>
      </c>
      <c r="F3399" s="79" t="s">
        <v>5300</v>
      </c>
      <c r="G3399" s="80" t="s">
        <v>96</v>
      </c>
      <c r="H3399" s="90">
        <v>5.25E-5</v>
      </c>
      <c r="I3399" s="45"/>
      <c r="J3399" s="45"/>
      <c r="K3399" s="45"/>
      <c r="L3399" s="45"/>
      <c r="M3399" s="45"/>
      <c r="N3399" s="45"/>
      <c r="O3399" s="45"/>
      <c r="P3399" s="45"/>
      <c r="Q3399" s="45"/>
      <c r="R3399" s="45"/>
      <c r="S3399" s="45"/>
      <c r="T3399" s="45"/>
      <c r="U3399" s="45"/>
    </row>
    <row r="3400">
      <c r="A3400" s="79" t="s">
        <v>21881</v>
      </c>
      <c r="B3400" s="45"/>
      <c r="C3400" s="79" t="s">
        <v>21882</v>
      </c>
      <c r="D3400" s="45"/>
      <c r="E3400" s="79" t="s">
        <v>5215</v>
      </c>
      <c r="F3400" s="79" t="s">
        <v>5300</v>
      </c>
      <c r="G3400" s="80" t="s">
        <v>96</v>
      </c>
      <c r="H3400" s="90">
        <v>5.25E-5</v>
      </c>
      <c r="I3400" s="45"/>
      <c r="J3400" s="45"/>
      <c r="K3400" s="45"/>
      <c r="L3400" s="45"/>
      <c r="M3400" s="45"/>
      <c r="N3400" s="45"/>
      <c r="O3400" s="45"/>
      <c r="P3400" s="45"/>
      <c r="Q3400" s="45"/>
      <c r="R3400" s="45"/>
      <c r="S3400" s="45"/>
      <c r="T3400" s="45"/>
      <c r="U3400" s="45"/>
    </row>
    <row r="3401">
      <c r="A3401" s="79" t="s">
        <v>21883</v>
      </c>
      <c r="B3401" s="45"/>
      <c r="C3401" s="79" t="s">
        <v>21884</v>
      </c>
      <c r="D3401" s="45"/>
      <c r="E3401" s="79" t="s">
        <v>5235</v>
      </c>
      <c r="F3401" s="79" t="s">
        <v>8784</v>
      </c>
      <c r="G3401" s="80" t="s">
        <v>96</v>
      </c>
      <c r="H3401" s="90">
        <v>5.25E-5</v>
      </c>
      <c r="I3401" s="45"/>
      <c r="J3401" s="45"/>
      <c r="K3401" s="45"/>
      <c r="L3401" s="45"/>
      <c r="M3401" s="45"/>
      <c r="N3401" s="45"/>
      <c r="O3401" s="45"/>
      <c r="P3401" s="45"/>
      <c r="Q3401" s="45"/>
      <c r="R3401" s="45"/>
      <c r="S3401" s="45"/>
      <c r="T3401" s="45"/>
      <c r="U3401" s="45"/>
    </row>
    <row r="3402">
      <c r="A3402" s="79" t="s">
        <v>21885</v>
      </c>
      <c r="B3402" s="45"/>
      <c r="C3402" s="79" t="s">
        <v>21886</v>
      </c>
      <c r="D3402" s="45"/>
      <c r="E3402" s="79" t="s">
        <v>5215</v>
      </c>
      <c r="F3402" s="79" t="s">
        <v>8784</v>
      </c>
      <c r="G3402" s="80" t="s">
        <v>96</v>
      </c>
      <c r="H3402" s="90">
        <v>5.24E-5</v>
      </c>
      <c r="I3402" s="45"/>
      <c r="J3402" s="45"/>
      <c r="K3402" s="45"/>
      <c r="L3402" s="45"/>
      <c r="M3402" s="45"/>
      <c r="N3402" s="45"/>
      <c r="O3402" s="45"/>
      <c r="P3402" s="45"/>
      <c r="Q3402" s="45"/>
      <c r="R3402" s="45"/>
      <c r="S3402" s="45"/>
      <c r="T3402" s="45"/>
      <c r="U3402" s="45"/>
    </row>
    <row r="3403">
      <c r="A3403" s="79" t="s">
        <v>21887</v>
      </c>
      <c r="B3403" s="45"/>
      <c r="C3403" s="79" t="s">
        <v>21888</v>
      </c>
      <c r="D3403" s="45"/>
      <c r="E3403" s="79" t="s">
        <v>5811</v>
      </c>
      <c r="F3403" s="79" t="s">
        <v>8784</v>
      </c>
      <c r="G3403" s="80" t="s">
        <v>96</v>
      </c>
      <c r="H3403" s="90">
        <v>5.24E-5</v>
      </c>
      <c r="I3403" s="45"/>
      <c r="J3403" s="45"/>
      <c r="K3403" s="45"/>
      <c r="L3403" s="45"/>
      <c r="M3403" s="45"/>
      <c r="N3403" s="45"/>
      <c r="O3403" s="45"/>
      <c r="P3403" s="45"/>
      <c r="Q3403" s="45"/>
      <c r="R3403" s="45"/>
      <c r="S3403" s="45"/>
      <c r="T3403" s="45"/>
      <c r="U3403" s="45"/>
    </row>
    <row r="3404">
      <c r="A3404" s="79" t="s">
        <v>21889</v>
      </c>
      <c r="B3404" s="45"/>
      <c r="C3404" s="79" t="s">
        <v>21890</v>
      </c>
      <c r="D3404" s="45"/>
      <c r="E3404" s="79" t="s">
        <v>6249</v>
      </c>
      <c r="F3404" s="79" t="s">
        <v>8784</v>
      </c>
      <c r="G3404" s="80" t="s">
        <v>96</v>
      </c>
      <c r="H3404" s="90">
        <v>5.24E-5</v>
      </c>
      <c r="I3404" s="45"/>
      <c r="J3404" s="45"/>
      <c r="K3404" s="45"/>
      <c r="L3404" s="45"/>
      <c r="M3404" s="45"/>
      <c r="N3404" s="45"/>
      <c r="O3404" s="45"/>
      <c r="P3404" s="45"/>
      <c r="Q3404" s="45"/>
      <c r="R3404" s="45"/>
      <c r="S3404" s="45"/>
      <c r="T3404" s="45"/>
      <c r="U3404" s="45"/>
    </row>
    <row r="3405">
      <c r="A3405" s="79" t="s">
        <v>21891</v>
      </c>
      <c r="B3405" s="45"/>
      <c r="C3405" s="79" t="s">
        <v>21892</v>
      </c>
      <c r="D3405" s="45"/>
      <c r="E3405" s="79" t="s">
        <v>5478</v>
      </c>
      <c r="F3405" s="79" t="s">
        <v>5300</v>
      </c>
      <c r="G3405" s="80" t="s">
        <v>96</v>
      </c>
      <c r="H3405" s="90">
        <v>5.24E-5</v>
      </c>
      <c r="I3405" s="45"/>
      <c r="J3405" s="45"/>
      <c r="K3405" s="45"/>
      <c r="L3405" s="45"/>
      <c r="M3405" s="45"/>
      <c r="N3405" s="45"/>
      <c r="O3405" s="45"/>
      <c r="P3405" s="45"/>
      <c r="Q3405" s="45"/>
      <c r="R3405" s="45"/>
      <c r="S3405" s="45"/>
      <c r="T3405" s="45"/>
      <c r="U3405" s="45"/>
    </row>
    <row r="3406">
      <c r="A3406" s="79" t="s">
        <v>21893</v>
      </c>
      <c r="B3406" s="45"/>
      <c r="C3406" s="79" t="s">
        <v>21894</v>
      </c>
      <c r="D3406" s="45"/>
      <c r="E3406" s="79" t="s">
        <v>5422</v>
      </c>
      <c r="F3406" s="79" t="s">
        <v>9617</v>
      </c>
      <c r="G3406" s="80" t="s">
        <v>96</v>
      </c>
      <c r="H3406" s="90">
        <v>5.24E-5</v>
      </c>
      <c r="I3406" s="45"/>
      <c r="J3406" s="45"/>
      <c r="K3406" s="45"/>
      <c r="L3406" s="45"/>
      <c r="M3406" s="45"/>
      <c r="N3406" s="45"/>
      <c r="O3406" s="45"/>
      <c r="P3406" s="45"/>
      <c r="Q3406" s="45"/>
      <c r="R3406" s="45"/>
      <c r="S3406" s="45"/>
      <c r="T3406" s="45"/>
      <c r="U3406" s="45"/>
    </row>
    <row r="3407">
      <c r="A3407" s="79" t="s">
        <v>21895</v>
      </c>
      <c r="B3407" s="45"/>
      <c r="C3407" s="79" t="s">
        <v>21896</v>
      </c>
      <c r="D3407" s="45"/>
      <c r="E3407" s="79" t="s">
        <v>5382</v>
      </c>
      <c r="F3407" s="79" t="s">
        <v>5300</v>
      </c>
      <c r="G3407" s="80" t="s">
        <v>96</v>
      </c>
      <c r="H3407" s="90">
        <v>5.23E-5</v>
      </c>
      <c r="I3407" s="45"/>
      <c r="J3407" s="45"/>
      <c r="K3407" s="45"/>
      <c r="L3407" s="45"/>
      <c r="M3407" s="45"/>
      <c r="N3407" s="45"/>
      <c r="O3407" s="45"/>
      <c r="P3407" s="45"/>
      <c r="Q3407" s="45"/>
      <c r="R3407" s="45"/>
      <c r="S3407" s="45"/>
      <c r="T3407" s="45"/>
      <c r="U3407" s="45"/>
    </row>
    <row r="3408">
      <c r="A3408" s="79" t="s">
        <v>21897</v>
      </c>
      <c r="B3408" s="45"/>
      <c r="C3408" s="79" t="s">
        <v>21898</v>
      </c>
      <c r="D3408" s="45"/>
      <c r="E3408" s="79" t="s">
        <v>5341</v>
      </c>
      <c r="F3408" s="79" t="s">
        <v>5300</v>
      </c>
      <c r="G3408" s="80" t="s">
        <v>96</v>
      </c>
      <c r="H3408" s="90">
        <v>5.23E-5</v>
      </c>
      <c r="I3408" s="45"/>
      <c r="J3408" s="45"/>
      <c r="K3408" s="45"/>
      <c r="L3408" s="45"/>
      <c r="M3408" s="45"/>
      <c r="N3408" s="45"/>
      <c r="O3408" s="45"/>
      <c r="P3408" s="45"/>
      <c r="Q3408" s="45"/>
      <c r="R3408" s="45"/>
      <c r="S3408" s="45"/>
      <c r="T3408" s="45"/>
      <c r="U3408" s="45"/>
    </row>
    <row r="3409">
      <c r="A3409" s="79" t="s">
        <v>21899</v>
      </c>
      <c r="B3409" s="45"/>
      <c r="C3409" s="79" t="s">
        <v>21900</v>
      </c>
      <c r="D3409" s="45"/>
      <c r="E3409" s="79" t="s">
        <v>5276</v>
      </c>
      <c r="F3409" s="79" t="s">
        <v>5300</v>
      </c>
      <c r="G3409" s="80" t="s">
        <v>96</v>
      </c>
      <c r="H3409" s="90">
        <v>5.23E-5</v>
      </c>
      <c r="I3409" s="45"/>
      <c r="J3409" s="45"/>
      <c r="K3409" s="45"/>
      <c r="L3409" s="45"/>
      <c r="M3409" s="45"/>
      <c r="N3409" s="45"/>
      <c r="O3409" s="45"/>
      <c r="P3409" s="45"/>
      <c r="Q3409" s="45"/>
      <c r="R3409" s="45"/>
      <c r="S3409" s="45"/>
      <c r="T3409" s="45"/>
      <c r="U3409" s="45"/>
    </row>
    <row r="3410">
      <c r="A3410" s="79" t="s">
        <v>21901</v>
      </c>
      <c r="B3410" s="45"/>
      <c r="C3410" s="79" t="s">
        <v>21902</v>
      </c>
      <c r="D3410" s="45"/>
      <c r="E3410" s="79" t="s">
        <v>5434</v>
      </c>
      <c r="F3410" s="79" t="s">
        <v>8784</v>
      </c>
      <c r="G3410" s="80" t="s">
        <v>96</v>
      </c>
      <c r="H3410" s="90">
        <v>5.22E-5</v>
      </c>
      <c r="I3410" s="45"/>
      <c r="J3410" s="45"/>
      <c r="K3410" s="45"/>
      <c r="L3410" s="45"/>
      <c r="M3410" s="45"/>
      <c r="N3410" s="45"/>
      <c r="O3410" s="45"/>
      <c r="P3410" s="45"/>
      <c r="Q3410" s="45"/>
      <c r="R3410" s="45"/>
      <c r="S3410" s="45"/>
      <c r="T3410" s="45"/>
      <c r="U3410" s="45"/>
    </row>
    <row r="3411">
      <c r="A3411" s="79" t="s">
        <v>21903</v>
      </c>
      <c r="B3411" s="45"/>
      <c r="C3411" s="79" t="s">
        <v>21904</v>
      </c>
      <c r="D3411" s="45"/>
      <c r="E3411" s="79" t="s">
        <v>5316</v>
      </c>
      <c r="F3411" s="79" t="s">
        <v>8784</v>
      </c>
      <c r="G3411" s="80" t="s">
        <v>96</v>
      </c>
      <c r="H3411" s="90">
        <v>5.22E-5</v>
      </c>
      <c r="I3411" s="45"/>
      <c r="J3411" s="45"/>
      <c r="K3411" s="45"/>
      <c r="L3411" s="45"/>
      <c r="M3411" s="45"/>
      <c r="N3411" s="45"/>
      <c r="O3411" s="45"/>
      <c r="P3411" s="45"/>
      <c r="Q3411" s="45"/>
      <c r="R3411" s="45"/>
      <c r="S3411" s="45"/>
      <c r="T3411" s="45"/>
      <c r="U3411" s="45"/>
    </row>
    <row r="3412">
      <c r="A3412" s="79" t="s">
        <v>21905</v>
      </c>
      <c r="B3412" s="45"/>
      <c r="C3412" s="79" t="s">
        <v>21906</v>
      </c>
      <c r="D3412" s="45"/>
      <c r="E3412" s="79" t="s">
        <v>5808</v>
      </c>
      <c r="F3412" s="79" t="s">
        <v>5300</v>
      </c>
      <c r="G3412" s="80" t="s">
        <v>96</v>
      </c>
      <c r="H3412" s="90">
        <v>5.22E-5</v>
      </c>
      <c r="I3412" s="45"/>
      <c r="J3412" s="45"/>
      <c r="K3412" s="45"/>
      <c r="L3412" s="45"/>
      <c r="M3412" s="45"/>
      <c r="N3412" s="45"/>
      <c r="O3412" s="45"/>
      <c r="P3412" s="45"/>
      <c r="Q3412" s="45"/>
      <c r="R3412" s="45"/>
      <c r="S3412" s="45"/>
      <c r="T3412" s="45"/>
      <c r="U3412" s="45"/>
    </row>
    <row r="3413">
      <c r="A3413" s="79" t="s">
        <v>21907</v>
      </c>
      <c r="B3413" s="45"/>
      <c r="C3413" s="79" t="s">
        <v>21908</v>
      </c>
      <c r="D3413" s="45"/>
      <c r="E3413" s="79" t="s">
        <v>5215</v>
      </c>
      <c r="F3413" s="79" t="s">
        <v>5300</v>
      </c>
      <c r="G3413" s="80" t="s">
        <v>96</v>
      </c>
      <c r="H3413" s="90">
        <v>5.21E-5</v>
      </c>
      <c r="I3413" s="45"/>
      <c r="J3413" s="45"/>
      <c r="K3413" s="45"/>
      <c r="L3413" s="45"/>
      <c r="M3413" s="45"/>
      <c r="N3413" s="45"/>
      <c r="O3413" s="45"/>
      <c r="P3413" s="45"/>
      <c r="Q3413" s="45"/>
      <c r="R3413" s="45"/>
      <c r="S3413" s="45"/>
      <c r="T3413" s="45"/>
      <c r="U3413" s="45"/>
    </row>
    <row r="3414">
      <c r="A3414" s="79" t="s">
        <v>21909</v>
      </c>
      <c r="B3414" s="45"/>
      <c r="C3414" s="79" t="s">
        <v>21910</v>
      </c>
      <c r="D3414" s="45"/>
      <c r="E3414" s="79" t="s">
        <v>6416</v>
      </c>
      <c r="F3414" s="79" t="s">
        <v>5836</v>
      </c>
      <c r="G3414" s="80" t="s">
        <v>96</v>
      </c>
      <c r="H3414" s="90">
        <v>5.21E-5</v>
      </c>
      <c r="I3414" s="45"/>
      <c r="J3414" s="45"/>
      <c r="K3414" s="45"/>
      <c r="L3414" s="45"/>
      <c r="M3414" s="45"/>
      <c r="N3414" s="45"/>
      <c r="O3414" s="45"/>
      <c r="P3414" s="45"/>
      <c r="Q3414" s="45"/>
      <c r="R3414" s="45"/>
      <c r="S3414" s="45"/>
      <c r="T3414" s="45"/>
      <c r="U3414" s="45"/>
    </row>
    <row r="3415">
      <c r="A3415" s="79" t="s">
        <v>21911</v>
      </c>
      <c r="B3415" s="45"/>
      <c r="C3415" s="79" t="s">
        <v>21912</v>
      </c>
      <c r="D3415" s="45"/>
      <c r="E3415" s="79" t="s">
        <v>6238</v>
      </c>
      <c r="F3415" s="79" t="s">
        <v>4436</v>
      </c>
      <c r="G3415" s="80" t="s">
        <v>96</v>
      </c>
      <c r="H3415" s="90">
        <v>5.21E-5</v>
      </c>
      <c r="I3415" s="45"/>
      <c r="J3415" s="45"/>
      <c r="K3415" s="45"/>
      <c r="L3415" s="45"/>
      <c r="M3415" s="45"/>
      <c r="N3415" s="45"/>
      <c r="O3415" s="45"/>
      <c r="P3415" s="45"/>
      <c r="Q3415" s="45"/>
      <c r="R3415" s="45"/>
      <c r="S3415" s="45"/>
      <c r="T3415" s="45"/>
      <c r="U3415" s="45"/>
    </row>
    <row r="3416">
      <c r="A3416" s="79" t="s">
        <v>21913</v>
      </c>
      <c r="B3416" s="45"/>
      <c r="C3416" s="79" t="s">
        <v>21914</v>
      </c>
      <c r="D3416" s="45"/>
      <c r="E3416" s="79" t="s">
        <v>5775</v>
      </c>
      <c r="F3416" s="79" t="s">
        <v>5425</v>
      </c>
      <c r="G3416" s="80" t="s">
        <v>96</v>
      </c>
      <c r="H3416" s="90">
        <v>5.21E-5</v>
      </c>
      <c r="I3416" s="45"/>
      <c r="J3416" s="45"/>
      <c r="K3416" s="45"/>
      <c r="L3416" s="45"/>
      <c r="M3416" s="45"/>
      <c r="N3416" s="45"/>
      <c r="O3416" s="45"/>
      <c r="P3416" s="45"/>
      <c r="Q3416" s="45"/>
      <c r="R3416" s="45"/>
      <c r="S3416" s="45"/>
      <c r="T3416" s="45"/>
      <c r="U3416" s="45"/>
    </row>
    <row r="3417">
      <c r="A3417" s="79" t="s">
        <v>21915</v>
      </c>
      <c r="B3417" s="45"/>
      <c r="C3417" s="79" t="s">
        <v>21916</v>
      </c>
      <c r="D3417" s="45"/>
      <c r="E3417" s="79" t="s">
        <v>7471</v>
      </c>
      <c r="F3417" s="79" t="s">
        <v>8784</v>
      </c>
      <c r="G3417" s="80" t="s">
        <v>96</v>
      </c>
      <c r="H3417" s="90">
        <v>5.2E-5</v>
      </c>
      <c r="I3417" s="45"/>
      <c r="J3417" s="45"/>
      <c r="K3417" s="45"/>
      <c r="L3417" s="45"/>
      <c r="M3417" s="45"/>
      <c r="N3417" s="45"/>
      <c r="O3417" s="45"/>
      <c r="P3417" s="45"/>
      <c r="Q3417" s="45"/>
      <c r="R3417" s="45"/>
      <c r="S3417" s="45"/>
      <c r="T3417" s="45"/>
      <c r="U3417" s="45"/>
    </row>
    <row r="3418">
      <c r="A3418" s="79" t="s">
        <v>21917</v>
      </c>
      <c r="B3418" s="45"/>
      <c r="C3418" s="79" t="s">
        <v>21918</v>
      </c>
      <c r="D3418" s="45"/>
      <c r="E3418" s="79" t="s">
        <v>6090</v>
      </c>
      <c r="F3418" s="79" t="s">
        <v>8784</v>
      </c>
      <c r="G3418" s="80" t="s">
        <v>96</v>
      </c>
      <c r="H3418" s="90">
        <v>5.2E-5</v>
      </c>
      <c r="I3418" s="45"/>
      <c r="J3418" s="45"/>
      <c r="K3418" s="45"/>
      <c r="L3418" s="45"/>
      <c r="M3418" s="45"/>
      <c r="N3418" s="45"/>
      <c r="O3418" s="45"/>
      <c r="P3418" s="45"/>
      <c r="Q3418" s="45"/>
      <c r="R3418" s="45"/>
      <c r="S3418" s="45"/>
      <c r="T3418" s="45"/>
      <c r="U3418" s="45"/>
    </row>
    <row r="3419">
      <c r="A3419" s="79" t="s">
        <v>21919</v>
      </c>
      <c r="B3419" s="45"/>
      <c r="C3419" s="79" t="s">
        <v>21920</v>
      </c>
      <c r="D3419" s="45"/>
      <c r="E3419" s="79" t="s">
        <v>5241</v>
      </c>
      <c r="F3419" s="79" t="s">
        <v>5941</v>
      </c>
      <c r="G3419" s="80" t="s">
        <v>96</v>
      </c>
      <c r="H3419" s="90">
        <v>5.2E-5</v>
      </c>
      <c r="I3419" s="45"/>
      <c r="J3419" s="45"/>
      <c r="K3419" s="45"/>
      <c r="L3419" s="45"/>
      <c r="M3419" s="45"/>
      <c r="N3419" s="45"/>
      <c r="O3419" s="45"/>
      <c r="P3419" s="45"/>
      <c r="Q3419" s="45"/>
      <c r="R3419" s="45"/>
      <c r="S3419" s="45"/>
      <c r="T3419" s="45"/>
      <c r="U3419" s="45"/>
    </row>
    <row r="3420">
      <c r="A3420" s="79" t="s">
        <v>21921</v>
      </c>
      <c r="B3420" s="45"/>
      <c r="C3420" s="79" t="s">
        <v>21922</v>
      </c>
      <c r="D3420" s="45"/>
      <c r="E3420" s="79" t="s">
        <v>9189</v>
      </c>
      <c r="F3420" s="79" t="s">
        <v>5300</v>
      </c>
      <c r="G3420" s="80" t="s">
        <v>96</v>
      </c>
      <c r="H3420" s="90">
        <v>5.2E-5</v>
      </c>
      <c r="I3420" s="45"/>
      <c r="J3420" s="45"/>
      <c r="K3420" s="45"/>
      <c r="L3420" s="45"/>
      <c r="M3420" s="45"/>
      <c r="N3420" s="45"/>
      <c r="O3420" s="45"/>
      <c r="P3420" s="45"/>
      <c r="Q3420" s="45"/>
      <c r="R3420" s="45"/>
      <c r="S3420" s="45"/>
      <c r="T3420" s="45"/>
      <c r="U3420" s="45"/>
    </row>
    <row r="3421">
      <c r="A3421" s="79" t="s">
        <v>21923</v>
      </c>
      <c r="B3421" s="45"/>
      <c r="C3421" s="79" t="s">
        <v>21924</v>
      </c>
      <c r="D3421" s="45"/>
      <c r="E3421" s="79" t="s">
        <v>6947</v>
      </c>
      <c r="F3421" s="79" t="s">
        <v>5927</v>
      </c>
      <c r="G3421" s="80" t="s">
        <v>96</v>
      </c>
      <c r="H3421" s="90">
        <v>5.2E-5</v>
      </c>
      <c r="I3421" s="45"/>
      <c r="J3421" s="45"/>
      <c r="K3421" s="45"/>
      <c r="L3421" s="45"/>
      <c r="M3421" s="45"/>
      <c r="N3421" s="45"/>
      <c r="O3421" s="45"/>
      <c r="P3421" s="45"/>
      <c r="Q3421" s="45"/>
      <c r="R3421" s="45"/>
      <c r="S3421" s="45"/>
      <c r="T3421" s="45"/>
      <c r="U3421" s="45"/>
    </row>
    <row r="3422">
      <c r="A3422" s="79" t="s">
        <v>21925</v>
      </c>
      <c r="B3422" s="45"/>
      <c r="C3422" s="79" t="s">
        <v>21926</v>
      </c>
      <c r="D3422" s="45"/>
      <c r="E3422" s="79" t="s">
        <v>5218</v>
      </c>
      <c r="F3422" s="79" t="s">
        <v>8784</v>
      </c>
      <c r="G3422" s="80" t="s">
        <v>96</v>
      </c>
      <c r="H3422" s="90">
        <v>5.19E-5</v>
      </c>
      <c r="I3422" s="45"/>
      <c r="J3422" s="45"/>
      <c r="K3422" s="45"/>
      <c r="L3422" s="45"/>
      <c r="M3422" s="45"/>
      <c r="N3422" s="45"/>
      <c r="O3422" s="45"/>
      <c r="P3422" s="45"/>
      <c r="Q3422" s="45"/>
      <c r="R3422" s="45"/>
      <c r="S3422" s="45"/>
      <c r="T3422" s="45"/>
      <c r="U3422" s="45"/>
    </row>
    <row r="3423">
      <c r="A3423" s="79" t="s">
        <v>21927</v>
      </c>
      <c r="B3423" s="45"/>
      <c r="C3423" s="79" t="s">
        <v>21928</v>
      </c>
      <c r="D3423" s="45"/>
      <c r="E3423" s="79" t="s">
        <v>5238</v>
      </c>
      <c r="F3423" s="79" t="s">
        <v>6988</v>
      </c>
      <c r="G3423" s="80" t="s">
        <v>96</v>
      </c>
      <c r="H3423" s="90">
        <v>5.18E-5</v>
      </c>
      <c r="I3423" s="45"/>
      <c r="J3423" s="45"/>
      <c r="K3423" s="45"/>
      <c r="L3423" s="45"/>
      <c r="M3423" s="45"/>
      <c r="N3423" s="45"/>
      <c r="O3423" s="45"/>
      <c r="P3423" s="45"/>
      <c r="Q3423" s="45"/>
      <c r="R3423" s="45"/>
      <c r="S3423" s="45"/>
      <c r="T3423" s="45"/>
      <c r="U3423" s="45"/>
    </row>
    <row r="3424">
      <c r="A3424" s="79" t="s">
        <v>21929</v>
      </c>
      <c r="B3424" s="45"/>
      <c r="C3424" s="79" t="s">
        <v>21930</v>
      </c>
      <c r="D3424" s="45"/>
      <c r="E3424" s="79" t="s">
        <v>5215</v>
      </c>
      <c r="F3424" s="79" t="s">
        <v>9299</v>
      </c>
      <c r="G3424" s="80" t="s">
        <v>96</v>
      </c>
      <c r="H3424" s="90">
        <v>5.18E-5</v>
      </c>
      <c r="I3424" s="45"/>
      <c r="J3424" s="45"/>
      <c r="K3424" s="45"/>
      <c r="L3424" s="45"/>
      <c r="M3424" s="45"/>
      <c r="N3424" s="45"/>
      <c r="O3424" s="45"/>
      <c r="P3424" s="45"/>
      <c r="Q3424" s="45"/>
      <c r="R3424" s="45"/>
      <c r="S3424" s="45"/>
      <c r="T3424" s="45"/>
      <c r="U3424" s="45"/>
    </row>
    <row r="3425">
      <c r="A3425" s="79" t="s">
        <v>21931</v>
      </c>
      <c r="B3425" s="45"/>
      <c r="C3425" s="79" t="s">
        <v>21932</v>
      </c>
      <c r="D3425" s="45"/>
      <c r="E3425" s="79" t="s">
        <v>5561</v>
      </c>
      <c r="F3425" s="79" t="s">
        <v>9021</v>
      </c>
      <c r="G3425" s="80" t="s">
        <v>96</v>
      </c>
      <c r="H3425" s="90">
        <v>5.18E-5</v>
      </c>
      <c r="I3425" s="45"/>
      <c r="J3425" s="45"/>
      <c r="K3425" s="45"/>
      <c r="L3425" s="45"/>
      <c r="M3425" s="45"/>
      <c r="N3425" s="45"/>
      <c r="O3425" s="45"/>
      <c r="P3425" s="45"/>
      <c r="Q3425" s="45"/>
      <c r="R3425" s="45"/>
      <c r="S3425" s="45"/>
      <c r="T3425" s="45"/>
      <c r="U3425" s="45"/>
    </row>
    <row r="3426">
      <c r="A3426" s="79" t="s">
        <v>21933</v>
      </c>
      <c r="B3426" s="45"/>
      <c r="C3426" s="79" t="s">
        <v>21934</v>
      </c>
      <c r="D3426" s="45"/>
      <c r="E3426" s="79" t="s">
        <v>5561</v>
      </c>
      <c r="F3426" s="79" t="s">
        <v>9021</v>
      </c>
      <c r="G3426" s="80" t="s">
        <v>96</v>
      </c>
      <c r="H3426" s="90">
        <v>5.17E-5</v>
      </c>
      <c r="I3426" s="45"/>
      <c r="J3426" s="45"/>
      <c r="K3426" s="45"/>
      <c r="L3426" s="45"/>
      <c r="M3426" s="45"/>
      <c r="N3426" s="45"/>
      <c r="O3426" s="45"/>
      <c r="P3426" s="45"/>
      <c r="Q3426" s="45"/>
      <c r="R3426" s="45"/>
      <c r="S3426" s="45"/>
      <c r="T3426" s="45"/>
      <c r="U3426" s="45"/>
    </row>
    <row r="3427">
      <c r="A3427" s="79" t="s">
        <v>21935</v>
      </c>
      <c r="B3427" s="45"/>
      <c r="C3427" s="79" t="s">
        <v>21936</v>
      </c>
      <c r="D3427" s="45"/>
      <c r="E3427" s="79" t="s">
        <v>5478</v>
      </c>
      <c r="F3427" s="79" t="s">
        <v>5300</v>
      </c>
      <c r="G3427" s="80" t="s">
        <v>96</v>
      </c>
      <c r="H3427" s="90">
        <v>5.16E-5</v>
      </c>
      <c r="I3427" s="45"/>
      <c r="J3427" s="45"/>
      <c r="K3427" s="45"/>
      <c r="L3427" s="45"/>
      <c r="M3427" s="45"/>
      <c r="N3427" s="45"/>
      <c r="O3427" s="45"/>
      <c r="P3427" s="45"/>
      <c r="Q3427" s="45"/>
      <c r="R3427" s="45"/>
      <c r="S3427" s="45"/>
      <c r="T3427" s="45"/>
      <c r="U3427" s="45"/>
    </row>
    <row r="3428">
      <c r="A3428" s="79" t="s">
        <v>21937</v>
      </c>
      <c r="B3428" s="45"/>
      <c r="C3428" s="79" t="s">
        <v>21938</v>
      </c>
      <c r="D3428" s="45"/>
      <c r="E3428" s="79" t="s">
        <v>5759</v>
      </c>
      <c r="F3428" s="79" t="s">
        <v>5300</v>
      </c>
      <c r="G3428" s="80" t="s">
        <v>96</v>
      </c>
      <c r="H3428" s="90">
        <v>5.15E-5</v>
      </c>
      <c r="I3428" s="45"/>
      <c r="J3428" s="45"/>
      <c r="K3428" s="45"/>
      <c r="L3428" s="45"/>
      <c r="M3428" s="45"/>
      <c r="N3428" s="45"/>
      <c r="O3428" s="45"/>
      <c r="P3428" s="45"/>
      <c r="Q3428" s="45"/>
      <c r="R3428" s="45"/>
      <c r="S3428" s="45"/>
      <c r="T3428" s="45"/>
      <c r="U3428" s="45"/>
    </row>
    <row r="3429">
      <c r="A3429" s="79" t="s">
        <v>21939</v>
      </c>
      <c r="B3429" s="45"/>
      <c r="C3429" s="79" t="s">
        <v>21940</v>
      </c>
      <c r="D3429" s="45"/>
      <c r="E3429" s="79" t="s">
        <v>5264</v>
      </c>
      <c r="F3429" s="79" t="s">
        <v>8784</v>
      </c>
      <c r="G3429" s="80" t="s">
        <v>96</v>
      </c>
      <c r="H3429" s="90">
        <v>5.15E-5</v>
      </c>
      <c r="I3429" s="45"/>
      <c r="J3429" s="45"/>
      <c r="K3429" s="45"/>
      <c r="L3429" s="45"/>
      <c r="M3429" s="45"/>
      <c r="N3429" s="45"/>
      <c r="O3429" s="45"/>
      <c r="P3429" s="45"/>
      <c r="Q3429" s="45"/>
      <c r="R3429" s="45"/>
      <c r="S3429" s="45"/>
      <c r="T3429" s="45"/>
      <c r="U3429" s="45"/>
    </row>
    <row r="3430">
      <c r="A3430" s="79" t="s">
        <v>21941</v>
      </c>
      <c r="B3430" s="45"/>
      <c r="C3430" s="79" t="s">
        <v>21942</v>
      </c>
      <c r="D3430" s="45"/>
      <c r="E3430" s="79" t="s">
        <v>5276</v>
      </c>
      <c r="F3430" s="79" t="s">
        <v>8784</v>
      </c>
      <c r="G3430" s="80" t="s">
        <v>96</v>
      </c>
      <c r="H3430" s="90">
        <v>5.14E-5</v>
      </c>
      <c r="I3430" s="45"/>
      <c r="J3430" s="45"/>
      <c r="K3430" s="45"/>
      <c r="L3430" s="45"/>
      <c r="M3430" s="45"/>
      <c r="N3430" s="45"/>
      <c r="O3430" s="45"/>
      <c r="P3430" s="45"/>
      <c r="Q3430" s="45"/>
      <c r="R3430" s="45"/>
      <c r="S3430" s="45"/>
      <c r="T3430" s="45"/>
      <c r="U3430" s="45"/>
    </row>
    <row r="3431">
      <c r="A3431" s="79" t="s">
        <v>21943</v>
      </c>
      <c r="B3431" s="45"/>
      <c r="C3431" s="79" t="s">
        <v>21944</v>
      </c>
      <c r="D3431" s="45"/>
      <c r="E3431" s="79" t="s">
        <v>5390</v>
      </c>
      <c r="F3431" s="79" t="s">
        <v>8784</v>
      </c>
      <c r="G3431" s="80" t="s">
        <v>96</v>
      </c>
      <c r="H3431" s="90">
        <v>5.14E-5</v>
      </c>
      <c r="I3431" s="45"/>
      <c r="J3431" s="45"/>
      <c r="K3431" s="45"/>
      <c r="L3431" s="45"/>
      <c r="M3431" s="45"/>
      <c r="N3431" s="45"/>
      <c r="O3431" s="45"/>
      <c r="P3431" s="45"/>
      <c r="Q3431" s="45"/>
      <c r="R3431" s="45"/>
      <c r="S3431" s="45"/>
      <c r="T3431" s="45"/>
      <c r="U3431" s="45"/>
    </row>
    <row r="3432">
      <c r="A3432" s="79" t="s">
        <v>21945</v>
      </c>
      <c r="B3432" s="45"/>
      <c r="C3432" s="79" t="s">
        <v>21946</v>
      </c>
      <c r="D3432" s="45"/>
      <c r="E3432" s="79" t="s">
        <v>5756</v>
      </c>
      <c r="F3432" s="79" t="s">
        <v>8784</v>
      </c>
      <c r="G3432" s="80" t="s">
        <v>96</v>
      </c>
      <c r="H3432" s="90">
        <v>5.14E-5</v>
      </c>
      <c r="I3432" s="45"/>
      <c r="J3432" s="45"/>
      <c r="K3432" s="45"/>
      <c r="L3432" s="45"/>
      <c r="M3432" s="45"/>
      <c r="N3432" s="45"/>
      <c r="O3432" s="45"/>
      <c r="P3432" s="45"/>
      <c r="Q3432" s="45"/>
      <c r="R3432" s="45"/>
      <c r="S3432" s="45"/>
      <c r="T3432" s="45"/>
      <c r="U3432" s="45"/>
    </row>
    <row r="3433">
      <c r="A3433" s="79" t="s">
        <v>21947</v>
      </c>
      <c r="B3433" s="45"/>
      <c r="C3433" s="79" t="s">
        <v>21948</v>
      </c>
      <c r="D3433" s="45"/>
      <c r="E3433" s="79" t="s">
        <v>6009</v>
      </c>
      <c r="F3433" s="79" t="s">
        <v>8784</v>
      </c>
      <c r="G3433" s="80" t="s">
        <v>96</v>
      </c>
      <c r="H3433" s="90">
        <v>5.13E-5</v>
      </c>
      <c r="I3433" s="45"/>
      <c r="J3433" s="45"/>
      <c r="K3433" s="45"/>
      <c r="L3433" s="45"/>
      <c r="M3433" s="45"/>
      <c r="N3433" s="45"/>
      <c r="O3433" s="45"/>
      <c r="P3433" s="45"/>
      <c r="Q3433" s="45"/>
      <c r="R3433" s="45"/>
      <c r="S3433" s="45"/>
      <c r="T3433" s="45"/>
      <c r="U3433" s="45"/>
    </row>
    <row r="3434">
      <c r="A3434" s="79" t="s">
        <v>21949</v>
      </c>
      <c r="B3434" s="45"/>
      <c r="C3434" s="79" t="s">
        <v>21950</v>
      </c>
      <c r="D3434" s="45"/>
      <c r="E3434" s="79" t="s">
        <v>6389</v>
      </c>
      <c r="F3434" s="79" t="s">
        <v>8784</v>
      </c>
      <c r="G3434" s="80" t="s">
        <v>96</v>
      </c>
      <c r="H3434" s="90">
        <v>5.12E-5</v>
      </c>
      <c r="I3434" s="45"/>
      <c r="J3434" s="45"/>
      <c r="K3434" s="45"/>
      <c r="L3434" s="45"/>
      <c r="M3434" s="45"/>
      <c r="N3434" s="45"/>
      <c r="O3434" s="45"/>
      <c r="P3434" s="45"/>
      <c r="Q3434" s="45"/>
      <c r="R3434" s="45"/>
      <c r="S3434" s="45"/>
      <c r="T3434" s="45"/>
      <c r="U3434" s="45"/>
    </row>
    <row r="3435">
      <c r="A3435" s="79" t="s">
        <v>21951</v>
      </c>
      <c r="B3435" s="45"/>
      <c r="C3435" s="79" t="s">
        <v>21952</v>
      </c>
      <c r="D3435" s="45"/>
      <c r="E3435" s="79" t="s">
        <v>5235</v>
      </c>
      <c r="F3435" s="79" t="s">
        <v>4357</v>
      </c>
      <c r="G3435" s="80" t="s">
        <v>96</v>
      </c>
      <c r="H3435" s="90">
        <v>5.12E-5</v>
      </c>
      <c r="I3435" s="45"/>
      <c r="J3435" s="45"/>
      <c r="K3435" s="45"/>
      <c r="L3435" s="45"/>
      <c r="M3435" s="45"/>
      <c r="N3435" s="45"/>
      <c r="O3435" s="45"/>
      <c r="P3435" s="45"/>
      <c r="Q3435" s="45"/>
      <c r="R3435" s="45"/>
      <c r="S3435" s="45"/>
      <c r="T3435" s="45"/>
      <c r="U3435" s="45"/>
    </row>
    <row r="3436">
      <c r="A3436" s="79" t="s">
        <v>21953</v>
      </c>
      <c r="B3436" s="45"/>
      <c r="C3436" s="79" t="s">
        <v>21954</v>
      </c>
      <c r="D3436" s="45"/>
      <c r="E3436" s="79" t="s">
        <v>5218</v>
      </c>
      <c r="F3436" s="79" t="s">
        <v>8759</v>
      </c>
      <c r="G3436" s="80" t="s">
        <v>96</v>
      </c>
      <c r="H3436" s="90">
        <v>5.11E-5</v>
      </c>
      <c r="I3436" s="45"/>
      <c r="J3436" s="45"/>
      <c r="K3436" s="45"/>
      <c r="L3436" s="45"/>
      <c r="M3436" s="45"/>
      <c r="N3436" s="45"/>
      <c r="O3436" s="45"/>
      <c r="P3436" s="45"/>
      <c r="Q3436" s="45"/>
      <c r="R3436" s="45"/>
      <c r="S3436" s="45"/>
      <c r="T3436" s="45"/>
      <c r="U3436" s="45"/>
    </row>
    <row r="3437">
      <c r="A3437" s="79" t="s">
        <v>21955</v>
      </c>
      <c r="B3437" s="45"/>
      <c r="C3437" s="79" t="s">
        <v>21956</v>
      </c>
      <c r="D3437" s="45"/>
      <c r="E3437" s="79" t="s">
        <v>5434</v>
      </c>
      <c r="F3437" s="79" t="s">
        <v>8784</v>
      </c>
      <c r="G3437" s="80" t="s">
        <v>96</v>
      </c>
      <c r="H3437" s="90">
        <v>5.09E-5</v>
      </c>
      <c r="I3437" s="45"/>
      <c r="J3437" s="45"/>
      <c r="K3437" s="45"/>
      <c r="L3437" s="45"/>
      <c r="M3437" s="45"/>
      <c r="N3437" s="45"/>
      <c r="O3437" s="45"/>
      <c r="P3437" s="45"/>
      <c r="Q3437" s="45"/>
      <c r="R3437" s="45"/>
      <c r="S3437" s="45"/>
      <c r="T3437" s="45"/>
      <c r="U3437" s="45"/>
    </row>
    <row r="3438">
      <c r="A3438" s="79" t="s">
        <v>21957</v>
      </c>
      <c r="B3438" s="45"/>
      <c r="C3438" s="79" t="s">
        <v>21958</v>
      </c>
      <c r="D3438" s="45"/>
      <c r="E3438" s="79" t="s">
        <v>5241</v>
      </c>
      <c r="F3438" s="79" t="s">
        <v>6210</v>
      </c>
      <c r="G3438" s="80" t="s">
        <v>96</v>
      </c>
      <c r="H3438" s="90">
        <v>5.08E-5</v>
      </c>
      <c r="I3438" s="45"/>
      <c r="J3438" s="45"/>
      <c r="K3438" s="45"/>
      <c r="L3438" s="45"/>
      <c r="M3438" s="45"/>
      <c r="N3438" s="45"/>
      <c r="O3438" s="45"/>
      <c r="P3438" s="45"/>
      <c r="Q3438" s="45"/>
      <c r="R3438" s="45"/>
      <c r="S3438" s="45"/>
      <c r="T3438" s="45"/>
      <c r="U3438" s="45"/>
    </row>
    <row r="3439">
      <c r="A3439" s="79" t="s">
        <v>21959</v>
      </c>
      <c r="B3439" s="45"/>
      <c r="C3439" s="79" t="s">
        <v>21960</v>
      </c>
      <c r="D3439" s="45"/>
      <c r="E3439" s="79" t="s">
        <v>5516</v>
      </c>
      <c r="F3439" s="79" t="s">
        <v>5300</v>
      </c>
      <c r="G3439" s="80" t="s">
        <v>96</v>
      </c>
      <c r="H3439" s="90">
        <v>5.08E-5</v>
      </c>
      <c r="I3439" s="45"/>
      <c r="J3439" s="45"/>
      <c r="K3439" s="45"/>
      <c r="L3439" s="45"/>
      <c r="M3439" s="45"/>
      <c r="N3439" s="45"/>
      <c r="O3439" s="45"/>
      <c r="P3439" s="45"/>
      <c r="Q3439" s="45"/>
      <c r="R3439" s="45"/>
      <c r="S3439" s="45"/>
      <c r="T3439" s="45"/>
      <c r="U3439" s="45"/>
    </row>
    <row r="3440">
      <c r="A3440" s="79" t="s">
        <v>21961</v>
      </c>
      <c r="B3440" s="45"/>
      <c r="C3440" s="79" t="s">
        <v>21962</v>
      </c>
      <c r="D3440" s="45"/>
      <c r="E3440" s="79" t="s">
        <v>5390</v>
      </c>
      <c r="F3440" s="79" t="s">
        <v>8784</v>
      </c>
      <c r="G3440" s="80" t="s">
        <v>96</v>
      </c>
      <c r="H3440" s="90">
        <v>5.08E-5</v>
      </c>
      <c r="I3440" s="45"/>
      <c r="J3440" s="45"/>
      <c r="K3440" s="45"/>
      <c r="L3440" s="45"/>
      <c r="M3440" s="45"/>
      <c r="N3440" s="45"/>
      <c r="O3440" s="45"/>
      <c r="P3440" s="45"/>
      <c r="Q3440" s="45"/>
      <c r="R3440" s="45"/>
      <c r="S3440" s="45"/>
      <c r="T3440" s="45"/>
      <c r="U3440" s="45"/>
    </row>
    <row r="3441">
      <c r="A3441" s="79" t="s">
        <v>21963</v>
      </c>
      <c r="B3441" s="45"/>
      <c r="C3441" s="79" t="s">
        <v>21964</v>
      </c>
      <c r="D3441" s="45"/>
      <c r="E3441" s="79" t="s">
        <v>5261</v>
      </c>
      <c r="F3441" s="79" t="s">
        <v>5300</v>
      </c>
      <c r="G3441" s="80" t="s">
        <v>96</v>
      </c>
      <c r="H3441" s="90">
        <v>5.08E-5</v>
      </c>
      <c r="I3441" s="45"/>
      <c r="J3441" s="45"/>
      <c r="K3441" s="45"/>
      <c r="L3441" s="45"/>
      <c r="M3441" s="45"/>
      <c r="N3441" s="45"/>
      <c r="O3441" s="45"/>
      <c r="P3441" s="45"/>
      <c r="Q3441" s="45"/>
      <c r="R3441" s="45"/>
      <c r="S3441" s="45"/>
      <c r="T3441" s="45"/>
      <c r="U3441" s="45"/>
    </row>
    <row r="3442">
      <c r="A3442" s="79" t="s">
        <v>21965</v>
      </c>
      <c r="B3442" s="45"/>
      <c r="C3442" s="79" t="s">
        <v>21966</v>
      </c>
      <c r="D3442" s="45"/>
      <c r="E3442" s="79" t="s">
        <v>5280</v>
      </c>
      <c r="F3442" s="79" t="s">
        <v>8784</v>
      </c>
      <c r="G3442" s="80" t="s">
        <v>96</v>
      </c>
      <c r="H3442" s="90">
        <v>5.08E-5</v>
      </c>
      <c r="I3442" s="45"/>
      <c r="J3442" s="45"/>
      <c r="K3442" s="45"/>
      <c r="L3442" s="45"/>
      <c r="M3442" s="45"/>
      <c r="N3442" s="45"/>
      <c r="O3442" s="45"/>
      <c r="P3442" s="45"/>
      <c r="Q3442" s="45"/>
      <c r="R3442" s="45"/>
      <c r="S3442" s="45"/>
      <c r="T3442" s="45"/>
      <c r="U3442" s="45"/>
    </row>
    <row r="3443">
      <c r="A3443" s="79" t="s">
        <v>4519</v>
      </c>
      <c r="B3443" s="45"/>
      <c r="C3443" s="79" t="s">
        <v>21967</v>
      </c>
      <c r="D3443" s="45"/>
      <c r="E3443" s="79" t="s">
        <v>5390</v>
      </c>
      <c r="F3443" s="79" t="s">
        <v>5836</v>
      </c>
      <c r="G3443" s="80" t="s">
        <v>96</v>
      </c>
      <c r="H3443" s="90">
        <v>5.07E-5</v>
      </c>
      <c r="I3443" s="45"/>
      <c r="J3443" s="45"/>
      <c r="K3443" s="45"/>
      <c r="L3443" s="45"/>
      <c r="M3443" s="45"/>
      <c r="N3443" s="45"/>
      <c r="O3443" s="45"/>
      <c r="P3443" s="45"/>
      <c r="Q3443" s="45"/>
      <c r="R3443" s="45"/>
      <c r="S3443" s="45"/>
      <c r="T3443" s="45"/>
      <c r="U3443" s="45"/>
    </row>
    <row r="3444">
      <c r="A3444" s="79" t="s">
        <v>5986</v>
      </c>
      <c r="B3444" s="45"/>
      <c r="C3444" s="79" t="s">
        <v>21968</v>
      </c>
      <c r="D3444" s="45"/>
      <c r="E3444" s="79" t="s">
        <v>5650</v>
      </c>
      <c r="F3444" s="79" t="s">
        <v>5300</v>
      </c>
      <c r="G3444" s="80" t="s">
        <v>96</v>
      </c>
      <c r="H3444" s="90">
        <v>5.05E-5</v>
      </c>
      <c r="I3444" s="45"/>
      <c r="J3444" s="45"/>
      <c r="K3444" s="45"/>
      <c r="L3444" s="45"/>
      <c r="M3444" s="45"/>
      <c r="N3444" s="45"/>
      <c r="O3444" s="45"/>
      <c r="P3444" s="45"/>
      <c r="Q3444" s="45"/>
      <c r="R3444" s="45"/>
      <c r="S3444" s="45"/>
      <c r="T3444" s="45"/>
      <c r="U3444" s="45"/>
    </row>
    <row r="3445">
      <c r="A3445" s="79" t="s">
        <v>21969</v>
      </c>
      <c r="B3445" s="45"/>
      <c r="C3445" s="79" t="s">
        <v>21970</v>
      </c>
      <c r="D3445" s="45"/>
      <c r="E3445" s="79" t="s">
        <v>5211</v>
      </c>
      <c r="F3445" s="79" t="s">
        <v>8784</v>
      </c>
      <c r="G3445" s="80" t="s">
        <v>96</v>
      </c>
      <c r="H3445" s="90">
        <v>5.05E-5</v>
      </c>
      <c r="I3445" s="45"/>
      <c r="J3445" s="45"/>
      <c r="K3445" s="45"/>
      <c r="L3445" s="45"/>
      <c r="M3445" s="45"/>
      <c r="N3445" s="45"/>
      <c r="O3445" s="45"/>
      <c r="P3445" s="45"/>
      <c r="Q3445" s="45"/>
      <c r="R3445" s="45"/>
      <c r="S3445" s="45"/>
      <c r="T3445" s="45"/>
      <c r="U3445" s="45"/>
    </row>
    <row r="3446">
      <c r="A3446" s="79" t="s">
        <v>21971</v>
      </c>
      <c r="B3446" s="45"/>
      <c r="C3446" s="79" t="s">
        <v>21972</v>
      </c>
      <c r="D3446" s="45"/>
      <c r="E3446" s="79" t="s">
        <v>6090</v>
      </c>
      <c r="F3446" s="79" t="s">
        <v>8784</v>
      </c>
      <c r="G3446" s="80" t="s">
        <v>96</v>
      </c>
      <c r="H3446" s="90">
        <v>5.05E-5</v>
      </c>
      <c r="I3446" s="45"/>
      <c r="J3446" s="45"/>
      <c r="K3446" s="45"/>
      <c r="L3446" s="45"/>
      <c r="M3446" s="45"/>
      <c r="N3446" s="45"/>
      <c r="O3446" s="45"/>
      <c r="P3446" s="45"/>
      <c r="Q3446" s="45"/>
      <c r="R3446" s="45"/>
      <c r="S3446" s="45"/>
      <c r="T3446" s="45"/>
      <c r="U3446" s="45"/>
    </row>
    <row r="3447">
      <c r="A3447" s="79" t="s">
        <v>21973</v>
      </c>
      <c r="B3447" s="45"/>
      <c r="C3447" s="79" t="s">
        <v>21974</v>
      </c>
      <c r="D3447" s="45"/>
      <c r="E3447" s="79" t="s">
        <v>5561</v>
      </c>
      <c r="F3447" s="79" t="s">
        <v>8784</v>
      </c>
      <c r="G3447" s="80" t="s">
        <v>96</v>
      </c>
      <c r="H3447" s="90">
        <v>5.04E-5</v>
      </c>
      <c r="I3447" s="45"/>
      <c r="J3447" s="45"/>
      <c r="K3447" s="45"/>
      <c r="L3447" s="45"/>
      <c r="M3447" s="45"/>
      <c r="N3447" s="45"/>
      <c r="O3447" s="45"/>
      <c r="P3447" s="45"/>
      <c r="Q3447" s="45"/>
      <c r="R3447" s="45"/>
      <c r="S3447" s="45"/>
      <c r="T3447" s="45"/>
      <c r="U3447" s="45"/>
    </row>
    <row r="3448">
      <c r="A3448" s="79" t="s">
        <v>21975</v>
      </c>
      <c r="B3448" s="45"/>
      <c r="C3448" s="79" t="s">
        <v>21976</v>
      </c>
      <c r="D3448" s="45"/>
      <c r="E3448" s="79" t="s">
        <v>6130</v>
      </c>
      <c r="F3448" s="79" t="s">
        <v>8784</v>
      </c>
      <c r="G3448" s="80" t="s">
        <v>96</v>
      </c>
      <c r="H3448" s="90">
        <v>5.03E-5</v>
      </c>
      <c r="I3448" s="45"/>
      <c r="J3448" s="45"/>
      <c r="K3448" s="45"/>
      <c r="L3448" s="45"/>
      <c r="M3448" s="45"/>
      <c r="N3448" s="45"/>
      <c r="O3448" s="45"/>
      <c r="P3448" s="45"/>
      <c r="Q3448" s="45"/>
      <c r="R3448" s="45"/>
      <c r="S3448" s="45"/>
      <c r="T3448" s="45"/>
      <c r="U3448" s="45"/>
    </row>
    <row r="3449">
      <c r="A3449" s="79" t="s">
        <v>11198</v>
      </c>
      <c r="B3449" s="45"/>
      <c r="C3449" s="79" t="s">
        <v>11199</v>
      </c>
      <c r="D3449" s="45"/>
      <c r="E3449" s="79" t="s">
        <v>5855</v>
      </c>
      <c r="F3449" s="79" t="s">
        <v>6210</v>
      </c>
      <c r="G3449" s="80" t="s">
        <v>96</v>
      </c>
      <c r="H3449" s="90">
        <v>5.03E-5</v>
      </c>
      <c r="I3449" s="45"/>
      <c r="J3449" s="45"/>
      <c r="K3449" s="45"/>
      <c r="L3449" s="45"/>
      <c r="M3449" s="45"/>
      <c r="N3449" s="45"/>
      <c r="O3449" s="45"/>
      <c r="P3449" s="45"/>
      <c r="Q3449" s="45"/>
      <c r="R3449" s="45"/>
      <c r="S3449" s="45"/>
      <c r="T3449" s="45"/>
      <c r="U3449" s="45"/>
    </row>
    <row r="3450">
      <c r="A3450" s="79" t="s">
        <v>21977</v>
      </c>
      <c r="B3450" s="45"/>
      <c r="C3450" s="79" t="s">
        <v>21978</v>
      </c>
      <c r="D3450" s="45"/>
      <c r="E3450" s="79" t="s">
        <v>5390</v>
      </c>
      <c r="F3450" s="79" t="s">
        <v>8784</v>
      </c>
      <c r="G3450" s="80" t="s">
        <v>96</v>
      </c>
      <c r="H3450" s="90">
        <v>5.03E-5</v>
      </c>
      <c r="I3450" s="45"/>
      <c r="J3450" s="45"/>
      <c r="K3450" s="45"/>
      <c r="L3450" s="45"/>
      <c r="M3450" s="45"/>
      <c r="N3450" s="45"/>
      <c r="O3450" s="45"/>
      <c r="P3450" s="45"/>
      <c r="Q3450" s="45"/>
      <c r="R3450" s="45"/>
      <c r="S3450" s="45"/>
      <c r="T3450" s="45"/>
      <c r="U3450" s="45"/>
    </row>
    <row r="3451">
      <c r="A3451" s="79" t="s">
        <v>21979</v>
      </c>
      <c r="B3451" s="45"/>
      <c r="C3451" s="79" t="s">
        <v>21980</v>
      </c>
      <c r="D3451" s="45"/>
      <c r="E3451" s="79" t="s">
        <v>6130</v>
      </c>
      <c r="F3451" s="79" t="s">
        <v>8784</v>
      </c>
      <c r="G3451" s="80" t="s">
        <v>96</v>
      </c>
      <c r="H3451" s="90">
        <v>5.03E-5</v>
      </c>
      <c r="I3451" s="45"/>
      <c r="J3451" s="45"/>
      <c r="K3451" s="45"/>
      <c r="L3451" s="45"/>
      <c r="M3451" s="45"/>
      <c r="N3451" s="45"/>
      <c r="O3451" s="45"/>
      <c r="P3451" s="45"/>
      <c r="Q3451" s="45"/>
      <c r="R3451" s="45"/>
      <c r="S3451" s="45"/>
      <c r="T3451" s="45"/>
      <c r="U3451" s="45"/>
    </row>
    <row r="3452">
      <c r="A3452" s="79" t="s">
        <v>21981</v>
      </c>
      <c r="B3452" s="45"/>
      <c r="C3452" s="79" t="s">
        <v>21982</v>
      </c>
      <c r="D3452" s="45"/>
      <c r="E3452" s="79" t="s">
        <v>5561</v>
      </c>
      <c r="F3452" s="79" t="s">
        <v>5836</v>
      </c>
      <c r="G3452" s="80" t="s">
        <v>96</v>
      </c>
      <c r="H3452" s="90">
        <v>5.02E-5</v>
      </c>
      <c r="I3452" s="45"/>
      <c r="J3452" s="45"/>
      <c r="K3452" s="45"/>
      <c r="L3452" s="45"/>
      <c r="M3452" s="45"/>
      <c r="N3452" s="45"/>
      <c r="O3452" s="45"/>
      <c r="P3452" s="45"/>
      <c r="Q3452" s="45"/>
      <c r="R3452" s="45"/>
      <c r="S3452" s="45"/>
      <c r="T3452" s="45"/>
      <c r="U3452" s="45"/>
    </row>
    <row r="3453">
      <c r="A3453" s="79" t="s">
        <v>21983</v>
      </c>
      <c r="B3453" s="45"/>
      <c r="C3453" s="79" t="s">
        <v>21984</v>
      </c>
      <c r="D3453" s="45"/>
      <c r="E3453" s="79" t="s">
        <v>5811</v>
      </c>
      <c r="F3453" s="79" t="s">
        <v>8784</v>
      </c>
      <c r="G3453" s="80" t="s">
        <v>96</v>
      </c>
      <c r="H3453" s="90">
        <v>5.02E-5</v>
      </c>
      <c r="I3453" s="45"/>
      <c r="J3453" s="45"/>
      <c r="K3453" s="45"/>
      <c r="L3453" s="45"/>
      <c r="M3453" s="45"/>
      <c r="N3453" s="45"/>
      <c r="O3453" s="45"/>
      <c r="P3453" s="45"/>
      <c r="Q3453" s="45"/>
      <c r="R3453" s="45"/>
      <c r="S3453" s="45"/>
      <c r="T3453" s="45"/>
      <c r="U3453" s="45"/>
    </row>
    <row r="3454">
      <c r="A3454" s="79" t="s">
        <v>21985</v>
      </c>
      <c r="B3454" s="45"/>
      <c r="C3454" s="79" t="s">
        <v>21986</v>
      </c>
      <c r="D3454" s="45"/>
      <c r="E3454" s="79" t="s">
        <v>5283</v>
      </c>
      <c r="F3454" s="79" t="s">
        <v>5300</v>
      </c>
      <c r="G3454" s="80" t="s">
        <v>96</v>
      </c>
      <c r="H3454" s="90">
        <v>5.01E-5</v>
      </c>
      <c r="I3454" s="45"/>
      <c r="J3454" s="45"/>
      <c r="K3454" s="45"/>
      <c r="L3454" s="45"/>
      <c r="M3454" s="45"/>
      <c r="N3454" s="45"/>
      <c r="O3454" s="45"/>
      <c r="P3454" s="45"/>
      <c r="Q3454" s="45"/>
      <c r="R3454" s="45"/>
      <c r="S3454" s="45"/>
      <c r="T3454" s="45"/>
      <c r="U3454" s="45"/>
    </row>
    <row r="3455">
      <c r="A3455" s="79" t="s">
        <v>21987</v>
      </c>
      <c r="B3455" s="45"/>
      <c r="C3455" s="79" t="s">
        <v>21988</v>
      </c>
      <c r="D3455" s="45"/>
      <c r="E3455" s="79" t="s">
        <v>5341</v>
      </c>
      <c r="F3455" s="79" t="s">
        <v>5300</v>
      </c>
      <c r="G3455" s="80" t="s">
        <v>96</v>
      </c>
      <c r="H3455" s="90">
        <v>5.01E-5</v>
      </c>
      <c r="I3455" s="45"/>
      <c r="J3455" s="45"/>
      <c r="K3455" s="45"/>
      <c r="L3455" s="45"/>
      <c r="M3455" s="45"/>
      <c r="N3455" s="45"/>
      <c r="O3455" s="45"/>
      <c r="P3455" s="45"/>
      <c r="Q3455" s="45"/>
      <c r="R3455" s="45"/>
      <c r="S3455" s="45"/>
      <c r="T3455" s="45"/>
      <c r="U3455" s="45"/>
    </row>
    <row r="3456">
      <c r="A3456" s="79" t="s">
        <v>21989</v>
      </c>
      <c r="B3456" s="45"/>
      <c r="C3456" s="79" t="s">
        <v>21990</v>
      </c>
      <c r="D3456" s="45"/>
      <c r="E3456" s="79" t="s">
        <v>5855</v>
      </c>
      <c r="F3456" s="79" t="s">
        <v>5425</v>
      </c>
      <c r="G3456" s="80" t="s">
        <v>96</v>
      </c>
      <c r="H3456" s="90">
        <v>5.0E-5</v>
      </c>
      <c r="I3456" s="45"/>
      <c r="J3456" s="45"/>
      <c r="K3456" s="45"/>
      <c r="L3456" s="45"/>
      <c r="M3456" s="45"/>
      <c r="N3456" s="45"/>
      <c r="O3456" s="45"/>
      <c r="P3456" s="45"/>
      <c r="Q3456" s="45"/>
      <c r="R3456" s="45"/>
      <c r="S3456" s="45"/>
      <c r="T3456" s="45"/>
      <c r="U3456" s="45"/>
    </row>
    <row r="3457">
      <c r="A3457" s="79" t="s">
        <v>21991</v>
      </c>
      <c r="B3457" s="45"/>
      <c r="C3457" s="79" t="s">
        <v>21992</v>
      </c>
      <c r="D3457" s="45"/>
      <c r="E3457" s="79" t="s">
        <v>5401</v>
      </c>
      <c r="F3457" s="79" t="s">
        <v>5300</v>
      </c>
      <c r="G3457" s="80" t="s">
        <v>96</v>
      </c>
      <c r="H3457" s="90">
        <v>5.0E-5</v>
      </c>
      <c r="I3457" s="45"/>
      <c r="J3457" s="45"/>
      <c r="K3457" s="45"/>
      <c r="L3457" s="45"/>
      <c r="M3457" s="45"/>
      <c r="N3457" s="45"/>
      <c r="O3457" s="45"/>
      <c r="P3457" s="45"/>
      <c r="Q3457" s="45"/>
      <c r="R3457" s="45"/>
      <c r="S3457" s="45"/>
      <c r="T3457" s="45"/>
      <c r="U3457" s="45"/>
    </row>
    <row r="3458">
      <c r="A3458" s="79" t="s">
        <v>21993</v>
      </c>
      <c r="B3458" s="45"/>
      <c r="C3458" s="79" t="s">
        <v>21994</v>
      </c>
      <c r="D3458" s="45"/>
      <c r="E3458" s="79" t="s">
        <v>5238</v>
      </c>
      <c r="F3458" s="79" t="s">
        <v>8784</v>
      </c>
      <c r="G3458" s="80" t="s">
        <v>96</v>
      </c>
      <c r="H3458" s="90">
        <v>4.99E-5</v>
      </c>
      <c r="I3458" s="45"/>
      <c r="J3458" s="45"/>
      <c r="K3458" s="45"/>
      <c r="L3458" s="45"/>
      <c r="M3458" s="45"/>
      <c r="N3458" s="45"/>
      <c r="O3458" s="45"/>
      <c r="P3458" s="45"/>
      <c r="Q3458" s="45"/>
      <c r="R3458" s="45"/>
      <c r="S3458" s="45"/>
      <c r="T3458" s="45"/>
      <c r="U3458" s="45"/>
    </row>
    <row r="3459">
      <c r="A3459" s="79" t="s">
        <v>21995</v>
      </c>
      <c r="B3459" s="45"/>
      <c r="C3459" s="79" t="s">
        <v>21996</v>
      </c>
      <c r="D3459" s="45"/>
      <c r="E3459" s="79" t="s">
        <v>9221</v>
      </c>
      <c r="F3459" s="79" t="s">
        <v>8784</v>
      </c>
      <c r="G3459" s="80" t="s">
        <v>96</v>
      </c>
      <c r="H3459" s="90">
        <v>4.97E-5</v>
      </c>
      <c r="I3459" s="45"/>
      <c r="J3459" s="45"/>
      <c r="K3459" s="45"/>
      <c r="L3459" s="45"/>
      <c r="M3459" s="45"/>
      <c r="N3459" s="45"/>
      <c r="O3459" s="45"/>
      <c r="P3459" s="45"/>
      <c r="Q3459" s="45"/>
      <c r="R3459" s="45"/>
      <c r="S3459" s="45"/>
      <c r="T3459" s="45"/>
      <c r="U3459" s="45"/>
    </row>
    <row r="3460">
      <c r="A3460" s="79" t="s">
        <v>21997</v>
      </c>
      <c r="B3460" s="45"/>
      <c r="C3460" s="79" t="s">
        <v>21998</v>
      </c>
      <c r="D3460" s="45"/>
      <c r="E3460" s="79" t="s">
        <v>5407</v>
      </c>
      <c r="F3460" s="79" t="s">
        <v>4095</v>
      </c>
      <c r="G3460" s="80" t="s">
        <v>96</v>
      </c>
      <c r="H3460" s="90">
        <v>4.95E-5</v>
      </c>
      <c r="I3460" s="45"/>
      <c r="J3460" s="45"/>
      <c r="K3460" s="45"/>
      <c r="L3460" s="45"/>
      <c r="M3460" s="45"/>
      <c r="N3460" s="45"/>
      <c r="O3460" s="45"/>
      <c r="P3460" s="45"/>
      <c r="Q3460" s="45"/>
      <c r="R3460" s="45"/>
      <c r="S3460" s="45"/>
      <c r="T3460" s="45"/>
      <c r="U3460" s="45"/>
    </row>
    <row r="3461">
      <c r="A3461" s="79" t="s">
        <v>21999</v>
      </c>
      <c r="B3461" s="45"/>
      <c r="C3461" s="79" t="s">
        <v>22000</v>
      </c>
      <c r="D3461" s="45"/>
      <c r="E3461" s="79" t="s">
        <v>7360</v>
      </c>
      <c r="F3461" s="79" t="s">
        <v>8767</v>
      </c>
      <c r="G3461" s="80" t="s">
        <v>96</v>
      </c>
      <c r="H3461" s="90">
        <v>4.95E-5</v>
      </c>
      <c r="I3461" s="45"/>
      <c r="J3461" s="45"/>
      <c r="K3461" s="45"/>
      <c r="L3461" s="45"/>
      <c r="M3461" s="45"/>
      <c r="N3461" s="45"/>
      <c r="O3461" s="45"/>
      <c r="P3461" s="45"/>
      <c r="Q3461" s="45"/>
      <c r="R3461" s="45"/>
      <c r="S3461" s="45"/>
      <c r="T3461" s="45"/>
      <c r="U3461" s="45"/>
    </row>
    <row r="3462">
      <c r="A3462" s="79" t="s">
        <v>10368</v>
      </c>
      <c r="B3462" s="45"/>
      <c r="C3462" s="79" t="s">
        <v>22001</v>
      </c>
      <c r="D3462" s="45"/>
      <c r="E3462" s="79" t="s">
        <v>5390</v>
      </c>
      <c r="F3462" s="79" t="s">
        <v>8784</v>
      </c>
      <c r="G3462" s="80" t="s">
        <v>96</v>
      </c>
      <c r="H3462" s="90">
        <v>4.95E-5</v>
      </c>
      <c r="I3462" s="45"/>
      <c r="J3462" s="45"/>
      <c r="K3462" s="45"/>
      <c r="L3462" s="45"/>
      <c r="M3462" s="45"/>
      <c r="N3462" s="45"/>
      <c r="O3462" s="45"/>
      <c r="P3462" s="45"/>
      <c r="Q3462" s="45"/>
      <c r="R3462" s="45"/>
      <c r="S3462" s="45"/>
      <c r="T3462" s="45"/>
      <c r="U3462" s="45"/>
    </row>
    <row r="3463">
      <c r="A3463" s="79" t="s">
        <v>22002</v>
      </c>
      <c r="B3463" s="45"/>
      <c r="C3463" s="79" t="s">
        <v>22003</v>
      </c>
      <c r="D3463" s="45"/>
      <c r="E3463" s="79" t="s">
        <v>5561</v>
      </c>
      <c r="F3463" s="79" t="s">
        <v>5300</v>
      </c>
      <c r="G3463" s="80" t="s">
        <v>96</v>
      </c>
      <c r="H3463" s="90">
        <v>4.95E-5</v>
      </c>
      <c r="I3463" s="45"/>
      <c r="J3463" s="45"/>
      <c r="K3463" s="45"/>
      <c r="L3463" s="45"/>
      <c r="M3463" s="45"/>
      <c r="N3463" s="45"/>
      <c r="O3463" s="45"/>
      <c r="P3463" s="45"/>
      <c r="Q3463" s="45"/>
      <c r="R3463" s="45"/>
      <c r="S3463" s="45"/>
      <c r="T3463" s="45"/>
      <c r="U3463" s="45"/>
    </row>
    <row r="3464">
      <c r="A3464" s="79" t="s">
        <v>22004</v>
      </c>
      <c r="B3464" s="45"/>
      <c r="C3464" s="79" t="s">
        <v>22005</v>
      </c>
      <c r="D3464" s="45"/>
      <c r="E3464" s="79" t="s">
        <v>7360</v>
      </c>
      <c r="F3464" s="79" t="s">
        <v>9299</v>
      </c>
      <c r="G3464" s="80" t="s">
        <v>96</v>
      </c>
      <c r="H3464" s="90">
        <v>4.94E-5</v>
      </c>
      <c r="I3464" s="45"/>
      <c r="J3464" s="45"/>
      <c r="K3464" s="45"/>
      <c r="L3464" s="45"/>
      <c r="M3464" s="45"/>
      <c r="N3464" s="45"/>
      <c r="O3464" s="45"/>
      <c r="P3464" s="45"/>
      <c r="Q3464" s="45"/>
      <c r="R3464" s="45"/>
      <c r="S3464" s="45"/>
      <c r="T3464" s="45"/>
      <c r="U3464" s="45"/>
    </row>
    <row r="3465">
      <c r="A3465" s="79" t="s">
        <v>22006</v>
      </c>
      <c r="B3465" s="45"/>
      <c r="C3465" s="79" t="s">
        <v>22007</v>
      </c>
      <c r="D3465" s="45"/>
      <c r="E3465" s="79" t="s">
        <v>5241</v>
      </c>
      <c r="F3465" s="79" t="s">
        <v>8784</v>
      </c>
      <c r="G3465" s="80" t="s">
        <v>96</v>
      </c>
      <c r="H3465" s="90">
        <v>4.94E-5</v>
      </c>
      <c r="I3465" s="45"/>
      <c r="J3465" s="45"/>
      <c r="K3465" s="45"/>
      <c r="L3465" s="45"/>
      <c r="M3465" s="45"/>
      <c r="N3465" s="45"/>
      <c r="O3465" s="45"/>
      <c r="P3465" s="45"/>
      <c r="Q3465" s="45"/>
      <c r="R3465" s="45"/>
      <c r="S3465" s="45"/>
      <c r="T3465" s="45"/>
      <c r="U3465" s="45"/>
    </row>
    <row r="3466">
      <c r="A3466" s="79" t="s">
        <v>22008</v>
      </c>
      <c r="B3466" s="45"/>
      <c r="C3466" s="79" t="s">
        <v>22009</v>
      </c>
      <c r="D3466" s="45"/>
      <c r="E3466" s="79" t="s">
        <v>5395</v>
      </c>
      <c r="F3466" s="79" t="s">
        <v>8784</v>
      </c>
      <c r="G3466" s="80" t="s">
        <v>96</v>
      </c>
      <c r="H3466" s="90">
        <v>4.94E-5</v>
      </c>
      <c r="I3466" s="45"/>
      <c r="J3466" s="45"/>
      <c r="K3466" s="45"/>
      <c r="L3466" s="45"/>
      <c r="M3466" s="45"/>
      <c r="N3466" s="45"/>
      <c r="O3466" s="45"/>
      <c r="P3466" s="45"/>
      <c r="Q3466" s="45"/>
      <c r="R3466" s="45"/>
      <c r="S3466" s="45"/>
      <c r="T3466" s="45"/>
      <c r="U3466" s="45"/>
    </row>
    <row r="3467">
      <c r="A3467" s="79" t="s">
        <v>22010</v>
      </c>
      <c r="B3467" s="45"/>
      <c r="C3467" s="79" t="s">
        <v>22011</v>
      </c>
      <c r="D3467" s="45"/>
      <c r="E3467" s="79" t="s">
        <v>9221</v>
      </c>
      <c r="F3467" s="79" t="s">
        <v>8784</v>
      </c>
      <c r="G3467" s="80" t="s">
        <v>96</v>
      </c>
      <c r="H3467" s="90">
        <v>4.94E-5</v>
      </c>
      <c r="I3467" s="45"/>
      <c r="J3467" s="45"/>
      <c r="K3467" s="45"/>
      <c r="L3467" s="45"/>
      <c r="M3467" s="45"/>
      <c r="N3467" s="45"/>
      <c r="O3467" s="45"/>
      <c r="P3467" s="45"/>
      <c r="Q3467" s="45"/>
      <c r="R3467" s="45"/>
      <c r="S3467" s="45"/>
      <c r="T3467" s="45"/>
      <c r="U3467" s="45"/>
    </row>
    <row r="3468">
      <c r="A3468" s="79" t="s">
        <v>22012</v>
      </c>
      <c r="B3468" s="45"/>
      <c r="C3468" s="79" t="s">
        <v>22013</v>
      </c>
      <c r="D3468" s="45"/>
      <c r="E3468" s="79" t="s">
        <v>5296</v>
      </c>
      <c r="F3468" s="79" t="s">
        <v>6220</v>
      </c>
      <c r="G3468" s="80" t="s">
        <v>96</v>
      </c>
      <c r="H3468" s="90">
        <v>4.93E-5</v>
      </c>
      <c r="I3468" s="45"/>
      <c r="J3468" s="45"/>
      <c r="K3468" s="45"/>
      <c r="L3468" s="45"/>
      <c r="M3468" s="45"/>
      <c r="N3468" s="45"/>
      <c r="O3468" s="45"/>
      <c r="P3468" s="45"/>
      <c r="Q3468" s="45"/>
      <c r="R3468" s="45"/>
      <c r="S3468" s="45"/>
      <c r="T3468" s="45"/>
      <c r="U3468" s="45"/>
    </row>
    <row r="3469">
      <c r="A3469" s="79" t="s">
        <v>22014</v>
      </c>
      <c r="B3469" s="45"/>
      <c r="C3469" s="79" t="s">
        <v>22015</v>
      </c>
      <c r="D3469" s="45"/>
      <c r="E3469" s="79" t="s">
        <v>5561</v>
      </c>
      <c r="F3469" s="79" t="s">
        <v>9513</v>
      </c>
      <c r="G3469" s="80" t="s">
        <v>96</v>
      </c>
      <c r="H3469" s="90">
        <v>4.93E-5</v>
      </c>
      <c r="I3469" s="45"/>
      <c r="J3469" s="45"/>
      <c r="K3469" s="45"/>
      <c r="L3469" s="45"/>
      <c r="M3469" s="45"/>
      <c r="N3469" s="45"/>
      <c r="O3469" s="45"/>
      <c r="P3469" s="45"/>
      <c r="Q3469" s="45"/>
      <c r="R3469" s="45"/>
      <c r="S3469" s="45"/>
      <c r="T3469" s="45"/>
      <c r="U3469" s="45"/>
    </row>
    <row r="3470">
      <c r="A3470" s="79" t="s">
        <v>22016</v>
      </c>
      <c r="B3470" s="45"/>
      <c r="C3470" s="79" t="s">
        <v>22017</v>
      </c>
      <c r="D3470" s="45"/>
      <c r="E3470" s="79" t="s">
        <v>9189</v>
      </c>
      <c r="F3470" s="79" t="s">
        <v>5747</v>
      </c>
      <c r="G3470" s="80" t="s">
        <v>96</v>
      </c>
      <c r="H3470" s="90">
        <v>4.92E-5</v>
      </c>
      <c r="I3470" s="45"/>
      <c r="J3470" s="45"/>
      <c r="K3470" s="45"/>
      <c r="L3470" s="45"/>
      <c r="M3470" s="45"/>
      <c r="N3470" s="45"/>
      <c r="O3470" s="45"/>
      <c r="P3470" s="45"/>
      <c r="Q3470" s="45"/>
      <c r="R3470" s="45"/>
      <c r="S3470" s="45"/>
      <c r="T3470" s="45"/>
      <c r="U3470" s="45"/>
    </row>
    <row r="3471">
      <c r="A3471" s="79" t="s">
        <v>22018</v>
      </c>
      <c r="B3471" s="45"/>
      <c r="C3471" s="79" t="s">
        <v>22019</v>
      </c>
      <c r="D3471" s="45"/>
      <c r="E3471" s="79" t="s">
        <v>5450</v>
      </c>
      <c r="F3471" s="79" t="s">
        <v>8784</v>
      </c>
      <c r="G3471" s="80" t="s">
        <v>96</v>
      </c>
      <c r="H3471" s="90">
        <v>4.92E-5</v>
      </c>
      <c r="I3471" s="45"/>
      <c r="J3471" s="45"/>
      <c r="K3471" s="45"/>
      <c r="L3471" s="45"/>
      <c r="M3471" s="45"/>
      <c r="N3471" s="45"/>
      <c r="O3471" s="45"/>
      <c r="P3471" s="45"/>
      <c r="Q3471" s="45"/>
      <c r="R3471" s="45"/>
      <c r="S3471" s="45"/>
      <c r="T3471" s="45"/>
      <c r="U3471" s="45"/>
    </row>
    <row r="3472">
      <c r="A3472" s="79" t="s">
        <v>22020</v>
      </c>
      <c r="B3472" s="45"/>
      <c r="C3472" s="79" t="s">
        <v>22021</v>
      </c>
      <c r="D3472" s="45"/>
      <c r="E3472" s="79" t="s">
        <v>5321</v>
      </c>
      <c r="F3472" s="79" t="s">
        <v>8784</v>
      </c>
      <c r="G3472" s="80" t="s">
        <v>96</v>
      </c>
      <c r="H3472" s="90">
        <v>4.92E-5</v>
      </c>
      <c r="I3472" s="45"/>
      <c r="J3472" s="45"/>
      <c r="K3472" s="45"/>
      <c r="L3472" s="45"/>
      <c r="M3472" s="45"/>
      <c r="N3472" s="45"/>
      <c r="O3472" s="45"/>
      <c r="P3472" s="45"/>
      <c r="Q3472" s="45"/>
      <c r="R3472" s="45"/>
      <c r="S3472" s="45"/>
      <c r="T3472" s="45"/>
      <c r="U3472" s="45"/>
    </row>
    <row r="3473">
      <c r="A3473" s="79" t="s">
        <v>6850</v>
      </c>
      <c r="B3473" s="45"/>
      <c r="C3473" s="79" t="s">
        <v>22022</v>
      </c>
      <c r="D3473" s="45"/>
      <c r="E3473" s="79" t="s">
        <v>5241</v>
      </c>
      <c r="F3473" s="79" t="s">
        <v>8784</v>
      </c>
      <c r="G3473" s="80" t="s">
        <v>96</v>
      </c>
      <c r="H3473" s="90">
        <v>4.91E-5</v>
      </c>
      <c r="I3473" s="45"/>
      <c r="J3473" s="45"/>
      <c r="K3473" s="45"/>
      <c r="L3473" s="45"/>
      <c r="M3473" s="45"/>
      <c r="N3473" s="45"/>
      <c r="O3473" s="45"/>
      <c r="P3473" s="45"/>
      <c r="Q3473" s="45"/>
      <c r="R3473" s="45"/>
      <c r="S3473" s="45"/>
      <c r="T3473" s="45"/>
      <c r="U3473" s="45"/>
    </row>
    <row r="3474">
      <c r="A3474" s="79" t="s">
        <v>22023</v>
      </c>
      <c r="B3474" s="45"/>
      <c r="C3474" s="79" t="s">
        <v>22024</v>
      </c>
      <c r="D3474" s="45"/>
      <c r="E3474" s="79" t="s">
        <v>5229</v>
      </c>
      <c r="F3474" s="79" t="s">
        <v>8759</v>
      </c>
      <c r="G3474" s="80" t="s">
        <v>96</v>
      </c>
      <c r="H3474" s="90">
        <v>4.91E-5</v>
      </c>
      <c r="I3474" s="45"/>
      <c r="J3474" s="45"/>
      <c r="K3474" s="45"/>
      <c r="L3474" s="45"/>
      <c r="M3474" s="45"/>
      <c r="N3474" s="45"/>
      <c r="O3474" s="45"/>
      <c r="P3474" s="45"/>
      <c r="Q3474" s="45"/>
      <c r="R3474" s="45"/>
      <c r="S3474" s="45"/>
      <c r="T3474" s="45"/>
      <c r="U3474" s="45"/>
    </row>
    <row r="3475">
      <c r="A3475" s="79" t="s">
        <v>22025</v>
      </c>
      <c r="B3475" s="45"/>
      <c r="C3475" s="79" t="s">
        <v>22026</v>
      </c>
      <c r="D3475" s="45"/>
      <c r="E3475" s="79" t="s">
        <v>5291</v>
      </c>
      <c r="F3475" s="79" t="s">
        <v>6220</v>
      </c>
      <c r="G3475" s="80" t="s">
        <v>96</v>
      </c>
      <c r="H3475" s="90">
        <v>4.91E-5</v>
      </c>
      <c r="I3475" s="45"/>
      <c r="J3475" s="45"/>
      <c r="K3475" s="45"/>
      <c r="L3475" s="45"/>
      <c r="M3475" s="45"/>
      <c r="N3475" s="45"/>
      <c r="O3475" s="45"/>
      <c r="P3475" s="45"/>
      <c r="Q3475" s="45"/>
      <c r="R3475" s="45"/>
      <c r="S3475" s="45"/>
      <c r="T3475" s="45"/>
      <c r="U3475" s="45"/>
    </row>
    <row r="3476">
      <c r="A3476" s="79" t="s">
        <v>22027</v>
      </c>
      <c r="B3476" s="45"/>
      <c r="C3476" s="79" t="s">
        <v>22028</v>
      </c>
      <c r="D3476" s="45"/>
      <c r="E3476" s="79" t="s">
        <v>5215</v>
      </c>
      <c r="F3476" s="79" t="s">
        <v>5300</v>
      </c>
      <c r="G3476" s="80" t="s">
        <v>96</v>
      </c>
      <c r="H3476" s="90">
        <v>4.9E-5</v>
      </c>
      <c r="I3476" s="45"/>
      <c r="J3476" s="45"/>
      <c r="K3476" s="45"/>
      <c r="L3476" s="45"/>
      <c r="M3476" s="45"/>
      <c r="N3476" s="45"/>
      <c r="O3476" s="45"/>
      <c r="P3476" s="45"/>
      <c r="Q3476" s="45"/>
      <c r="R3476" s="45"/>
      <c r="S3476" s="45"/>
      <c r="T3476" s="45"/>
      <c r="U3476" s="45"/>
    </row>
    <row r="3477">
      <c r="A3477" s="79" t="s">
        <v>22029</v>
      </c>
      <c r="B3477" s="45"/>
      <c r="C3477" s="79" t="s">
        <v>22030</v>
      </c>
      <c r="D3477" s="45"/>
      <c r="E3477" s="79" t="s">
        <v>5407</v>
      </c>
      <c r="F3477" s="79" t="s">
        <v>8784</v>
      </c>
      <c r="G3477" s="80" t="s">
        <v>96</v>
      </c>
      <c r="H3477" s="90">
        <v>4.9E-5</v>
      </c>
      <c r="I3477" s="45"/>
      <c r="J3477" s="45"/>
      <c r="K3477" s="45"/>
      <c r="L3477" s="45"/>
      <c r="M3477" s="45"/>
      <c r="N3477" s="45"/>
      <c r="O3477" s="45"/>
      <c r="P3477" s="45"/>
      <c r="Q3477" s="45"/>
      <c r="R3477" s="45"/>
      <c r="S3477" s="45"/>
      <c r="T3477" s="45"/>
      <c r="U3477" s="45"/>
    </row>
    <row r="3478">
      <c r="A3478" s="79" t="s">
        <v>22031</v>
      </c>
      <c r="B3478" s="45"/>
      <c r="C3478" s="79" t="s">
        <v>22032</v>
      </c>
      <c r="D3478" s="45"/>
      <c r="E3478" s="79" t="s">
        <v>5811</v>
      </c>
      <c r="F3478" s="79" t="s">
        <v>8784</v>
      </c>
      <c r="G3478" s="80" t="s">
        <v>96</v>
      </c>
      <c r="H3478" s="90">
        <v>4.88E-5</v>
      </c>
      <c r="I3478" s="45"/>
      <c r="J3478" s="45"/>
      <c r="K3478" s="45"/>
      <c r="L3478" s="45"/>
      <c r="M3478" s="45"/>
      <c r="N3478" s="45"/>
      <c r="O3478" s="45"/>
      <c r="P3478" s="45"/>
      <c r="Q3478" s="45"/>
      <c r="R3478" s="45"/>
      <c r="S3478" s="45"/>
      <c r="T3478" s="45"/>
      <c r="U3478" s="45"/>
    </row>
    <row r="3479">
      <c r="A3479" s="79" t="s">
        <v>22033</v>
      </c>
      <c r="B3479" s="45"/>
      <c r="C3479" s="79" t="s">
        <v>22034</v>
      </c>
      <c r="D3479" s="45"/>
      <c r="E3479" s="79" t="s">
        <v>5650</v>
      </c>
      <c r="F3479" s="79" t="s">
        <v>8784</v>
      </c>
      <c r="G3479" s="80" t="s">
        <v>96</v>
      </c>
      <c r="H3479" s="90">
        <v>4.86E-5</v>
      </c>
      <c r="I3479" s="45"/>
      <c r="J3479" s="45"/>
      <c r="K3479" s="45"/>
      <c r="L3479" s="45"/>
      <c r="M3479" s="45"/>
      <c r="N3479" s="45"/>
      <c r="O3479" s="45"/>
      <c r="P3479" s="45"/>
      <c r="Q3479" s="45"/>
      <c r="R3479" s="45"/>
      <c r="S3479" s="45"/>
      <c r="T3479" s="45"/>
      <c r="U3479" s="45"/>
    </row>
    <row r="3480">
      <c r="A3480" s="79" t="s">
        <v>22035</v>
      </c>
      <c r="B3480" s="45"/>
      <c r="C3480" s="79" t="s">
        <v>22036</v>
      </c>
      <c r="D3480" s="45"/>
      <c r="E3480" s="79" t="s">
        <v>5404</v>
      </c>
      <c r="F3480" s="79" t="s">
        <v>8784</v>
      </c>
      <c r="G3480" s="80" t="s">
        <v>96</v>
      </c>
      <c r="H3480" s="90">
        <v>4.86E-5</v>
      </c>
      <c r="I3480" s="45"/>
      <c r="J3480" s="45"/>
      <c r="K3480" s="45"/>
      <c r="L3480" s="45"/>
      <c r="M3480" s="45"/>
      <c r="N3480" s="45"/>
      <c r="O3480" s="45"/>
      <c r="P3480" s="45"/>
      <c r="Q3480" s="45"/>
      <c r="R3480" s="45"/>
      <c r="S3480" s="45"/>
      <c r="T3480" s="45"/>
      <c r="U3480" s="45"/>
    </row>
    <row r="3481">
      <c r="A3481" s="79" t="s">
        <v>22037</v>
      </c>
      <c r="B3481" s="45"/>
      <c r="C3481" s="79" t="s">
        <v>22038</v>
      </c>
      <c r="D3481" s="45"/>
      <c r="E3481" s="79" t="s">
        <v>7169</v>
      </c>
      <c r="F3481" s="79" t="s">
        <v>8767</v>
      </c>
      <c r="G3481" s="80" t="s">
        <v>96</v>
      </c>
      <c r="H3481" s="90">
        <v>4.86E-5</v>
      </c>
      <c r="I3481" s="45"/>
      <c r="J3481" s="45"/>
      <c r="K3481" s="45"/>
      <c r="L3481" s="45"/>
      <c r="M3481" s="45"/>
      <c r="N3481" s="45"/>
      <c r="O3481" s="45"/>
      <c r="P3481" s="45"/>
      <c r="Q3481" s="45"/>
      <c r="R3481" s="45"/>
      <c r="S3481" s="45"/>
      <c r="T3481" s="45"/>
      <c r="U3481" s="45"/>
    </row>
    <row r="3482">
      <c r="A3482" s="79" t="s">
        <v>22039</v>
      </c>
      <c r="B3482" s="45"/>
      <c r="C3482" s="79" t="s">
        <v>22040</v>
      </c>
      <c r="D3482" s="45"/>
      <c r="E3482" s="79" t="s">
        <v>9189</v>
      </c>
      <c r="F3482" s="79" t="s">
        <v>8784</v>
      </c>
      <c r="G3482" s="80" t="s">
        <v>96</v>
      </c>
      <c r="H3482" s="90">
        <v>4.84E-5</v>
      </c>
      <c r="I3482" s="45"/>
      <c r="J3482" s="45"/>
      <c r="K3482" s="45"/>
      <c r="L3482" s="45"/>
      <c r="M3482" s="45"/>
      <c r="N3482" s="45"/>
      <c r="O3482" s="45"/>
      <c r="P3482" s="45"/>
      <c r="Q3482" s="45"/>
      <c r="R3482" s="45"/>
      <c r="S3482" s="45"/>
      <c r="T3482" s="45"/>
      <c r="U3482" s="45"/>
    </row>
    <row r="3483">
      <c r="A3483" s="79" t="s">
        <v>22041</v>
      </c>
      <c r="B3483" s="45"/>
      <c r="C3483" s="79" t="s">
        <v>22042</v>
      </c>
      <c r="D3483" s="45"/>
      <c r="E3483" s="79" t="s">
        <v>8648</v>
      </c>
      <c r="F3483" s="79" t="s">
        <v>4436</v>
      </c>
      <c r="G3483" s="80" t="s">
        <v>96</v>
      </c>
      <c r="H3483" s="90">
        <v>4.82E-5</v>
      </c>
      <c r="I3483" s="45"/>
      <c r="J3483" s="45"/>
      <c r="K3483" s="45"/>
      <c r="L3483" s="45"/>
      <c r="M3483" s="45"/>
      <c r="N3483" s="45"/>
      <c r="O3483" s="45"/>
      <c r="P3483" s="45"/>
      <c r="Q3483" s="45"/>
      <c r="R3483" s="45"/>
      <c r="S3483" s="45"/>
      <c r="T3483" s="45"/>
      <c r="U3483" s="45"/>
    </row>
    <row r="3484">
      <c r="A3484" s="79" t="s">
        <v>22043</v>
      </c>
      <c r="B3484" s="45"/>
      <c r="C3484" s="79" t="s">
        <v>22044</v>
      </c>
      <c r="D3484" s="45"/>
      <c r="E3484" s="79" t="s">
        <v>5374</v>
      </c>
      <c r="F3484" s="79" t="s">
        <v>8784</v>
      </c>
      <c r="G3484" s="80" t="s">
        <v>96</v>
      </c>
      <c r="H3484" s="90">
        <v>4.82E-5</v>
      </c>
      <c r="I3484" s="45"/>
      <c r="J3484" s="45"/>
      <c r="K3484" s="45"/>
      <c r="L3484" s="45"/>
      <c r="M3484" s="45"/>
      <c r="N3484" s="45"/>
      <c r="O3484" s="45"/>
      <c r="P3484" s="45"/>
      <c r="Q3484" s="45"/>
      <c r="R3484" s="45"/>
      <c r="S3484" s="45"/>
      <c r="T3484" s="45"/>
      <c r="U3484" s="45"/>
    </row>
    <row r="3485">
      <c r="A3485" s="79" t="s">
        <v>22045</v>
      </c>
      <c r="B3485" s="45"/>
      <c r="C3485" s="79" t="s">
        <v>22046</v>
      </c>
      <c r="D3485" s="45"/>
      <c r="E3485" s="79" t="s">
        <v>5561</v>
      </c>
      <c r="F3485" s="79" t="s">
        <v>8784</v>
      </c>
      <c r="G3485" s="80" t="s">
        <v>96</v>
      </c>
      <c r="H3485" s="90">
        <v>4.81E-5</v>
      </c>
      <c r="I3485" s="45"/>
      <c r="J3485" s="45"/>
      <c r="K3485" s="45"/>
      <c r="L3485" s="45"/>
      <c r="M3485" s="45"/>
      <c r="N3485" s="45"/>
      <c r="O3485" s="45"/>
      <c r="P3485" s="45"/>
      <c r="Q3485" s="45"/>
      <c r="R3485" s="45"/>
      <c r="S3485" s="45"/>
      <c r="T3485" s="45"/>
      <c r="U3485" s="45"/>
    </row>
    <row r="3486">
      <c r="A3486" s="79" t="s">
        <v>22047</v>
      </c>
      <c r="B3486" s="45"/>
      <c r="C3486" s="79" t="s">
        <v>22048</v>
      </c>
      <c r="D3486" s="45"/>
      <c r="E3486" s="79" t="s">
        <v>5434</v>
      </c>
      <c r="F3486" s="79" t="s">
        <v>8784</v>
      </c>
      <c r="G3486" s="80" t="s">
        <v>96</v>
      </c>
      <c r="H3486" s="90">
        <v>4.8E-5</v>
      </c>
      <c r="I3486" s="45"/>
      <c r="J3486" s="45"/>
      <c r="K3486" s="45"/>
      <c r="L3486" s="45"/>
      <c r="M3486" s="45"/>
      <c r="N3486" s="45"/>
      <c r="O3486" s="45"/>
      <c r="P3486" s="45"/>
      <c r="Q3486" s="45"/>
      <c r="R3486" s="45"/>
      <c r="S3486" s="45"/>
      <c r="T3486" s="45"/>
      <c r="U3486" s="45"/>
    </row>
    <row r="3487">
      <c r="A3487" s="79" t="s">
        <v>22049</v>
      </c>
      <c r="B3487" s="45"/>
      <c r="C3487" s="79" t="s">
        <v>22050</v>
      </c>
      <c r="D3487" s="45"/>
      <c r="E3487" s="79" t="s">
        <v>5501</v>
      </c>
      <c r="F3487" s="79" t="s">
        <v>9021</v>
      </c>
      <c r="G3487" s="80" t="s">
        <v>96</v>
      </c>
      <c r="H3487" s="90">
        <v>4.8E-5</v>
      </c>
      <c r="I3487" s="45"/>
      <c r="J3487" s="45"/>
      <c r="K3487" s="45"/>
      <c r="L3487" s="45"/>
      <c r="M3487" s="45"/>
      <c r="N3487" s="45"/>
      <c r="O3487" s="45"/>
      <c r="P3487" s="45"/>
      <c r="Q3487" s="45"/>
      <c r="R3487" s="45"/>
      <c r="S3487" s="45"/>
      <c r="T3487" s="45"/>
      <c r="U3487" s="45"/>
    </row>
    <row r="3488">
      <c r="A3488" s="79" t="s">
        <v>22051</v>
      </c>
      <c r="B3488" s="45"/>
      <c r="C3488" s="79" t="s">
        <v>22052</v>
      </c>
      <c r="D3488" s="45"/>
      <c r="E3488" s="79" t="s">
        <v>5211</v>
      </c>
      <c r="F3488" s="79" t="s">
        <v>5425</v>
      </c>
      <c r="G3488" s="80" t="s">
        <v>96</v>
      </c>
      <c r="H3488" s="90">
        <v>4.79E-5</v>
      </c>
      <c r="I3488" s="45"/>
      <c r="J3488" s="45"/>
      <c r="K3488" s="45"/>
      <c r="L3488" s="45"/>
      <c r="M3488" s="45"/>
      <c r="N3488" s="45"/>
      <c r="O3488" s="45"/>
      <c r="P3488" s="45"/>
      <c r="Q3488" s="45"/>
      <c r="R3488" s="45"/>
      <c r="S3488" s="45"/>
      <c r="T3488" s="45"/>
      <c r="U3488" s="45"/>
    </row>
    <row r="3489">
      <c r="A3489" s="79" t="s">
        <v>22053</v>
      </c>
      <c r="B3489" s="45"/>
      <c r="C3489" s="79" t="s">
        <v>22054</v>
      </c>
      <c r="D3489" s="45"/>
      <c r="E3489" s="79" t="s">
        <v>5478</v>
      </c>
      <c r="F3489" s="79" t="s">
        <v>5300</v>
      </c>
      <c r="G3489" s="80" t="s">
        <v>96</v>
      </c>
      <c r="H3489" s="90">
        <v>4.79E-5</v>
      </c>
      <c r="I3489" s="45"/>
      <c r="J3489" s="45"/>
      <c r="K3489" s="45"/>
      <c r="L3489" s="45"/>
      <c r="M3489" s="45"/>
      <c r="N3489" s="45"/>
      <c r="O3489" s="45"/>
      <c r="P3489" s="45"/>
      <c r="Q3489" s="45"/>
      <c r="R3489" s="45"/>
      <c r="S3489" s="45"/>
      <c r="T3489" s="45"/>
      <c r="U3489" s="45"/>
    </row>
    <row r="3490">
      <c r="A3490" s="79" t="s">
        <v>22055</v>
      </c>
      <c r="B3490" s="45"/>
      <c r="C3490" s="79" t="s">
        <v>22056</v>
      </c>
      <c r="D3490" s="45"/>
      <c r="E3490" s="79" t="s">
        <v>8951</v>
      </c>
      <c r="F3490" s="79" t="s">
        <v>4357</v>
      </c>
      <c r="G3490" s="80" t="s">
        <v>96</v>
      </c>
      <c r="H3490" s="90">
        <v>4.78E-5</v>
      </c>
      <c r="I3490" s="45"/>
      <c r="J3490" s="45"/>
      <c r="K3490" s="45"/>
      <c r="L3490" s="45"/>
      <c r="M3490" s="45"/>
      <c r="N3490" s="45"/>
      <c r="O3490" s="45"/>
      <c r="P3490" s="45"/>
      <c r="Q3490" s="45"/>
      <c r="R3490" s="45"/>
      <c r="S3490" s="45"/>
      <c r="T3490" s="45"/>
      <c r="U3490" s="45"/>
    </row>
    <row r="3491">
      <c r="A3491" s="79" t="s">
        <v>22057</v>
      </c>
      <c r="B3491" s="45"/>
      <c r="C3491" s="79" t="s">
        <v>22058</v>
      </c>
      <c r="D3491" s="45"/>
      <c r="E3491" s="79" t="s">
        <v>5808</v>
      </c>
      <c r="F3491" s="79" t="s">
        <v>5300</v>
      </c>
      <c r="G3491" s="80" t="s">
        <v>96</v>
      </c>
      <c r="H3491" s="90">
        <v>4.77E-5</v>
      </c>
      <c r="I3491" s="45"/>
      <c r="J3491" s="45"/>
      <c r="K3491" s="45"/>
      <c r="L3491" s="45"/>
      <c r="M3491" s="45"/>
      <c r="N3491" s="45"/>
      <c r="O3491" s="45"/>
      <c r="P3491" s="45"/>
      <c r="Q3491" s="45"/>
      <c r="R3491" s="45"/>
      <c r="S3491" s="45"/>
      <c r="T3491" s="45"/>
      <c r="U3491" s="45"/>
    </row>
    <row r="3492">
      <c r="A3492" s="79" t="s">
        <v>5236</v>
      </c>
      <c r="B3492" s="45"/>
      <c r="C3492" s="79" t="s">
        <v>22059</v>
      </c>
      <c r="D3492" s="45"/>
      <c r="E3492" s="79" t="s">
        <v>5235</v>
      </c>
      <c r="F3492" s="79" t="s">
        <v>5300</v>
      </c>
      <c r="G3492" s="80" t="s">
        <v>96</v>
      </c>
      <c r="H3492" s="90">
        <v>4.77E-5</v>
      </c>
      <c r="I3492" s="45"/>
      <c r="J3492" s="45"/>
      <c r="K3492" s="45"/>
      <c r="L3492" s="45"/>
      <c r="M3492" s="45"/>
      <c r="N3492" s="45"/>
      <c r="O3492" s="45"/>
      <c r="P3492" s="45"/>
      <c r="Q3492" s="45"/>
      <c r="R3492" s="45"/>
      <c r="S3492" s="45"/>
      <c r="T3492" s="45"/>
      <c r="U3492" s="45"/>
    </row>
    <row r="3493">
      <c r="A3493" s="79" t="s">
        <v>22060</v>
      </c>
      <c r="B3493" s="45"/>
      <c r="C3493" s="79" t="s">
        <v>22061</v>
      </c>
      <c r="D3493" s="45"/>
      <c r="E3493" s="79" t="s">
        <v>5407</v>
      </c>
      <c r="F3493" s="79" t="s">
        <v>5836</v>
      </c>
      <c r="G3493" s="80" t="s">
        <v>96</v>
      </c>
      <c r="H3493" s="90">
        <v>4.77E-5</v>
      </c>
      <c r="I3493" s="45"/>
      <c r="J3493" s="45"/>
      <c r="K3493" s="45"/>
      <c r="L3493" s="45"/>
      <c r="M3493" s="45"/>
      <c r="N3493" s="45"/>
      <c r="O3493" s="45"/>
      <c r="P3493" s="45"/>
      <c r="Q3493" s="45"/>
      <c r="R3493" s="45"/>
      <c r="S3493" s="45"/>
      <c r="T3493" s="45"/>
      <c r="U3493" s="45"/>
    </row>
    <row r="3494">
      <c r="A3494" s="79" t="s">
        <v>22062</v>
      </c>
      <c r="B3494" s="45"/>
      <c r="C3494" s="79" t="s">
        <v>22063</v>
      </c>
      <c r="D3494" s="45"/>
      <c r="E3494" s="79" t="s">
        <v>5326</v>
      </c>
      <c r="F3494" s="79" t="s">
        <v>5300</v>
      </c>
      <c r="G3494" s="80" t="s">
        <v>96</v>
      </c>
      <c r="H3494" s="90">
        <v>4.76E-5</v>
      </c>
      <c r="I3494" s="45"/>
      <c r="J3494" s="45"/>
      <c r="K3494" s="45"/>
      <c r="L3494" s="45"/>
      <c r="M3494" s="45"/>
      <c r="N3494" s="45"/>
      <c r="O3494" s="45"/>
      <c r="P3494" s="45"/>
      <c r="Q3494" s="45"/>
      <c r="R3494" s="45"/>
      <c r="S3494" s="45"/>
      <c r="T3494" s="45"/>
      <c r="U3494" s="45"/>
    </row>
    <row r="3495">
      <c r="A3495" s="79" t="s">
        <v>22064</v>
      </c>
      <c r="B3495" s="45"/>
      <c r="C3495" s="79" t="s">
        <v>22065</v>
      </c>
      <c r="D3495" s="45"/>
      <c r="E3495" s="79" t="s">
        <v>5478</v>
      </c>
      <c r="F3495" s="79" t="s">
        <v>5300</v>
      </c>
      <c r="G3495" s="80" t="s">
        <v>96</v>
      </c>
      <c r="H3495" s="90">
        <v>4.76E-5</v>
      </c>
      <c r="I3495" s="45"/>
      <c r="J3495" s="45"/>
      <c r="K3495" s="45"/>
      <c r="L3495" s="45"/>
      <c r="M3495" s="45"/>
      <c r="N3495" s="45"/>
      <c r="O3495" s="45"/>
      <c r="P3495" s="45"/>
      <c r="Q3495" s="45"/>
      <c r="R3495" s="45"/>
      <c r="S3495" s="45"/>
      <c r="T3495" s="45"/>
      <c r="U3495" s="45"/>
    </row>
    <row r="3496">
      <c r="A3496" s="79" t="s">
        <v>22066</v>
      </c>
      <c r="B3496" s="45"/>
      <c r="C3496" s="79" t="s">
        <v>22067</v>
      </c>
      <c r="D3496" s="45"/>
      <c r="E3496" s="79" t="s">
        <v>9478</v>
      </c>
      <c r="F3496" s="79" t="s">
        <v>8784</v>
      </c>
      <c r="G3496" s="80" t="s">
        <v>96</v>
      </c>
      <c r="H3496" s="90">
        <v>4.76E-5</v>
      </c>
      <c r="I3496" s="45"/>
      <c r="J3496" s="45"/>
      <c r="K3496" s="45"/>
      <c r="L3496" s="45"/>
      <c r="M3496" s="45"/>
      <c r="N3496" s="45"/>
      <c r="O3496" s="45"/>
      <c r="P3496" s="45"/>
      <c r="Q3496" s="45"/>
      <c r="R3496" s="45"/>
      <c r="S3496" s="45"/>
      <c r="T3496" s="45"/>
      <c r="U3496" s="45"/>
    </row>
    <row r="3497">
      <c r="A3497" s="79" t="s">
        <v>15505</v>
      </c>
      <c r="B3497" s="45"/>
      <c r="C3497" s="79" t="s">
        <v>22068</v>
      </c>
      <c r="D3497" s="45"/>
      <c r="E3497" s="79" t="s">
        <v>5341</v>
      </c>
      <c r="F3497" s="79" t="s">
        <v>6220</v>
      </c>
      <c r="G3497" s="80" t="s">
        <v>96</v>
      </c>
      <c r="H3497" s="90">
        <v>4.76E-5</v>
      </c>
      <c r="I3497" s="45"/>
      <c r="J3497" s="45"/>
      <c r="K3497" s="45"/>
      <c r="L3497" s="45"/>
      <c r="M3497" s="45"/>
      <c r="N3497" s="45"/>
      <c r="O3497" s="45"/>
      <c r="P3497" s="45"/>
      <c r="Q3497" s="45"/>
      <c r="R3497" s="45"/>
      <c r="S3497" s="45"/>
      <c r="T3497" s="45"/>
      <c r="U3497" s="45"/>
    </row>
    <row r="3498">
      <c r="A3498" s="79" t="s">
        <v>22069</v>
      </c>
      <c r="B3498" s="45"/>
      <c r="C3498" s="79" t="s">
        <v>22070</v>
      </c>
      <c r="D3498" s="45"/>
      <c r="E3498" s="79" t="s">
        <v>6801</v>
      </c>
      <c r="F3498" s="79" t="s">
        <v>8784</v>
      </c>
      <c r="G3498" s="80" t="s">
        <v>96</v>
      </c>
      <c r="H3498" s="90">
        <v>4.76E-5</v>
      </c>
      <c r="I3498" s="45"/>
      <c r="J3498" s="45"/>
      <c r="K3498" s="45"/>
      <c r="L3498" s="45"/>
      <c r="M3498" s="45"/>
      <c r="N3498" s="45"/>
      <c r="O3498" s="45"/>
      <c r="P3498" s="45"/>
      <c r="Q3498" s="45"/>
      <c r="R3498" s="45"/>
      <c r="S3498" s="45"/>
      <c r="T3498" s="45"/>
      <c r="U3498" s="45"/>
    </row>
    <row r="3499">
      <c r="A3499" s="79" t="s">
        <v>22071</v>
      </c>
      <c r="B3499" s="45"/>
      <c r="C3499" s="79" t="s">
        <v>22072</v>
      </c>
      <c r="D3499" s="45"/>
      <c r="E3499" s="79" t="s">
        <v>5335</v>
      </c>
      <c r="F3499" s="79" t="s">
        <v>9513</v>
      </c>
      <c r="G3499" s="80" t="s">
        <v>96</v>
      </c>
      <c r="H3499" s="90">
        <v>4.75E-5</v>
      </c>
      <c r="I3499" s="45"/>
      <c r="J3499" s="45"/>
      <c r="K3499" s="45"/>
      <c r="L3499" s="45"/>
      <c r="M3499" s="45"/>
      <c r="N3499" s="45"/>
      <c r="O3499" s="45"/>
      <c r="P3499" s="45"/>
      <c r="Q3499" s="45"/>
      <c r="R3499" s="45"/>
      <c r="S3499" s="45"/>
      <c r="T3499" s="45"/>
      <c r="U3499" s="45"/>
    </row>
    <row r="3500">
      <c r="A3500" s="79" t="s">
        <v>22073</v>
      </c>
      <c r="B3500" s="45"/>
      <c r="C3500" s="79" t="s">
        <v>22074</v>
      </c>
      <c r="D3500" s="45"/>
      <c r="E3500" s="79" t="s">
        <v>7251</v>
      </c>
      <c r="F3500" s="79" t="s">
        <v>8784</v>
      </c>
      <c r="G3500" s="80" t="s">
        <v>96</v>
      </c>
      <c r="H3500" s="90">
        <v>4.74E-5</v>
      </c>
      <c r="I3500" s="45"/>
      <c r="J3500" s="45"/>
      <c r="K3500" s="45"/>
      <c r="L3500" s="45"/>
      <c r="M3500" s="45"/>
      <c r="N3500" s="45"/>
      <c r="O3500" s="45"/>
      <c r="P3500" s="45"/>
      <c r="Q3500" s="45"/>
      <c r="R3500" s="45"/>
      <c r="S3500" s="45"/>
      <c r="T3500" s="45"/>
      <c r="U3500" s="45"/>
    </row>
    <row r="3501">
      <c r="A3501" s="79" t="s">
        <v>22075</v>
      </c>
      <c r="B3501" s="45"/>
      <c r="C3501" s="79" t="s">
        <v>22076</v>
      </c>
      <c r="D3501" s="45"/>
      <c r="E3501" s="79" t="s">
        <v>9937</v>
      </c>
      <c r="F3501" s="79" t="s">
        <v>8784</v>
      </c>
      <c r="G3501" s="80" t="s">
        <v>96</v>
      </c>
      <c r="H3501" s="90">
        <v>4.74E-5</v>
      </c>
      <c r="I3501" s="45"/>
      <c r="J3501" s="45"/>
      <c r="K3501" s="45"/>
      <c r="L3501" s="45"/>
      <c r="M3501" s="45"/>
      <c r="N3501" s="45"/>
      <c r="O3501" s="45"/>
      <c r="P3501" s="45"/>
      <c r="Q3501" s="45"/>
      <c r="R3501" s="45"/>
      <c r="S3501" s="45"/>
      <c r="T3501" s="45"/>
      <c r="U3501" s="45"/>
    </row>
    <row r="3502">
      <c r="A3502" s="79" t="s">
        <v>22077</v>
      </c>
      <c r="B3502" s="45"/>
      <c r="C3502" s="79" t="s">
        <v>22078</v>
      </c>
      <c r="D3502" s="45"/>
      <c r="E3502" s="79" t="s">
        <v>5395</v>
      </c>
      <c r="F3502" s="79" t="s">
        <v>8784</v>
      </c>
      <c r="G3502" s="80" t="s">
        <v>96</v>
      </c>
      <c r="H3502" s="90">
        <v>4.74E-5</v>
      </c>
      <c r="I3502" s="45"/>
      <c r="J3502" s="45"/>
      <c r="K3502" s="45"/>
      <c r="L3502" s="45"/>
      <c r="M3502" s="45"/>
      <c r="N3502" s="45"/>
      <c r="O3502" s="45"/>
      <c r="P3502" s="45"/>
      <c r="Q3502" s="45"/>
      <c r="R3502" s="45"/>
      <c r="S3502" s="45"/>
      <c r="T3502" s="45"/>
      <c r="U3502" s="45"/>
    </row>
    <row r="3503">
      <c r="A3503" s="79" t="s">
        <v>22079</v>
      </c>
      <c r="B3503" s="45"/>
      <c r="C3503" s="79" t="s">
        <v>22080</v>
      </c>
      <c r="D3503" s="45"/>
      <c r="E3503" s="79" t="s">
        <v>5459</v>
      </c>
      <c r="F3503" s="79" t="s">
        <v>8784</v>
      </c>
      <c r="G3503" s="80" t="s">
        <v>96</v>
      </c>
      <c r="H3503" s="90">
        <v>4.74E-5</v>
      </c>
      <c r="I3503" s="45"/>
      <c r="J3503" s="45"/>
      <c r="K3503" s="45"/>
      <c r="L3503" s="45"/>
      <c r="M3503" s="45"/>
      <c r="N3503" s="45"/>
      <c r="O3503" s="45"/>
      <c r="P3503" s="45"/>
      <c r="Q3503" s="45"/>
      <c r="R3503" s="45"/>
      <c r="S3503" s="45"/>
      <c r="T3503" s="45"/>
      <c r="U3503" s="45"/>
    </row>
    <row r="3504">
      <c r="A3504" s="79" t="s">
        <v>22081</v>
      </c>
      <c r="B3504" s="45"/>
      <c r="C3504" s="79" t="s">
        <v>22082</v>
      </c>
      <c r="D3504" s="45"/>
      <c r="E3504" s="79" t="s">
        <v>5348</v>
      </c>
      <c r="F3504" s="79" t="s">
        <v>8784</v>
      </c>
      <c r="G3504" s="80" t="s">
        <v>96</v>
      </c>
      <c r="H3504" s="90">
        <v>4.74E-5</v>
      </c>
      <c r="I3504" s="45"/>
      <c r="J3504" s="45"/>
      <c r="K3504" s="45"/>
      <c r="L3504" s="45"/>
      <c r="M3504" s="45"/>
      <c r="N3504" s="45"/>
      <c r="O3504" s="45"/>
      <c r="P3504" s="45"/>
      <c r="Q3504" s="45"/>
      <c r="R3504" s="45"/>
      <c r="S3504" s="45"/>
      <c r="T3504" s="45"/>
      <c r="U3504" s="45"/>
    </row>
    <row r="3505">
      <c r="A3505" s="79" t="s">
        <v>5601</v>
      </c>
      <c r="B3505" s="45"/>
      <c r="C3505" s="79" t="s">
        <v>22083</v>
      </c>
      <c r="D3505" s="45"/>
      <c r="E3505" s="79" t="s">
        <v>5218</v>
      </c>
      <c r="F3505" s="79" t="s">
        <v>5836</v>
      </c>
      <c r="G3505" s="80" t="s">
        <v>96</v>
      </c>
      <c r="H3505" s="90">
        <v>4.74E-5</v>
      </c>
      <c r="I3505" s="45"/>
      <c r="J3505" s="45"/>
      <c r="K3505" s="45"/>
      <c r="L3505" s="45"/>
      <c r="M3505" s="45"/>
      <c r="N3505" s="45"/>
      <c r="O3505" s="45"/>
      <c r="P3505" s="45"/>
      <c r="Q3505" s="45"/>
      <c r="R3505" s="45"/>
      <c r="S3505" s="45"/>
      <c r="T3505" s="45"/>
      <c r="U3505" s="45"/>
    </row>
    <row r="3506">
      <c r="A3506" s="79" t="s">
        <v>22084</v>
      </c>
      <c r="B3506" s="45"/>
      <c r="C3506" s="79" t="s">
        <v>22085</v>
      </c>
      <c r="D3506" s="45"/>
      <c r="E3506" s="79" t="s">
        <v>5335</v>
      </c>
      <c r="F3506" s="79" t="s">
        <v>8784</v>
      </c>
      <c r="G3506" s="80" t="s">
        <v>96</v>
      </c>
      <c r="H3506" s="90">
        <v>4.74E-5</v>
      </c>
      <c r="I3506" s="45"/>
      <c r="J3506" s="45"/>
      <c r="K3506" s="45"/>
      <c r="L3506" s="45"/>
      <c r="M3506" s="45"/>
      <c r="N3506" s="45"/>
      <c r="O3506" s="45"/>
      <c r="P3506" s="45"/>
      <c r="Q3506" s="45"/>
      <c r="R3506" s="45"/>
      <c r="S3506" s="45"/>
      <c r="T3506" s="45"/>
      <c r="U3506" s="45"/>
    </row>
    <row r="3507">
      <c r="A3507" s="79" t="s">
        <v>22086</v>
      </c>
      <c r="B3507" s="45"/>
      <c r="C3507" s="79" t="s">
        <v>18007</v>
      </c>
      <c r="D3507" s="45"/>
      <c r="E3507" s="79" t="s">
        <v>5264</v>
      </c>
      <c r="F3507" s="79" t="s">
        <v>5300</v>
      </c>
      <c r="G3507" s="80" t="s">
        <v>96</v>
      </c>
      <c r="H3507" s="90">
        <v>4.74E-5</v>
      </c>
      <c r="I3507" s="45"/>
      <c r="J3507" s="45"/>
      <c r="K3507" s="45"/>
      <c r="L3507" s="45"/>
      <c r="M3507" s="45"/>
      <c r="N3507" s="45"/>
      <c r="O3507" s="45"/>
      <c r="P3507" s="45"/>
      <c r="Q3507" s="45"/>
      <c r="R3507" s="45"/>
      <c r="S3507" s="45"/>
      <c r="T3507" s="45"/>
      <c r="U3507" s="45"/>
    </row>
    <row r="3508">
      <c r="A3508" s="79" t="s">
        <v>22087</v>
      </c>
      <c r="B3508" s="45"/>
      <c r="C3508" s="79" t="s">
        <v>22088</v>
      </c>
      <c r="D3508" s="45"/>
      <c r="E3508" s="79" t="s">
        <v>6172</v>
      </c>
      <c r="F3508" s="79" t="s">
        <v>5300</v>
      </c>
      <c r="G3508" s="80" t="s">
        <v>96</v>
      </c>
      <c r="H3508" s="90">
        <v>4.73E-5</v>
      </c>
      <c r="I3508" s="45"/>
      <c r="J3508" s="45"/>
      <c r="K3508" s="45"/>
      <c r="L3508" s="45"/>
      <c r="M3508" s="45"/>
      <c r="N3508" s="45"/>
      <c r="O3508" s="45"/>
      <c r="P3508" s="45"/>
      <c r="Q3508" s="45"/>
      <c r="R3508" s="45"/>
      <c r="S3508" s="45"/>
      <c r="T3508" s="45"/>
      <c r="U3508" s="45"/>
    </row>
    <row r="3509">
      <c r="A3509" s="79" t="s">
        <v>22089</v>
      </c>
      <c r="B3509" s="45"/>
      <c r="C3509" s="79" t="s">
        <v>22090</v>
      </c>
      <c r="D3509" s="45"/>
      <c r="E3509" s="79" t="s">
        <v>5808</v>
      </c>
      <c r="F3509" s="79" t="s">
        <v>5300</v>
      </c>
      <c r="G3509" s="80" t="s">
        <v>96</v>
      </c>
      <c r="H3509" s="90">
        <v>4.73E-5</v>
      </c>
      <c r="I3509" s="45"/>
      <c r="J3509" s="45"/>
      <c r="K3509" s="45"/>
      <c r="L3509" s="45"/>
      <c r="M3509" s="45"/>
      <c r="N3509" s="45"/>
      <c r="O3509" s="45"/>
      <c r="P3509" s="45"/>
      <c r="Q3509" s="45"/>
      <c r="R3509" s="45"/>
      <c r="S3509" s="45"/>
      <c r="T3509" s="45"/>
      <c r="U3509" s="45"/>
    </row>
    <row r="3510">
      <c r="A3510" s="79" t="s">
        <v>22091</v>
      </c>
      <c r="B3510" s="45"/>
      <c r="C3510" s="79" t="s">
        <v>22092</v>
      </c>
      <c r="D3510" s="45"/>
      <c r="E3510" s="79" t="s">
        <v>5478</v>
      </c>
      <c r="F3510" s="79" t="s">
        <v>5300</v>
      </c>
      <c r="G3510" s="80" t="s">
        <v>96</v>
      </c>
      <c r="H3510" s="90">
        <v>4.73E-5</v>
      </c>
      <c r="I3510" s="45"/>
      <c r="J3510" s="45"/>
      <c r="K3510" s="45"/>
      <c r="L3510" s="45"/>
      <c r="M3510" s="45"/>
      <c r="N3510" s="45"/>
      <c r="O3510" s="45"/>
      <c r="P3510" s="45"/>
      <c r="Q3510" s="45"/>
      <c r="R3510" s="45"/>
      <c r="S3510" s="45"/>
      <c r="T3510" s="45"/>
      <c r="U3510" s="45"/>
    </row>
    <row r="3511">
      <c r="A3511" s="79" t="s">
        <v>22093</v>
      </c>
      <c r="B3511" s="45"/>
      <c r="C3511" s="79" t="s">
        <v>22094</v>
      </c>
      <c r="D3511" s="45"/>
      <c r="E3511" s="79" t="s">
        <v>8154</v>
      </c>
      <c r="F3511" s="79" t="s">
        <v>4095</v>
      </c>
      <c r="G3511" s="80" t="s">
        <v>96</v>
      </c>
      <c r="H3511" s="90">
        <v>4.72E-5</v>
      </c>
      <c r="I3511" s="45"/>
      <c r="J3511" s="45"/>
      <c r="K3511" s="45"/>
      <c r="L3511" s="45"/>
      <c r="M3511" s="45"/>
      <c r="N3511" s="45"/>
      <c r="O3511" s="45"/>
      <c r="P3511" s="45"/>
      <c r="Q3511" s="45"/>
      <c r="R3511" s="45"/>
      <c r="S3511" s="45"/>
      <c r="T3511" s="45"/>
      <c r="U3511" s="45"/>
    </row>
    <row r="3512">
      <c r="A3512" s="79" t="s">
        <v>22095</v>
      </c>
      <c r="B3512" s="45"/>
      <c r="C3512" s="79" t="s">
        <v>22096</v>
      </c>
      <c r="D3512" s="45"/>
      <c r="E3512" s="79" t="s">
        <v>5478</v>
      </c>
      <c r="F3512" s="79" t="s">
        <v>5300</v>
      </c>
      <c r="G3512" s="80" t="s">
        <v>96</v>
      </c>
      <c r="H3512" s="90">
        <v>4.72E-5</v>
      </c>
      <c r="I3512" s="45"/>
      <c r="J3512" s="45"/>
      <c r="K3512" s="45"/>
      <c r="L3512" s="45"/>
      <c r="M3512" s="45"/>
      <c r="N3512" s="45"/>
      <c r="O3512" s="45"/>
      <c r="P3512" s="45"/>
      <c r="Q3512" s="45"/>
      <c r="R3512" s="45"/>
      <c r="S3512" s="45"/>
      <c r="T3512" s="45"/>
      <c r="U3512" s="45"/>
    </row>
    <row r="3513">
      <c r="A3513" s="79" t="s">
        <v>22097</v>
      </c>
      <c r="B3513" s="45"/>
      <c r="C3513" s="79" t="s">
        <v>22098</v>
      </c>
      <c r="D3513" s="45"/>
      <c r="E3513" s="79" t="s">
        <v>5855</v>
      </c>
      <c r="F3513" s="79" t="s">
        <v>4095</v>
      </c>
      <c r="G3513" s="80" t="s">
        <v>96</v>
      </c>
      <c r="H3513" s="90">
        <v>4.7E-5</v>
      </c>
      <c r="I3513" s="45"/>
      <c r="J3513" s="45"/>
      <c r="K3513" s="45"/>
      <c r="L3513" s="45"/>
      <c r="M3513" s="45"/>
      <c r="N3513" s="45"/>
      <c r="O3513" s="45"/>
      <c r="P3513" s="45"/>
      <c r="Q3513" s="45"/>
      <c r="R3513" s="45"/>
      <c r="S3513" s="45"/>
      <c r="T3513" s="45"/>
      <c r="U3513" s="45"/>
    </row>
    <row r="3514">
      <c r="A3514" s="79" t="s">
        <v>22099</v>
      </c>
      <c r="B3514" s="45"/>
      <c r="C3514" s="79" t="s">
        <v>22100</v>
      </c>
      <c r="D3514" s="45"/>
      <c r="E3514" s="79" t="s">
        <v>5855</v>
      </c>
      <c r="F3514" s="79" t="s">
        <v>5300</v>
      </c>
      <c r="G3514" s="80" t="s">
        <v>96</v>
      </c>
      <c r="H3514" s="90">
        <v>4.7E-5</v>
      </c>
      <c r="I3514" s="45"/>
      <c r="J3514" s="45"/>
      <c r="K3514" s="45"/>
      <c r="L3514" s="45"/>
      <c r="M3514" s="45"/>
      <c r="N3514" s="45"/>
      <c r="O3514" s="45"/>
      <c r="P3514" s="45"/>
      <c r="Q3514" s="45"/>
      <c r="R3514" s="45"/>
      <c r="S3514" s="45"/>
      <c r="T3514" s="45"/>
      <c r="U3514" s="45"/>
    </row>
    <row r="3515">
      <c r="A3515" s="79" t="s">
        <v>22101</v>
      </c>
      <c r="B3515" s="45"/>
      <c r="C3515" s="79" t="s">
        <v>22102</v>
      </c>
      <c r="D3515" s="45"/>
      <c r="E3515" s="79" t="s">
        <v>8154</v>
      </c>
      <c r="F3515" s="79" t="s">
        <v>5300</v>
      </c>
      <c r="G3515" s="80" t="s">
        <v>96</v>
      </c>
      <c r="H3515" s="90">
        <v>4.68E-5</v>
      </c>
      <c r="I3515" s="45"/>
      <c r="J3515" s="45"/>
      <c r="K3515" s="45"/>
      <c r="L3515" s="45"/>
      <c r="M3515" s="45"/>
      <c r="N3515" s="45"/>
      <c r="O3515" s="45"/>
      <c r="P3515" s="45"/>
      <c r="Q3515" s="45"/>
      <c r="R3515" s="45"/>
      <c r="S3515" s="45"/>
      <c r="T3515" s="45"/>
      <c r="U3515" s="45"/>
    </row>
    <row r="3516">
      <c r="A3516" s="79" t="s">
        <v>22103</v>
      </c>
      <c r="B3516" s="45"/>
      <c r="C3516" s="79" t="s">
        <v>22104</v>
      </c>
      <c r="D3516" s="45"/>
      <c r="E3516" s="79" t="s">
        <v>5478</v>
      </c>
      <c r="F3516" s="79" t="s">
        <v>5300</v>
      </c>
      <c r="G3516" s="80" t="s">
        <v>96</v>
      </c>
      <c r="H3516" s="90">
        <v>4.68E-5</v>
      </c>
      <c r="I3516" s="45"/>
      <c r="J3516" s="45"/>
      <c r="K3516" s="45"/>
      <c r="L3516" s="45"/>
      <c r="M3516" s="45"/>
      <c r="N3516" s="45"/>
      <c r="O3516" s="45"/>
      <c r="P3516" s="45"/>
      <c r="Q3516" s="45"/>
      <c r="R3516" s="45"/>
      <c r="S3516" s="45"/>
      <c r="T3516" s="45"/>
      <c r="U3516" s="45"/>
    </row>
    <row r="3517">
      <c r="A3517" s="79" t="s">
        <v>22105</v>
      </c>
      <c r="B3517" s="45"/>
      <c r="C3517" s="79" t="s">
        <v>22106</v>
      </c>
      <c r="D3517" s="45"/>
      <c r="E3517" s="79" t="s">
        <v>5516</v>
      </c>
      <c r="F3517" s="79" t="s">
        <v>8784</v>
      </c>
      <c r="G3517" s="80" t="s">
        <v>96</v>
      </c>
      <c r="H3517" s="90">
        <v>4.67E-5</v>
      </c>
      <c r="I3517" s="45"/>
      <c r="J3517" s="45"/>
      <c r="K3517" s="45"/>
      <c r="L3517" s="45"/>
      <c r="M3517" s="45"/>
      <c r="N3517" s="45"/>
      <c r="O3517" s="45"/>
      <c r="P3517" s="45"/>
      <c r="Q3517" s="45"/>
      <c r="R3517" s="45"/>
      <c r="S3517" s="45"/>
      <c r="T3517" s="45"/>
      <c r="U3517" s="45"/>
    </row>
    <row r="3518">
      <c r="A3518" s="79" t="s">
        <v>22107</v>
      </c>
      <c r="B3518" s="45"/>
      <c r="C3518" s="79" t="s">
        <v>22108</v>
      </c>
      <c r="D3518" s="45"/>
      <c r="E3518" s="79" t="s">
        <v>5478</v>
      </c>
      <c r="F3518" s="79" t="s">
        <v>5300</v>
      </c>
      <c r="G3518" s="80" t="s">
        <v>96</v>
      </c>
      <c r="H3518" s="90">
        <v>4.66E-5</v>
      </c>
      <c r="I3518" s="45"/>
      <c r="J3518" s="45"/>
      <c r="K3518" s="45"/>
      <c r="L3518" s="45"/>
      <c r="M3518" s="45"/>
      <c r="N3518" s="45"/>
      <c r="O3518" s="45"/>
      <c r="P3518" s="45"/>
      <c r="Q3518" s="45"/>
      <c r="R3518" s="45"/>
      <c r="S3518" s="45"/>
      <c r="T3518" s="45"/>
      <c r="U3518" s="45"/>
    </row>
    <row r="3519">
      <c r="A3519" s="79" t="s">
        <v>22109</v>
      </c>
      <c r="B3519" s="45"/>
      <c r="C3519" s="79" t="s">
        <v>22110</v>
      </c>
      <c r="D3519" s="45"/>
      <c r="E3519" s="79" t="s">
        <v>5445</v>
      </c>
      <c r="F3519" s="79" t="s">
        <v>5300</v>
      </c>
      <c r="G3519" s="80" t="s">
        <v>96</v>
      </c>
      <c r="H3519" s="90">
        <v>4.66E-5</v>
      </c>
      <c r="I3519" s="45"/>
      <c r="J3519" s="45"/>
      <c r="K3519" s="45"/>
      <c r="L3519" s="45"/>
      <c r="M3519" s="45"/>
      <c r="N3519" s="45"/>
      <c r="O3519" s="45"/>
      <c r="P3519" s="45"/>
      <c r="Q3519" s="45"/>
      <c r="R3519" s="45"/>
      <c r="S3519" s="45"/>
      <c r="T3519" s="45"/>
      <c r="U3519" s="45"/>
    </row>
    <row r="3520">
      <c r="A3520" s="79" t="s">
        <v>22111</v>
      </c>
      <c r="B3520" s="45"/>
      <c r="C3520" s="79" t="s">
        <v>22112</v>
      </c>
      <c r="D3520" s="45"/>
      <c r="E3520" s="79" t="s">
        <v>5226</v>
      </c>
      <c r="F3520" s="79" t="s">
        <v>5425</v>
      </c>
      <c r="G3520" s="80" t="s">
        <v>96</v>
      </c>
      <c r="H3520" s="90">
        <v>4.66E-5</v>
      </c>
      <c r="I3520" s="45"/>
      <c r="J3520" s="45"/>
      <c r="K3520" s="45"/>
      <c r="L3520" s="45"/>
      <c r="M3520" s="45"/>
      <c r="N3520" s="45"/>
      <c r="O3520" s="45"/>
      <c r="P3520" s="45"/>
      <c r="Q3520" s="45"/>
      <c r="R3520" s="45"/>
      <c r="S3520" s="45"/>
      <c r="T3520" s="45"/>
      <c r="U3520" s="45"/>
    </row>
    <row r="3521">
      <c r="A3521" s="79" t="s">
        <v>22113</v>
      </c>
      <c r="B3521" s="45"/>
      <c r="C3521" s="79" t="s">
        <v>22114</v>
      </c>
      <c r="D3521" s="45"/>
      <c r="E3521" s="79" t="s">
        <v>8110</v>
      </c>
      <c r="F3521" s="79" t="s">
        <v>4357</v>
      </c>
      <c r="G3521" s="80" t="s">
        <v>96</v>
      </c>
      <c r="H3521" s="90">
        <v>4.65E-5</v>
      </c>
      <c r="I3521" s="45"/>
      <c r="J3521" s="45"/>
      <c r="K3521" s="45"/>
      <c r="L3521" s="45"/>
      <c r="M3521" s="45"/>
      <c r="N3521" s="45"/>
      <c r="O3521" s="45"/>
      <c r="P3521" s="45"/>
      <c r="Q3521" s="45"/>
      <c r="R3521" s="45"/>
      <c r="S3521" s="45"/>
      <c r="T3521" s="45"/>
      <c r="U3521" s="45"/>
    </row>
    <row r="3522">
      <c r="A3522" s="79" t="s">
        <v>22115</v>
      </c>
      <c r="B3522" s="45"/>
      <c r="C3522" s="79" t="s">
        <v>22116</v>
      </c>
      <c r="D3522" s="45"/>
      <c r="E3522" s="79" t="s">
        <v>5374</v>
      </c>
      <c r="F3522" s="79" t="s">
        <v>8784</v>
      </c>
      <c r="G3522" s="80" t="s">
        <v>96</v>
      </c>
      <c r="H3522" s="90">
        <v>4.65E-5</v>
      </c>
      <c r="I3522" s="45"/>
      <c r="J3522" s="45"/>
      <c r="K3522" s="45"/>
      <c r="L3522" s="45"/>
      <c r="M3522" s="45"/>
      <c r="N3522" s="45"/>
      <c r="O3522" s="45"/>
      <c r="P3522" s="45"/>
      <c r="Q3522" s="45"/>
      <c r="R3522" s="45"/>
      <c r="S3522" s="45"/>
      <c r="T3522" s="45"/>
      <c r="U3522" s="45"/>
    </row>
    <row r="3523">
      <c r="A3523" s="79" t="s">
        <v>22117</v>
      </c>
      <c r="B3523" s="45"/>
      <c r="C3523" s="79" t="s">
        <v>22118</v>
      </c>
      <c r="D3523" s="45"/>
      <c r="E3523" s="79" t="s">
        <v>5232</v>
      </c>
      <c r="F3523" s="79" t="s">
        <v>5300</v>
      </c>
      <c r="G3523" s="80" t="s">
        <v>96</v>
      </c>
      <c r="H3523" s="90">
        <v>4.65E-5</v>
      </c>
      <c r="I3523" s="45"/>
      <c r="J3523" s="45"/>
      <c r="K3523" s="45"/>
      <c r="L3523" s="45"/>
      <c r="M3523" s="45"/>
      <c r="N3523" s="45"/>
      <c r="O3523" s="45"/>
      <c r="P3523" s="45"/>
      <c r="Q3523" s="45"/>
      <c r="R3523" s="45"/>
      <c r="S3523" s="45"/>
      <c r="T3523" s="45"/>
      <c r="U3523" s="45"/>
    </row>
    <row r="3524">
      <c r="A3524" s="79" t="s">
        <v>22119</v>
      </c>
      <c r="B3524" s="45"/>
      <c r="C3524" s="79" t="s">
        <v>22120</v>
      </c>
      <c r="D3524" s="45"/>
      <c r="E3524" s="79" t="s">
        <v>5215</v>
      </c>
      <c r="F3524" s="79" t="s">
        <v>5300</v>
      </c>
      <c r="G3524" s="80" t="s">
        <v>96</v>
      </c>
      <c r="H3524" s="90">
        <v>4.65E-5</v>
      </c>
      <c r="I3524" s="45"/>
      <c r="J3524" s="45"/>
      <c r="K3524" s="45"/>
      <c r="L3524" s="45"/>
      <c r="M3524" s="45"/>
      <c r="N3524" s="45"/>
      <c r="O3524" s="45"/>
      <c r="P3524" s="45"/>
      <c r="Q3524" s="45"/>
      <c r="R3524" s="45"/>
      <c r="S3524" s="45"/>
      <c r="T3524" s="45"/>
      <c r="U3524" s="45"/>
    </row>
    <row r="3525">
      <c r="A3525" s="79" t="s">
        <v>22121</v>
      </c>
      <c r="B3525" s="45"/>
      <c r="C3525" s="79" t="s">
        <v>22122</v>
      </c>
      <c r="D3525" s="45"/>
      <c r="E3525" s="79" t="s">
        <v>5855</v>
      </c>
      <c r="F3525" s="79" t="s">
        <v>9021</v>
      </c>
      <c r="G3525" s="80" t="s">
        <v>96</v>
      </c>
      <c r="H3525" s="90">
        <v>4.64E-5</v>
      </c>
      <c r="I3525" s="45"/>
      <c r="J3525" s="45"/>
      <c r="K3525" s="45"/>
      <c r="L3525" s="45"/>
      <c r="M3525" s="45"/>
      <c r="N3525" s="45"/>
      <c r="O3525" s="45"/>
      <c r="P3525" s="45"/>
      <c r="Q3525" s="45"/>
      <c r="R3525" s="45"/>
      <c r="S3525" s="45"/>
      <c r="T3525" s="45"/>
      <c r="U3525" s="45"/>
    </row>
    <row r="3526">
      <c r="A3526" s="79" t="s">
        <v>22123</v>
      </c>
      <c r="B3526" s="45"/>
      <c r="C3526" s="79" t="s">
        <v>22124</v>
      </c>
      <c r="D3526" s="45"/>
      <c r="E3526" s="79" t="s">
        <v>5264</v>
      </c>
      <c r="F3526" s="79" t="s">
        <v>5300</v>
      </c>
      <c r="G3526" s="80" t="s">
        <v>96</v>
      </c>
      <c r="H3526" s="90">
        <v>4.64E-5</v>
      </c>
      <c r="I3526" s="45"/>
      <c r="J3526" s="45"/>
      <c r="K3526" s="45"/>
      <c r="L3526" s="45"/>
      <c r="M3526" s="45"/>
      <c r="N3526" s="45"/>
      <c r="O3526" s="45"/>
      <c r="P3526" s="45"/>
      <c r="Q3526" s="45"/>
      <c r="R3526" s="45"/>
      <c r="S3526" s="45"/>
      <c r="T3526" s="45"/>
      <c r="U3526" s="45"/>
    </row>
    <row r="3527">
      <c r="A3527" s="79" t="s">
        <v>22125</v>
      </c>
      <c r="B3527" s="45"/>
      <c r="C3527" s="79" t="s">
        <v>22126</v>
      </c>
      <c r="D3527" s="45"/>
      <c r="E3527" s="79" t="s">
        <v>9478</v>
      </c>
      <c r="F3527" s="79" t="s">
        <v>8784</v>
      </c>
      <c r="G3527" s="80" t="s">
        <v>96</v>
      </c>
      <c r="H3527" s="90">
        <v>4.64E-5</v>
      </c>
      <c r="I3527" s="45"/>
      <c r="J3527" s="45"/>
      <c r="K3527" s="45"/>
      <c r="L3527" s="45"/>
      <c r="M3527" s="45"/>
      <c r="N3527" s="45"/>
      <c r="O3527" s="45"/>
      <c r="P3527" s="45"/>
      <c r="Q3527" s="45"/>
      <c r="R3527" s="45"/>
      <c r="S3527" s="45"/>
      <c r="T3527" s="45"/>
      <c r="U3527" s="45"/>
    </row>
    <row r="3528">
      <c r="A3528" s="79" t="s">
        <v>11187</v>
      </c>
      <c r="B3528" s="45"/>
      <c r="C3528" s="79" t="s">
        <v>11188</v>
      </c>
      <c r="D3528" s="45"/>
      <c r="E3528" s="79" t="s">
        <v>6238</v>
      </c>
      <c r="F3528" s="79" t="s">
        <v>8784</v>
      </c>
      <c r="G3528" s="80" t="s">
        <v>96</v>
      </c>
      <c r="H3528" s="90">
        <v>4.63E-5</v>
      </c>
      <c r="I3528" s="45"/>
      <c r="J3528" s="45"/>
      <c r="K3528" s="45"/>
      <c r="L3528" s="45"/>
      <c r="M3528" s="45"/>
      <c r="N3528" s="45"/>
      <c r="O3528" s="45"/>
      <c r="P3528" s="45"/>
      <c r="Q3528" s="45"/>
      <c r="R3528" s="45"/>
      <c r="S3528" s="45"/>
      <c r="T3528" s="45"/>
      <c r="U3528" s="45"/>
    </row>
    <row r="3529">
      <c r="A3529" s="79" t="s">
        <v>22127</v>
      </c>
      <c r="B3529" s="45"/>
      <c r="C3529" s="79" t="s">
        <v>22128</v>
      </c>
      <c r="D3529" s="45"/>
      <c r="E3529" s="79" t="s">
        <v>5561</v>
      </c>
      <c r="F3529" s="79" t="s">
        <v>9513</v>
      </c>
      <c r="G3529" s="80" t="s">
        <v>96</v>
      </c>
      <c r="H3529" s="90">
        <v>4.62E-5</v>
      </c>
      <c r="I3529" s="45"/>
      <c r="J3529" s="45"/>
      <c r="K3529" s="45"/>
      <c r="L3529" s="45"/>
      <c r="M3529" s="45"/>
      <c r="N3529" s="45"/>
      <c r="O3529" s="45"/>
      <c r="P3529" s="45"/>
      <c r="Q3529" s="45"/>
      <c r="R3529" s="45"/>
      <c r="S3529" s="45"/>
      <c r="T3529" s="45"/>
      <c r="U3529" s="45"/>
    </row>
    <row r="3530">
      <c r="A3530" s="79" t="s">
        <v>22129</v>
      </c>
      <c r="B3530" s="45"/>
      <c r="C3530" s="79" t="s">
        <v>22130</v>
      </c>
      <c r="D3530" s="45"/>
      <c r="E3530" s="79" t="s">
        <v>5374</v>
      </c>
      <c r="F3530" s="79" t="s">
        <v>9021</v>
      </c>
      <c r="G3530" s="80" t="s">
        <v>96</v>
      </c>
      <c r="H3530" s="90">
        <v>4.61E-5</v>
      </c>
      <c r="I3530" s="45"/>
      <c r="J3530" s="45"/>
      <c r="K3530" s="45"/>
      <c r="L3530" s="45"/>
      <c r="M3530" s="45"/>
      <c r="N3530" s="45"/>
      <c r="O3530" s="45"/>
      <c r="P3530" s="45"/>
      <c r="Q3530" s="45"/>
      <c r="R3530" s="45"/>
      <c r="S3530" s="45"/>
      <c r="T3530" s="45"/>
      <c r="U3530" s="45"/>
    </row>
    <row r="3531">
      <c r="A3531" s="79" t="s">
        <v>22131</v>
      </c>
      <c r="B3531" s="45"/>
      <c r="C3531" s="79" t="s">
        <v>22132</v>
      </c>
      <c r="D3531" s="45"/>
      <c r="E3531" s="79" t="s">
        <v>5238</v>
      </c>
      <c r="F3531" s="79" t="s">
        <v>8784</v>
      </c>
      <c r="G3531" s="80" t="s">
        <v>96</v>
      </c>
      <c r="H3531" s="90">
        <v>4.61E-5</v>
      </c>
      <c r="I3531" s="45"/>
      <c r="J3531" s="45"/>
      <c r="K3531" s="45"/>
      <c r="L3531" s="45"/>
      <c r="M3531" s="45"/>
      <c r="N3531" s="45"/>
      <c r="O3531" s="45"/>
      <c r="P3531" s="45"/>
      <c r="Q3531" s="45"/>
      <c r="R3531" s="45"/>
      <c r="S3531" s="45"/>
      <c r="T3531" s="45"/>
      <c r="U3531" s="45"/>
    </row>
    <row r="3532">
      <c r="A3532" s="79" t="s">
        <v>22133</v>
      </c>
      <c r="B3532" s="45"/>
      <c r="C3532" s="79" t="s">
        <v>22134</v>
      </c>
      <c r="D3532" s="45"/>
      <c r="E3532" s="79" t="s">
        <v>6389</v>
      </c>
      <c r="F3532" s="79" t="s">
        <v>8784</v>
      </c>
      <c r="G3532" s="80" t="s">
        <v>96</v>
      </c>
      <c r="H3532" s="90">
        <v>4.6E-5</v>
      </c>
      <c r="I3532" s="45"/>
      <c r="J3532" s="45"/>
      <c r="K3532" s="45"/>
      <c r="L3532" s="45"/>
      <c r="M3532" s="45"/>
      <c r="N3532" s="45"/>
      <c r="O3532" s="45"/>
      <c r="P3532" s="45"/>
      <c r="Q3532" s="45"/>
      <c r="R3532" s="45"/>
      <c r="S3532" s="45"/>
      <c r="T3532" s="45"/>
      <c r="U3532" s="45"/>
    </row>
    <row r="3533">
      <c r="A3533" s="79" t="s">
        <v>22135</v>
      </c>
      <c r="B3533" s="45"/>
      <c r="C3533" s="79" t="s">
        <v>22136</v>
      </c>
      <c r="D3533" s="45"/>
      <c r="E3533" s="79" t="s">
        <v>5478</v>
      </c>
      <c r="F3533" s="79" t="s">
        <v>5300</v>
      </c>
      <c r="G3533" s="80" t="s">
        <v>96</v>
      </c>
      <c r="H3533" s="90">
        <v>4.6E-5</v>
      </c>
      <c r="I3533" s="45"/>
      <c r="J3533" s="45"/>
      <c r="K3533" s="45"/>
      <c r="L3533" s="45"/>
      <c r="M3533" s="45"/>
      <c r="N3533" s="45"/>
      <c r="O3533" s="45"/>
      <c r="P3533" s="45"/>
      <c r="Q3533" s="45"/>
      <c r="R3533" s="45"/>
      <c r="S3533" s="45"/>
      <c r="T3533" s="45"/>
      <c r="U3533" s="45"/>
    </row>
    <row r="3534">
      <c r="A3534" s="79" t="s">
        <v>19159</v>
      </c>
      <c r="B3534" s="45"/>
      <c r="C3534" s="79" t="s">
        <v>22137</v>
      </c>
      <c r="D3534" s="45"/>
      <c r="E3534" s="79" t="s">
        <v>5283</v>
      </c>
      <c r="F3534" s="79" t="s">
        <v>8759</v>
      </c>
      <c r="G3534" s="80" t="s">
        <v>96</v>
      </c>
      <c r="H3534" s="90">
        <v>4.6E-5</v>
      </c>
      <c r="I3534" s="45"/>
      <c r="J3534" s="45"/>
      <c r="K3534" s="45"/>
      <c r="L3534" s="45"/>
      <c r="M3534" s="45"/>
      <c r="N3534" s="45"/>
      <c r="O3534" s="45"/>
      <c r="P3534" s="45"/>
      <c r="Q3534" s="45"/>
      <c r="R3534" s="45"/>
      <c r="S3534" s="45"/>
      <c r="T3534" s="45"/>
      <c r="U3534" s="45"/>
    </row>
    <row r="3535">
      <c r="A3535" s="79" t="s">
        <v>22138</v>
      </c>
      <c r="B3535" s="45"/>
      <c r="C3535" s="79" t="s">
        <v>22139</v>
      </c>
      <c r="D3535" s="45"/>
      <c r="E3535" s="79" t="s">
        <v>6223</v>
      </c>
      <c r="F3535" s="79" t="s">
        <v>4357</v>
      </c>
      <c r="G3535" s="80" t="s">
        <v>96</v>
      </c>
      <c r="H3535" s="90">
        <v>4.58E-5</v>
      </c>
      <c r="I3535" s="45"/>
      <c r="J3535" s="45"/>
      <c r="K3535" s="45"/>
      <c r="L3535" s="45"/>
      <c r="M3535" s="45"/>
      <c r="N3535" s="45"/>
      <c r="O3535" s="45"/>
      <c r="P3535" s="45"/>
      <c r="Q3535" s="45"/>
      <c r="R3535" s="45"/>
      <c r="S3535" s="45"/>
      <c r="T3535" s="45"/>
      <c r="U3535" s="45"/>
    </row>
    <row r="3536">
      <c r="A3536" s="79" t="s">
        <v>22140</v>
      </c>
      <c r="B3536" s="45"/>
      <c r="C3536" s="79" t="s">
        <v>22141</v>
      </c>
      <c r="D3536" s="45"/>
      <c r="E3536" s="79" t="s">
        <v>5501</v>
      </c>
      <c r="F3536" s="79" t="s">
        <v>4095</v>
      </c>
      <c r="G3536" s="80" t="s">
        <v>96</v>
      </c>
      <c r="H3536" s="90">
        <v>4.58E-5</v>
      </c>
      <c r="I3536" s="45"/>
      <c r="J3536" s="45"/>
      <c r="K3536" s="45"/>
      <c r="L3536" s="45"/>
      <c r="M3536" s="45"/>
      <c r="N3536" s="45"/>
      <c r="O3536" s="45"/>
      <c r="P3536" s="45"/>
      <c r="Q3536" s="45"/>
      <c r="R3536" s="45"/>
      <c r="S3536" s="45"/>
      <c r="T3536" s="45"/>
      <c r="U3536" s="45"/>
    </row>
    <row r="3537">
      <c r="A3537" s="79" t="s">
        <v>22142</v>
      </c>
      <c r="B3537" s="45"/>
      <c r="C3537" s="79" t="s">
        <v>22143</v>
      </c>
      <c r="D3537" s="45"/>
      <c r="E3537" s="79" t="s">
        <v>5589</v>
      </c>
      <c r="F3537" s="79" t="s">
        <v>9299</v>
      </c>
      <c r="G3537" s="80" t="s">
        <v>96</v>
      </c>
      <c r="H3537" s="90">
        <v>4.57E-5</v>
      </c>
      <c r="I3537" s="45"/>
      <c r="J3537" s="45"/>
      <c r="K3537" s="45"/>
      <c r="L3537" s="45"/>
      <c r="M3537" s="45"/>
      <c r="N3537" s="45"/>
      <c r="O3537" s="45"/>
      <c r="P3537" s="45"/>
      <c r="Q3537" s="45"/>
      <c r="R3537" s="45"/>
      <c r="S3537" s="45"/>
      <c r="T3537" s="45"/>
      <c r="U3537" s="45"/>
    </row>
    <row r="3538">
      <c r="A3538" s="79" t="s">
        <v>22144</v>
      </c>
      <c r="B3538" s="45"/>
      <c r="C3538" s="79" t="s">
        <v>22145</v>
      </c>
      <c r="D3538" s="45"/>
      <c r="E3538" s="79" t="s">
        <v>5215</v>
      </c>
      <c r="F3538" s="79" t="s">
        <v>5300</v>
      </c>
      <c r="G3538" s="80" t="s">
        <v>96</v>
      </c>
      <c r="H3538" s="90">
        <v>4.56E-5</v>
      </c>
      <c r="I3538" s="45"/>
      <c r="J3538" s="45"/>
      <c r="K3538" s="45"/>
      <c r="L3538" s="45"/>
      <c r="M3538" s="45"/>
      <c r="N3538" s="45"/>
      <c r="O3538" s="45"/>
      <c r="P3538" s="45"/>
      <c r="Q3538" s="45"/>
      <c r="R3538" s="45"/>
      <c r="S3538" s="45"/>
      <c r="T3538" s="45"/>
      <c r="U3538" s="45"/>
    </row>
    <row r="3539">
      <c r="A3539" s="79" t="s">
        <v>22146</v>
      </c>
      <c r="B3539" s="45"/>
      <c r="C3539" s="79" t="s">
        <v>22147</v>
      </c>
      <c r="D3539" s="45"/>
      <c r="E3539" s="79" t="s">
        <v>11325</v>
      </c>
      <c r="F3539" s="79" t="s">
        <v>6210</v>
      </c>
      <c r="G3539" s="80" t="s">
        <v>96</v>
      </c>
      <c r="H3539" s="90">
        <v>4.56E-5</v>
      </c>
      <c r="I3539" s="45"/>
      <c r="J3539" s="45"/>
      <c r="K3539" s="45"/>
      <c r="L3539" s="45"/>
      <c r="M3539" s="45"/>
      <c r="N3539" s="45"/>
      <c r="O3539" s="45"/>
      <c r="P3539" s="45"/>
      <c r="Q3539" s="45"/>
      <c r="R3539" s="45"/>
      <c r="S3539" s="45"/>
      <c r="T3539" s="45"/>
      <c r="U3539" s="45"/>
    </row>
    <row r="3540">
      <c r="A3540" s="79" t="s">
        <v>22148</v>
      </c>
      <c r="B3540" s="45"/>
      <c r="C3540" s="79" t="s">
        <v>22149</v>
      </c>
      <c r="D3540" s="45"/>
      <c r="E3540" s="79" t="s">
        <v>5561</v>
      </c>
      <c r="F3540" s="79" t="s">
        <v>8784</v>
      </c>
      <c r="G3540" s="80" t="s">
        <v>96</v>
      </c>
      <c r="H3540" s="90">
        <v>4.56E-5</v>
      </c>
      <c r="I3540" s="45"/>
      <c r="J3540" s="45"/>
      <c r="K3540" s="45"/>
      <c r="L3540" s="45"/>
      <c r="M3540" s="45"/>
      <c r="N3540" s="45"/>
      <c r="O3540" s="45"/>
      <c r="P3540" s="45"/>
      <c r="Q3540" s="45"/>
      <c r="R3540" s="45"/>
      <c r="S3540" s="45"/>
      <c r="T3540" s="45"/>
      <c r="U3540" s="45"/>
    </row>
    <row r="3541">
      <c r="A3541" s="79" t="s">
        <v>22150</v>
      </c>
      <c r="B3541" s="45"/>
      <c r="C3541" s="79" t="s">
        <v>22151</v>
      </c>
      <c r="D3541" s="45"/>
      <c r="E3541" s="79" t="s">
        <v>9039</v>
      </c>
      <c r="F3541" s="79" t="s">
        <v>8784</v>
      </c>
      <c r="G3541" s="80" t="s">
        <v>96</v>
      </c>
      <c r="H3541" s="90">
        <v>4.56E-5</v>
      </c>
      <c r="I3541" s="45"/>
      <c r="J3541" s="45"/>
      <c r="K3541" s="45"/>
      <c r="L3541" s="45"/>
      <c r="M3541" s="45"/>
      <c r="N3541" s="45"/>
      <c r="O3541" s="45"/>
      <c r="P3541" s="45"/>
      <c r="Q3541" s="45"/>
      <c r="R3541" s="45"/>
      <c r="S3541" s="45"/>
      <c r="T3541" s="45"/>
      <c r="U3541" s="45"/>
    </row>
    <row r="3542">
      <c r="A3542" s="79" t="s">
        <v>16495</v>
      </c>
      <c r="B3542" s="45"/>
      <c r="C3542" s="79" t="s">
        <v>22152</v>
      </c>
      <c r="D3542" s="45"/>
      <c r="E3542" s="79" t="s">
        <v>6266</v>
      </c>
      <c r="F3542" s="79" t="s">
        <v>5747</v>
      </c>
      <c r="G3542" s="80" t="s">
        <v>96</v>
      </c>
      <c r="H3542" s="90">
        <v>4.55E-5</v>
      </c>
      <c r="I3542" s="45"/>
      <c r="J3542" s="45"/>
      <c r="K3542" s="45"/>
      <c r="L3542" s="45"/>
      <c r="M3542" s="45"/>
      <c r="N3542" s="45"/>
      <c r="O3542" s="45"/>
      <c r="P3542" s="45"/>
      <c r="Q3542" s="45"/>
      <c r="R3542" s="45"/>
      <c r="S3542" s="45"/>
      <c r="T3542" s="45"/>
      <c r="U3542" s="45"/>
    </row>
    <row r="3543">
      <c r="A3543" s="79" t="s">
        <v>11623</v>
      </c>
      <c r="B3543" s="45"/>
      <c r="C3543" s="79" t="s">
        <v>22153</v>
      </c>
      <c r="D3543" s="45"/>
      <c r="E3543" s="79" t="s">
        <v>5382</v>
      </c>
      <c r="F3543" s="79" t="s">
        <v>5747</v>
      </c>
      <c r="G3543" s="80" t="s">
        <v>96</v>
      </c>
      <c r="H3543" s="90">
        <v>4.54E-5</v>
      </c>
      <c r="I3543" s="45"/>
      <c r="J3543" s="45"/>
      <c r="K3543" s="45"/>
      <c r="L3543" s="45"/>
      <c r="M3543" s="45"/>
      <c r="N3543" s="45"/>
      <c r="O3543" s="45"/>
      <c r="P3543" s="45"/>
      <c r="Q3543" s="45"/>
      <c r="R3543" s="45"/>
      <c r="S3543" s="45"/>
      <c r="T3543" s="45"/>
      <c r="U3543" s="45"/>
    </row>
    <row r="3544">
      <c r="A3544" s="79" t="s">
        <v>22154</v>
      </c>
      <c r="B3544" s="45"/>
      <c r="C3544" s="79" t="s">
        <v>22155</v>
      </c>
      <c r="D3544" s="45"/>
      <c r="E3544" s="79" t="s">
        <v>9553</v>
      </c>
      <c r="F3544" s="79" t="s">
        <v>5941</v>
      </c>
      <c r="G3544" s="80" t="s">
        <v>96</v>
      </c>
      <c r="H3544" s="90">
        <v>4.54E-5</v>
      </c>
      <c r="I3544" s="45"/>
      <c r="J3544" s="45"/>
      <c r="K3544" s="45"/>
      <c r="L3544" s="45"/>
      <c r="M3544" s="45"/>
      <c r="N3544" s="45"/>
      <c r="O3544" s="45"/>
      <c r="P3544" s="45"/>
      <c r="Q3544" s="45"/>
      <c r="R3544" s="45"/>
      <c r="S3544" s="45"/>
      <c r="T3544" s="45"/>
      <c r="U3544" s="45"/>
    </row>
    <row r="3545">
      <c r="A3545" s="79" t="s">
        <v>22156</v>
      </c>
      <c r="B3545" s="45"/>
      <c r="C3545" s="79" t="s">
        <v>22157</v>
      </c>
      <c r="D3545" s="45"/>
      <c r="E3545" s="79" t="s">
        <v>6327</v>
      </c>
      <c r="F3545" s="79" t="s">
        <v>4436</v>
      </c>
      <c r="G3545" s="80" t="s">
        <v>96</v>
      </c>
      <c r="H3545" s="90">
        <v>4.54E-5</v>
      </c>
      <c r="I3545" s="45"/>
      <c r="J3545" s="45"/>
      <c r="K3545" s="45"/>
      <c r="L3545" s="45"/>
      <c r="M3545" s="45"/>
      <c r="N3545" s="45"/>
      <c r="O3545" s="45"/>
      <c r="P3545" s="45"/>
      <c r="Q3545" s="45"/>
      <c r="R3545" s="45"/>
      <c r="S3545" s="45"/>
      <c r="T3545" s="45"/>
      <c r="U3545" s="45"/>
    </row>
    <row r="3546">
      <c r="A3546" s="79" t="s">
        <v>22158</v>
      </c>
      <c r="B3546" s="45"/>
      <c r="C3546" s="79" t="s">
        <v>22159</v>
      </c>
      <c r="D3546" s="45"/>
      <c r="E3546" s="79" t="s">
        <v>5235</v>
      </c>
      <c r="F3546" s="79" t="s">
        <v>5300</v>
      </c>
      <c r="G3546" s="80" t="s">
        <v>96</v>
      </c>
      <c r="H3546" s="90">
        <v>4.54E-5</v>
      </c>
      <c r="I3546" s="45"/>
      <c r="J3546" s="45"/>
      <c r="K3546" s="45"/>
      <c r="L3546" s="45"/>
      <c r="M3546" s="45"/>
      <c r="N3546" s="45"/>
      <c r="O3546" s="45"/>
      <c r="P3546" s="45"/>
      <c r="Q3546" s="45"/>
      <c r="R3546" s="45"/>
      <c r="S3546" s="45"/>
      <c r="T3546" s="45"/>
      <c r="U3546" s="45"/>
    </row>
    <row r="3547">
      <c r="A3547" s="79" t="s">
        <v>22160</v>
      </c>
      <c r="B3547" s="45"/>
      <c r="C3547" s="79" t="s">
        <v>22161</v>
      </c>
      <c r="D3547" s="45"/>
      <c r="E3547" s="79" t="s">
        <v>5715</v>
      </c>
      <c r="F3547" s="79" t="s">
        <v>8784</v>
      </c>
      <c r="G3547" s="80" t="s">
        <v>96</v>
      </c>
      <c r="H3547" s="90">
        <v>4.51E-5</v>
      </c>
      <c r="I3547" s="45"/>
      <c r="J3547" s="45"/>
      <c r="K3547" s="45"/>
      <c r="L3547" s="45"/>
      <c r="M3547" s="45"/>
      <c r="N3547" s="45"/>
      <c r="O3547" s="45"/>
      <c r="P3547" s="45"/>
      <c r="Q3547" s="45"/>
      <c r="R3547" s="45"/>
      <c r="S3547" s="45"/>
      <c r="T3547" s="45"/>
      <c r="U3547" s="45"/>
    </row>
    <row r="3548">
      <c r="A3548" s="79" t="s">
        <v>22162</v>
      </c>
      <c r="B3548" s="45"/>
      <c r="C3548" s="79" t="s">
        <v>22163</v>
      </c>
      <c r="D3548" s="45"/>
      <c r="E3548" s="79" t="s">
        <v>5261</v>
      </c>
      <c r="F3548" s="79" t="s">
        <v>5300</v>
      </c>
      <c r="G3548" s="80" t="s">
        <v>96</v>
      </c>
      <c r="H3548" s="90">
        <v>4.51E-5</v>
      </c>
      <c r="I3548" s="45"/>
      <c r="J3548" s="45"/>
      <c r="K3548" s="45"/>
      <c r="L3548" s="45"/>
      <c r="M3548" s="45"/>
      <c r="N3548" s="45"/>
      <c r="O3548" s="45"/>
      <c r="P3548" s="45"/>
      <c r="Q3548" s="45"/>
      <c r="R3548" s="45"/>
      <c r="S3548" s="45"/>
      <c r="T3548" s="45"/>
      <c r="U3548" s="45"/>
    </row>
    <row r="3549">
      <c r="A3549" s="79" t="s">
        <v>22164</v>
      </c>
      <c r="B3549" s="45"/>
      <c r="C3549" s="79" t="s">
        <v>22165</v>
      </c>
      <c r="D3549" s="45"/>
      <c r="E3549" s="79" t="s">
        <v>5283</v>
      </c>
      <c r="F3549" s="79" t="s">
        <v>8784</v>
      </c>
      <c r="G3549" s="80" t="s">
        <v>96</v>
      </c>
      <c r="H3549" s="90">
        <v>4.51E-5</v>
      </c>
      <c r="I3549" s="45"/>
      <c r="J3549" s="45"/>
      <c r="K3549" s="45"/>
      <c r="L3549" s="45"/>
      <c r="M3549" s="45"/>
      <c r="N3549" s="45"/>
      <c r="O3549" s="45"/>
      <c r="P3549" s="45"/>
      <c r="Q3549" s="45"/>
      <c r="R3549" s="45"/>
      <c r="S3549" s="45"/>
      <c r="T3549" s="45"/>
      <c r="U3549" s="45"/>
    </row>
    <row r="3550">
      <c r="A3550" s="79" t="s">
        <v>22166</v>
      </c>
      <c r="B3550" s="45"/>
      <c r="C3550" s="79" t="s">
        <v>22167</v>
      </c>
      <c r="D3550" s="45"/>
      <c r="E3550" s="79" t="s">
        <v>5561</v>
      </c>
      <c r="F3550" s="79" t="s">
        <v>9513</v>
      </c>
      <c r="G3550" s="80" t="s">
        <v>96</v>
      </c>
      <c r="H3550" s="90">
        <v>4.5E-5</v>
      </c>
      <c r="I3550" s="45"/>
      <c r="J3550" s="45"/>
      <c r="K3550" s="45"/>
      <c r="L3550" s="45"/>
      <c r="M3550" s="45"/>
      <c r="N3550" s="45"/>
      <c r="O3550" s="45"/>
      <c r="P3550" s="45"/>
      <c r="Q3550" s="45"/>
      <c r="R3550" s="45"/>
      <c r="S3550" s="45"/>
      <c r="T3550" s="45"/>
      <c r="U3550" s="45"/>
    </row>
    <row r="3551">
      <c r="A3551" s="79" t="s">
        <v>22168</v>
      </c>
      <c r="B3551" s="45"/>
      <c r="C3551" s="79" t="s">
        <v>22169</v>
      </c>
      <c r="D3551" s="45"/>
      <c r="E3551" s="79" t="s">
        <v>5431</v>
      </c>
      <c r="F3551" s="79" t="s">
        <v>8784</v>
      </c>
      <c r="G3551" s="80" t="s">
        <v>96</v>
      </c>
      <c r="H3551" s="90">
        <v>4.5E-5</v>
      </c>
      <c r="I3551" s="45"/>
      <c r="J3551" s="45"/>
      <c r="K3551" s="45"/>
      <c r="L3551" s="45"/>
      <c r="M3551" s="45"/>
      <c r="N3551" s="45"/>
      <c r="O3551" s="45"/>
      <c r="P3551" s="45"/>
      <c r="Q3551" s="45"/>
      <c r="R3551" s="45"/>
      <c r="S3551" s="45"/>
      <c r="T3551" s="45"/>
      <c r="U3551" s="45"/>
    </row>
    <row r="3552">
      <c r="A3552" s="79" t="s">
        <v>22170</v>
      </c>
      <c r="B3552" s="45"/>
      <c r="C3552" s="79" t="s">
        <v>22171</v>
      </c>
      <c r="D3552" s="45"/>
      <c r="E3552" s="79" t="s">
        <v>5226</v>
      </c>
      <c r="F3552" s="79" t="s">
        <v>5300</v>
      </c>
      <c r="G3552" s="80" t="s">
        <v>96</v>
      </c>
      <c r="H3552" s="90">
        <v>4.5E-5</v>
      </c>
      <c r="I3552" s="45"/>
      <c r="J3552" s="45"/>
      <c r="K3552" s="45"/>
      <c r="L3552" s="45"/>
      <c r="M3552" s="45"/>
      <c r="N3552" s="45"/>
      <c r="O3552" s="45"/>
      <c r="P3552" s="45"/>
      <c r="Q3552" s="45"/>
      <c r="R3552" s="45"/>
      <c r="S3552" s="45"/>
      <c r="T3552" s="45"/>
      <c r="U3552" s="45"/>
    </row>
    <row r="3553">
      <c r="A3553" s="79" t="s">
        <v>22172</v>
      </c>
      <c r="B3553" s="45"/>
      <c r="C3553" s="79" t="s">
        <v>22173</v>
      </c>
      <c r="D3553" s="45"/>
      <c r="E3553" s="79" t="s">
        <v>5624</v>
      </c>
      <c r="F3553" s="79" t="s">
        <v>5300</v>
      </c>
      <c r="G3553" s="80" t="s">
        <v>96</v>
      </c>
      <c r="H3553" s="90">
        <v>4.5E-5</v>
      </c>
      <c r="I3553" s="45"/>
      <c r="J3553" s="45"/>
      <c r="K3553" s="45"/>
      <c r="L3553" s="45"/>
      <c r="M3553" s="45"/>
      <c r="N3553" s="45"/>
      <c r="O3553" s="45"/>
      <c r="P3553" s="45"/>
      <c r="Q3553" s="45"/>
      <c r="R3553" s="45"/>
      <c r="S3553" s="45"/>
      <c r="T3553" s="45"/>
      <c r="U3553" s="45"/>
    </row>
    <row r="3554">
      <c r="A3554" s="79" t="s">
        <v>9146</v>
      </c>
      <c r="B3554" s="45"/>
      <c r="C3554" s="79" t="s">
        <v>17224</v>
      </c>
      <c r="D3554" s="45"/>
      <c r="E3554" s="79" t="s">
        <v>5258</v>
      </c>
      <c r="F3554" s="79" t="s">
        <v>5836</v>
      </c>
      <c r="G3554" s="80" t="s">
        <v>96</v>
      </c>
      <c r="H3554" s="90">
        <v>4.5E-5</v>
      </c>
      <c r="I3554" s="45"/>
      <c r="J3554" s="45"/>
      <c r="K3554" s="45"/>
      <c r="L3554" s="45"/>
      <c r="M3554" s="45"/>
      <c r="N3554" s="45"/>
      <c r="O3554" s="45"/>
      <c r="P3554" s="45"/>
      <c r="Q3554" s="45"/>
      <c r="R3554" s="45"/>
      <c r="S3554" s="45"/>
      <c r="T3554" s="45"/>
      <c r="U3554" s="45"/>
    </row>
    <row r="3555">
      <c r="A3555" s="79" t="s">
        <v>22174</v>
      </c>
      <c r="B3555" s="45"/>
      <c r="C3555" s="79" t="s">
        <v>22175</v>
      </c>
      <c r="D3555" s="45"/>
      <c r="E3555" s="79" t="s">
        <v>5715</v>
      </c>
      <c r="F3555" s="79" t="s">
        <v>9513</v>
      </c>
      <c r="G3555" s="80" t="s">
        <v>96</v>
      </c>
      <c r="H3555" s="90">
        <v>4.49E-5</v>
      </c>
      <c r="I3555" s="45"/>
      <c r="J3555" s="45"/>
      <c r="K3555" s="45"/>
      <c r="L3555" s="45"/>
      <c r="M3555" s="45"/>
      <c r="N3555" s="45"/>
      <c r="O3555" s="45"/>
      <c r="P3555" s="45"/>
      <c r="Q3555" s="45"/>
      <c r="R3555" s="45"/>
      <c r="S3555" s="45"/>
      <c r="T3555" s="45"/>
      <c r="U3555" s="45"/>
    </row>
    <row r="3556">
      <c r="A3556" s="79" t="s">
        <v>22176</v>
      </c>
      <c r="B3556" s="45"/>
      <c r="C3556" s="79" t="s">
        <v>22177</v>
      </c>
      <c r="D3556" s="45"/>
      <c r="E3556" s="79" t="s">
        <v>5964</v>
      </c>
      <c r="F3556" s="79" t="s">
        <v>5425</v>
      </c>
      <c r="G3556" s="80" t="s">
        <v>96</v>
      </c>
      <c r="H3556" s="90">
        <v>4.49E-5</v>
      </c>
      <c r="I3556" s="45"/>
      <c r="J3556" s="45"/>
      <c r="K3556" s="45"/>
      <c r="L3556" s="45"/>
      <c r="M3556" s="45"/>
      <c r="N3556" s="45"/>
      <c r="O3556" s="45"/>
      <c r="P3556" s="45"/>
      <c r="Q3556" s="45"/>
      <c r="R3556" s="45"/>
      <c r="S3556" s="45"/>
      <c r="T3556" s="45"/>
      <c r="U3556" s="45"/>
    </row>
    <row r="3557">
      <c r="A3557" s="79" t="s">
        <v>22178</v>
      </c>
      <c r="B3557" s="45"/>
      <c r="C3557" s="79" t="s">
        <v>22179</v>
      </c>
      <c r="D3557" s="45"/>
      <c r="E3557" s="79" t="s">
        <v>5348</v>
      </c>
      <c r="F3557" s="79" t="s">
        <v>5300</v>
      </c>
      <c r="G3557" s="80" t="s">
        <v>96</v>
      </c>
      <c r="H3557" s="90">
        <v>4.49E-5</v>
      </c>
      <c r="I3557" s="45"/>
      <c r="J3557" s="45"/>
      <c r="K3557" s="45"/>
      <c r="L3557" s="45"/>
      <c r="M3557" s="45"/>
      <c r="N3557" s="45"/>
      <c r="O3557" s="45"/>
      <c r="P3557" s="45"/>
      <c r="Q3557" s="45"/>
      <c r="R3557" s="45"/>
      <c r="S3557" s="45"/>
      <c r="T3557" s="45"/>
      <c r="U3557" s="45"/>
    </row>
    <row r="3558">
      <c r="A3558" s="79" t="s">
        <v>22180</v>
      </c>
      <c r="B3558" s="45"/>
      <c r="C3558" s="79" t="s">
        <v>22181</v>
      </c>
      <c r="D3558" s="45"/>
      <c r="E3558" s="79" t="s">
        <v>5309</v>
      </c>
      <c r="F3558" s="79" t="s">
        <v>4153</v>
      </c>
      <c r="G3558" s="80" t="s">
        <v>96</v>
      </c>
      <c r="H3558" s="90">
        <v>4.49E-5</v>
      </c>
      <c r="I3558" s="45"/>
      <c r="J3558" s="45"/>
      <c r="K3558" s="45"/>
      <c r="L3558" s="45"/>
      <c r="M3558" s="45"/>
      <c r="N3558" s="45"/>
      <c r="O3558" s="45"/>
      <c r="P3558" s="45"/>
      <c r="Q3558" s="45"/>
      <c r="R3558" s="45"/>
      <c r="S3558" s="45"/>
      <c r="T3558" s="45"/>
      <c r="U3558" s="45"/>
    </row>
    <row r="3559">
      <c r="A3559" s="79" t="s">
        <v>22182</v>
      </c>
      <c r="B3559" s="45"/>
      <c r="C3559" s="79" t="s">
        <v>22183</v>
      </c>
      <c r="D3559" s="45"/>
      <c r="E3559" s="79" t="s">
        <v>5961</v>
      </c>
      <c r="F3559" s="79" t="s">
        <v>8784</v>
      </c>
      <c r="G3559" s="80" t="s">
        <v>96</v>
      </c>
      <c r="H3559" s="90">
        <v>4.49E-5</v>
      </c>
      <c r="I3559" s="45"/>
      <c r="J3559" s="45"/>
      <c r="K3559" s="45"/>
      <c r="L3559" s="45"/>
      <c r="M3559" s="45"/>
      <c r="N3559" s="45"/>
      <c r="O3559" s="45"/>
      <c r="P3559" s="45"/>
      <c r="Q3559" s="45"/>
      <c r="R3559" s="45"/>
      <c r="S3559" s="45"/>
      <c r="T3559" s="45"/>
      <c r="U3559" s="45"/>
    </row>
    <row r="3560">
      <c r="A3560" s="79" t="s">
        <v>22184</v>
      </c>
      <c r="B3560" s="45"/>
      <c r="C3560" s="79" t="s">
        <v>22185</v>
      </c>
      <c r="D3560" s="45"/>
      <c r="E3560" s="79" t="s">
        <v>5434</v>
      </c>
      <c r="F3560" s="79" t="s">
        <v>9021</v>
      </c>
      <c r="G3560" s="80" t="s">
        <v>96</v>
      </c>
      <c r="H3560" s="90">
        <v>4.49E-5</v>
      </c>
      <c r="I3560" s="45"/>
      <c r="J3560" s="45"/>
      <c r="K3560" s="45"/>
      <c r="L3560" s="45"/>
      <c r="M3560" s="45"/>
      <c r="N3560" s="45"/>
      <c r="O3560" s="45"/>
      <c r="P3560" s="45"/>
      <c r="Q3560" s="45"/>
      <c r="R3560" s="45"/>
      <c r="S3560" s="45"/>
      <c r="T3560" s="45"/>
      <c r="U3560" s="45"/>
    </row>
    <row r="3561">
      <c r="A3561" s="79" t="s">
        <v>22186</v>
      </c>
      <c r="B3561" s="45"/>
      <c r="C3561" s="79" t="s">
        <v>22187</v>
      </c>
      <c r="D3561" s="45"/>
      <c r="E3561" s="79" t="s">
        <v>5459</v>
      </c>
      <c r="F3561" s="79" t="s">
        <v>9021</v>
      </c>
      <c r="G3561" s="80" t="s">
        <v>96</v>
      </c>
      <c r="H3561" s="90">
        <v>4.48E-5</v>
      </c>
      <c r="I3561" s="45"/>
      <c r="J3561" s="45"/>
      <c r="K3561" s="45"/>
      <c r="L3561" s="45"/>
      <c r="M3561" s="45"/>
      <c r="N3561" s="45"/>
      <c r="O3561" s="45"/>
      <c r="P3561" s="45"/>
      <c r="Q3561" s="45"/>
      <c r="R3561" s="45"/>
      <c r="S3561" s="45"/>
      <c r="T3561" s="45"/>
      <c r="U3561" s="45"/>
    </row>
    <row r="3562">
      <c r="A3562" s="79" t="s">
        <v>22188</v>
      </c>
      <c r="B3562" s="45"/>
      <c r="C3562" s="79" t="s">
        <v>22189</v>
      </c>
      <c r="D3562" s="45"/>
      <c r="E3562" s="79" t="s">
        <v>5267</v>
      </c>
      <c r="F3562" s="79" t="s">
        <v>4095</v>
      </c>
      <c r="G3562" s="80" t="s">
        <v>96</v>
      </c>
      <c r="H3562" s="90">
        <v>4.48E-5</v>
      </c>
      <c r="I3562" s="45"/>
      <c r="J3562" s="45"/>
      <c r="K3562" s="45"/>
      <c r="L3562" s="45"/>
      <c r="M3562" s="45"/>
      <c r="N3562" s="45"/>
      <c r="O3562" s="45"/>
      <c r="P3562" s="45"/>
      <c r="Q3562" s="45"/>
      <c r="R3562" s="45"/>
      <c r="S3562" s="45"/>
      <c r="T3562" s="45"/>
      <c r="U3562" s="45"/>
    </row>
    <row r="3563">
      <c r="A3563" s="79" t="s">
        <v>22190</v>
      </c>
      <c r="B3563" s="45"/>
      <c r="C3563" s="79" t="s">
        <v>22191</v>
      </c>
      <c r="D3563" s="45"/>
      <c r="E3563" s="79" t="s">
        <v>5276</v>
      </c>
      <c r="F3563" s="79" t="s">
        <v>8784</v>
      </c>
      <c r="G3563" s="80" t="s">
        <v>96</v>
      </c>
      <c r="H3563" s="90">
        <v>4.47E-5</v>
      </c>
      <c r="I3563" s="45"/>
      <c r="J3563" s="45"/>
      <c r="K3563" s="45"/>
      <c r="L3563" s="45"/>
      <c r="M3563" s="45"/>
      <c r="N3563" s="45"/>
      <c r="O3563" s="45"/>
      <c r="P3563" s="45"/>
      <c r="Q3563" s="45"/>
      <c r="R3563" s="45"/>
      <c r="S3563" s="45"/>
      <c r="T3563" s="45"/>
      <c r="U3563" s="45"/>
    </row>
    <row r="3564">
      <c r="A3564" s="79" t="s">
        <v>22192</v>
      </c>
      <c r="B3564" s="45"/>
      <c r="C3564" s="79" t="s">
        <v>22193</v>
      </c>
      <c r="D3564" s="45"/>
      <c r="E3564" s="79" t="s">
        <v>7169</v>
      </c>
      <c r="F3564" s="79" t="s">
        <v>5300</v>
      </c>
      <c r="G3564" s="80" t="s">
        <v>96</v>
      </c>
      <c r="H3564" s="90">
        <v>4.45E-5</v>
      </c>
      <c r="I3564" s="45"/>
      <c r="J3564" s="45"/>
      <c r="K3564" s="45"/>
      <c r="L3564" s="45"/>
      <c r="M3564" s="45"/>
      <c r="N3564" s="45"/>
      <c r="O3564" s="45"/>
      <c r="P3564" s="45"/>
      <c r="Q3564" s="45"/>
      <c r="R3564" s="45"/>
      <c r="S3564" s="45"/>
      <c r="T3564" s="45"/>
      <c r="U3564" s="45"/>
    </row>
    <row r="3565">
      <c r="A3565" s="79" t="s">
        <v>22194</v>
      </c>
      <c r="B3565" s="45"/>
      <c r="C3565" s="79" t="s">
        <v>22195</v>
      </c>
      <c r="D3565" s="45"/>
      <c r="E3565" s="79" t="s">
        <v>5276</v>
      </c>
      <c r="F3565" s="79" t="s">
        <v>5300</v>
      </c>
      <c r="G3565" s="80" t="s">
        <v>96</v>
      </c>
      <c r="H3565" s="90">
        <v>4.45E-5</v>
      </c>
      <c r="I3565" s="45"/>
      <c r="J3565" s="45"/>
      <c r="K3565" s="45"/>
      <c r="L3565" s="45"/>
      <c r="M3565" s="45"/>
      <c r="N3565" s="45"/>
      <c r="O3565" s="45"/>
      <c r="P3565" s="45"/>
      <c r="Q3565" s="45"/>
      <c r="R3565" s="45"/>
      <c r="S3565" s="45"/>
      <c r="T3565" s="45"/>
      <c r="U3565" s="45"/>
    </row>
    <row r="3566">
      <c r="A3566" s="79" t="s">
        <v>17124</v>
      </c>
      <c r="B3566" s="45"/>
      <c r="C3566" s="79" t="s">
        <v>22196</v>
      </c>
      <c r="D3566" s="45"/>
      <c r="E3566" s="79" t="s">
        <v>5401</v>
      </c>
      <c r="F3566" s="79" t="s">
        <v>9021</v>
      </c>
      <c r="G3566" s="80" t="s">
        <v>96</v>
      </c>
      <c r="H3566" s="90">
        <v>4.44E-5</v>
      </c>
      <c r="I3566" s="45"/>
      <c r="J3566" s="45"/>
      <c r="K3566" s="45"/>
      <c r="L3566" s="45"/>
      <c r="M3566" s="45"/>
      <c r="N3566" s="45"/>
      <c r="O3566" s="45"/>
      <c r="P3566" s="45"/>
      <c r="Q3566" s="45"/>
      <c r="R3566" s="45"/>
      <c r="S3566" s="45"/>
      <c r="T3566" s="45"/>
      <c r="U3566" s="45"/>
    </row>
    <row r="3567">
      <c r="A3567" s="79" t="s">
        <v>22197</v>
      </c>
      <c r="B3567" s="45"/>
      <c r="C3567" s="79" t="s">
        <v>22198</v>
      </c>
      <c r="D3567" s="45"/>
      <c r="E3567" s="79" t="s">
        <v>5321</v>
      </c>
      <c r="F3567" s="79" t="s">
        <v>5836</v>
      </c>
      <c r="G3567" s="80" t="s">
        <v>96</v>
      </c>
      <c r="H3567" s="90">
        <v>4.44E-5</v>
      </c>
      <c r="I3567" s="45"/>
      <c r="J3567" s="45"/>
      <c r="K3567" s="45"/>
      <c r="L3567" s="45"/>
      <c r="M3567" s="45"/>
      <c r="N3567" s="45"/>
      <c r="O3567" s="45"/>
      <c r="P3567" s="45"/>
      <c r="Q3567" s="45"/>
      <c r="R3567" s="45"/>
      <c r="S3567" s="45"/>
      <c r="T3567" s="45"/>
      <c r="U3567" s="45"/>
    </row>
    <row r="3568">
      <c r="A3568" s="79" t="s">
        <v>22199</v>
      </c>
      <c r="B3568" s="45"/>
      <c r="C3568" s="79" t="s">
        <v>22200</v>
      </c>
      <c r="D3568" s="45"/>
      <c r="E3568" s="79" t="s">
        <v>5326</v>
      </c>
      <c r="F3568" s="79" t="s">
        <v>5300</v>
      </c>
      <c r="G3568" s="80" t="s">
        <v>96</v>
      </c>
      <c r="H3568" s="90">
        <v>4.44E-5</v>
      </c>
      <c r="I3568" s="45"/>
      <c r="J3568" s="45"/>
      <c r="K3568" s="45"/>
      <c r="L3568" s="45"/>
      <c r="M3568" s="45"/>
      <c r="N3568" s="45"/>
      <c r="O3568" s="45"/>
      <c r="P3568" s="45"/>
      <c r="Q3568" s="45"/>
      <c r="R3568" s="45"/>
      <c r="S3568" s="45"/>
      <c r="T3568" s="45"/>
      <c r="U3568" s="45"/>
    </row>
    <row r="3569">
      <c r="A3569" s="79" t="s">
        <v>22201</v>
      </c>
      <c r="B3569" s="45"/>
      <c r="C3569" s="79" t="s">
        <v>22202</v>
      </c>
      <c r="D3569" s="45"/>
      <c r="E3569" s="79" t="s">
        <v>5868</v>
      </c>
      <c r="F3569" s="79" t="s">
        <v>5300</v>
      </c>
      <c r="G3569" s="80" t="s">
        <v>96</v>
      </c>
      <c r="H3569" s="90">
        <v>4.43E-5</v>
      </c>
      <c r="I3569" s="45"/>
      <c r="J3569" s="45"/>
      <c r="K3569" s="45"/>
      <c r="L3569" s="45"/>
      <c r="M3569" s="45"/>
      <c r="N3569" s="45"/>
      <c r="O3569" s="45"/>
      <c r="P3569" s="45"/>
      <c r="Q3569" s="45"/>
      <c r="R3569" s="45"/>
      <c r="S3569" s="45"/>
      <c r="T3569" s="45"/>
      <c r="U3569" s="45"/>
    </row>
    <row r="3570">
      <c r="A3570" s="79" t="s">
        <v>22203</v>
      </c>
      <c r="B3570" s="45"/>
      <c r="C3570" s="79" t="s">
        <v>22204</v>
      </c>
      <c r="D3570" s="45"/>
      <c r="E3570" s="79" t="s">
        <v>7251</v>
      </c>
      <c r="F3570" s="79" t="s">
        <v>8784</v>
      </c>
      <c r="G3570" s="80" t="s">
        <v>96</v>
      </c>
      <c r="H3570" s="90">
        <v>4.43E-5</v>
      </c>
      <c r="I3570" s="45"/>
      <c r="J3570" s="45"/>
      <c r="K3570" s="45"/>
      <c r="L3570" s="45"/>
      <c r="M3570" s="45"/>
      <c r="N3570" s="45"/>
      <c r="O3570" s="45"/>
      <c r="P3570" s="45"/>
      <c r="Q3570" s="45"/>
      <c r="R3570" s="45"/>
      <c r="S3570" s="45"/>
      <c r="T3570" s="45"/>
      <c r="U3570" s="45"/>
    </row>
    <row r="3571">
      <c r="A3571" s="79" t="s">
        <v>22205</v>
      </c>
      <c r="B3571" s="45"/>
      <c r="C3571" s="79" t="s">
        <v>22206</v>
      </c>
      <c r="D3571" s="45"/>
      <c r="E3571" s="79" t="s">
        <v>5291</v>
      </c>
      <c r="F3571" s="79" t="s">
        <v>5941</v>
      </c>
      <c r="G3571" s="80" t="s">
        <v>96</v>
      </c>
      <c r="H3571" s="90">
        <v>4.43E-5</v>
      </c>
      <c r="I3571" s="45"/>
      <c r="J3571" s="45"/>
      <c r="K3571" s="45"/>
      <c r="L3571" s="45"/>
      <c r="M3571" s="45"/>
      <c r="N3571" s="45"/>
      <c r="O3571" s="45"/>
      <c r="P3571" s="45"/>
      <c r="Q3571" s="45"/>
      <c r="R3571" s="45"/>
      <c r="S3571" s="45"/>
      <c r="T3571" s="45"/>
      <c r="U3571" s="45"/>
    </row>
    <row r="3572">
      <c r="A3572" s="79" t="s">
        <v>22207</v>
      </c>
      <c r="B3572" s="45"/>
      <c r="C3572" s="79" t="s">
        <v>22208</v>
      </c>
      <c r="D3572" s="45"/>
      <c r="E3572" s="79" t="s">
        <v>5382</v>
      </c>
      <c r="F3572" s="79" t="s">
        <v>8784</v>
      </c>
      <c r="G3572" s="80" t="s">
        <v>96</v>
      </c>
      <c r="H3572" s="90">
        <v>4.43E-5</v>
      </c>
      <c r="I3572" s="45"/>
      <c r="J3572" s="45"/>
      <c r="K3572" s="45"/>
      <c r="L3572" s="45"/>
      <c r="M3572" s="45"/>
      <c r="N3572" s="45"/>
      <c r="O3572" s="45"/>
      <c r="P3572" s="45"/>
      <c r="Q3572" s="45"/>
      <c r="R3572" s="45"/>
      <c r="S3572" s="45"/>
      <c r="T3572" s="45"/>
      <c r="U3572" s="45"/>
    </row>
    <row r="3573">
      <c r="A3573" s="79" t="s">
        <v>22209</v>
      </c>
      <c r="B3573" s="45"/>
      <c r="C3573" s="79" t="s">
        <v>22210</v>
      </c>
      <c r="D3573" s="45"/>
      <c r="E3573" s="79" t="s">
        <v>5382</v>
      </c>
      <c r="F3573" s="79" t="s">
        <v>8784</v>
      </c>
      <c r="G3573" s="80" t="s">
        <v>96</v>
      </c>
      <c r="H3573" s="90">
        <v>4.41E-5</v>
      </c>
      <c r="I3573" s="45"/>
      <c r="J3573" s="45"/>
      <c r="K3573" s="45"/>
      <c r="L3573" s="45"/>
      <c r="M3573" s="45"/>
      <c r="N3573" s="45"/>
      <c r="O3573" s="45"/>
      <c r="P3573" s="45"/>
      <c r="Q3573" s="45"/>
      <c r="R3573" s="45"/>
      <c r="S3573" s="45"/>
      <c r="T3573" s="45"/>
      <c r="U3573" s="45"/>
    </row>
    <row r="3574">
      <c r="A3574" s="79" t="s">
        <v>22211</v>
      </c>
      <c r="B3574" s="45"/>
      <c r="C3574" s="79" t="s">
        <v>22212</v>
      </c>
      <c r="D3574" s="45"/>
      <c r="E3574" s="79" t="s">
        <v>5516</v>
      </c>
      <c r="F3574" s="79" t="s">
        <v>8784</v>
      </c>
      <c r="G3574" s="80" t="s">
        <v>96</v>
      </c>
      <c r="H3574" s="90">
        <v>4.4E-5</v>
      </c>
      <c r="I3574" s="45"/>
      <c r="J3574" s="45"/>
      <c r="K3574" s="45"/>
      <c r="L3574" s="45"/>
      <c r="M3574" s="45"/>
      <c r="N3574" s="45"/>
      <c r="O3574" s="45"/>
      <c r="P3574" s="45"/>
      <c r="Q3574" s="45"/>
      <c r="R3574" s="45"/>
      <c r="S3574" s="45"/>
      <c r="T3574" s="45"/>
      <c r="U3574" s="45"/>
    </row>
    <row r="3575">
      <c r="A3575" s="79" t="s">
        <v>22213</v>
      </c>
      <c r="B3575" s="45"/>
      <c r="C3575" s="79" t="s">
        <v>22214</v>
      </c>
      <c r="D3575" s="45"/>
      <c r="E3575" s="79" t="s">
        <v>5650</v>
      </c>
      <c r="F3575" s="79" t="s">
        <v>8784</v>
      </c>
      <c r="G3575" s="80" t="s">
        <v>96</v>
      </c>
      <c r="H3575" s="90">
        <v>4.39E-5</v>
      </c>
      <c r="I3575" s="45"/>
      <c r="J3575" s="45"/>
      <c r="K3575" s="45"/>
      <c r="L3575" s="45"/>
      <c r="M3575" s="45"/>
      <c r="N3575" s="45"/>
      <c r="O3575" s="45"/>
      <c r="P3575" s="45"/>
      <c r="Q3575" s="45"/>
      <c r="R3575" s="45"/>
      <c r="S3575" s="45"/>
      <c r="T3575" s="45"/>
      <c r="U3575" s="45"/>
    </row>
    <row r="3576">
      <c r="A3576" s="79" t="s">
        <v>22215</v>
      </c>
      <c r="B3576" s="45"/>
      <c r="C3576" s="79" t="s">
        <v>22216</v>
      </c>
      <c r="D3576" s="45"/>
      <c r="E3576" s="79" t="s">
        <v>5516</v>
      </c>
      <c r="F3576" s="79" t="s">
        <v>5425</v>
      </c>
      <c r="G3576" s="80" t="s">
        <v>96</v>
      </c>
      <c r="H3576" s="90">
        <v>4.38E-5</v>
      </c>
      <c r="I3576" s="45"/>
      <c r="J3576" s="45"/>
      <c r="K3576" s="45"/>
      <c r="L3576" s="45"/>
      <c r="M3576" s="45"/>
      <c r="N3576" s="45"/>
      <c r="O3576" s="45"/>
      <c r="P3576" s="45"/>
      <c r="Q3576" s="45"/>
      <c r="R3576" s="45"/>
      <c r="S3576" s="45"/>
      <c r="T3576" s="45"/>
      <c r="U3576" s="45"/>
    </row>
    <row r="3577">
      <c r="A3577" s="79" t="s">
        <v>22217</v>
      </c>
      <c r="B3577" s="45"/>
      <c r="C3577" s="79" t="s">
        <v>22218</v>
      </c>
      <c r="D3577" s="45"/>
      <c r="E3577" s="79" t="s">
        <v>6514</v>
      </c>
      <c r="F3577" s="79" t="s">
        <v>5300</v>
      </c>
      <c r="G3577" s="80" t="s">
        <v>96</v>
      </c>
      <c r="H3577" s="90">
        <v>4.38E-5</v>
      </c>
      <c r="I3577" s="45"/>
      <c r="J3577" s="45"/>
      <c r="K3577" s="45"/>
      <c r="L3577" s="45"/>
      <c r="M3577" s="45"/>
      <c r="N3577" s="45"/>
      <c r="O3577" s="45"/>
      <c r="P3577" s="45"/>
      <c r="Q3577" s="45"/>
      <c r="R3577" s="45"/>
      <c r="S3577" s="45"/>
      <c r="T3577" s="45"/>
      <c r="U3577" s="45"/>
    </row>
    <row r="3578">
      <c r="A3578" s="79" t="s">
        <v>22219</v>
      </c>
      <c r="B3578" s="45"/>
      <c r="C3578" s="79" t="s">
        <v>22220</v>
      </c>
      <c r="D3578" s="45"/>
      <c r="E3578" s="79" t="s">
        <v>6427</v>
      </c>
      <c r="F3578" s="79" t="s">
        <v>8759</v>
      </c>
      <c r="G3578" s="80" t="s">
        <v>96</v>
      </c>
      <c r="H3578" s="90">
        <v>4.38E-5</v>
      </c>
      <c r="I3578" s="45"/>
      <c r="J3578" s="45"/>
      <c r="K3578" s="45"/>
      <c r="L3578" s="45"/>
      <c r="M3578" s="45"/>
      <c r="N3578" s="45"/>
      <c r="O3578" s="45"/>
      <c r="P3578" s="45"/>
      <c r="Q3578" s="45"/>
      <c r="R3578" s="45"/>
      <c r="S3578" s="45"/>
      <c r="T3578" s="45"/>
      <c r="U3578" s="45"/>
    </row>
    <row r="3579">
      <c r="A3579" s="79" t="s">
        <v>22221</v>
      </c>
      <c r="B3579" s="45"/>
      <c r="C3579" s="79" t="s">
        <v>22222</v>
      </c>
      <c r="D3579" s="45"/>
      <c r="E3579" s="79" t="s">
        <v>5374</v>
      </c>
      <c r="F3579" s="79" t="s">
        <v>4357</v>
      </c>
      <c r="G3579" s="80" t="s">
        <v>96</v>
      </c>
      <c r="H3579" s="90">
        <v>4.37E-5</v>
      </c>
      <c r="I3579" s="45"/>
      <c r="J3579" s="45"/>
      <c r="K3579" s="45"/>
      <c r="L3579" s="45"/>
      <c r="M3579" s="45"/>
      <c r="N3579" s="45"/>
      <c r="O3579" s="45"/>
      <c r="P3579" s="45"/>
      <c r="Q3579" s="45"/>
      <c r="R3579" s="45"/>
      <c r="S3579" s="45"/>
      <c r="T3579" s="45"/>
      <c r="U3579" s="45"/>
    </row>
    <row r="3580">
      <c r="A3580" s="79" t="s">
        <v>20574</v>
      </c>
      <c r="B3580" s="45"/>
      <c r="C3580" s="79" t="s">
        <v>22223</v>
      </c>
      <c r="D3580" s="45"/>
      <c r="E3580" s="79" t="s">
        <v>7248</v>
      </c>
      <c r="F3580" s="79" t="s">
        <v>5329</v>
      </c>
      <c r="G3580" s="80" t="s">
        <v>96</v>
      </c>
      <c r="H3580" s="90">
        <v>4.37E-5</v>
      </c>
      <c r="I3580" s="45"/>
      <c r="J3580" s="45"/>
      <c r="K3580" s="45"/>
      <c r="L3580" s="45"/>
      <c r="M3580" s="45"/>
      <c r="N3580" s="45"/>
      <c r="O3580" s="45"/>
      <c r="P3580" s="45"/>
      <c r="Q3580" s="45"/>
      <c r="R3580" s="45"/>
      <c r="S3580" s="45"/>
      <c r="T3580" s="45"/>
      <c r="U3580" s="45"/>
    </row>
    <row r="3581">
      <c r="A3581" s="79" t="s">
        <v>22224</v>
      </c>
      <c r="B3581" s="45"/>
      <c r="C3581" s="79" t="s">
        <v>22225</v>
      </c>
      <c r="D3581" s="45"/>
      <c r="E3581" s="79" t="s">
        <v>5267</v>
      </c>
      <c r="F3581" s="79" t="s">
        <v>8784</v>
      </c>
      <c r="G3581" s="80" t="s">
        <v>96</v>
      </c>
      <c r="H3581" s="90">
        <v>4.37E-5</v>
      </c>
      <c r="I3581" s="45"/>
      <c r="J3581" s="45"/>
      <c r="K3581" s="45"/>
      <c r="L3581" s="45"/>
      <c r="M3581" s="45"/>
      <c r="N3581" s="45"/>
      <c r="O3581" s="45"/>
      <c r="P3581" s="45"/>
      <c r="Q3581" s="45"/>
      <c r="R3581" s="45"/>
      <c r="S3581" s="45"/>
      <c r="T3581" s="45"/>
      <c r="U3581" s="45"/>
    </row>
    <row r="3582">
      <c r="A3582" s="79" t="s">
        <v>22226</v>
      </c>
      <c r="B3582" s="45"/>
      <c r="C3582" s="79" t="s">
        <v>22227</v>
      </c>
      <c r="D3582" s="45"/>
      <c r="E3582" s="79" t="s">
        <v>6487</v>
      </c>
      <c r="F3582" s="79" t="s">
        <v>5300</v>
      </c>
      <c r="G3582" s="80" t="s">
        <v>96</v>
      </c>
      <c r="H3582" s="90">
        <v>4.37E-5</v>
      </c>
      <c r="I3582" s="45"/>
      <c r="J3582" s="45"/>
      <c r="K3582" s="45"/>
      <c r="L3582" s="45"/>
      <c r="M3582" s="45"/>
      <c r="N3582" s="45"/>
      <c r="O3582" s="45"/>
      <c r="P3582" s="45"/>
      <c r="Q3582" s="45"/>
      <c r="R3582" s="45"/>
      <c r="S3582" s="45"/>
      <c r="T3582" s="45"/>
      <c r="U3582" s="45"/>
    </row>
    <row r="3583">
      <c r="A3583" s="79" t="s">
        <v>22228</v>
      </c>
      <c r="B3583" s="45"/>
      <c r="C3583" s="79" t="s">
        <v>22229</v>
      </c>
      <c r="D3583" s="45"/>
      <c r="E3583" s="79" t="s">
        <v>5478</v>
      </c>
      <c r="F3583" s="79" t="s">
        <v>5747</v>
      </c>
      <c r="G3583" s="80" t="s">
        <v>96</v>
      </c>
      <c r="H3583" s="90">
        <v>4.36E-5</v>
      </c>
      <c r="I3583" s="45"/>
      <c r="J3583" s="45"/>
      <c r="K3583" s="45"/>
      <c r="L3583" s="45"/>
      <c r="M3583" s="45"/>
      <c r="N3583" s="45"/>
      <c r="O3583" s="45"/>
      <c r="P3583" s="45"/>
      <c r="Q3583" s="45"/>
      <c r="R3583" s="45"/>
      <c r="S3583" s="45"/>
      <c r="T3583" s="45"/>
      <c r="U3583" s="45"/>
    </row>
    <row r="3584">
      <c r="A3584" s="79" t="s">
        <v>22230</v>
      </c>
      <c r="B3584" s="45"/>
      <c r="C3584" s="79" t="s">
        <v>22231</v>
      </c>
      <c r="D3584" s="45"/>
      <c r="E3584" s="79" t="s">
        <v>5407</v>
      </c>
      <c r="F3584" s="79" t="s">
        <v>5300</v>
      </c>
      <c r="G3584" s="80" t="s">
        <v>96</v>
      </c>
      <c r="H3584" s="90">
        <v>4.36E-5</v>
      </c>
      <c r="I3584" s="45"/>
      <c r="J3584" s="45"/>
      <c r="K3584" s="45"/>
      <c r="L3584" s="45"/>
      <c r="M3584" s="45"/>
      <c r="N3584" s="45"/>
      <c r="O3584" s="45"/>
      <c r="P3584" s="45"/>
      <c r="Q3584" s="45"/>
      <c r="R3584" s="45"/>
      <c r="S3584" s="45"/>
      <c r="T3584" s="45"/>
      <c r="U3584" s="45"/>
    </row>
    <row r="3585">
      <c r="A3585" s="79" t="s">
        <v>22232</v>
      </c>
      <c r="B3585" s="45"/>
      <c r="C3585" s="79" t="s">
        <v>22233</v>
      </c>
      <c r="D3585" s="45"/>
      <c r="E3585" s="79" t="s">
        <v>5280</v>
      </c>
      <c r="F3585" s="79" t="s">
        <v>5300</v>
      </c>
      <c r="G3585" s="80" t="s">
        <v>96</v>
      </c>
      <c r="H3585" s="90">
        <v>4.36E-5</v>
      </c>
      <c r="I3585" s="45"/>
      <c r="J3585" s="45"/>
      <c r="K3585" s="45"/>
      <c r="L3585" s="45"/>
      <c r="M3585" s="45"/>
      <c r="N3585" s="45"/>
      <c r="O3585" s="45"/>
      <c r="P3585" s="45"/>
      <c r="Q3585" s="45"/>
      <c r="R3585" s="45"/>
      <c r="S3585" s="45"/>
      <c r="T3585" s="45"/>
      <c r="U3585" s="45"/>
    </row>
    <row r="3586">
      <c r="A3586" s="79" t="s">
        <v>22234</v>
      </c>
      <c r="B3586" s="45"/>
      <c r="C3586" s="79" t="s">
        <v>22235</v>
      </c>
      <c r="D3586" s="45"/>
      <c r="E3586" s="79" t="s">
        <v>5395</v>
      </c>
      <c r="F3586" s="79" t="s">
        <v>5300</v>
      </c>
      <c r="G3586" s="80" t="s">
        <v>96</v>
      </c>
      <c r="H3586" s="90">
        <v>4.36E-5</v>
      </c>
      <c r="I3586" s="45"/>
      <c r="J3586" s="45"/>
      <c r="K3586" s="45"/>
      <c r="L3586" s="45"/>
      <c r="M3586" s="45"/>
      <c r="N3586" s="45"/>
      <c r="O3586" s="45"/>
      <c r="P3586" s="45"/>
      <c r="Q3586" s="45"/>
      <c r="R3586" s="45"/>
      <c r="S3586" s="45"/>
      <c r="T3586" s="45"/>
      <c r="U3586" s="45"/>
    </row>
    <row r="3587">
      <c r="A3587" s="79" t="s">
        <v>22236</v>
      </c>
      <c r="B3587" s="45"/>
      <c r="C3587" s="79" t="s">
        <v>22237</v>
      </c>
      <c r="D3587" s="45"/>
      <c r="E3587" s="79" t="s">
        <v>5377</v>
      </c>
      <c r="F3587" s="79" t="s">
        <v>8784</v>
      </c>
      <c r="G3587" s="80" t="s">
        <v>96</v>
      </c>
      <c r="H3587" s="90">
        <v>4.36E-5</v>
      </c>
      <c r="I3587" s="45"/>
      <c r="J3587" s="45"/>
      <c r="K3587" s="45"/>
      <c r="L3587" s="45"/>
      <c r="M3587" s="45"/>
      <c r="N3587" s="45"/>
      <c r="O3587" s="45"/>
      <c r="P3587" s="45"/>
      <c r="Q3587" s="45"/>
      <c r="R3587" s="45"/>
      <c r="S3587" s="45"/>
      <c r="T3587" s="45"/>
      <c r="U3587" s="45"/>
    </row>
    <row r="3588">
      <c r="A3588" s="79" t="s">
        <v>22238</v>
      </c>
      <c r="B3588" s="45"/>
      <c r="C3588" s="79" t="s">
        <v>22239</v>
      </c>
      <c r="D3588" s="45"/>
      <c r="E3588" s="79" t="s">
        <v>6389</v>
      </c>
      <c r="F3588" s="79" t="s">
        <v>5425</v>
      </c>
      <c r="G3588" s="80" t="s">
        <v>96</v>
      </c>
      <c r="H3588" s="90">
        <v>4.35E-5</v>
      </c>
      <c r="I3588" s="45"/>
      <c r="J3588" s="45"/>
      <c r="K3588" s="45"/>
      <c r="L3588" s="45"/>
      <c r="M3588" s="45"/>
      <c r="N3588" s="45"/>
      <c r="O3588" s="45"/>
      <c r="P3588" s="45"/>
      <c r="Q3588" s="45"/>
      <c r="R3588" s="45"/>
      <c r="S3588" s="45"/>
      <c r="T3588" s="45"/>
      <c r="U3588" s="45"/>
    </row>
    <row r="3589">
      <c r="A3589" s="79" t="s">
        <v>22240</v>
      </c>
      <c r="B3589" s="45"/>
      <c r="C3589" s="79" t="s">
        <v>22241</v>
      </c>
      <c r="D3589" s="45"/>
      <c r="E3589" s="79" t="s">
        <v>5715</v>
      </c>
      <c r="F3589" s="79" t="s">
        <v>5747</v>
      </c>
      <c r="G3589" s="80" t="s">
        <v>96</v>
      </c>
      <c r="H3589" s="90">
        <v>4.35E-5</v>
      </c>
      <c r="I3589" s="45"/>
      <c r="J3589" s="45"/>
      <c r="K3589" s="45"/>
      <c r="L3589" s="45"/>
      <c r="M3589" s="45"/>
      <c r="N3589" s="45"/>
      <c r="O3589" s="45"/>
      <c r="P3589" s="45"/>
      <c r="Q3589" s="45"/>
      <c r="R3589" s="45"/>
      <c r="S3589" s="45"/>
      <c r="T3589" s="45"/>
      <c r="U3589" s="45"/>
    </row>
    <row r="3590">
      <c r="A3590" s="79" t="s">
        <v>22242</v>
      </c>
      <c r="B3590" s="45"/>
      <c r="C3590" s="79" t="s">
        <v>22243</v>
      </c>
      <c r="D3590" s="45"/>
      <c r="E3590" s="79" t="s">
        <v>5390</v>
      </c>
      <c r="F3590" s="79" t="s">
        <v>9617</v>
      </c>
      <c r="G3590" s="80" t="s">
        <v>96</v>
      </c>
      <c r="H3590" s="90">
        <v>4.34E-5</v>
      </c>
      <c r="I3590" s="45"/>
      <c r="J3590" s="45"/>
      <c r="K3590" s="45"/>
      <c r="L3590" s="45"/>
      <c r="M3590" s="45"/>
      <c r="N3590" s="45"/>
      <c r="O3590" s="45"/>
      <c r="P3590" s="45"/>
      <c r="Q3590" s="45"/>
      <c r="R3590" s="45"/>
      <c r="S3590" s="45"/>
      <c r="T3590" s="45"/>
      <c r="U3590" s="45"/>
    </row>
    <row r="3591">
      <c r="A3591" s="79" t="s">
        <v>22244</v>
      </c>
      <c r="B3591" s="45"/>
      <c r="C3591" s="79" t="s">
        <v>22245</v>
      </c>
      <c r="D3591" s="45"/>
      <c r="E3591" s="79" t="s">
        <v>5775</v>
      </c>
      <c r="F3591" s="79" t="s">
        <v>5927</v>
      </c>
      <c r="G3591" s="80" t="s">
        <v>96</v>
      </c>
      <c r="H3591" s="90">
        <v>4.34E-5</v>
      </c>
      <c r="I3591" s="45"/>
      <c r="J3591" s="45"/>
      <c r="K3591" s="45"/>
      <c r="L3591" s="45"/>
      <c r="M3591" s="45"/>
      <c r="N3591" s="45"/>
      <c r="O3591" s="45"/>
      <c r="P3591" s="45"/>
      <c r="Q3591" s="45"/>
      <c r="R3591" s="45"/>
      <c r="S3591" s="45"/>
      <c r="T3591" s="45"/>
      <c r="U3591" s="45"/>
    </row>
    <row r="3592">
      <c r="A3592" s="79" t="s">
        <v>22246</v>
      </c>
      <c r="B3592" s="45"/>
      <c r="C3592" s="79" t="s">
        <v>22247</v>
      </c>
      <c r="D3592" s="45"/>
      <c r="E3592" s="79" t="s">
        <v>5434</v>
      </c>
      <c r="F3592" s="79" t="s">
        <v>6220</v>
      </c>
      <c r="G3592" s="80" t="s">
        <v>96</v>
      </c>
      <c r="H3592" s="90">
        <v>4.33E-5</v>
      </c>
      <c r="I3592" s="45"/>
      <c r="J3592" s="45"/>
      <c r="K3592" s="45"/>
      <c r="L3592" s="45"/>
      <c r="M3592" s="45"/>
      <c r="N3592" s="45"/>
      <c r="O3592" s="45"/>
      <c r="P3592" s="45"/>
      <c r="Q3592" s="45"/>
      <c r="R3592" s="45"/>
      <c r="S3592" s="45"/>
      <c r="T3592" s="45"/>
      <c r="U3592" s="45"/>
    </row>
    <row r="3593">
      <c r="A3593" s="79" t="s">
        <v>22248</v>
      </c>
      <c r="B3593" s="45"/>
      <c r="C3593" s="79" t="s">
        <v>22249</v>
      </c>
      <c r="D3593" s="45"/>
      <c r="E3593" s="79" t="s">
        <v>5735</v>
      </c>
      <c r="F3593" s="79" t="s">
        <v>8784</v>
      </c>
      <c r="G3593" s="80" t="s">
        <v>96</v>
      </c>
      <c r="H3593" s="90">
        <v>4.33E-5</v>
      </c>
      <c r="I3593" s="45"/>
      <c r="J3593" s="45"/>
      <c r="K3593" s="45"/>
      <c r="L3593" s="45"/>
      <c r="M3593" s="45"/>
      <c r="N3593" s="45"/>
      <c r="O3593" s="45"/>
      <c r="P3593" s="45"/>
      <c r="Q3593" s="45"/>
      <c r="R3593" s="45"/>
      <c r="S3593" s="45"/>
      <c r="T3593" s="45"/>
      <c r="U3593" s="45"/>
    </row>
    <row r="3594">
      <c r="A3594" s="79" t="s">
        <v>22250</v>
      </c>
      <c r="B3594" s="45"/>
      <c r="C3594" s="79" t="s">
        <v>22251</v>
      </c>
      <c r="D3594" s="45"/>
      <c r="E3594" s="79" t="s">
        <v>6238</v>
      </c>
      <c r="F3594" s="79" t="s">
        <v>5300</v>
      </c>
      <c r="G3594" s="80" t="s">
        <v>96</v>
      </c>
      <c r="H3594" s="90">
        <v>4.33E-5</v>
      </c>
      <c r="I3594" s="45"/>
      <c r="J3594" s="45"/>
      <c r="K3594" s="45"/>
      <c r="L3594" s="45"/>
      <c r="M3594" s="45"/>
      <c r="N3594" s="45"/>
      <c r="O3594" s="45"/>
      <c r="P3594" s="45"/>
      <c r="Q3594" s="45"/>
      <c r="R3594" s="45"/>
      <c r="S3594" s="45"/>
      <c r="T3594" s="45"/>
      <c r="U3594" s="45"/>
    </row>
    <row r="3595">
      <c r="A3595" s="79" t="s">
        <v>22252</v>
      </c>
      <c r="B3595" s="45"/>
      <c r="C3595" s="79" t="s">
        <v>22253</v>
      </c>
      <c r="D3595" s="45"/>
      <c r="E3595" s="79" t="s">
        <v>5374</v>
      </c>
      <c r="F3595" s="79" t="s">
        <v>5836</v>
      </c>
      <c r="G3595" s="80" t="s">
        <v>96</v>
      </c>
      <c r="H3595" s="90">
        <v>4.32E-5</v>
      </c>
      <c r="I3595" s="45"/>
      <c r="J3595" s="45"/>
      <c r="K3595" s="45"/>
      <c r="L3595" s="45"/>
      <c r="M3595" s="45"/>
      <c r="N3595" s="45"/>
      <c r="O3595" s="45"/>
      <c r="P3595" s="45"/>
      <c r="Q3595" s="45"/>
      <c r="R3595" s="45"/>
      <c r="S3595" s="45"/>
      <c r="T3595" s="45"/>
      <c r="U3595" s="45"/>
    </row>
    <row r="3596">
      <c r="A3596" s="79" t="s">
        <v>22254</v>
      </c>
      <c r="B3596" s="45"/>
      <c r="C3596" s="79" t="s">
        <v>22255</v>
      </c>
      <c r="D3596" s="45"/>
      <c r="E3596" s="79" t="s">
        <v>5561</v>
      </c>
      <c r="F3596" s="79" t="s">
        <v>8784</v>
      </c>
      <c r="G3596" s="80" t="s">
        <v>96</v>
      </c>
      <c r="H3596" s="90">
        <v>4.32E-5</v>
      </c>
      <c r="I3596" s="45"/>
      <c r="J3596" s="45"/>
      <c r="K3596" s="45"/>
      <c r="L3596" s="45"/>
      <c r="M3596" s="45"/>
      <c r="N3596" s="45"/>
      <c r="O3596" s="45"/>
      <c r="P3596" s="45"/>
      <c r="Q3596" s="45"/>
      <c r="R3596" s="45"/>
      <c r="S3596" s="45"/>
      <c r="T3596" s="45"/>
      <c r="U3596" s="45"/>
    </row>
    <row r="3597">
      <c r="A3597" s="79" t="s">
        <v>22256</v>
      </c>
      <c r="B3597" s="45"/>
      <c r="C3597" s="79" t="s">
        <v>22257</v>
      </c>
      <c r="D3597" s="45"/>
      <c r="E3597" s="79" t="s">
        <v>5235</v>
      </c>
      <c r="F3597" s="79" t="s">
        <v>8784</v>
      </c>
      <c r="G3597" s="80" t="s">
        <v>96</v>
      </c>
      <c r="H3597" s="90">
        <v>4.32E-5</v>
      </c>
      <c r="I3597" s="45"/>
      <c r="J3597" s="45"/>
      <c r="K3597" s="45"/>
      <c r="L3597" s="45"/>
      <c r="M3597" s="45"/>
      <c r="N3597" s="45"/>
      <c r="O3597" s="45"/>
      <c r="P3597" s="45"/>
      <c r="Q3597" s="45"/>
      <c r="R3597" s="45"/>
      <c r="S3597" s="45"/>
      <c r="T3597" s="45"/>
      <c r="U3597" s="45"/>
    </row>
    <row r="3598">
      <c r="A3598" s="79" t="s">
        <v>22258</v>
      </c>
      <c r="B3598" s="45"/>
      <c r="C3598" s="79" t="s">
        <v>22259</v>
      </c>
      <c r="D3598" s="45"/>
      <c r="E3598" s="79" t="s">
        <v>5261</v>
      </c>
      <c r="F3598" s="79" t="s">
        <v>5300</v>
      </c>
      <c r="G3598" s="80" t="s">
        <v>96</v>
      </c>
      <c r="H3598" s="90">
        <v>4.32E-5</v>
      </c>
      <c r="I3598" s="45"/>
      <c r="J3598" s="45"/>
      <c r="K3598" s="45"/>
      <c r="L3598" s="45"/>
      <c r="M3598" s="45"/>
      <c r="N3598" s="45"/>
      <c r="O3598" s="45"/>
      <c r="P3598" s="45"/>
      <c r="Q3598" s="45"/>
      <c r="R3598" s="45"/>
      <c r="S3598" s="45"/>
      <c r="T3598" s="45"/>
      <c r="U3598" s="45"/>
    </row>
    <row r="3599">
      <c r="A3599" s="79" t="s">
        <v>22260</v>
      </c>
      <c r="B3599" s="45"/>
      <c r="C3599" s="79" t="s">
        <v>22261</v>
      </c>
      <c r="D3599" s="45"/>
      <c r="E3599" s="79" t="s">
        <v>5326</v>
      </c>
      <c r="F3599" s="79" t="s">
        <v>8784</v>
      </c>
      <c r="G3599" s="80" t="s">
        <v>96</v>
      </c>
      <c r="H3599" s="90">
        <v>4.32E-5</v>
      </c>
      <c r="I3599" s="45"/>
      <c r="J3599" s="45"/>
      <c r="K3599" s="45"/>
      <c r="L3599" s="45"/>
      <c r="M3599" s="45"/>
      <c r="N3599" s="45"/>
      <c r="O3599" s="45"/>
      <c r="P3599" s="45"/>
      <c r="Q3599" s="45"/>
      <c r="R3599" s="45"/>
      <c r="S3599" s="45"/>
      <c r="T3599" s="45"/>
      <c r="U3599" s="45"/>
    </row>
    <row r="3600">
      <c r="A3600" s="79" t="s">
        <v>22262</v>
      </c>
      <c r="B3600" s="45"/>
      <c r="C3600" s="79" t="s">
        <v>22263</v>
      </c>
      <c r="D3600" s="45"/>
      <c r="E3600" s="79" t="s">
        <v>5578</v>
      </c>
      <c r="F3600" s="79" t="s">
        <v>5425</v>
      </c>
      <c r="G3600" s="80" t="s">
        <v>96</v>
      </c>
      <c r="H3600" s="90">
        <v>4.31E-5</v>
      </c>
      <c r="I3600" s="45"/>
      <c r="J3600" s="45"/>
      <c r="K3600" s="45"/>
      <c r="L3600" s="45"/>
      <c r="M3600" s="45"/>
      <c r="N3600" s="45"/>
      <c r="O3600" s="45"/>
      <c r="P3600" s="45"/>
      <c r="Q3600" s="45"/>
      <c r="R3600" s="45"/>
      <c r="S3600" s="45"/>
      <c r="T3600" s="45"/>
      <c r="U3600" s="45"/>
    </row>
    <row r="3601">
      <c r="A3601" s="79" t="s">
        <v>22264</v>
      </c>
      <c r="B3601" s="45"/>
      <c r="C3601" s="79" t="s">
        <v>22265</v>
      </c>
      <c r="D3601" s="45"/>
      <c r="E3601" s="79" t="s">
        <v>5283</v>
      </c>
      <c r="F3601" s="79" t="s">
        <v>9414</v>
      </c>
      <c r="G3601" s="80" t="s">
        <v>96</v>
      </c>
      <c r="H3601" s="90">
        <v>4.31E-5</v>
      </c>
      <c r="I3601" s="45"/>
      <c r="J3601" s="45"/>
      <c r="K3601" s="45"/>
      <c r="L3601" s="45"/>
      <c r="M3601" s="45"/>
      <c r="N3601" s="45"/>
      <c r="O3601" s="45"/>
      <c r="P3601" s="45"/>
      <c r="Q3601" s="45"/>
      <c r="R3601" s="45"/>
      <c r="S3601" s="45"/>
      <c r="T3601" s="45"/>
      <c r="U3601" s="45"/>
    </row>
    <row r="3602">
      <c r="A3602" s="79" t="s">
        <v>22266</v>
      </c>
      <c r="B3602" s="45"/>
      <c r="C3602" s="79" t="s">
        <v>22267</v>
      </c>
      <c r="D3602" s="45"/>
      <c r="E3602" s="79" t="s">
        <v>5291</v>
      </c>
      <c r="F3602" s="79" t="s">
        <v>5836</v>
      </c>
      <c r="G3602" s="80" t="s">
        <v>96</v>
      </c>
      <c r="H3602" s="90">
        <v>4.31E-5</v>
      </c>
      <c r="I3602" s="45"/>
      <c r="J3602" s="45"/>
      <c r="K3602" s="45"/>
      <c r="L3602" s="45"/>
      <c r="M3602" s="45"/>
      <c r="N3602" s="45"/>
      <c r="O3602" s="45"/>
      <c r="P3602" s="45"/>
      <c r="Q3602" s="45"/>
      <c r="R3602" s="45"/>
      <c r="S3602" s="45"/>
      <c r="T3602" s="45"/>
      <c r="U3602" s="45"/>
    </row>
    <row r="3603">
      <c r="A3603" s="79" t="s">
        <v>22268</v>
      </c>
      <c r="B3603" s="45"/>
      <c r="C3603" s="79" t="s">
        <v>22269</v>
      </c>
      <c r="D3603" s="45"/>
      <c r="E3603" s="79" t="s">
        <v>5218</v>
      </c>
      <c r="F3603" s="79" t="s">
        <v>8784</v>
      </c>
      <c r="G3603" s="80" t="s">
        <v>96</v>
      </c>
      <c r="H3603" s="90">
        <v>4.31E-5</v>
      </c>
      <c r="I3603" s="45"/>
      <c r="J3603" s="45"/>
      <c r="K3603" s="45"/>
      <c r="L3603" s="45"/>
      <c r="M3603" s="45"/>
      <c r="N3603" s="45"/>
      <c r="O3603" s="45"/>
      <c r="P3603" s="45"/>
      <c r="Q3603" s="45"/>
      <c r="R3603" s="45"/>
      <c r="S3603" s="45"/>
      <c r="T3603" s="45"/>
      <c r="U3603" s="45"/>
    </row>
    <row r="3604">
      <c r="A3604" s="79" t="s">
        <v>22270</v>
      </c>
      <c r="B3604" s="45"/>
      <c r="C3604" s="79" t="s">
        <v>22271</v>
      </c>
      <c r="D3604" s="45"/>
      <c r="E3604" s="79" t="s">
        <v>18901</v>
      </c>
      <c r="F3604" s="79" t="s">
        <v>9021</v>
      </c>
      <c r="G3604" s="80" t="s">
        <v>96</v>
      </c>
      <c r="H3604" s="90">
        <v>4.31E-5</v>
      </c>
      <c r="I3604" s="45"/>
      <c r="J3604" s="45"/>
      <c r="K3604" s="45"/>
      <c r="L3604" s="45"/>
      <c r="M3604" s="45"/>
      <c r="N3604" s="45"/>
      <c r="O3604" s="45"/>
      <c r="P3604" s="45"/>
      <c r="Q3604" s="45"/>
      <c r="R3604" s="45"/>
      <c r="S3604" s="45"/>
      <c r="T3604" s="45"/>
      <c r="U3604" s="45"/>
    </row>
    <row r="3605">
      <c r="A3605" s="79" t="s">
        <v>22272</v>
      </c>
      <c r="B3605" s="45"/>
      <c r="C3605" s="79" t="s">
        <v>22273</v>
      </c>
      <c r="D3605" s="45"/>
      <c r="E3605" s="79" t="s">
        <v>5366</v>
      </c>
      <c r="F3605" s="79" t="s">
        <v>8784</v>
      </c>
      <c r="G3605" s="80" t="s">
        <v>96</v>
      </c>
      <c r="H3605" s="90">
        <v>4.3E-5</v>
      </c>
      <c r="I3605" s="45"/>
      <c r="J3605" s="45"/>
      <c r="K3605" s="45"/>
      <c r="L3605" s="45"/>
      <c r="M3605" s="45"/>
      <c r="N3605" s="45"/>
      <c r="O3605" s="45"/>
      <c r="P3605" s="45"/>
      <c r="Q3605" s="45"/>
      <c r="R3605" s="45"/>
      <c r="S3605" s="45"/>
      <c r="T3605" s="45"/>
      <c r="U3605" s="45"/>
    </row>
    <row r="3606">
      <c r="A3606" s="79" t="s">
        <v>22274</v>
      </c>
      <c r="B3606" s="45"/>
      <c r="C3606" s="79" t="s">
        <v>22275</v>
      </c>
      <c r="D3606" s="45"/>
      <c r="E3606" s="79" t="s">
        <v>9478</v>
      </c>
      <c r="F3606" s="79" t="s">
        <v>8784</v>
      </c>
      <c r="G3606" s="80" t="s">
        <v>96</v>
      </c>
      <c r="H3606" s="90">
        <v>4.29E-5</v>
      </c>
      <c r="I3606" s="45"/>
      <c r="J3606" s="45"/>
      <c r="K3606" s="45"/>
      <c r="L3606" s="45"/>
      <c r="M3606" s="45"/>
      <c r="N3606" s="45"/>
      <c r="O3606" s="45"/>
      <c r="P3606" s="45"/>
      <c r="Q3606" s="45"/>
      <c r="R3606" s="45"/>
      <c r="S3606" s="45"/>
      <c r="T3606" s="45"/>
      <c r="U3606" s="45"/>
    </row>
    <row r="3607">
      <c r="A3607" s="79" t="s">
        <v>16585</v>
      </c>
      <c r="B3607" s="45"/>
      <c r="C3607" s="79" t="s">
        <v>22276</v>
      </c>
      <c r="D3607" s="45"/>
      <c r="E3607" s="79" t="s">
        <v>6327</v>
      </c>
      <c r="F3607" s="79" t="s">
        <v>9908</v>
      </c>
      <c r="G3607" s="80" t="s">
        <v>96</v>
      </c>
      <c r="H3607" s="90">
        <v>4.28E-5</v>
      </c>
      <c r="I3607" s="45"/>
      <c r="J3607" s="45"/>
      <c r="K3607" s="45"/>
      <c r="L3607" s="45"/>
      <c r="M3607" s="45"/>
      <c r="N3607" s="45"/>
      <c r="O3607" s="45"/>
      <c r="P3607" s="45"/>
      <c r="Q3607" s="45"/>
      <c r="R3607" s="45"/>
      <c r="S3607" s="45"/>
      <c r="T3607" s="45"/>
      <c r="U3607" s="45"/>
    </row>
    <row r="3608">
      <c r="A3608" s="79" t="s">
        <v>22277</v>
      </c>
      <c r="B3608" s="45"/>
      <c r="C3608" s="79" t="s">
        <v>22278</v>
      </c>
      <c r="D3608" s="45"/>
      <c r="E3608" s="79" t="s">
        <v>5326</v>
      </c>
      <c r="F3608" s="79" t="s">
        <v>5300</v>
      </c>
      <c r="G3608" s="80" t="s">
        <v>96</v>
      </c>
      <c r="H3608" s="90">
        <v>4.27E-5</v>
      </c>
      <c r="I3608" s="45"/>
      <c r="J3608" s="45"/>
      <c r="K3608" s="45"/>
      <c r="L3608" s="45"/>
      <c r="M3608" s="45"/>
      <c r="N3608" s="45"/>
      <c r="O3608" s="45"/>
      <c r="P3608" s="45"/>
      <c r="Q3608" s="45"/>
      <c r="R3608" s="45"/>
      <c r="S3608" s="45"/>
      <c r="T3608" s="45"/>
      <c r="U3608" s="45"/>
    </row>
    <row r="3609">
      <c r="A3609" s="79" t="s">
        <v>22279</v>
      </c>
      <c r="B3609" s="45"/>
      <c r="C3609" s="79" t="s">
        <v>22280</v>
      </c>
      <c r="D3609" s="45"/>
      <c r="E3609" s="79" t="s">
        <v>6172</v>
      </c>
      <c r="F3609" s="79" t="s">
        <v>9908</v>
      </c>
      <c r="G3609" s="80" t="s">
        <v>96</v>
      </c>
      <c r="H3609" s="90">
        <v>4.27E-5</v>
      </c>
      <c r="I3609" s="45"/>
      <c r="J3609" s="45"/>
      <c r="K3609" s="45"/>
      <c r="L3609" s="45"/>
      <c r="M3609" s="45"/>
      <c r="N3609" s="45"/>
      <c r="O3609" s="45"/>
      <c r="P3609" s="45"/>
      <c r="Q3609" s="45"/>
      <c r="R3609" s="45"/>
      <c r="S3609" s="45"/>
      <c r="T3609" s="45"/>
      <c r="U3609" s="45"/>
    </row>
    <row r="3610">
      <c r="A3610" s="79" t="s">
        <v>22281</v>
      </c>
      <c r="B3610" s="45"/>
      <c r="C3610" s="79" t="s">
        <v>22282</v>
      </c>
      <c r="D3610" s="45"/>
      <c r="E3610" s="79" t="s">
        <v>5390</v>
      </c>
      <c r="F3610" s="79" t="s">
        <v>8784</v>
      </c>
      <c r="G3610" s="80" t="s">
        <v>96</v>
      </c>
      <c r="H3610" s="90">
        <v>4.27E-5</v>
      </c>
      <c r="I3610" s="45"/>
      <c r="J3610" s="45"/>
      <c r="K3610" s="45"/>
      <c r="L3610" s="45"/>
      <c r="M3610" s="45"/>
      <c r="N3610" s="45"/>
      <c r="O3610" s="45"/>
      <c r="P3610" s="45"/>
      <c r="Q3610" s="45"/>
      <c r="R3610" s="45"/>
      <c r="S3610" s="45"/>
      <c r="T3610" s="45"/>
      <c r="U3610" s="45"/>
    </row>
    <row r="3611">
      <c r="A3611" s="79" t="s">
        <v>22283</v>
      </c>
      <c r="B3611" s="45"/>
      <c r="C3611" s="79" t="s">
        <v>22284</v>
      </c>
      <c r="D3611" s="45"/>
      <c r="E3611" s="79" t="s">
        <v>5377</v>
      </c>
      <c r="F3611" s="79" t="s">
        <v>8784</v>
      </c>
      <c r="G3611" s="80" t="s">
        <v>96</v>
      </c>
      <c r="H3611" s="90">
        <v>4.27E-5</v>
      </c>
      <c r="I3611" s="45"/>
      <c r="J3611" s="45"/>
      <c r="K3611" s="45"/>
      <c r="L3611" s="45"/>
      <c r="M3611" s="45"/>
      <c r="N3611" s="45"/>
      <c r="O3611" s="45"/>
      <c r="P3611" s="45"/>
      <c r="Q3611" s="45"/>
      <c r="R3611" s="45"/>
      <c r="S3611" s="45"/>
      <c r="T3611" s="45"/>
      <c r="U3611" s="45"/>
    </row>
    <row r="3612">
      <c r="A3612" s="79" t="s">
        <v>22285</v>
      </c>
      <c r="B3612" s="45"/>
      <c r="C3612" s="79" t="s">
        <v>22286</v>
      </c>
      <c r="D3612" s="45"/>
      <c r="E3612" s="79" t="s">
        <v>8951</v>
      </c>
      <c r="F3612" s="79" t="s">
        <v>8784</v>
      </c>
      <c r="G3612" s="80" t="s">
        <v>96</v>
      </c>
      <c r="H3612" s="90">
        <v>4.26E-5</v>
      </c>
      <c r="I3612" s="45"/>
      <c r="J3612" s="45"/>
      <c r="K3612" s="45"/>
      <c r="L3612" s="45"/>
      <c r="M3612" s="45"/>
      <c r="N3612" s="45"/>
      <c r="O3612" s="45"/>
      <c r="P3612" s="45"/>
      <c r="Q3612" s="45"/>
      <c r="R3612" s="45"/>
      <c r="S3612" s="45"/>
      <c r="T3612" s="45"/>
      <c r="U3612" s="45"/>
    </row>
    <row r="3613">
      <c r="A3613" s="79" t="s">
        <v>22287</v>
      </c>
      <c r="B3613" s="45"/>
      <c r="C3613" s="79" t="s">
        <v>22288</v>
      </c>
      <c r="D3613" s="45"/>
      <c r="E3613" s="79" t="s">
        <v>6947</v>
      </c>
      <c r="F3613" s="79" t="s">
        <v>4357</v>
      </c>
      <c r="G3613" s="80" t="s">
        <v>96</v>
      </c>
      <c r="H3613" s="90">
        <v>4.25E-5</v>
      </c>
      <c r="I3613" s="45"/>
      <c r="J3613" s="45"/>
      <c r="K3613" s="45"/>
      <c r="L3613" s="45"/>
      <c r="M3613" s="45"/>
      <c r="N3613" s="45"/>
      <c r="O3613" s="45"/>
      <c r="P3613" s="45"/>
      <c r="Q3613" s="45"/>
      <c r="R3613" s="45"/>
      <c r="S3613" s="45"/>
      <c r="T3613" s="45"/>
      <c r="U3613" s="45"/>
    </row>
    <row r="3614">
      <c r="A3614" s="79" t="s">
        <v>22289</v>
      </c>
      <c r="B3614" s="45"/>
      <c r="C3614" s="79" t="s">
        <v>22290</v>
      </c>
      <c r="D3614" s="45"/>
      <c r="E3614" s="79" t="s">
        <v>8154</v>
      </c>
      <c r="F3614" s="79" t="s">
        <v>8784</v>
      </c>
      <c r="G3614" s="80" t="s">
        <v>96</v>
      </c>
      <c r="H3614" s="90">
        <v>4.25E-5</v>
      </c>
      <c r="I3614" s="45"/>
      <c r="J3614" s="45"/>
      <c r="K3614" s="45"/>
      <c r="L3614" s="45"/>
      <c r="M3614" s="45"/>
      <c r="N3614" s="45"/>
      <c r="O3614" s="45"/>
      <c r="P3614" s="45"/>
      <c r="Q3614" s="45"/>
      <c r="R3614" s="45"/>
      <c r="S3614" s="45"/>
      <c r="T3614" s="45"/>
      <c r="U3614" s="45"/>
    </row>
    <row r="3615">
      <c r="A3615" s="79" t="s">
        <v>22291</v>
      </c>
      <c r="B3615" s="45"/>
      <c r="C3615" s="79" t="s">
        <v>22292</v>
      </c>
      <c r="D3615" s="45"/>
      <c r="E3615" s="79" t="s">
        <v>5456</v>
      </c>
      <c r="F3615" s="79" t="s">
        <v>5425</v>
      </c>
      <c r="G3615" s="80" t="s">
        <v>96</v>
      </c>
      <c r="H3615" s="90">
        <v>4.24E-5</v>
      </c>
      <c r="I3615" s="45"/>
      <c r="J3615" s="45"/>
      <c r="K3615" s="45"/>
      <c r="L3615" s="45"/>
      <c r="M3615" s="45"/>
      <c r="N3615" s="45"/>
      <c r="O3615" s="45"/>
      <c r="P3615" s="45"/>
      <c r="Q3615" s="45"/>
      <c r="R3615" s="45"/>
      <c r="S3615" s="45"/>
      <c r="T3615" s="45"/>
      <c r="U3615" s="45"/>
    </row>
    <row r="3616">
      <c r="A3616" s="79" t="s">
        <v>22293</v>
      </c>
      <c r="B3616" s="45"/>
      <c r="C3616" s="79" t="s">
        <v>22294</v>
      </c>
      <c r="D3616" s="45"/>
      <c r="E3616" s="79" t="s">
        <v>5691</v>
      </c>
      <c r="F3616" s="79" t="s">
        <v>5300</v>
      </c>
      <c r="G3616" s="80" t="s">
        <v>96</v>
      </c>
      <c r="H3616" s="90">
        <v>4.24E-5</v>
      </c>
      <c r="I3616" s="45"/>
      <c r="J3616" s="45"/>
      <c r="K3616" s="45"/>
      <c r="L3616" s="45"/>
      <c r="M3616" s="45"/>
      <c r="N3616" s="45"/>
      <c r="O3616" s="45"/>
      <c r="P3616" s="45"/>
      <c r="Q3616" s="45"/>
      <c r="R3616" s="45"/>
      <c r="S3616" s="45"/>
      <c r="T3616" s="45"/>
      <c r="U3616" s="45"/>
    </row>
    <row r="3617">
      <c r="A3617" s="79" t="s">
        <v>22295</v>
      </c>
      <c r="B3617" s="45"/>
      <c r="C3617" s="79" t="s">
        <v>22296</v>
      </c>
      <c r="D3617" s="45"/>
      <c r="E3617" s="79" t="s">
        <v>5229</v>
      </c>
      <c r="F3617" s="79" t="s">
        <v>4357</v>
      </c>
      <c r="G3617" s="80" t="s">
        <v>96</v>
      </c>
      <c r="H3617" s="90">
        <v>4.23E-5</v>
      </c>
      <c r="I3617" s="45"/>
      <c r="J3617" s="45"/>
      <c r="K3617" s="45"/>
      <c r="L3617" s="45"/>
      <c r="M3617" s="45"/>
      <c r="N3617" s="45"/>
      <c r="O3617" s="45"/>
      <c r="P3617" s="45"/>
      <c r="Q3617" s="45"/>
      <c r="R3617" s="45"/>
      <c r="S3617" s="45"/>
      <c r="T3617" s="45"/>
      <c r="U3617" s="45"/>
    </row>
    <row r="3618">
      <c r="A3618" s="79" t="s">
        <v>22297</v>
      </c>
      <c r="B3618" s="45"/>
      <c r="C3618" s="79" t="s">
        <v>22298</v>
      </c>
      <c r="D3618" s="45"/>
      <c r="E3618" s="79" t="s">
        <v>5366</v>
      </c>
      <c r="F3618" s="79" t="s">
        <v>8784</v>
      </c>
      <c r="G3618" s="80" t="s">
        <v>96</v>
      </c>
      <c r="H3618" s="90">
        <v>4.23E-5</v>
      </c>
      <c r="I3618" s="45"/>
      <c r="J3618" s="45"/>
      <c r="K3618" s="45"/>
      <c r="L3618" s="45"/>
      <c r="M3618" s="45"/>
      <c r="N3618" s="45"/>
      <c r="O3618" s="45"/>
      <c r="P3618" s="45"/>
      <c r="Q3618" s="45"/>
      <c r="R3618" s="45"/>
      <c r="S3618" s="45"/>
      <c r="T3618" s="45"/>
      <c r="U3618" s="45"/>
    </row>
    <row r="3619">
      <c r="A3619" s="79" t="s">
        <v>22299</v>
      </c>
      <c r="B3619" s="45"/>
      <c r="C3619" s="79" t="s">
        <v>22300</v>
      </c>
      <c r="D3619" s="45"/>
      <c r="E3619" s="79" t="s">
        <v>5321</v>
      </c>
      <c r="F3619" s="79" t="s">
        <v>8784</v>
      </c>
      <c r="G3619" s="80" t="s">
        <v>96</v>
      </c>
      <c r="H3619" s="90">
        <v>4.23E-5</v>
      </c>
      <c r="I3619" s="45"/>
      <c r="J3619" s="45"/>
      <c r="K3619" s="45"/>
      <c r="L3619" s="45"/>
      <c r="M3619" s="45"/>
      <c r="N3619" s="45"/>
      <c r="O3619" s="45"/>
      <c r="P3619" s="45"/>
      <c r="Q3619" s="45"/>
      <c r="R3619" s="45"/>
      <c r="S3619" s="45"/>
      <c r="T3619" s="45"/>
      <c r="U3619" s="45"/>
    </row>
    <row r="3620">
      <c r="A3620" s="79" t="s">
        <v>22301</v>
      </c>
      <c r="B3620" s="45"/>
      <c r="C3620" s="79" t="s">
        <v>22302</v>
      </c>
      <c r="D3620" s="45"/>
      <c r="E3620" s="79" t="s">
        <v>5215</v>
      </c>
      <c r="F3620" s="79" t="s">
        <v>8784</v>
      </c>
      <c r="G3620" s="80" t="s">
        <v>96</v>
      </c>
      <c r="H3620" s="90">
        <v>4.23E-5</v>
      </c>
      <c r="I3620" s="45"/>
      <c r="J3620" s="45"/>
      <c r="K3620" s="45"/>
      <c r="L3620" s="45"/>
      <c r="M3620" s="45"/>
      <c r="N3620" s="45"/>
      <c r="O3620" s="45"/>
      <c r="P3620" s="45"/>
      <c r="Q3620" s="45"/>
      <c r="R3620" s="45"/>
      <c r="S3620" s="45"/>
      <c r="T3620" s="45"/>
      <c r="U3620" s="45"/>
    </row>
    <row r="3621">
      <c r="A3621" s="79" t="s">
        <v>22303</v>
      </c>
      <c r="B3621" s="45"/>
      <c r="C3621" s="79" t="s">
        <v>22304</v>
      </c>
      <c r="D3621" s="45"/>
      <c r="E3621" s="79" t="s">
        <v>5513</v>
      </c>
      <c r="F3621" s="79" t="s">
        <v>9513</v>
      </c>
      <c r="G3621" s="80" t="s">
        <v>96</v>
      </c>
      <c r="H3621" s="90">
        <v>4.22E-5</v>
      </c>
      <c r="I3621" s="45"/>
      <c r="J3621" s="45"/>
      <c r="K3621" s="45"/>
      <c r="L3621" s="45"/>
      <c r="M3621" s="45"/>
      <c r="N3621" s="45"/>
      <c r="O3621" s="45"/>
      <c r="P3621" s="45"/>
      <c r="Q3621" s="45"/>
      <c r="R3621" s="45"/>
      <c r="S3621" s="45"/>
      <c r="T3621" s="45"/>
      <c r="U3621" s="45"/>
    </row>
    <row r="3622">
      <c r="A3622" s="79" t="s">
        <v>17895</v>
      </c>
      <c r="B3622" s="45"/>
      <c r="C3622" s="79" t="s">
        <v>22305</v>
      </c>
      <c r="D3622" s="45"/>
      <c r="E3622" s="79" t="s">
        <v>5291</v>
      </c>
      <c r="F3622" s="79" t="s">
        <v>4436</v>
      </c>
      <c r="G3622" s="80" t="s">
        <v>96</v>
      </c>
      <c r="H3622" s="90">
        <v>4.22E-5</v>
      </c>
      <c r="I3622" s="45"/>
      <c r="J3622" s="45"/>
      <c r="K3622" s="45"/>
      <c r="L3622" s="45"/>
      <c r="M3622" s="45"/>
      <c r="N3622" s="45"/>
      <c r="O3622" s="45"/>
      <c r="P3622" s="45"/>
      <c r="Q3622" s="45"/>
      <c r="R3622" s="45"/>
      <c r="S3622" s="45"/>
      <c r="T3622" s="45"/>
      <c r="U3622" s="45"/>
    </row>
    <row r="3623">
      <c r="A3623" s="79" t="s">
        <v>22306</v>
      </c>
      <c r="B3623" s="45"/>
      <c r="C3623" s="79" t="s">
        <v>22307</v>
      </c>
      <c r="D3623" s="45"/>
      <c r="E3623" s="79" t="s">
        <v>5218</v>
      </c>
      <c r="F3623" s="79" t="s">
        <v>6988</v>
      </c>
      <c r="G3623" s="80" t="s">
        <v>96</v>
      </c>
      <c r="H3623" s="90">
        <v>4.22E-5</v>
      </c>
      <c r="I3623" s="45"/>
      <c r="J3623" s="45"/>
      <c r="K3623" s="45"/>
      <c r="L3623" s="45"/>
      <c r="M3623" s="45"/>
      <c r="N3623" s="45"/>
      <c r="O3623" s="45"/>
      <c r="P3623" s="45"/>
      <c r="Q3623" s="45"/>
      <c r="R3623" s="45"/>
      <c r="S3623" s="45"/>
      <c r="T3623" s="45"/>
      <c r="U3623" s="45"/>
    </row>
    <row r="3624">
      <c r="A3624" s="79" t="s">
        <v>22308</v>
      </c>
      <c r="B3624" s="45"/>
      <c r="C3624" s="79" t="s">
        <v>22309</v>
      </c>
      <c r="D3624" s="45"/>
      <c r="E3624" s="79" t="s">
        <v>5218</v>
      </c>
      <c r="F3624" s="79" t="s">
        <v>5300</v>
      </c>
      <c r="G3624" s="80" t="s">
        <v>96</v>
      </c>
      <c r="H3624" s="90">
        <v>4.21E-5</v>
      </c>
      <c r="I3624" s="45"/>
      <c r="J3624" s="45"/>
      <c r="K3624" s="45"/>
      <c r="L3624" s="45"/>
      <c r="M3624" s="45"/>
      <c r="N3624" s="45"/>
      <c r="O3624" s="45"/>
      <c r="P3624" s="45"/>
      <c r="Q3624" s="45"/>
      <c r="R3624" s="45"/>
      <c r="S3624" s="45"/>
      <c r="T3624" s="45"/>
      <c r="U3624" s="45"/>
    </row>
    <row r="3625">
      <c r="A3625" s="79" t="s">
        <v>22310</v>
      </c>
      <c r="B3625" s="45"/>
      <c r="C3625" s="79" t="s">
        <v>22311</v>
      </c>
      <c r="D3625" s="45"/>
      <c r="E3625" s="79" t="s">
        <v>5478</v>
      </c>
      <c r="F3625" s="79" t="s">
        <v>5300</v>
      </c>
      <c r="G3625" s="80" t="s">
        <v>96</v>
      </c>
      <c r="H3625" s="90">
        <v>4.2E-5</v>
      </c>
      <c r="I3625" s="45"/>
      <c r="J3625" s="45"/>
      <c r="K3625" s="45"/>
      <c r="L3625" s="45"/>
      <c r="M3625" s="45"/>
      <c r="N3625" s="45"/>
      <c r="O3625" s="45"/>
      <c r="P3625" s="45"/>
      <c r="Q3625" s="45"/>
      <c r="R3625" s="45"/>
      <c r="S3625" s="45"/>
      <c r="T3625" s="45"/>
      <c r="U3625" s="45"/>
    </row>
    <row r="3626">
      <c r="A3626" s="79" t="s">
        <v>22312</v>
      </c>
      <c r="B3626" s="45"/>
      <c r="C3626" s="79" t="s">
        <v>22313</v>
      </c>
      <c r="D3626" s="45"/>
      <c r="E3626" s="79" t="s">
        <v>5516</v>
      </c>
      <c r="F3626" s="79" t="s">
        <v>6210</v>
      </c>
      <c r="G3626" s="80" t="s">
        <v>96</v>
      </c>
      <c r="H3626" s="90">
        <v>4.19E-5</v>
      </c>
      <c r="I3626" s="45"/>
      <c r="J3626" s="45"/>
      <c r="K3626" s="45"/>
      <c r="L3626" s="45"/>
      <c r="M3626" s="45"/>
      <c r="N3626" s="45"/>
      <c r="O3626" s="45"/>
      <c r="P3626" s="45"/>
      <c r="Q3626" s="45"/>
      <c r="R3626" s="45"/>
      <c r="S3626" s="45"/>
      <c r="T3626" s="45"/>
      <c r="U3626" s="45"/>
    </row>
    <row r="3627">
      <c r="A3627" s="79" t="s">
        <v>22314</v>
      </c>
      <c r="B3627" s="45"/>
      <c r="C3627" s="79" t="s">
        <v>22315</v>
      </c>
      <c r="D3627" s="45"/>
      <c r="E3627" s="79" t="s">
        <v>5261</v>
      </c>
      <c r="F3627" s="79" t="s">
        <v>5300</v>
      </c>
      <c r="G3627" s="80" t="s">
        <v>96</v>
      </c>
      <c r="H3627" s="90">
        <v>4.19E-5</v>
      </c>
      <c r="I3627" s="45"/>
      <c r="J3627" s="45"/>
      <c r="K3627" s="45"/>
      <c r="L3627" s="45"/>
      <c r="M3627" s="45"/>
      <c r="N3627" s="45"/>
      <c r="O3627" s="45"/>
      <c r="P3627" s="45"/>
      <c r="Q3627" s="45"/>
      <c r="R3627" s="45"/>
      <c r="S3627" s="45"/>
      <c r="T3627" s="45"/>
      <c r="U3627" s="45"/>
    </row>
    <row r="3628">
      <c r="A3628" s="79" t="s">
        <v>22316</v>
      </c>
      <c r="B3628" s="45"/>
      <c r="C3628" s="79" t="s">
        <v>22317</v>
      </c>
      <c r="D3628" s="45"/>
      <c r="E3628" s="79" t="s">
        <v>5478</v>
      </c>
      <c r="F3628" s="79" t="s">
        <v>8784</v>
      </c>
      <c r="G3628" s="80" t="s">
        <v>96</v>
      </c>
      <c r="H3628" s="90">
        <v>4.19E-5</v>
      </c>
      <c r="I3628" s="45"/>
      <c r="J3628" s="45"/>
      <c r="K3628" s="45"/>
      <c r="L3628" s="45"/>
      <c r="M3628" s="45"/>
      <c r="N3628" s="45"/>
      <c r="O3628" s="45"/>
      <c r="P3628" s="45"/>
      <c r="Q3628" s="45"/>
      <c r="R3628" s="45"/>
      <c r="S3628" s="45"/>
      <c r="T3628" s="45"/>
      <c r="U3628" s="45"/>
    </row>
    <row r="3629">
      <c r="A3629" s="79" t="s">
        <v>22318</v>
      </c>
      <c r="B3629" s="45"/>
      <c r="C3629" s="79" t="s">
        <v>22319</v>
      </c>
      <c r="D3629" s="45"/>
      <c r="E3629" s="79" t="s">
        <v>5211</v>
      </c>
      <c r="F3629" s="79" t="s">
        <v>5836</v>
      </c>
      <c r="G3629" s="80" t="s">
        <v>96</v>
      </c>
      <c r="H3629" s="90">
        <v>4.19E-5</v>
      </c>
      <c r="I3629" s="45"/>
      <c r="J3629" s="45"/>
      <c r="K3629" s="45"/>
      <c r="L3629" s="45"/>
      <c r="M3629" s="45"/>
      <c r="N3629" s="45"/>
      <c r="O3629" s="45"/>
      <c r="P3629" s="45"/>
      <c r="Q3629" s="45"/>
      <c r="R3629" s="45"/>
      <c r="S3629" s="45"/>
      <c r="T3629" s="45"/>
      <c r="U3629" s="45"/>
    </row>
    <row r="3630">
      <c r="A3630" s="79" t="s">
        <v>22320</v>
      </c>
      <c r="B3630" s="45"/>
      <c r="C3630" s="79" t="s">
        <v>22321</v>
      </c>
      <c r="D3630" s="45"/>
      <c r="E3630" s="79" t="s">
        <v>5341</v>
      </c>
      <c r="F3630" s="79" t="s">
        <v>5300</v>
      </c>
      <c r="G3630" s="80" t="s">
        <v>96</v>
      </c>
      <c r="H3630" s="90">
        <v>4.19E-5</v>
      </c>
      <c r="I3630" s="45"/>
      <c r="J3630" s="45"/>
      <c r="K3630" s="45"/>
      <c r="L3630" s="45"/>
      <c r="M3630" s="45"/>
      <c r="N3630" s="45"/>
      <c r="O3630" s="45"/>
      <c r="P3630" s="45"/>
      <c r="Q3630" s="45"/>
      <c r="R3630" s="45"/>
      <c r="S3630" s="45"/>
      <c r="T3630" s="45"/>
      <c r="U3630" s="45"/>
    </row>
    <row r="3631">
      <c r="A3631" s="79" t="s">
        <v>22322</v>
      </c>
      <c r="B3631" s="45"/>
      <c r="C3631" s="79" t="s">
        <v>22323</v>
      </c>
      <c r="D3631" s="45"/>
      <c r="E3631" s="79" t="s">
        <v>5226</v>
      </c>
      <c r="F3631" s="79" t="s">
        <v>6210</v>
      </c>
      <c r="G3631" s="80" t="s">
        <v>96</v>
      </c>
      <c r="H3631" s="90">
        <v>4.18E-5</v>
      </c>
      <c r="I3631" s="45"/>
      <c r="J3631" s="45"/>
      <c r="K3631" s="45"/>
      <c r="L3631" s="45"/>
      <c r="M3631" s="45"/>
      <c r="N3631" s="45"/>
      <c r="O3631" s="45"/>
      <c r="P3631" s="45"/>
      <c r="Q3631" s="45"/>
      <c r="R3631" s="45"/>
      <c r="S3631" s="45"/>
      <c r="T3631" s="45"/>
      <c r="U3631" s="45"/>
    </row>
    <row r="3632">
      <c r="A3632" s="79" t="s">
        <v>22324</v>
      </c>
      <c r="B3632" s="45"/>
      <c r="C3632" s="79" t="s">
        <v>22325</v>
      </c>
      <c r="D3632" s="45"/>
      <c r="E3632" s="79" t="s">
        <v>5226</v>
      </c>
      <c r="F3632" s="79" t="s">
        <v>5747</v>
      </c>
      <c r="G3632" s="80" t="s">
        <v>96</v>
      </c>
      <c r="H3632" s="90">
        <v>4.17E-5</v>
      </c>
      <c r="I3632" s="45"/>
      <c r="J3632" s="45"/>
      <c r="K3632" s="45"/>
      <c r="L3632" s="45"/>
      <c r="M3632" s="45"/>
      <c r="N3632" s="45"/>
      <c r="O3632" s="45"/>
      <c r="P3632" s="45"/>
      <c r="Q3632" s="45"/>
      <c r="R3632" s="45"/>
      <c r="S3632" s="45"/>
      <c r="T3632" s="45"/>
      <c r="U3632" s="45"/>
    </row>
    <row r="3633">
      <c r="A3633" s="79" t="s">
        <v>22326</v>
      </c>
      <c r="B3633" s="45"/>
      <c r="C3633" s="79" t="s">
        <v>22327</v>
      </c>
      <c r="D3633" s="45"/>
      <c r="E3633" s="79" t="s">
        <v>5390</v>
      </c>
      <c r="F3633" s="79" t="s">
        <v>5836</v>
      </c>
      <c r="G3633" s="80" t="s">
        <v>96</v>
      </c>
      <c r="H3633" s="90">
        <v>4.17E-5</v>
      </c>
      <c r="I3633" s="45"/>
      <c r="J3633" s="45"/>
      <c r="K3633" s="45"/>
      <c r="L3633" s="45"/>
      <c r="M3633" s="45"/>
      <c r="N3633" s="45"/>
      <c r="O3633" s="45"/>
      <c r="P3633" s="45"/>
      <c r="Q3633" s="45"/>
      <c r="R3633" s="45"/>
      <c r="S3633" s="45"/>
      <c r="T3633" s="45"/>
      <c r="U3633" s="45"/>
    </row>
    <row r="3634">
      <c r="A3634" s="79" t="s">
        <v>22328</v>
      </c>
      <c r="B3634" s="45"/>
      <c r="C3634" s="79" t="s">
        <v>22329</v>
      </c>
      <c r="D3634" s="45"/>
      <c r="E3634" s="79" t="s">
        <v>5276</v>
      </c>
      <c r="F3634" s="79" t="s">
        <v>8784</v>
      </c>
      <c r="G3634" s="80" t="s">
        <v>96</v>
      </c>
      <c r="H3634" s="90">
        <v>4.17E-5</v>
      </c>
      <c r="I3634" s="45"/>
      <c r="J3634" s="45"/>
      <c r="K3634" s="45"/>
      <c r="L3634" s="45"/>
      <c r="M3634" s="45"/>
      <c r="N3634" s="45"/>
      <c r="O3634" s="45"/>
      <c r="P3634" s="45"/>
      <c r="Q3634" s="45"/>
      <c r="R3634" s="45"/>
      <c r="S3634" s="45"/>
      <c r="T3634" s="45"/>
      <c r="U3634" s="45"/>
    </row>
    <row r="3635">
      <c r="A3635" s="79" t="s">
        <v>22330</v>
      </c>
      <c r="B3635" s="45"/>
      <c r="C3635" s="79" t="s">
        <v>22331</v>
      </c>
      <c r="D3635" s="45"/>
      <c r="E3635" s="79" t="s">
        <v>5374</v>
      </c>
      <c r="F3635" s="79" t="s">
        <v>4095</v>
      </c>
      <c r="G3635" s="80" t="s">
        <v>96</v>
      </c>
      <c r="H3635" s="90">
        <v>4.17E-5</v>
      </c>
      <c r="I3635" s="45"/>
      <c r="J3635" s="45"/>
      <c r="K3635" s="45"/>
      <c r="L3635" s="45"/>
      <c r="M3635" s="45"/>
      <c r="N3635" s="45"/>
      <c r="O3635" s="45"/>
      <c r="P3635" s="45"/>
      <c r="Q3635" s="45"/>
      <c r="R3635" s="45"/>
      <c r="S3635" s="45"/>
      <c r="T3635" s="45"/>
      <c r="U3635" s="45"/>
    </row>
    <row r="3636">
      <c r="A3636" s="79" t="s">
        <v>22332</v>
      </c>
      <c r="B3636" s="45"/>
      <c r="C3636" s="79" t="s">
        <v>22333</v>
      </c>
      <c r="D3636" s="45"/>
      <c r="E3636" s="79" t="s">
        <v>5478</v>
      </c>
      <c r="F3636" s="79" t="s">
        <v>9299</v>
      </c>
      <c r="G3636" s="80" t="s">
        <v>96</v>
      </c>
      <c r="H3636" s="90">
        <v>4.16E-5</v>
      </c>
      <c r="I3636" s="45"/>
      <c r="J3636" s="45"/>
      <c r="K3636" s="45"/>
      <c r="L3636" s="45"/>
      <c r="M3636" s="45"/>
      <c r="N3636" s="45"/>
      <c r="O3636" s="45"/>
      <c r="P3636" s="45"/>
      <c r="Q3636" s="45"/>
      <c r="R3636" s="45"/>
      <c r="S3636" s="45"/>
      <c r="T3636" s="45"/>
      <c r="U3636" s="45"/>
    </row>
    <row r="3637">
      <c r="A3637" s="79" t="s">
        <v>22334</v>
      </c>
      <c r="B3637" s="45"/>
      <c r="C3637" s="79" t="s">
        <v>22335</v>
      </c>
      <c r="D3637" s="45"/>
      <c r="E3637" s="79" t="s">
        <v>6327</v>
      </c>
      <c r="F3637" s="79" t="s">
        <v>8784</v>
      </c>
      <c r="G3637" s="80" t="s">
        <v>96</v>
      </c>
      <c r="H3637" s="90">
        <v>4.16E-5</v>
      </c>
      <c r="I3637" s="45"/>
      <c r="J3637" s="45"/>
      <c r="K3637" s="45"/>
      <c r="L3637" s="45"/>
      <c r="M3637" s="45"/>
      <c r="N3637" s="45"/>
      <c r="O3637" s="45"/>
      <c r="P3637" s="45"/>
      <c r="Q3637" s="45"/>
      <c r="R3637" s="45"/>
      <c r="S3637" s="45"/>
      <c r="T3637" s="45"/>
      <c r="U3637" s="45"/>
    </row>
    <row r="3638">
      <c r="A3638" s="79" t="s">
        <v>22336</v>
      </c>
      <c r="B3638" s="45"/>
      <c r="C3638" s="79" t="s">
        <v>22337</v>
      </c>
      <c r="D3638" s="45"/>
      <c r="E3638" s="79" t="s">
        <v>5978</v>
      </c>
      <c r="F3638" s="79" t="s">
        <v>5300</v>
      </c>
      <c r="G3638" s="80" t="s">
        <v>96</v>
      </c>
      <c r="H3638" s="90">
        <v>4.16E-5</v>
      </c>
      <c r="I3638" s="45"/>
      <c r="J3638" s="45"/>
      <c r="K3638" s="45"/>
      <c r="L3638" s="45"/>
      <c r="M3638" s="45"/>
      <c r="N3638" s="45"/>
      <c r="O3638" s="45"/>
      <c r="P3638" s="45"/>
      <c r="Q3638" s="45"/>
      <c r="R3638" s="45"/>
      <c r="S3638" s="45"/>
      <c r="T3638" s="45"/>
      <c r="U3638" s="45"/>
    </row>
    <row r="3639">
      <c r="A3639" s="79" t="s">
        <v>22338</v>
      </c>
      <c r="B3639" s="45"/>
      <c r="C3639" s="79" t="s">
        <v>22339</v>
      </c>
      <c r="D3639" s="45"/>
      <c r="E3639" s="79" t="s">
        <v>5316</v>
      </c>
      <c r="F3639" s="79" t="s">
        <v>9021</v>
      </c>
      <c r="G3639" s="80" t="s">
        <v>96</v>
      </c>
      <c r="H3639" s="90">
        <v>4.16E-5</v>
      </c>
      <c r="I3639" s="45"/>
      <c r="J3639" s="45"/>
      <c r="K3639" s="45"/>
      <c r="L3639" s="45"/>
      <c r="M3639" s="45"/>
      <c r="N3639" s="45"/>
      <c r="O3639" s="45"/>
      <c r="P3639" s="45"/>
      <c r="Q3639" s="45"/>
      <c r="R3639" s="45"/>
      <c r="S3639" s="45"/>
      <c r="T3639" s="45"/>
      <c r="U3639" s="45"/>
    </row>
    <row r="3640">
      <c r="A3640" s="79" t="s">
        <v>22340</v>
      </c>
      <c r="B3640" s="45"/>
      <c r="C3640" s="79" t="s">
        <v>22341</v>
      </c>
      <c r="D3640" s="45"/>
      <c r="E3640" s="79" t="s">
        <v>5226</v>
      </c>
      <c r="F3640" s="79" t="s">
        <v>5425</v>
      </c>
      <c r="G3640" s="80" t="s">
        <v>96</v>
      </c>
      <c r="H3640" s="90">
        <v>4.15E-5</v>
      </c>
      <c r="I3640" s="45"/>
      <c r="J3640" s="45"/>
      <c r="K3640" s="45"/>
      <c r="L3640" s="45"/>
      <c r="M3640" s="45"/>
      <c r="N3640" s="45"/>
      <c r="O3640" s="45"/>
      <c r="P3640" s="45"/>
      <c r="Q3640" s="45"/>
      <c r="R3640" s="45"/>
      <c r="S3640" s="45"/>
      <c r="T3640" s="45"/>
      <c r="U3640" s="45"/>
    </row>
    <row r="3641">
      <c r="A3641" s="79" t="s">
        <v>22342</v>
      </c>
      <c r="B3641" s="45"/>
      <c r="C3641" s="79" t="s">
        <v>22343</v>
      </c>
      <c r="D3641" s="45"/>
      <c r="E3641" s="79" t="s">
        <v>6130</v>
      </c>
      <c r="F3641" s="79" t="s">
        <v>8784</v>
      </c>
      <c r="G3641" s="80" t="s">
        <v>96</v>
      </c>
      <c r="H3641" s="90">
        <v>4.14E-5</v>
      </c>
      <c r="I3641" s="45"/>
      <c r="J3641" s="45"/>
      <c r="K3641" s="45"/>
      <c r="L3641" s="45"/>
      <c r="M3641" s="45"/>
      <c r="N3641" s="45"/>
      <c r="O3641" s="45"/>
      <c r="P3641" s="45"/>
      <c r="Q3641" s="45"/>
      <c r="R3641" s="45"/>
      <c r="S3641" s="45"/>
      <c r="T3641" s="45"/>
      <c r="U3641" s="45"/>
    </row>
    <row r="3642">
      <c r="A3642" s="79" t="s">
        <v>22344</v>
      </c>
      <c r="B3642" s="45"/>
      <c r="C3642" s="79" t="s">
        <v>22345</v>
      </c>
      <c r="D3642" s="45"/>
      <c r="E3642" s="79" t="s">
        <v>5478</v>
      </c>
      <c r="F3642" s="79" t="s">
        <v>5300</v>
      </c>
      <c r="G3642" s="80" t="s">
        <v>96</v>
      </c>
      <c r="H3642" s="90">
        <v>4.14E-5</v>
      </c>
      <c r="I3642" s="45"/>
      <c r="J3642" s="45"/>
      <c r="K3642" s="45"/>
      <c r="L3642" s="45"/>
      <c r="M3642" s="45"/>
      <c r="N3642" s="45"/>
      <c r="O3642" s="45"/>
      <c r="P3642" s="45"/>
      <c r="Q3642" s="45"/>
      <c r="R3642" s="45"/>
      <c r="S3642" s="45"/>
      <c r="T3642" s="45"/>
      <c r="U3642" s="45"/>
    </row>
    <row r="3643">
      <c r="A3643" s="79" t="s">
        <v>22346</v>
      </c>
      <c r="B3643" s="45"/>
      <c r="C3643" s="79" t="s">
        <v>22347</v>
      </c>
      <c r="D3643" s="45"/>
      <c r="E3643" s="79" t="s">
        <v>5241</v>
      </c>
      <c r="F3643" s="79" t="s">
        <v>4095</v>
      </c>
      <c r="G3643" s="80" t="s">
        <v>96</v>
      </c>
      <c r="H3643" s="90">
        <v>4.14E-5</v>
      </c>
      <c r="I3643" s="45"/>
      <c r="J3643" s="45"/>
      <c r="K3643" s="45"/>
      <c r="L3643" s="45"/>
      <c r="M3643" s="45"/>
      <c r="N3643" s="45"/>
      <c r="O3643" s="45"/>
      <c r="P3643" s="45"/>
      <c r="Q3643" s="45"/>
      <c r="R3643" s="45"/>
      <c r="S3643" s="45"/>
      <c r="T3643" s="45"/>
      <c r="U3643" s="45"/>
    </row>
    <row r="3644">
      <c r="A3644" s="79" t="s">
        <v>22348</v>
      </c>
      <c r="B3644" s="45"/>
      <c r="C3644" s="79" t="s">
        <v>22349</v>
      </c>
      <c r="D3644" s="45"/>
      <c r="E3644" s="79" t="s">
        <v>5578</v>
      </c>
      <c r="F3644" s="79" t="s">
        <v>9021</v>
      </c>
      <c r="G3644" s="80" t="s">
        <v>96</v>
      </c>
      <c r="H3644" s="90">
        <v>4.14E-5</v>
      </c>
      <c r="I3644" s="45"/>
      <c r="J3644" s="45"/>
      <c r="K3644" s="45"/>
      <c r="L3644" s="45"/>
      <c r="M3644" s="45"/>
      <c r="N3644" s="45"/>
      <c r="O3644" s="45"/>
      <c r="P3644" s="45"/>
      <c r="Q3644" s="45"/>
      <c r="R3644" s="45"/>
      <c r="S3644" s="45"/>
      <c r="T3644" s="45"/>
      <c r="U3644" s="45"/>
    </row>
    <row r="3645">
      <c r="A3645" s="79" t="s">
        <v>22350</v>
      </c>
      <c r="B3645" s="45"/>
      <c r="C3645" s="79" t="s">
        <v>22351</v>
      </c>
      <c r="D3645" s="45"/>
      <c r="E3645" s="79" t="s">
        <v>6130</v>
      </c>
      <c r="F3645" s="79" t="s">
        <v>8784</v>
      </c>
      <c r="G3645" s="80" t="s">
        <v>96</v>
      </c>
      <c r="H3645" s="90">
        <v>4.13E-5</v>
      </c>
      <c r="I3645" s="45"/>
      <c r="J3645" s="45"/>
      <c r="K3645" s="45"/>
      <c r="L3645" s="45"/>
      <c r="M3645" s="45"/>
      <c r="N3645" s="45"/>
      <c r="O3645" s="45"/>
      <c r="P3645" s="45"/>
      <c r="Q3645" s="45"/>
      <c r="R3645" s="45"/>
      <c r="S3645" s="45"/>
      <c r="T3645" s="45"/>
      <c r="U3645" s="45"/>
    </row>
    <row r="3646">
      <c r="A3646" s="79" t="s">
        <v>22352</v>
      </c>
      <c r="B3646" s="45"/>
      <c r="C3646" s="79" t="s">
        <v>22353</v>
      </c>
      <c r="D3646" s="45"/>
      <c r="E3646" s="79" t="s">
        <v>5715</v>
      </c>
      <c r="F3646" s="79" t="s">
        <v>5300</v>
      </c>
      <c r="G3646" s="80" t="s">
        <v>96</v>
      </c>
      <c r="H3646" s="90">
        <v>4.13E-5</v>
      </c>
      <c r="I3646" s="45"/>
      <c r="J3646" s="45"/>
      <c r="K3646" s="45"/>
      <c r="L3646" s="45"/>
      <c r="M3646" s="45"/>
      <c r="N3646" s="45"/>
      <c r="O3646" s="45"/>
      <c r="P3646" s="45"/>
      <c r="Q3646" s="45"/>
      <c r="R3646" s="45"/>
      <c r="S3646" s="45"/>
      <c r="T3646" s="45"/>
      <c r="U3646" s="45"/>
    </row>
    <row r="3647">
      <c r="A3647" s="79" t="s">
        <v>22354</v>
      </c>
      <c r="B3647" s="45"/>
      <c r="C3647" s="79" t="s">
        <v>22355</v>
      </c>
      <c r="D3647" s="45"/>
      <c r="E3647" s="79" t="s">
        <v>5258</v>
      </c>
      <c r="F3647" s="79" t="s">
        <v>5425</v>
      </c>
      <c r="G3647" s="80" t="s">
        <v>96</v>
      </c>
      <c r="H3647" s="90">
        <v>4.13E-5</v>
      </c>
      <c r="I3647" s="45"/>
      <c r="J3647" s="45"/>
      <c r="K3647" s="45"/>
      <c r="L3647" s="45"/>
      <c r="M3647" s="45"/>
      <c r="N3647" s="45"/>
      <c r="O3647" s="45"/>
      <c r="P3647" s="45"/>
      <c r="Q3647" s="45"/>
      <c r="R3647" s="45"/>
      <c r="S3647" s="45"/>
      <c r="T3647" s="45"/>
      <c r="U3647" s="45"/>
    </row>
    <row r="3648">
      <c r="A3648" s="79" t="s">
        <v>22356</v>
      </c>
      <c r="B3648" s="45"/>
      <c r="C3648" s="79" t="s">
        <v>22357</v>
      </c>
      <c r="D3648" s="45"/>
      <c r="E3648" s="79" t="s">
        <v>5258</v>
      </c>
      <c r="F3648" s="79" t="s">
        <v>5425</v>
      </c>
      <c r="G3648" s="80" t="s">
        <v>96</v>
      </c>
      <c r="H3648" s="90">
        <v>4.12E-5</v>
      </c>
      <c r="I3648" s="45"/>
      <c r="J3648" s="45"/>
      <c r="K3648" s="45"/>
      <c r="L3648" s="45"/>
      <c r="M3648" s="45"/>
      <c r="N3648" s="45"/>
      <c r="O3648" s="45"/>
      <c r="P3648" s="45"/>
      <c r="Q3648" s="45"/>
      <c r="R3648" s="45"/>
      <c r="S3648" s="45"/>
      <c r="T3648" s="45"/>
      <c r="U3648" s="45"/>
    </row>
    <row r="3649">
      <c r="A3649" s="79" t="s">
        <v>22358</v>
      </c>
      <c r="B3649" s="45"/>
      <c r="C3649" s="79" t="s">
        <v>22359</v>
      </c>
      <c r="D3649" s="45"/>
      <c r="E3649" s="79" t="s">
        <v>6040</v>
      </c>
      <c r="F3649" s="79" t="s">
        <v>8784</v>
      </c>
      <c r="G3649" s="80" t="s">
        <v>96</v>
      </c>
      <c r="H3649" s="90">
        <v>4.11E-5</v>
      </c>
      <c r="I3649" s="45"/>
      <c r="J3649" s="45"/>
      <c r="K3649" s="45"/>
      <c r="L3649" s="45"/>
      <c r="M3649" s="45"/>
      <c r="N3649" s="45"/>
      <c r="O3649" s="45"/>
      <c r="P3649" s="45"/>
      <c r="Q3649" s="45"/>
      <c r="R3649" s="45"/>
      <c r="S3649" s="45"/>
      <c r="T3649" s="45"/>
      <c r="U3649" s="45"/>
    </row>
    <row r="3650">
      <c r="A3650" s="79" t="s">
        <v>22360</v>
      </c>
      <c r="B3650" s="45"/>
      <c r="C3650" s="79" t="s">
        <v>22361</v>
      </c>
      <c r="D3650" s="45"/>
      <c r="E3650" s="79" t="s">
        <v>5404</v>
      </c>
      <c r="F3650" s="79" t="s">
        <v>8784</v>
      </c>
      <c r="G3650" s="80" t="s">
        <v>96</v>
      </c>
      <c r="H3650" s="90">
        <v>4.1E-5</v>
      </c>
      <c r="I3650" s="45"/>
      <c r="J3650" s="45"/>
      <c r="K3650" s="45"/>
      <c r="L3650" s="45"/>
      <c r="M3650" s="45"/>
      <c r="N3650" s="45"/>
      <c r="O3650" s="45"/>
      <c r="P3650" s="45"/>
      <c r="Q3650" s="45"/>
      <c r="R3650" s="45"/>
      <c r="S3650" s="45"/>
      <c r="T3650" s="45"/>
      <c r="U3650" s="45"/>
    </row>
    <row r="3651">
      <c r="A3651" s="79" t="s">
        <v>22362</v>
      </c>
      <c r="B3651" s="45"/>
      <c r="C3651" s="79" t="s">
        <v>22363</v>
      </c>
      <c r="D3651" s="45"/>
      <c r="E3651" s="79" t="s">
        <v>5478</v>
      </c>
      <c r="F3651" s="79" t="s">
        <v>5300</v>
      </c>
      <c r="G3651" s="80" t="s">
        <v>96</v>
      </c>
      <c r="H3651" s="90">
        <v>4.1E-5</v>
      </c>
      <c r="I3651" s="45"/>
      <c r="J3651" s="45"/>
      <c r="K3651" s="45"/>
      <c r="L3651" s="45"/>
      <c r="M3651" s="45"/>
      <c r="N3651" s="45"/>
      <c r="O3651" s="45"/>
      <c r="P3651" s="45"/>
      <c r="Q3651" s="45"/>
      <c r="R3651" s="45"/>
      <c r="S3651" s="45"/>
      <c r="T3651" s="45"/>
      <c r="U3651" s="45"/>
    </row>
    <row r="3652">
      <c r="A3652" s="79" t="s">
        <v>22364</v>
      </c>
      <c r="B3652" s="45"/>
      <c r="C3652" s="79" t="s">
        <v>22365</v>
      </c>
      <c r="D3652" s="45"/>
      <c r="E3652" s="79" t="s">
        <v>5401</v>
      </c>
      <c r="F3652" s="79" t="s">
        <v>5300</v>
      </c>
      <c r="G3652" s="80" t="s">
        <v>96</v>
      </c>
      <c r="H3652" s="90">
        <v>4.09E-5</v>
      </c>
      <c r="I3652" s="45"/>
      <c r="J3652" s="45"/>
      <c r="K3652" s="45"/>
      <c r="L3652" s="45"/>
      <c r="M3652" s="45"/>
      <c r="N3652" s="45"/>
      <c r="O3652" s="45"/>
      <c r="P3652" s="45"/>
      <c r="Q3652" s="45"/>
      <c r="R3652" s="45"/>
      <c r="S3652" s="45"/>
      <c r="T3652" s="45"/>
      <c r="U3652" s="45"/>
    </row>
    <row r="3653">
      <c r="A3653" s="79" t="s">
        <v>22366</v>
      </c>
      <c r="B3653" s="45"/>
      <c r="C3653" s="79" t="s">
        <v>22367</v>
      </c>
      <c r="D3653" s="45"/>
      <c r="E3653" s="79" t="s">
        <v>5326</v>
      </c>
      <c r="F3653" s="79" t="s">
        <v>9513</v>
      </c>
      <c r="G3653" s="80" t="s">
        <v>96</v>
      </c>
      <c r="H3653" s="90">
        <v>4.09E-5</v>
      </c>
      <c r="I3653" s="45"/>
      <c r="J3653" s="45"/>
      <c r="K3653" s="45"/>
      <c r="L3653" s="45"/>
      <c r="M3653" s="45"/>
      <c r="N3653" s="45"/>
      <c r="O3653" s="45"/>
      <c r="P3653" s="45"/>
      <c r="Q3653" s="45"/>
      <c r="R3653" s="45"/>
      <c r="S3653" s="45"/>
      <c r="T3653" s="45"/>
      <c r="U3653" s="45"/>
    </row>
    <row r="3654">
      <c r="A3654" s="79" t="s">
        <v>22368</v>
      </c>
      <c r="B3654" s="45"/>
      <c r="C3654" s="79" t="s">
        <v>22369</v>
      </c>
      <c r="D3654" s="45"/>
      <c r="E3654" s="79" t="s">
        <v>5964</v>
      </c>
      <c r="F3654" s="79" t="s">
        <v>4153</v>
      </c>
      <c r="G3654" s="80" t="s">
        <v>96</v>
      </c>
      <c r="H3654" s="90">
        <v>4.09E-5</v>
      </c>
      <c r="I3654" s="45"/>
      <c r="J3654" s="45"/>
      <c r="K3654" s="45"/>
      <c r="L3654" s="45"/>
      <c r="M3654" s="45"/>
      <c r="N3654" s="45"/>
      <c r="O3654" s="45"/>
      <c r="P3654" s="45"/>
      <c r="Q3654" s="45"/>
      <c r="R3654" s="45"/>
      <c r="S3654" s="45"/>
      <c r="T3654" s="45"/>
      <c r="U3654" s="45"/>
    </row>
    <row r="3655">
      <c r="A3655" s="79" t="s">
        <v>22370</v>
      </c>
      <c r="B3655" s="45"/>
      <c r="C3655" s="79" t="s">
        <v>22371</v>
      </c>
      <c r="D3655" s="45"/>
      <c r="E3655" s="79" t="s">
        <v>7611</v>
      </c>
      <c r="F3655" s="79" t="s">
        <v>5300</v>
      </c>
      <c r="G3655" s="80" t="s">
        <v>96</v>
      </c>
      <c r="H3655" s="90">
        <v>4.09E-5</v>
      </c>
      <c r="I3655" s="45"/>
      <c r="J3655" s="45"/>
      <c r="K3655" s="45"/>
      <c r="L3655" s="45"/>
      <c r="M3655" s="45"/>
      <c r="N3655" s="45"/>
      <c r="O3655" s="45"/>
      <c r="P3655" s="45"/>
      <c r="Q3655" s="45"/>
      <c r="R3655" s="45"/>
      <c r="S3655" s="45"/>
      <c r="T3655" s="45"/>
      <c r="U3655" s="45"/>
    </row>
    <row r="3656">
      <c r="A3656" s="79" t="s">
        <v>22372</v>
      </c>
      <c r="B3656" s="45"/>
      <c r="C3656" s="79" t="s">
        <v>22373</v>
      </c>
      <c r="D3656" s="45"/>
      <c r="E3656" s="79" t="s">
        <v>5232</v>
      </c>
      <c r="F3656" s="79" t="s">
        <v>4153</v>
      </c>
      <c r="G3656" s="80" t="s">
        <v>96</v>
      </c>
      <c r="H3656" s="90">
        <v>4.09E-5</v>
      </c>
      <c r="I3656" s="45"/>
      <c r="J3656" s="45"/>
      <c r="K3656" s="45"/>
      <c r="L3656" s="45"/>
      <c r="M3656" s="45"/>
      <c r="N3656" s="45"/>
      <c r="O3656" s="45"/>
      <c r="P3656" s="45"/>
      <c r="Q3656" s="45"/>
      <c r="R3656" s="45"/>
      <c r="S3656" s="45"/>
      <c r="T3656" s="45"/>
      <c r="U3656" s="45"/>
    </row>
    <row r="3657">
      <c r="A3657" s="79" t="s">
        <v>22374</v>
      </c>
      <c r="B3657" s="45"/>
      <c r="C3657" s="79" t="s">
        <v>22375</v>
      </c>
      <c r="D3657" s="45"/>
      <c r="E3657" s="79" t="s">
        <v>6472</v>
      </c>
      <c r="F3657" s="79" t="s">
        <v>5300</v>
      </c>
      <c r="G3657" s="80" t="s">
        <v>96</v>
      </c>
      <c r="H3657" s="90">
        <v>4.08E-5</v>
      </c>
      <c r="I3657" s="45"/>
      <c r="J3657" s="45"/>
      <c r="K3657" s="45"/>
      <c r="L3657" s="45"/>
      <c r="M3657" s="45"/>
      <c r="N3657" s="45"/>
      <c r="O3657" s="45"/>
      <c r="P3657" s="45"/>
      <c r="Q3657" s="45"/>
      <c r="R3657" s="45"/>
      <c r="S3657" s="45"/>
      <c r="T3657" s="45"/>
      <c r="U3657" s="45"/>
    </row>
    <row r="3658">
      <c r="A3658" s="79" t="s">
        <v>22376</v>
      </c>
      <c r="B3658" s="45"/>
      <c r="C3658" s="79" t="s">
        <v>22377</v>
      </c>
      <c r="D3658" s="45"/>
      <c r="E3658" s="79" t="s">
        <v>5624</v>
      </c>
      <c r="F3658" s="79" t="s">
        <v>8784</v>
      </c>
      <c r="G3658" s="80" t="s">
        <v>96</v>
      </c>
      <c r="H3658" s="90">
        <v>4.08E-5</v>
      </c>
      <c r="I3658" s="45"/>
      <c r="J3658" s="45"/>
      <c r="K3658" s="45"/>
      <c r="L3658" s="45"/>
      <c r="M3658" s="45"/>
      <c r="N3658" s="45"/>
      <c r="O3658" s="45"/>
      <c r="P3658" s="45"/>
      <c r="Q3658" s="45"/>
      <c r="R3658" s="45"/>
      <c r="S3658" s="45"/>
      <c r="T3658" s="45"/>
      <c r="U3658" s="45"/>
    </row>
    <row r="3659">
      <c r="A3659" s="79" t="s">
        <v>22378</v>
      </c>
      <c r="B3659" s="45"/>
      <c r="C3659" s="79" t="s">
        <v>22379</v>
      </c>
      <c r="D3659" s="45"/>
      <c r="E3659" s="79" t="s">
        <v>7251</v>
      </c>
      <c r="F3659" s="79" t="s">
        <v>8784</v>
      </c>
      <c r="G3659" s="80" t="s">
        <v>96</v>
      </c>
      <c r="H3659" s="90">
        <v>4.08E-5</v>
      </c>
      <c r="I3659" s="45"/>
      <c r="J3659" s="45"/>
      <c r="K3659" s="45"/>
      <c r="L3659" s="45"/>
      <c r="M3659" s="45"/>
      <c r="N3659" s="45"/>
      <c r="O3659" s="45"/>
      <c r="P3659" s="45"/>
      <c r="Q3659" s="45"/>
      <c r="R3659" s="45"/>
      <c r="S3659" s="45"/>
      <c r="T3659" s="45"/>
      <c r="U3659" s="45"/>
    </row>
    <row r="3660">
      <c r="A3660" s="79" t="s">
        <v>22380</v>
      </c>
      <c r="B3660" s="45"/>
      <c r="C3660" s="79" t="s">
        <v>22381</v>
      </c>
      <c r="D3660" s="45"/>
      <c r="E3660" s="79" t="s">
        <v>5366</v>
      </c>
      <c r="F3660" s="79" t="s">
        <v>8784</v>
      </c>
      <c r="G3660" s="80" t="s">
        <v>96</v>
      </c>
      <c r="H3660" s="90">
        <v>4.08E-5</v>
      </c>
      <c r="I3660" s="45"/>
      <c r="J3660" s="45"/>
      <c r="K3660" s="45"/>
      <c r="L3660" s="45"/>
      <c r="M3660" s="45"/>
      <c r="N3660" s="45"/>
      <c r="O3660" s="45"/>
      <c r="P3660" s="45"/>
      <c r="Q3660" s="45"/>
      <c r="R3660" s="45"/>
      <c r="S3660" s="45"/>
      <c r="T3660" s="45"/>
      <c r="U3660" s="45"/>
    </row>
    <row r="3661">
      <c r="A3661" s="79" t="s">
        <v>22382</v>
      </c>
      <c r="B3661" s="45"/>
      <c r="C3661" s="79" t="s">
        <v>22383</v>
      </c>
      <c r="D3661" s="45"/>
      <c r="E3661" s="79" t="s">
        <v>18917</v>
      </c>
      <c r="F3661" s="79" t="s">
        <v>5836</v>
      </c>
      <c r="G3661" s="80" t="s">
        <v>96</v>
      </c>
      <c r="H3661" s="90">
        <v>4.08E-5</v>
      </c>
      <c r="I3661" s="45"/>
      <c r="J3661" s="45"/>
      <c r="K3661" s="45"/>
      <c r="L3661" s="45"/>
      <c r="M3661" s="45"/>
      <c r="N3661" s="45"/>
      <c r="O3661" s="45"/>
      <c r="P3661" s="45"/>
      <c r="Q3661" s="45"/>
      <c r="R3661" s="45"/>
      <c r="S3661" s="45"/>
      <c r="T3661" s="45"/>
      <c r="U3661" s="45"/>
    </row>
    <row r="3662">
      <c r="A3662" s="79" t="s">
        <v>22384</v>
      </c>
      <c r="B3662" s="45"/>
      <c r="C3662" s="79" t="s">
        <v>22385</v>
      </c>
      <c r="D3662" s="45"/>
      <c r="E3662" s="79" t="s">
        <v>7251</v>
      </c>
      <c r="F3662" s="79" t="s">
        <v>8784</v>
      </c>
      <c r="G3662" s="80" t="s">
        <v>96</v>
      </c>
      <c r="H3662" s="90">
        <v>4.07E-5</v>
      </c>
      <c r="I3662" s="45"/>
      <c r="J3662" s="45"/>
      <c r="K3662" s="45"/>
      <c r="L3662" s="45"/>
      <c r="M3662" s="45"/>
      <c r="N3662" s="45"/>
      <c r="O3662" s="45"/>
      <c r="P3662" s="45"/>
      <c r="Q3662" s="45"/>
      <c r="R3662" s="45"/>
      <c r="S3662" s="45"/>
      <c r="T3662" s="45"/>
      <c r="U3662" s="45"/>
    </row>
    <row r="3663">
      <c r="A3663" s="79" t="s">
        <v>22386</v>
      </c>
      <c r="B3663" s="45"/>
      <c r="C3663" s="79" t="s">
        <v>22387</v>
      </c>
      <c r="D3663" s="45"/>
      <c r="E3663" s="79" t="s">
        <v>5682</v>
      </c>
      <c r="F3663" s="79" t="s">
        <v>8784</v>
      </c>
      <c r="G3663" s="80" t="s">
        <v>96</v>
      </c>
      <c r="H3663" s="90">
        <v>4.07E-5</v>
      </c>
      <c r="I3663" s="45"/>
      <c r="J3663" s="45"/>
      <c r="K3663" s="45"/>
      <c r="L3663" s="45"/>
      <c r="M3663" s="45"/>
      <c r="N3663" s="45"/>
      <c r="O3663" s="45"/>
      <c r="P3663" s="45"/>
      <c r="Q3663" s="45"/>
      <c r="R3663" s="45"/>
      <c r="S3663" s="45"/>
      <c r="T3663" s="45"/>
      <c r="U3663" s="45"/>
    </row>
    <row r="3664">
      <c r="A3664" s="79" t="s">
        <v>22388</v>
      </c>
      <c r="B3664" s="45"/>
      <c r="C3664" s="79" t="s">
        <v>22389</v>
      </c>
      <c r="D3664" s="45"/>
      <c r="E3664" s="79" t="s">
        <v>5561</v>
      </c>
      <c r="F3664" s="79" t="s">
        <v>5927</v>
      </c>
      <c r="G3664" s="80" t="s">
        <v>96</v>
      </c>
      <c r="H3664" s="90">
        <v>4.07E-5</v>
      </c>
      <c r="I3664" s="45"/>
      <c r="J3664" s="45"/>
      <c r="K3664" s="45"/>
      <c r="L3664" s="45"/>
      <c r="M3664" s="45"/>
      <c r="N3664" s="45"/>
      <c r="O3664" s="45"/>
      <c r="P3664" s="45"/>
      <c r="Q3664" s="45"/>
      <c r="R3664" s="45"/>
      <c r="S3664" s="45"/>
      <c r="T3664" s="45"/>
      <c r="U3664" s="45"/>
    </row>
    <row r="3665">
      <c r="A3665" s="79" t="s">
        <v>22390</v>
      </c>
      <c r="B3665" s="45"/>
      <c r="C3665" s="79" t="s">
        <v>22391</v>
      </c>
      <c r="D3665" s="45"/>
      <c r="E3665" s="79" t="s">
        <v>6115</v>
      </c>
      <c r="F3665" s="79" t="s">
        <v>9513</v>
      </c>
      <c r="G3665" s="80" t="s">
        <v>96</v>
      </c>
      <c r="H3665" s="90">
        <v>4.06E-5</v>
      </c>
      <c r="I3665" s="45"/>
      <c r="J3665" s="45"/>
      <c r="K3665" s="45"/>
      <c r="L3665" s="45"/>
      <c r="M3665" s="45"/>
      <c r="N3665" s="45"/>
      <c r="O3665" s="45"/>
      <c r="P3665" s="45"/>
      <c r="Q3665" s="45"/>
      <c r="R3665" s="45"/>
      <c r="S3665" s="45"/>
      <c r="T3665" s="45"/>
      <c r="U3665" s="45"/>
    </row>
    <row r="3666">
      <c r="A3666" s="79" t="s">
        <v>17308</v>
      </c>
      <c r="B3666" s="45"/>
      <c r="C3666" s="79" t="s">
        <v>22392</v>
      </c>
      <c r="D3666" s="45"/>
      <c r="E3666" s="79" t="s">
        <v>5395</v>
      </c>
      <c r="F3666" s="79" t="s">
        <v>4436</v>
      </c>
      <c r="G3666" s="80" t="s">
        <v>96</v>
      </c>
      <c r="H3666" s="90">
        <v>4.05E-5</v>
      </c>
      <c r="I3666" s="45"/>
      <c r="J3666" s="45"/>
      <c r="K3666" s="45"/>
      <c r="L3666" s="45"/>
      <c r="M3666" s="45"/>
      <c r="N3666" s="45"/>
      <c r="O3666" s="45"/>
      <c r="P3666" s="45"/>
      <c r="Q3666" s="45"/>
      <c r="R3666" s="45"/>
      <c r="S3666" s="45"/>
      <c r="T3666" s="45"/>
      <c r="U3666" s="45"/>
    </row>
    <row r="3667">
      <c r="A3667" s="79" t="s">
        <v>22393</v>
      </c>
      <c r="B3667" s="45"/>
      <c r="C3667" s="79" t="s">
        <v>22394</v>
      </c>
      <c r="D3667" s="45"/>
      <c r="E3667" s="79" t="s">
        <v>6759</v>
      </c>
      <c r="F3667" s="79" t="s">
        <v>5300</v>
      </c>
      <c r="G3667" s="80" t="s">
        <v>96</v>
      </c>
      <c r="H3667" s="90">
        <v>4.05E-5</v>
      </c>
      <c r="I3667" s="45"/>
      <c r="J3667" s="45"/>
      <c r="K3667" s="45"/>
      <c r="L3667" s="45"/>
      <c r="M3667" s="45"/>
      <c r="N3667" s="45"/>
      <c r="O3667" s="45"/>
      <c r="P3667" s="45"/>
      <c r="Q3667" s="45"/>
      <c r="R3667" s="45"/>
      <c r="S3667" s="45"/>
      <c r="T3667" s="45"/>
      <c r="U3667" s="45"/>
    </row>
    <row r="3668">
      <c r="A3668" s="79" t="s">
        <v>22395</v>
      </c>
      <c r="B3668" s="45"/>
      <c r="C3668" s="79" t="s">
        <v>22396</v>
      </c>
      <c r="D3668" s="45"/>
      <c r="E3668" s="79" t="s">
        <v>6868</v>
      </c>
      <c r="F3668" s="79" t="s">
        <v>4095</v>
      </c>
      <c r="G3668" s="80" t="s">
        <v>96</v>
      </c>
      <c r="H3668" s="90">
        <v>4.05E-5</v>
      </c>
      <c r="I3668" s="45"/>
      <c r="J3668" s="45"/>
      <c r="K3668" s="45"/>
      <c r="L3668" s="45"/>
      <c r="M3668" s="45"/>
      <c r="N3668" s="45"/>
      <c r="O3668" s="45"/>
      <c r="P3668" s="45"/>
      <c r="Q3668" s="45"/>
      <c r="R3668" s="45"/>
      <c r="S3668" s="45"/>
      <c r="T3668" s="45"/>
      <c r="U3668" s="45"/>
    </row>
    <row r="3669">
      <c r="A3669" s="79" t="s">
        <v>22397</v>
      </c>
      <c r="B3669" s="45"/>
      <c r="C3669" s="79" t="s">
        <v>22398</v>
      </c>
      <c r="D3669" s="45"/>
      <c r="E3669" s="79" t="s">
        <v>5501</v>
      </c>
      <c r="F3669" s="79" t="s">
        <v>8784</v>
      </c>
      <c r="G3669" s="80" t="s">
        <v>96</v>
      </c>
      <c r="H3669" s="90">
        <v>4.04E-5</v>
      </c>
      <c r="I3669" s="45"/>
      <c r="J3669" s="45"/>
      <c r="K3669" s="45"/>
      <c r="L3669" s="45"/>
      <c r="M3669" s="45"/>
      <c r="N3669" s="45"/>
      <c r="O3669" s="45"/>
      <c r="P3669" s="45"/>
      <c r="Q3669" s="45"/>
      <c r="R3669" s="45"/>
      <c r="S3669" s="45"/>
      <c r="T3669" s="45"/>
      <c r="U3669" s="45"/>
    </row>
    <row r="3670">
      <c r="A3670" s="79" t="s">
        <v>22399</v>
      </c>
      <c r="B3670" s="45"/>
      <c r="C3670" s="79" t="s">
        <v>22400</v>
      </c>
      <c r="D3670" s="45"/>
      <c r="E3670" s="79" t="s">
        <v>5395</v>
      </c>
      <c r="F3670" s="79" t="s">
        <v>8784</v>
      </c>
      <c r="G3670" s="80" t="s">
        <v>96</v>
      </c>
      <c r="H3670" s="90">
        <v>4.04E-5</v>
      </c>
      <c r="I3670" s="45"/>
      <c r="J3670" s="45"/>
      <c r="K3670" s="45"/>
      <c r="L3670" s="45"/>
      <c r="M3670" s="45"/>
      <c r="N3670" s="45"/>
      <c r="O3670" s="45"/>
      <c r="P3670" s="45"/>
      <c r="Q3670" s="45"/>
      <c r="R3670" s="45"/>
      <c r="S3670" s="45"/>
      <c r="T3670" s="45"/>
      <c r="U3670" s="45"/>
    </row>
    <row r="3671">
      <c r="A3671" s="79" t="s">
        <v>22401</v>
      </c>
      <c r="B3671" s="45"/>
      <c r="C3671" s="79" t="s">
        <v>22402</v>
      </c>
      <c r="D3671" s="45"/>
      <c r="E3671" s="79" t="s">
        <v>6759</v>
      </c>
      <c r="F3671" s="79" t="s">
        <v>5300</v>
      </c>
      <c r="G3671" s="80" t="s">
        <v>96</v>
      </c>
      <c r="H3671" s="90">
        <v>4.03E-5</v>
      </c>
      <c r="I3671" s="45"/>
      <c r="J3671" s="45"/>
      <c r="K3671" s="45"/>
      <c r="L3671" s="45"/>
      <c r="M3671" s="45"/>
      <c r="N3671" s="45"/>
      <c r="O3671" s="45"/>
      <c r="P3671" s="45"/>
      <c r="Q3671" s="45"/>
      <c r="R3671" s="45"/>
      <c r="S3671" s="45"/>
      <c r="T3671" s="45"/>
      <c r="U3671" s="45"/>
    </row>
    <row r="3672">
      <c r="A3672" s="79" t="s">
        <v>22403</v>
      </c>
      <c r="B3672" s="45"/>
      <c r="C3672" s="79" t="s">
        <v>22404</v>
      </c>
      <c r="D3672" s="45"/>
      <c r="E3672" s="79" t="s">
        <v>5253</v>
      </c>
      <c r="F3672" s="79" t="s">
        <v>8784</v>
      </c>
      <c r="G3672" s="80" t="s">
        <v>96</v>
      </c>
      <c r="H3672" s="90">
        <v>4.03E-5</v>
      </c>
      <c r="I3672" s="45"/>
      <c r="J3672" s="45"/>
      <c r="K3672" s="45"/>
      <c r="L3672" s="45"/>
      <c r="M3672" s="45"/>
      <c r="N3672" s="45"/>
      <c r="O3672" s="45"/>
      <c r="P3672" s="45"/>
      <c r="Q3672" s="45"/>
      <c r="R3672" s="45"/>
      <c r="S3672" s="45"/>
      <c r="T3672" s="45"/>
      <c r="U3672" s="45"/>
    </row>
    <row r="3673">
      <c r="A3673" s="79" t="s">
        <v>22405</v>
      </c>
      <c r="B3673" s="45"/>
      <c r="C3673" s="79" t="s">
        <v>22406</v>
      </c>
      <c r="D3673" s="45"/>
      <c r="E3673" s="79" t="s">
        <v>5261</v>
      </c>
      <c r="F3673" s="79" t="s">
        <v>8784</v>
      </c>
      <c r="G3673" s="80" t="s">
        <v>96</v>
      </c>
      <c r="H3673" s="90">
        <v>4.02E-5</v>
      </c>
      <c r="I3673" s="45"/>
      <c r="J3673" s="45"/>
      <c r="K3673" s="45"/>
      <c r="L3673" s="45"/>
      <c r="M3673" s="45"/>
      <c r="N3673" s="45"/>
      <c r="O3673" s="45"/>
      <c r="P3673" s="45"/>
      <c r="Q3673" s="45"/>
      <c r="R3673" s="45"/>
      <c r="S3673" s="45"/>
      <c r="T3673" s="45"/>
      <c r="U3673" s="45"/>
    </row>
    <row r="3674">
      <c r="A3674" s="79" t="s">
        <v>5489</v>
      </c>
      <c r="B3674" s="45"/>
      <c r="C3674" s="79" t="s">
        <v>22407</v>
      </c>
      <c r="D3674" s="45"/>
      <c r="E3674" s="79" t="s">
        <v>5374</v>
      </c>
      <c r="F3674" s="79" t="s">
        <v>5747</v>
      </c>
      <c r="G3674" s="80" t="s">
        <v>96</v>
      </c>
      <c r="H3674" s="90">
        <v>4.02E-5</v>
      </c>
      <c r="I3674" s="45"/>
      <c r="J3674" s="45"/>
      <c r="K3674" s="45"/>
      <c r="L3674" s="45"/>
      <c r="M3674" s="45"/>
      <c r="N3674" s="45"/>
      <c r="O3674" s="45"/>
      <c r="P3674" s="45"/>
      <c r="Q3674" s="45"/>
      <c r="R3674" s="45"/>
      <c r="S3674" s="45"/>
      <c r="T3674" s="45"/>
      <c r="U3674" s="45"/>
    </row>
    <row r="3675">
      <c r="A3675" s="79" t="s">
        <v>9916</v>
      </c>
      <c r="B3675" s="45"/>
      <c r="C3675" s="79" t="s">
        <v>22408</v>
      </c>
      <c r="D3675" s="45"/>
      <c r="E3675" s="79" t="s">
        <v>5516</v>
      </c>
      <c r="F3675" s="79" t="s">
        <v>5941</v>
      </c>
      <c r="G3675" s="80" t="s">
        <v>96</v>
      </c>
      <c r="H3675" s="90">
        <v>4.02E-5</v>
      </c>
      <c r="I3675" s="45"/>
      <c r="J3675" s="45"/>
      <c r="K3675" s="45"/>
      <c r="L3675" s="45"/>
      <c r="M3675" s="45"/>
      <c r="N3675" s="45"/>
      <c r="O3675" s="45"/>
      <c r="P3675" s="45"/>
      <c r="Q3675" s="45"/>
      <c r="R3675" s="45"/>
      <c r="S3675" s="45"/>
      <c r="T3675" s="45"/>
      <c r="U3675" s="45"/>
    </row>
    <row r="3676">
      <c r="A3676" s="79" t="s">
        <v>22409</v>
      </c>
      <c r="B3676" s="45"/>
      <c r="C3676" s="79" t="s">
        <v>22410</v>
      </c>
      <c r="D3676" s="45"/>
      <c r="E3676" s="79" t="s">
        <v>5238</v>
      </c>
      <c r="F3676" s="79" t="s">
        <v>8784</v>
      </c>
      <c r="G3676" s="80" t="s">
        <v>96</v>
      </c>
      <c r="H3676" s="90">
        <v>4.01E-5</v>
      </c>
      <c r="I3676" s="45"/>
      <c r="J3676" s="45"/>
      <c r="K3676" s="45"/>
      <c r="L3676" s="45"/>
      <c r="M3676" s="45"/>
      <c r="N3676" s="45"/>
      <c r="O3676" s="45"/>
      <c r="P3676" s="45"/>
      <c r="Q3676" s="45"/>
      <c r="R3676" s="45"/>
      <c r="S3676" s="45"/>
      <c r="T3676" s="45"/>
      <c r="U3676" s="45"/>
    </row>
    <row r="3677">
      <c r="A3677" s="79" t="s">
        <v>22411</v>
      </c>
      <c r="B3677" s="45"/>
      <c r="C3677" s="79" t="s">
        <v>22412</v>
      </c>
      <c r="D3677" s="45"/>
      <c r="E3677" s="79" t="s">
        <v>5374</v>
      </c>
      <c r="F3677" s="79" t="s">
        <v>5425</v>
      </c>
      <c r="G3677" s="80" t="s">
        <v>96</v>
      </c>
      <c r="H3677" s="90">
        <v>4.01E-5</v>
      </c>
      <c r="I3677" s="45"/>
      <c r="J3677" s="45"/>
      <c r="K3677" s="45"/>
      <c r="L3677" s="45"/>
      <c r="M3677" s="45"/>
      <c r="N3677" s="45"/>
      <c r="O3677" s="45"/>
      <c r="P3677" s="45"/>
      <c r="Q3677" s="45"/>
      <c r="R3677" s="45"/>
      <c r="S3677" s="45"/>
      <c r="T3677" s="45"/>
      <c r="U3677" s="45"/>
    </row>
    <row r="3678">
      <c r="A3678" s="79" t="s">
        <v>22413</v>
      </c>
      <c r="B3678" s="45"/>
      <c r="C3678" s="79" t="s">
        <v>22414</v>
      </c>
      <c r="D3678" s="45"/>
      <c r="E3678" s="79" t="s">
        <v>10125</v>
      </c>
      <c r="F3678" s="79" t="s">
        <v>5300</v>
      </c>
      <c r="G3678" s="80" t="s">
        <v>96</v>
      </c>
      <c r="H3678" s="90">
        <v>4.01E-5</v>
      </c>
      <c r="I3678" s="45"/>
      <c r="J3678" s="45"/>
      <c r="K3678" s="45"/>
      <c r="L3678" s="45"/>
      <c r="M3678" s="45"/>
      <c r="N3678" s="45"/>
      <c r="O3678" s="45"/>
      <c r="P3678" s="45"/>
      <c r="Q3678" s="45"/>
      <c r="R3678" s="45"/>
      <c r="S3678" s="45"/>
      <c r="T3678" s="45"/>
      <c r="U3678" s="45"/>
    </row>
    <row r="3679">
      <c r="A3679" s="79" t="s">
        <v>22415</v>
      </c>
      <c r="B3679" s="45"/>
      <c r="C3679" s="79" t="s">
        <v>22416</v>
      </c>
      <c r="D3679" s="45"/>
      <c r="E3679" s="79" t="s">
        <v>6798</v>
      </c>
      <c r="F3679" s="79" t="s">
        <v>5300</v>
      </c>
      <c r="G3679" s="80" t="s">
        <v>96</v>
      </c>
      <c r="H3679" s="90">
        <v>4.01E-5</v>
      </c>
      <c r="I3679" s="45"/>
      <c r="J3679" s="45"/>
      <c r="K3679" s="45"/>
      <c r="L3679" s="45"/>
      <c r="M3679" s="45"/>
      <c r="N3679" s="45"/>
      <c r="O3679" s="45"/>
      <c r="P3679" s="45"/>
      <c r="Q3679" s="45"/>
      <c r="R3679" s="45"/>
      <c r="S3679" s="45"/>
      <c r="T3679" s="45"/>
      <c r="U3679" s="45"/>
    </row>
    <row r="3680">
      <c r="A3680" s="79" t="s">
        <v>22417</v>
      </c>
      <c r="B3680" s="45"/>
      <c r="C3680" s="79" t="s">
        <v>18297</v>
      </c>
      <c r="D3680" s="45"/>
      <c r="E3680" s="79" t="s">
        <v>5276</v>
      </c>
      <c r="F3680" s="79" t="s">
        <v>4095</v>
      </c>
      <c r="G3680" s="80" t="s">
        <v>96</v>
      </c>
      <c r="H3680" s="90">
        <v>4.01E-5</v>
      </c>
      <c r="I3680" s="45"/>
      <c r="J3680" s="45"/>
      <c r="K3680" s="45"/>
      <c r="L3680" s="45"/>
      <c r="M3680" s="45"/>
      <c r="N3680" s="45"/>
      <c r="O3680" s="45"/>
      <c r="P3680" s="45"/>
      <c r="Q3680" s="45"/>
      <c r="R3680" s="45"/>
      <c r="S3680" s="45"/>
      <c r="T3680" s="45"/>
      <c r="U3680" s="45"/>
    </row>
    <row r="3681">
      <c r="A3681" s="79" t="s">
        <v>22418</v>
      </c>
      <c r="B3681" s="45"/>
      <c r="C3681" s="79" t="s">
        <v>22419</v>
      </c>
      <c r="D3681" s="45"/>
      <c r="E3681" s="79" t="s">
        <v>5704</v>
      </c>
      <c r="F3681" s="79" t="s">
        <v>8784</v>
      </c>
      <c r="G3681" s="80" t="s">
        <v>96</v>
      </c>
      <c r="H3681" s="90">
        <v>4.0E-5</v>
      </c>
      <c r="I3681" s="45"/>
      <c r="J3681" s="45"/>
      <c r="K3681" s="45"/>
      <c r="L3681" s="45"/>
      <c r="M3681" s="45"/>
      <c r="N3681" s="45"/>
      <c r="O3681" s="45"/>
      <c r="P3681" s="45"/>
      <c r="Q3681" s="45"/>
      <c r="R3681" s="45"/>
      <c r="S3681" s="45"/>
      <c r="T3681" s="45"/>
      <c r="U3681" s="45"/>
    </row>
    <row r="3682">
      <c r="A3682" s="79" t="s">
        <v>22420</v>
      </c>
      <c r="B3682" s="45"/>
      <c r="C3682" s="79" t="s">
        <v>22421</v>
      </c>
      <c r="D3682" s="45"/>
      <c r="E3682" s="79" t="s">
        <v>9039</v>
      </c>
      <c r="F3682" s="79" t="s">
        <v>8784</v>
      </c>
      <c r="G3682" s="80" t="s">
        <v>96</v>
      </c>
      <c r="H3682" s="90">
        <v>3.98E-5</v>
      </c>
      <c r="I3682" s="45"/>
      <c r="J3682" s="45"/>
      <c r="K3682" s="45"/>
      <c r="L3682" s="45"/>
      <c r="M3682" s="45"/>
      <c r="N3682" s="45"/>
      <c r="O3682" s="45"/>
      <c r="P3682" s="45"/>
      <c r="Q3682" s="45"/>
      <c r="R3682" s="45"/>
      <c r="S3682" s="45"/>
      <c r="T3682" s="45"/>
      <c r="U3682" s="45"/>
    </row>
    <row r="3683">
      <c r="A3683" s="79" t="s">
        <v>22422</v>
      </c>
      <c r="B3683" s="45"/>
      <c r="C3683" s="79" t="s">
        <v>22423</v>
      </c>
      <c r="D3683" s="45"/>
      <c r="E3683" s="79" t="s">
        <v>5456</v>
      </c>
      <c r="F3683" s="79" t="s">
        <v>8784</v>
      </c>
      <c r="G3683" s="80" t="s">
        <v>96</v>
      </c>
      <c r="H3683" s="90">
        <v>3.98E-5</v>
      </c>
      <c r="I3683" s="45"/>
      <c r="J3683" s="45"/>
      <c r="K3683" s="45"/>
      <c r="L3683" s="45"/>
      <c r="M3683" s="45"/>
      <c r="N3683" s="45"/>
      <c r="O3683" s="45"/>
      <c r="P3683" s="45"/>
      <c r="Q3683" s="45"/>
      <c r="R3683" s="45"/>
      <c r="S3683" s="45"/>
      <c r="T3683" s="45"/>
      <c r="U3683" s="45"/>
    </row>
    <row r="3684">
      <c r="A3684" s="79" t="s">
        <v>22424</v>
      </c>
      <c r="B3684" s="45"/>
      <c r="C3684" s="79" t="s">
        <v>22425</v>
      </c>
      <c r="D3684" s="45"/>
      <c r="E3684" s="79" t="s">
        <v>6009</v>
      </c>
      <c r="F3684" s="79" t="s">
        <v>5300</v>
      </c>
      <c r="G3684" s="80" t="s">
        <v>96</v>
      </c>
      <c r="H3684" s="90">
        <v>3.97E-5</v>
      </c>
      <c r="I3684" s="45"/>
      <c r="J3684" s="45"/>
      <c r="K3684" s="45"/>
      <c r="L3684" s="45"/>
      <c r="M3684" s="45"/>
      <c r="N3684" s="45"/>
      <c r="O3684" s="45"/>
      <c r="P3684" s="45"/>
      <c r="Q3684" s="45"/>
      <c r="R3684" s="45"/>
      <c r="S3684" s="45"/>
      <c r="T3684" s="45"/>
      <c r="U3684" s="45"/>
    </row>
    <row r="3685">
      <c r="A3685" s="79" t="s">
        <v>22426</v>
      </c>
      <c r="B3685" s="45"/>
      <c r="C3685" s="79" t="s">
        <v>22427</v>
      </c>
      <c r="D3685" s="45"/>
      <c r="E3685" s="79" t="s">
        <v>5513</v>
      </c>
      <c r="F3685" s="79" t="s">
        <v>9513</v>
      </c>
      <c r="G3685" s="80" t="s">
        <v>96</v>
      </c>
      <c r="H3685" s="90">
        <v>3.96E-5</v>
      </c>
      <c r="I3685" s="45"/>
      <c r="J3685" s="45"/>
      <c r="K3685" s="45"/>
      <c r="L3685" s="45"/>
      <c r="M3685" s="45"/>
      <c r="N3685" s="45"/>
      <c r="O3685" s="45"/>
      <c r="P3685" s="45"/>
      <c r="Q3685" s="45"/>
      <c r="R3685" s="45"/>
      <c r="S3685" s="45"/>
      <c r="T3685" s="45"/>
      <c r="U3685" s="45"/>
    </row>
    <row r="3686">
      <c r="A3686" s="79" t="s">
        <v>22428</v>
      </c>
      <c r="B3686" s="45"/>
      <c r="C3686" s="79" t="s">
        <v>22429</v>
      </c>
      <c r="D3686" s="45"/>
      <c r="E3686" s="79" t="s">
        <v>5561</v>
      </c>
      <c r="F3686" s="79" t="s">
        <v>9513</v>
      </c>
      <c r="G3686" s="80" t="s">
        <v>96</v>
      </c>
      <c r="H3686" s="90">
        <v>3.96E-5</v>
      </c>
      <c r="I3686" s="45"/>
      <c r="J3686" s="45"/>
      <c r="K3686" s="45"/>
      <c r="L3686" s="45"/>
      <c r="M3686" s="45"/>
      <c r="N3686" s="45"/>
      <c r="O3686" s="45"/>
      <c r="P3686" s="45"/>
      <c r="Q3686" s="45"/>
      <c r="R3686" s="45"/>
      <c r="S3686" s="45"/>
      <c r="T3686" s="45"/>
      <c r="U3686" s="45"/>
    </row>
    <row r="3687">
      <c r="A3687" s="79" t="s">
        <v>22430</v>
      </c>
      <c r="B3687" s="45"/>
      <c r="C3687" s="79" t="s">
        <v>22431</v>
      </c>
      <c r="D3687" s="45"/>
      <c r="E3687" s="79" t="s">
        <v>5235</v>
      </c>
      <c r="F3687" s="79" t="s">
        <v>5300</v>
      </c>
      <c r="G3687" s="80" t="s">
        <v>96</v>
      </c>
      <c r="H3687" s="90">
        <v>3.96E-5</v>
      </c>
      <c r="I3687" s="45"/>
      <c r="J3687" s="45"/>
      <c r="K3687" s="45"/>
      <c r="L3687" s="45"/>
      <c r="M3687" s="45"/>
      <c r="N3687" s="45"/>
      <c r="O3687" s="45"/>
      <c r="P3687" s="45"/>
      <c r="Q3687" s="45"/>
      <c r="R3687" s="45"/>
      <c r="S3687" s="45"/>
      <c r="T3687" s="45"/>
      <c r="U3687" s="45"/>
    </row>
    <row r="3688">
      <c r="A3688" s="79" t="s">
        <v>22432</v>
      </c>
      <c r="B3688" s="45"/>
      <c r="C3688" s="79" t="s">
        <v>22433</v>
      </c>
      <c r="D3688" s="45"/>
      <c r="E3688" s="79" t="s">
        <v>5501</v>
      </c>
      <c r="F3688" s="79" t="s">
        <v>8784</v>
      </c>
      <c r="G3688" s="80" t="s">
        <v>96</v>
      </c>
      <c r="H3688" s="90">
        <v>3.95E-5</v>
      </c>
      <c r="I3688" s="45"/>
      <c r="J3688" s="45"/>
      <c r="K3688" s="45"/>
      <c r="L3688" s="45"/>
      <c r="M3688" s="45"/>
      <c r="N3688" s="45"/>
      <c r="O3688" s="45"/>
      <c r="P3688" s="45"/>
      <c r="Q3688" s="45"/>
      <c r="R3688" s="45"/>
      <c r="S3688" s="45"/>
      <c r="T3688" s="45"/>
      <c r="U3688" s="45"/>
    </row>
    <row r="3689">
      <c r="A3689" s="79" t="s">
        <v>22434</v>
      </c>
      <c r="B3689" s="45"/>
      <c r="C3689" s="79" t="s">
        <v>22435</v>
      </c>
      <c r="D3689" s="45"/>
      <c r="E3689" s="79" t="s">
        <v>5366</v>
      </c>
      <c r="F3689" s="79" t="s">
        <v>8784</v>
      </c>
      <c r="G3689" s="80" t="s">
        <v>96</v>
      </c>
      <c r="H3689" s="90">
        <v>3.94E-5</v>
      </c>
      <c r="I3689" s="45"/>
      <c r="J3689" s="45"/>
      <c r="K3689" s="45"/>
      <c r="L3689" s="45"/>
      <c r="M3689" s="45"/>
      <c r="N3689" s="45"/>
      <c r="O3689" s="45"/>
      <c r="P3689" s="45"/>
      <c r="Q3689" s="45"/>
      <c r="R3689" s="45"/>
      <c r="S3689" s="45"/>
      <c r="T3689" s="45"/>
      <c r="U3689" s="45"/>
    </row>
    <row r="3690">
      <c r="A3690" s="79" t="s">
        <v>22436</v>
      </c>
      <c r="B3690" s="45"/>
      <c r="C3690" s="79" t="s">
        <v>22437</v>
      </c>
      <c r="D3690" s="45"/>
      <c r="E3690" s="79" t="s">
        <v>5961</v>
      </c>
      <c r="F3690" s="79" t="s">
        <v>8784</v>
      </c>
      <c r="G3690" s="80" t="s">
        <v>96</v>
      </c>
      <c r="H3690" s="90">
        <v>3.94E-5</v>
      </c>
      <c r="I3690" s="45"/>
      <c r="J3690" s="45"/>
      <c r="K3690" s="45"/>
      <c r="L3690" s="45"/>
      <c r="M3690" s="45"/>
      <c r="N3690" s="45"/>
      <c r="O3690" s="45"/>
      <c r="P3690" s="45"/>
      <c r="Q3690" s="45"/>
      <c r="R3690" s="45"/>
      <c r="S3690" s="45"/>
      <c r="T3690" s="45"/>
      <c r="U3690" s="45"/>
    </row>
    <row r="3691">
      <c r="A3691" s="79" t="s">
        <v>22438</v>
      </c>
      <c r="B3691" s="45"/>
      <c r="C3691" s="79" t="s">
        <v>22439</v>
      </c>
      <c r="D3691" s="45"/>
      <c r="E3691" s="79" t="s">
        <v>5855</v>
      </c>
      <c r="F3691" s="79" t="s">
        <v>8784</v>
      </c>
      <c r="G3691" s="80" t="s">
        <v>96</v>
      </c>
      <c r="H3691" s="90">
        <v>3.94E-5</v>
      </c>
      <c r="I3691" s="45"/>
      <c r="J3691" s="45"/>
      <c r="K3691" s="45"/>
      <c r="L3691" s="45"/>
      <c r="M3691" s="45"/>
      <c r="N3691" s="45"/>
      <c r="O3691" s="45"/>
      <c r="P3691" s="45"/>
      <c r="Q3691" s="45"/>
      <c r="R3691" s="45"/>
      <c r="S3691" s="45"/>
      <c r="T3691" s="45"/>
      <c r="U3691" s="45"/>
    </row>
    <row r="3692">
      <c r="A3692" s="79" t="s">
        <v>22440</v>
      </c>
      <c r="B3692" s="45"/>
      <c r="C3692" s="79" t="s">
        <v>22441</v>
      </c>
      <c r="D3692" s="45"/>
      <c r="E3692" s="79" t="s">
        <v>5448</v>
      </c>
      <c r="F3692" s="79" t="s">
        <v>8784</v>
      </c>
      <c r="G3692" s="80" t="s">
        <v>96</v>
      </c>
      <c r="H3692" s="90">
        <v>3.93E-5</v>
      </c>
      <c r="I3692" s="45"/>
      <c r="J3692" s="45"/>
      <c r="K3692" s="45"/>
      <c r="L3692" s="45"/>
      <c r="M3692" s="45"/>
      <c r="N3692" s="45"/>
      <c r="O3692" s="45"/>
      <c r="P3692" s="45"/>
      <c r="Q3692" s="45"/>
      <c r="R3692" s="45"/>
      <c r="S3692" s="45"/>
      <c r="T3692" s="45"/>
      <c r="U3692" s="45"/>
    </row>
    <row r="3693">
      <c r="A3693" s="79" t="s">
        <v>22442</v>
      </c>
      <c r="B3693" s="45"/>
      <c r="C3693" s="79" t="s">
        <v>22443</v>
      </c>
      <c r="D3693" s="45"/>
      <c r="E3693" s="79" t="s">
        <v>5478</v>
      </c>
      <c r="F3693" s="79" t="s">
        <v>5300</v>
      </c>
      <c r="G3693" s="80" t="s">
        <v>96</v>
      </c>
      <c r="H3693" s="90">
        <v>3.93E-5</v>
      </c>
      <c r="I3693" s="45"/>
      <c r="J3693" s="45"/>
      <c r="K3693" s="45"/>
      <c r="L3693" s="45"/>
      <c r="M3693" s="45"/>
      <c r="N3693" s="45"/>
      <c r="O3693" s="45"/>
      <c r="P3693" s="45"/>
      <c r="Q3693" s="45"/>
      <c r="R3693" s="45"/>
      <c r="S3693" s="45"/>
      <c r="T3693" s="45"/>
      <c r="U3693" s="45"/>
    </row>
    <row r="3694">
      <c r="A3694" s="79" t="s">
        <v>22444</v>
      </c>
      <c r="B3694" s="45"/>
      <c r="C3694" s="79" t="s">
        <v>22445</v>
      </c>
      <c r="D3694" s="45"/>
      <c r="E3694" s="79" t="s">
        <v>5246</v>
      </c>
      <c r="F3694" s="79" t="s">
        <v>8784</v>
      </c>
      <c r="G3694" s="80" t="s">
        <v>96</v>
      </c>
      <c r="H3694" s="90">
        <v>3.92E-5</v>
      </c>
      <c r="I3694" s="45"/>
      <c r="J3694" s="45"/>
      <c r="K3694" s="45"/>
      <c r="L3694" s="45"/>
      <c r="M3694" s="45"/>
      <c r="N3694" s="45"/>
      <c r="O3694" s="45"/>
      <c r="P3694" s="45"/>
      <c r="Q3694" s="45"/>
      <c r="R3694" s="45"/>
      <c r="S3694" s="45"/>
      <c r="T3694" s="45"/>
      <c r="U3694" s="45"/>
    </row>
    <row r="3695">
      <c r="A3695" s="79" t="s">
        <v>22446</v>
      </c>
      <c r="B3695" s="45"/>
      <c r="C3695" s="79" t="s">
        <v>22447</v>
      </c>
      <c r="D3695" s="45"/>
      <c r="E3695" s="79" t="s">
        <v>6266</v>
      </c>
      <c r="F3695" s="79" t="s">
        <v>5927</v>
      </c>
      <c r="G3695" s="80" t="s">
        <v>96</v>
      </c>
      <c r="H3695" s="90">
        <v>3.92E-5</v>
      </c>
      <c r="I3695" s="45"/>
      <c r="J3695" s="45"/>
      <c r="K3695" s="45"/>
      <c r="L3695" s="45"/>
      <c r="M3695" s="45"/>
      <c r="N3695" s="45"/>
      <c r="O3695" s="45"/>
      <c r="P3695" s="45"/>
      <c r="Q3695" s="45"/>
      <c r="R3695" s="45"/>
      <c r="S3695" s="45"/>
      <c r="T3695" s="45"/>
      <c r="U3695" s="45"/>
    </row>
    <row r="3696">
      <c r="A3696" s="79" t="s">
        <v>22448</v>
      </c>
      <c r="B3696" s="45"/>
      <c r="C3696" s="79" t="s">
        <v>22449</v>
      </c>
      <c r="D3696" s="45"/>
      <c r="E3696" s="79" t="s">
        <v>5434</v>
      </c>
      <c r="F3696" s="79" t="s">
        <v>5300</v>
      </c>
      <c r="G3696" s="80" t="s">
        <v>96</v>
      </c>
      <c r="H3696" s="90">
        <v>3.92E-5</v>
      </c>
      <c r="I3696" s="45"/>
      <c r="J3696" s="45"/>
      <c r="K3696" s="45"/>
      <c r="L3696" s="45"/>
      <c r="M3696" s="45"/>
      <c r="N3696" s="45"/>
      <c r="O3696" s="45"/>
      <c r="P3696" s="45"/>
      <c r="Q3696" s="45"/>
      <c r="R3696" s="45"/>
      <c r="S3696" s="45"/>
      <c r="T3696" s="45"/>
      <c r="U3696" s="45"/>
    </row>
    <row r="3697">
      <c r="A3697" s="79" t="s">
        <v>22450</v>
      </c>
      <c r="B3697" s="45"/>
      <c r="C3697" s="79" t="s">
        <v>22451</v>
      </c>
      <c r="D3697" s="45"/>
      <c r="E3697" s="79" t="s">
        <v>9189</v>
      </c>
      <c r="F3697" s="79" t="s">
        <v>8784</v>
      </c>
      <c r="G3697" s="80" t="s">
        <v>96</v>
      </c>
      <c r="H3697" s="90">
        <v>3.92E-5</v>
      </c>
      <c r="I3697" s="45"/>
      <c r="J3697" s="45"/>
      <c r="K3697" s="45"/>
      <c r="L3697" s="45"/>
      <c r="M3697" s="45"/>
      <c r="N3697" s="45"/>
      <c r="O3697" s="45"/>
      <c r="P3697" s="45"/>
      <c r="Q3697" s="45"/>
      <c r="R3697" s="45"/>
      <c r="S3697" s="45"/>
      <c r="T3697" s="45"/>
      <c r="U3697" s="45"/>
    </row>
    <row r="3698">
      <c r="A3698" s="79" t="s">
        <v>22452</v>
      </c>
      <c r="B3698" s="45"/>
      <c r="C3698" s="79" t="s">
        <v>22453</v>
      </c>
      <c r="D3698" s="45"/>
      <c r="E3698" s="79" t="s">
        <v>5395</v>
      </c>
      <c r="F3698" s="79" t="s">
        <v>5300</v>
      </c>
      <c r="G3698" s="80" t="s">
        <v>96</v>
      </c>
      <c r="H3698" s="90">
        <v>3.91E-5</v>
      </c>
      <c r="I3698" s="45"/>
      <c r="J3698" s="45"/>
      <c r="K3698" s="45"/>
      <c r="L3698" s="45"/>
      <c r="M3698" s="45"/>
      <c r="N3698" s="45"/>
      <c r="O3698" s="45"/>
      <c r="P3698" s="45"/>
      <c r="Q3698" s="45"/>
      <c r="R3698" s="45"/>
      <c r="S3698" s="45"/>
      <c r="T3698" s="45"/>
      <c r="U3698" s="45"/>
    </row>
    <row r="3699">
      <c r="A3699" s="79" t="s">
        <v>22454</v>
      </c>
      <c r="B3699" s="45"/>
      <c r="C3699" s="79" t="s">
        <v>22455</v>
      </c>
      <c r="D3699" s="45"/>
      <c r="E3699" s="79" t="s">
        <v>5868</v>
      </c>
      <c r="F3699" s="79" t="s">
        <v>5300</v>
      </c>
      <c r="G3699" s="80" t="s">
        <v>96</v>
      </c>
      <c r="H3699" s="90">
        <v>3.91E-5</v>
      </c>
      <c r="I3699" s="45"/>
      <c r="J3699" s="45"/>
      <c r="K3699" s="45"/>
      <c r="L3699" s="45"/>
      <c r="M3699" s="45"/>
      <c r="N3699" s="45"/>
      <c r="O3699" s="45"/>
      <c r="P3699" s="45"/>
      <c r="Q3699" s="45"/>
      <c r="R3699" s="45"/>
      <c r="S3699" s="45"/>
      <c r="T3699" s="45"/>
      <c r="U3699" s="45"/>
    </row>
    <row r="3700">
      <c r="A3700" s="79" t="s">
        <v>22456</v>
      </c>
      <c r="B3700" s="45"/>
      <c r="C3700" s="79" t="s">
        <v>22457</v>
      </c>
      <c r="D3700" s="45"/>
      <c r="E3700" s="79" t="s">
        <v>6427</v>
      </c>
      <c r="F3700" s="79" t="s">
        <v>9513</v>
      </c>
      <c r="G3700" s="80" t="s">
        <v>96</v>
      </c>
      <c r="H3700" s="90">
        <v>3.9E-5</v>
      </c>
      <c r="I3700" s="45"/>
      <c r="J3700" s="45"/>
      <c r="K3700" s="45"/>
      <c r="L3700" s="45"/>
      <c r="M3700" s="45"/>
      <c r="N3700" s="45"/>
      <c r="O3700" s="45"/>
      <c r="P3700" s="45"/>
      <c r="Q3700" s="45"/>
      <c r="R3700" s="45"/>
      <c r="S3700" s="45"/>
      <c r="T3700" s="45"/>
      <c r="U3700" s="45"/>
    </row>
    <row r="3701">
      <c r="A3701" s="79" t="s">
        <v>22458</v>
      </c>
      <c r="B3701" s="45"/>
      <c r="C3701" s="79" t="s">
        <v>22459</v>
      </c>
      <c r="D3701" s="45"/>
      <c r="E3701" s="79" t="s">
        <v>5775</v>
      </c>
      <c r="F3701" s="79" t="s">
        <v>9021</v>
      </c>
      <c r="G3701" s="80" t="s">
        <v>96</v>
      </c>
      <c r="H3701" s="90">
        <v>3.9E-5</v>
      </c>
      <c r="I3701" s="45"/>
      <c r="J3701" s="45"/>
      <c r="K3701" s="45"/>
      <c r="L3701" s="45"/>
      <c r="M3701" s="45"/>
      <c r="N3701" s="45"/>
      <c r="O3701" s="45"/>
      <c r="P3701" s="45"/>
      <c r="Q3701" s="45"/>
      <c r="R3701" s="45"/>
      <c r="S3701" s="45"/>
      <c r="T3701" s="45"/>
      <c r="U3701" s="45"/>
    </row>
    <row r="3702">
      <c r="A3702" s="79" t="s">
        <v>22460</v>
      </c>
      <c r="B3702" s="45"/>
      <c r="C3702" s="79" t="s">
        <v>22461</v>
      </c>
      <c r="D3702" s="45"/>
      <c r="E3702" s="79" t="s">
        <v>5246</v>
      </c>
      <c r="F3702" s="79" t="s">
        <v>5425</v>
      </c>
      <c r="G3702" s="80" t="s">
        <v>96</v>
      </c>
      <c r="H3702" s="90">
        <v>3.89E-5</v>
      </c>
      <c r="I3702" s="45"/>
      <c r="J3702" s="45"/>
      <c r="K3702" s="45"/>
      <c r="L3702" s="45"/>
      <c r="M3702" s="45"/>
      <c r="N3702" s="45"/>
      <c r="O3702" s="45"/>
      <c r="P3702" s="45"/>
      <c r="Q3702" s="45"/>
      <c r="R3702" s="45"/>
      <c r="S3702" s="45"/>
      <c r="T3702" s="45"/>
      <c r="U3702" s="45"/>
    </row>
    <row r="3703">
      <c r="A3703" s="79" t="s">
        <v>22462</v>
      </c>
      <c r="B3703" s="45"/>
      <c r="C3703" s="79" t="s">
        <v>22463</v>
      </c>
      <c r="D3703" s="45"/>
      <c r="E3703" s="79" t="s">
        <v>6012</v>
      </c>
      <c r="F3703" s="79" t="s">
        <v>8759</v>
      </c>
      <c r="G3703" s="80" t="s">
        <v>96</v>
      </c>
      <c r="H3703" s="90">
        <v>3.88E-5</v>
      </c>
      <c r="I3703" s="45"/>
      <c r="J3703" s="45"/>
      <c r="K3703" s="45"/>
      <c r="L3703" s="45"/>
      <c r="M3703" s="45"/>
      <c r="N3703" s="45"/>
      <c r="O3703" s="45"/>
      <c r="P3703" s="45"/>
      <c r="Q3703" s="45"/>
      <c r="R3703" s="45"/>
      <c r="S3703" s="45"/>
      <c r="T3703" s="45"/>
      <c r="U3703" s="45"/>
    </row>
    <row r="3704">
      <c r="A3704" s="79" t="s">
        <v>9615</v>
      </c>
      <c r="B3704" s="45"/>
      <c r="C3704" s="79" t="s">
        <v>22464</v>
      </c>
      <c r="D3704" s="45"/>
      <c r="E3704" s="79" t="s">
        <v>5218</v>
      </c>
      <c r="F3704" s="79" t="s">
        <v>5300</v>
      </c>
      <c r="G3704" s="80" t="s">
        <v>96</v>
      </c>
      <c r="H3704" s="90">
        <v>3.87E-5</v>
      </c>
      <c r="I3704" s="45"/>
      <c r="J3704" s="45"/>
      <c r="K3704" s="45"/>
      <c r="L3704" s="45"/>
      <c r="M3704" s="45"/>
      <c r="N3704" s="45"/>
      <c r="O3704" s="45"/>
      <c r="P3704" s="45"/>
      <c r="Q3704" s="45"/>
      <c r="R3704" s="45"/>
      <c r="S3704" s="45"/>
      <c r="T3704" s="45"/>
      <c r="U3704" s="45"/>
    </row>
    <row r="3705">
      <c r="A3705" s="79" t="s">
        <v>22465</v>
      </c>
      <c r="B3705" s="45"/>
      <c r="C3705" s="79" t="s">
        <v>22466</v>
      </c>
      <c r="D3705" s="45"/>
      <c r="E3705" s="79" t="s">
        <v>5450</v>
      </c>
      <c r="F3705" s="79" t="s">
        <v>5927</v>
      </c>
      <c r="G3705" s="80" t="s">
        <v>96</v>
      </c>
      <c r="H3705" s="90">
        <v>3.87E-5</v>
      </c>
      <c r="I3705" s="45"/>
      <c r="J3705" s="45"/>
      <c r="K3705" s="45"/>
      <c r="L3705" s="45"/>
      <c r="M3705" s="45"/>
      <c r="N3705" s="45"/>
      <c r="O3705" s="45"/>
      <c r="P3705" s="45"/>
      <c r="Q3705" s="45"/>
      <c r="R3705" s="45"/>
      <c r="S3705" s="45"/>
      <c r="T3705" s="45"/>
      <c r="U3705" s="45"/>
    </row>
    <row r="3706">
      <c r="A3706" s="79" t="s">
        <v>22467</v>
      </c>
      <c r="B3706" s="45"/>
      <c r="C3706" s="79" t="s">
        <v>22468</v>
      </c>
      <c r="D3706" s="45"/>
      <c r="E3706" s="79" t="s">
        <v>7611</v>
      </c>
      <c r="F3706" s="79" t="s">
        <v>9021</v>
      </c>
      <c r="G3706" s="80" t="s">
        <v>96</v>
      </c>
      <c r="H3706" s="90">
        <v>3.87E-5</v>
      </c>
      <c r="I3706" s="45"/>
      <c r="J3706" s="45"/>
      <c r="K3706" s="45"/>
      <c r="L3706" s="45"/>
      <c r="M3706" s="45"/>
      <c r="N3706" s="45"/>
      <c r="O3706" s="45"/>
      <c r="P3706" s="45"/>
      <c r="Q3706" s="45"/>
      <c r="R3706" s="45"/>
      <c r="S3706" s="45"/>
      <c r="T3706" s="45"/>
      <c r="U3706" s="45"/>
    </row>
    <row r="3707">
      <c r="A3707" s="79" t="s">
        <v>22469</v>
      </c>
      <c r="B3707" s="45"/>
      <c r="C3707" s="79" t="s">
        <v>22470</v>
      </c>
      <c r="D3707" s="45"/>
      <c r="E3707" s="79" t="s">
        <v>5811</v>
      </c>
      <c r="F3707" s="79" t="s">
        <v>5927</v>
      </c>
      <c r="G3707" s="80" t="s">
        <v>96</v>
      </c>
      <c r="H3707" s="90">
        <v>3.86E-5</v>
      </c>
      <c r="I3707" s="45"/>
      <c r="J3707" s="45"/>
      <c r="K3707" s="45"/>
      <c r="L3707" s="45"/>
      <c r="M3707" s="45"/>
      <c r="N3707" s="45"/>
      <c r="O3707" s="45"/>
      <c r="P3707" s="45"/>
      <c r="Q3707" s="45"/>
      <c r="R3707" s="45"/>
      <c r="S3707" s="45"/>
      <c r="T3707" s="45"/>
      <c r="U3707" s="45"/>
    </row>
    <row r="3708">
      <c r="A3708" s="79" t="s">
        <v>18215</v>
      </c>
      <c r="B3708" s="45"/>
      <c r="C3708" s="79" t="s">
        <v>22471</v>
      </c>
      <c r="D3708" s="45"/>
      <c r="E3708" s="79" t="s">
        <v>5501</v>
      </c>
      <c r="F3708" s="79" t="s">
        <v>5300</v>
      </c>
      <c r="G3708" s="80" t="s">
        <v>96</v>
      </c>
      <c r="H3708" s="90">
        <v>3.86E-5</v>
      </c>
      <c r="I3708" s="45"/>
      <c r="J3708" s="45"/>
      <c r="K3708" s="45"/>
      <c r="L3708" s="45"/>
      <c r="M3708" s="45"/>
      <c r="N3708" s="45"/>
      <c r="O3708" s="45"/>
      <c r="P3708" s="45"/>
      <c r="Q3708" s="45"/>
      <c r="R3708" s="45"/>
      <c r="S3708" s="45"/>
      <c r="T3708" s="45"/>
      <c r="U3708" s="45"/>
    </row>
    <row r="3709">
      <c r="A3709" s="79" t="s">
        <v>22472</v>
      </c>
      <c r="B3709" s="45"/>
      <c r="C3709" s="79" t="s">
        <v>22473</v>
      </c>
      <c r="D3709" s="45"/>
      <c r="E3709" s="79" t="s">
        <v>8480</v>
      </c>
      <c r="F3709" s="79" t="s">
        <v>8784</v>
      </c>
      <c r="G3709" s="80" t="s">
        <v>96</v>
      </c>
      <c r="H3709" s="90">
        <v>3.85E-5</v>
      </c>
      <c r="I3709" s="45"/>
      <c r="J3709" s="45"/>
      <c r="K3709" s="45"/>
      <c r="L3709" s="45"/>
      <c r="M3709" s="45"/>
      <c r="N3709" s="45"/>
      <c r="O3709" s="45"/>
      <c r="P3709" s="45"/>
      <c r="Q3709" s="45"/>
      <c r="R3709" s="45"/>
      <c r="S3709" s="45"/>
      <c r="T3709" s="45"/>
      <c r="U3709" s="45"/>
    </row>
    <row r="3710">
      <c r="A3710" s="79" t="s">
        <v>22474</v>
      </c>
      <c r="B3710" s="45"/>
      <c r="C3710" s="79" t="s">
        <v>22475</v>
      </c>
      <c r="D3710" s="45"/>
      <c r="E3710" s="79" t="s">
        <v>5478</v>
      </c>
      <c r="F3710" s="79" t="s">
        <v>5300</v>
      </c>
      <c r="G3710" s="80" t="s">
        <v>96</v>
      </c>
      <c r="H3710" s="90">
        <v>3.85E-5</v>
      </c>
      <c r="I3710" s="45"/>
      <c r="J3710" s="45"/>
      <c r="K3710" s="45"/>
      <c r="L3710" s="45"/>
      <c r="M3710" s="45"/>
      <c r="N3710" s="45"/>
      <c r="O3710" s="45"/>
      <c r="P3710" s="45"/>
      <c r="Q3710" s="45"/>
      <c r="R3710" s="45"/>
      <c r="S3710" s="45"/>
      <c r="T3710" s="45"/>
      <c r="U3710" s="45"/>
    </row>
    <row r="3711">
      <c r="A3711" s="79" t="s">
        <v>22476</v>
      </c>
      <c r="B3711" s="45"/>
      <c r="C3711" s="79" t="s">
        <v>22477</v>
      </c>
      <c r="D3711" s="45"/>
      <c r="E3711" s="79" t="s">
        <v>5215</v>
      </c>
      <c r="F3711" s="79" t="s">
        <v>5300</v>
      </c>
      <c r="G3711" s="80" t="s">
        <v>96</v>
      </c>
      <c r="H3711" s="90">
        <v>3.85E-5</v>
      </c>
      <c r="I3711" s="45"/>
      <c r="J3711" s="45"/>
      <c r="K3711" s="45"/>
      <c r="L3711" s="45"/>
      <c r="M3711" s="45"/>
      <c r="N3711" s="45"/>
      <c r="O3711" s="45"/>
      <c r="P3711" s="45"/>
      <c r="Q3711" s="45"/>
      <c r="R3711" s="45"/>
      <c r="S3711" s="45"/>
      <c r="T3711" s="45"/>
      <c r="U3711" s="45"/>
    </row>
    <row r="3712">
      <c r="A3712" s="79" t="s">
        <v>22478</v>
      </c>
      <c r="B3712" s="45"/>
      <c r="C3712" s="79" t="s">
        <v>22479</v>
      </c>
      <c r="D3712" s="45"/>
      <c r="E3712" s="79" t="s">
        <v>5235</v>
      </c>
      <c r="F3712" s="79" t="s">
        <v>9513</v>
      </c>
      <c r="G3712" s="80" t="s">
        <v>96</v>
      </c>
      <c r="H3712" s="90">
        <v>3.85E-5</v>
      </c>
      <c r="I3712" s="45"/>
      <c r="J3712" s="45"/>
      <c r="K3712" s="45"/>
      <c r="L3712" s="45"/>
      <c r="M3712" s="45"/>
      <c r="N3712" s="45"/>
      <c r="O3712" s="45"/>
      <c r="P3712" s="45"/>
      <c r="Q3712" s="45"/>
      <c r="R3712" s="45"/>
      <c r="S3712" s="45"/>
      <c r="T3712" s="45"/>
      <c r="U3712" s="45"/>
    </row>
    <row r="3713">
      <c r="A3713" s="79" t="s">
        <v>22480</v>
      </c>
      <c r="B3713" s="45"/>
      <c r="C3713" s="79" t="s">
        <v>22481</v>
      </c>
      <c r="D3713" s="45"/>
      <c r="E3713" s="79" t="s">
        <v>7169</v>
      </c>
      <c r="F3713" s="79" t="s">
        <v>8784</v>
      </c>
      <c r="G3713" s="80" t="s">
        <v>96</v>
      </c>
      <c r="H3713" s="90">
        <v>3.85E-5</v>
      </c>
      <c r="I3713" s="45"/>
      <c r="J3713" s="45"/>
      <c r="K3713" s="45"/>
      <c r="L3713" s="45"/>
      <c r="M3713" s="45"/>
      <c r="N3713" s="45"/>
      <c r="O3713" s="45"/>
      <c r="P3713" s="45"/>
      <c r="Q3713" s="45"/>
      <c r="R3713" s="45"/>
      <c r="S3713" s="45"/>
      <c r="T3713" s="45"/>
      <c r="U3713" s="45"/>
    </row>
    <row r="3714">
      <c r="A3714" s="79" t="s">
        <v>22482</v>
      </c>
      <c r="B3714" s="45"/>
      <c r="C3714" s="79" t="s">
        <v>22483</v>
      </c>
      <c r="D3714" s="45"/>
      <c r="E3714" s="79" t="s">
        <v>5478</v>
      </c>
      <c r="F3714" s="79" t="s">
        <v>5300</v>
      </c>
      <c r="G3714" s="80" t="s">
        <v>96</v>
      </c>
      <c r="H3714" s="90">
        <v>3.84E-5</v>
      </c>
      <c r="I3714" s="45"/>
      <c r="J3714" s="45"/>
      <c r="K3714" s="45"/>
      <c r="L3714" s="45"/>
      <c r="M3714" s="45"/>
      <c r="N3714" s="45"/>
      <c r="O3714" s="45"/>
      <c r="P3714" s="45"/>
      <c r="Q3714" s="45"/>
      <c r="R3714" s="45"/>
      <c r="S3714" s="45"/>
      <c r="T3714" s="45"/>
      <c r="U3714" s="45"/>
    </row>
    <row r="3715">
      <c r="A3715" s="79" t="s">
        <v>22484</v>
      </c>
      <c r="B3715" s="45"/>
      <c r="C3715" s="79" t="s">
        <v>22485</v>
      </c>
      <c r="D3715" s="45"/>
      <c r="E3715" s="79" t="s">
        <v>5283</v>
      </c>
      <c r="F3715" s="79" t="s">
        <v>9021</v>
      </c>
      <c r="G3715" s="80" t="s">
        <v>96</v>
      </c>
      <c r="H3715" s="90">
        <v>3.84E-5</v>
      </c>
      <c r="I3715" s="45"/>
      <c r="J3715" s="45"/>
      <c r="K3715" s="45"/>
      <c r="L3715" s="45"/>
      <c r="M3715" s="45"/>
      <c r="N3715" s="45"/>
      <c r="O3715" s="45"/>
      <c r="P3715" s="45"/>
      <c r="Q3715" s="45"/>
      <c r="R3715" s="45"/>
      <c r="S3715" s="45"/>
      <c r="T3715" s="45"/>
      <c r="U3715" s="45"/>
    </row>
    <row r="3716">
      <c r="A3716" s="79" t="s">
        <v>22486</v>
      </c>
      <c r="B3716" s="45"/>
      <c r="C3716" s="79" t="s">
        <v>22487</v>
      </c>
      <c r="D3716" s="45"/>
      <c r="E3716" s="79" t="s">
        <v>5525</v>
      </c>
      <c r="F3716" s="79" t="s">
        <v>5300</v>
      </c>
      <c r="G3716" s="80" t="s">
        <v>96</v>
      </c>
      <c r="H3716" s="90">
        <v>3.83E-5</v>
      </c>
      <c r="I3716" s="45"/>
      <c r="J3716" s="45"/>
      <c r="K3716" s="45"/>
      <c r="L3716" s="45"/>
      <c r="M3716" s="45"/>
      <c r="N3716" s="45"/>
      <c r="O3716" s="45"/>
      <c r="P3716" s="45"/>
      <c r="Q3716" s="45"/>
      <c r="R3716" s="45"/>
      <c r="S3716" s="45"/>
      <c r="T3716" s="45"/>
      <c r="U3716" s="45"/>
    </row>
    <row r="3717">
      <c r="A3717" s="79" t="s">
        <v>22488</v>
      </c>
      <c r="B3717" s="45"/>
      <c r="C3717" s="79" t="s">
        <v>22489</v>
      </c>
      <c r="D3717" s="45"/>
      <c r="E3717" s="79" t="s">
        <v>9189</v>
      </c>
      <c r="F3717" s="79" t="s">
        <v>8784</v>
      </c>
      <c r="G3717" s="80" t="s">
        <v>96</v>
      </c>
      <c r="H3717" s="90">
        <v>3.83E-5</v>
      </c>
      <c r="I3717" s="45"/>
      <c r="J3717" s="45"/>
      <c r="K3717" s="45"/>
      <c r="L3717" s="45"/>
      <c r="M3717" s="45"/>
      <c r="N3717" s="45"/>
      <c r="O3717" s="45"/>
      <c r="P3717" s="45"/>
      <c r="Q3717" s="45"/>
      <c r="R3717" s="45"/>
      <c r="S3717" s="45"/>
      <c r="T3717" s="45"/>
      <c r="U3717" s="45"/>
    </row>
    <row r="3718">
      <c r="A3718" s="79" t="s">
        <v>22490</v>
      </c>
      <c r="B3718" s="45"/>
      <c r="C3718" s="79" t="s">
        <v>22491</v>
      </c>
      <c r="D3718" s="45"/>
      <c r="E3718" s="79" t="s">
        <v>8110</v>
      </c>
      <c r="F3718" s="79" t="s">
        <v>8784</v>
      </c>
      <c r="G3718" s="80" t="s">
        <v>96</v>
      </c>
      <c r="H3718" s="90">
        <v>3.83E-5</v>
      </c>
      <c r="I3718" s="45"/>
      <c r="J3718" s="45"/>
      <c r="K3718" s="45"/>
      <c r="L3718" s="45"/>
      <c r="M3718" s="45"/>
      <c r="N3718" s="45"/>
      <c r="O3718" s="45"/>
      <c r="P3718" s="45"/>
      <c r="Q3718" s="45"/>
      <c r="R3718" s="45"/>
      <c r="S3718" s="45"/>
      <c r="T3718" s="45"/>
      <c r="U3718" s="45"/>
    </row>
    <row r="3719">
      <c r="A3719" s="79" t="s">
        <v>22492</v>
      </c>
      <c r="B3719" s="45"/>
      <c r="C3719" s="79" t="s">
        <v>22493</v>
      </c>
      <c r="D3719" s="45"/>
      <c r="E3719" s="79" t="s">
        <v>5264</v>
      </c>
      <c r="F3719" s="79" t="s">
        <v>6210</v>
      </c>
      <c r="G3719" s="80" t="s">
        <v>96</v>
      </c>
      <c r="H3719" s="90">
        <v>3.83E-5</v>
      </c>
      <c r="I3719" s="45"/>
      <c r="J3719" s="45"/>
      <c r="K3719" s="45"/>
      <c r="L3719" s="45"/>
      <c r="M3719" s="45"/>
      <c r="N3719" s="45"/>
      <c r="O3719" s="45"/>
      <c r="P3719" s="45"/>
      <c r="Q3719" s="45"/>
      <c r="R3719" s="45"/>
      <c r="S3719" s="45"/>
      <c r="T3719" s="45"/>
      <c r="U3719" s="45"/>
    </row>
    <row r="3720">
      <c r="A3720" s="79" t="s">
        <v>22494</v>
      </c>
      <c r="B3720" s="45"/>
      <c r="C3720" s="79" t="s">
        <v>22495</v>
      </c>
      <c r="D3720" s="45"/>
      <c r="E3720" s="79" t="s">
        <v>5341</v>
      </c>
      <c r="F3720" s="79" t="s">
        <v>5941</v>
      </c>
      <c r="G3720" s="80" t="s">
        <v>96</v>
      </c>
      <c r="H3720" s="90">
        <v>3.82E-5</v>
      </c>
      <c r="I3720" s="45"/>
      <c r="J3720" s="45"/>
      <c r="K3720" s="45"/>
      <c r="L3720" s="45"/>
      <c r="M3720" s="45"/>
      <c r="N3720" s="45"/>
      <c r="O3720" s="45"/>
      <c r="P3720" s="45"/>
      <c r="Q3720" s="45"/>
      <c r="R3720" s="45"/>
      <c r="S3720" s="45"/>
      <c r="T3720" s="45"/>
      <c r="U3720" s="45"/>
    </row>
    <row r="3721">
      <c r="A3721" s="79" t="s">
        <v>22496</v>
      </c>
      <c r="B3721" s="45"/>
      <c r="C3721" s="79" t="s">
        <v>22497</v>
      </c>
      <c r="D3721" s="45"/>
      <c r="E3721" s="79" t="s">
        <v>5276</v>
      </c>
      <c r="F3721" s="79" t="s">
        <v>5300</v>
      </c>
      <c r="G3721" s="80" t="s">
        <v>96</v>
      </c>
      <c r="H3721" s="90">
        <v>3.81E-5</v>
      </c>
      <c r="I3721" s="45"/>
      <c r="J3721" s="45"/>
      <c r="K3721" s="45"/>
      <c r="L3721" s="45"/>
      <c r="M3721" s="45"/>
      <c r="N3721" s="45"/>
      <c r="O3721" s="45"/>
      <c r="P3721" s="45"/>
      <c r="Q3721" s="45"/>
      <c r="R3721" s="45"/>
      <c r="S3721" s="45"/>
      <c r="T3721" s="45"/>
      <c r="U3721" s="45"/>
    </row>
    <row r="3722">
      <c r="A3722" s="79" t="s">
        <v>22498</v>
      </c>
      <c r="B3722" s="45"/>
      <c r="C3722" s="79" t="s">
        <v>22499</v>
      </c>
      <c r="D3722" s="45"/>
      <c r="E3722" s="79" t="s">
        <v>5261</v>
      </c>
      <c r="F3722" s="79" t="s">
        <v>5300</v>
      </c>
      <c r="G3722" s="80" t="s">
        <v>96</v>
      </c>
      <c r="H3722" s="90">
        <v>3.81E-5</v>
      </c>
      <c r="I3722" s="45"/>
      <c r="J3722" s="45"/>
      <c r="K3722" s="45"/>
      <c r="L3722" s="45"/>
      <c r="M3722" s="45"/>
      <c r="N3722" s="45"/>
      <c r="O3722" s="45"/>
      <c r="P3722" s="45"/>
      <c r="Q3722" s="45"/>
      <c r="R3722" s="45"/>
      <c r="S3722" s="45"/>
      <c r="T3722" s="45"/>
      <c r="U3722" s="45"/>
    </row>
    <row r="3723">
      <c r="A3723" s="79" t="s">
        <v>22500</v>
      </c>
      <c r="B3723" s="45"/>
      <c r="C3723" s="79" t="s">
        <v>22501</v>
      </c>
      <c r="D3723" s="45"/>
      <c r="E3723" s="79" t="s">
        <v>5276</v>
      </c>
      <c r="F3723" s="79" t="s">
        <v>9513</v>
      </c>
      <c r="G3723" s="80" t="s">
        <v>96</v>
      </c>
      <c r="H3723" s="90">
        <v>3.81E-5</v>
      </c>
      <c r="I3723" s="45"/>
      <c r="J3723" s="45"/>
      <c r="K3723" s="45"/>
      <c r="L3723" s="45"/>
      <c r="M3723" s="45"/>
      <c r="N3723" s="45"/>
      <c r="O3723" s="45"/>
      <c r="P3723" s="45"/>
      <c r="Q3723" s="45"/>
      <c r="R3723" s="45"/>
      <c r="S3723" s="45"/>
      <c r="T3723" s="45"/>
      <c r="U3723" s="45"/>
    </row>
    <row r="3724">
      <c r="A3724" s="79" t="s">
        <v>4439</v>
      </c>
      <c r="B3724" s="45"/>
      <c r="C3724" s="79" t="s">
        <v>22502</v>
      </c>
      <c r="D3724" s="45"/>
      <c r="E3724" s="79" t="s">
        <v>5296</v>
      </c>
      <c r="F3724" s="79" t="s">
        <v>4357</v>
      </c>
      <c r="G3724" s="80" t="s">
        <v>96</v>
      </c>
      <c r="H3724" s="90">
        <v>3.79E-5</v>
      </c>
      <c r="I3724" s="45"/>
      <c r="J3724" s="45"/>
      <c r="K3724" s="45"/>
      <c r="L3724" s="45"/>
      <c r="M3724" s="45"/>
      <c r="N3724" s="45"/>
      <c r="O3724" s="45"/>
      <c r="P3724" s="45"/>
      <c r="Q3724" s="45"/>
      <c r="R3724" s="45"/>
      <c r="S3724" s="45"/>
      <c r="T3724" s="45"/>
      <c r="U3724" s="45"/>
    </row>
    <row r="3725">
      <c r="A3725" s="79" t="s">
        <v>22503</v>
      </c>
      <c r="B3725" s="45"/>
      <c r="C3725" s="79" t="s">
        <v>22504</v>
      </c>
      <c r="D3725" s="45"/>
      <c r="E3725" s="79" t="s">
        <v>5578</v>
      </c>
      <c r="F3725" s="79" t="s">
        <v>8784</v>
      </c>
      <c r="G3725" s="80" t="s">
        <v>96</v>
      </c>
      <c r="H3725" s="90">
        <v>3.79E-5</v>
      </c>
      <c r="I3725" s="45"/>
      <c r="J3725" s="45"/>
      <c r="K3725" s="45"/>
      <c r="L3725" s="45"/>
      <c r="M3725" s="45"/>
      <c r="N3725" s="45"/>
      <c r="O3725" s="45"/>
      <c r="P3725" s="45"/>
      <c r="Q3725" s="45"/>
      <c r="R3725" s="45"/>
      <c r="S3725" s="45"/>
      <c r="T3725" s="45"/>
      <c r="U3725" s="45"/>
    </row>
    <row r="3726">
      <c r="A3726" s="79" t="s">
        <v>6260</v>
      </c>
      <c r="B3726" s="45"/>
      <c r="C3726" s="79" t="s">
        <v>22505</v>
      </c>
      <c r="D3726" s="45"/>
      <c r="E3726" s="79" t="s">
        <v>6759</v>
      </c>
      <c r="F3726" s="79" t="s">
        <v>5747</v>
      </c>
      <c r="G3726" s="80" t="s">
        <v>96</v>
      </c>
      <c r="H3726" s="90">
        <v>3.78E-5</v>
      </c>
      <c r="I3726" s="45"/>
      <c r="J3726" s="45"/>
      <c r="K3726" s="45"/>
      <c r="L3726" s="45"/>
      <c r="M3726" s="45"/>
      <c r="N3726" s="45"/>
      <c r="O3726" s="45"/>
      <c r="P3726" s="45"/>
      <c r="Q3726" s="45"/>
      <c r="R3726" s="45"/>
      <c r="S3726" s="45"/>
      <c r="T3726" s="45"/>
      <c r="U3726" s="45"/>
    </row>
    <row r="3727">
      <c r="A3727" s="79" t="s">
        <v>22506</v>
      </c>
      <c r="B3727" s="45"/>
      <c r="C3727" s="79" t="s">
        <v>22507</v>
      </c>
      <c r="D3727" s="45"/>
      <c r="E3727" s="79" t="s">
        <v>7248</v>
      </c>
      <c r="F3727" s="79" t="s">
        <v>5300</v>
      </c>
      <c r="G3727" s="80" t="s">
        <v>96</v>
      </c>
      <c r="H3727" s="90">
        <v>3.77E-5</v>
      </c>
      <c r="I3727" s="45"/>
      <c r="J3727" s="45"/>
      <c r="K3727" s="45"/>
      <c r="L3727" s="45"/>
      <c r="M3727" s="45"/>
      <c r="N3727" s="45"/>
      <c r="O3727" s="45"/>
      <c r="P3727" s="45"/>
      <c r="Q3727" s="45"/>
      <c r="R3727" s="45"/>
      <c r="S3727" s="45"/>
      <c r="T3727" s="45"/>
      <c r="U3727" s="45"/>
    </row>
    <row r="3728">
      <c r="A3728" s="79" t="s">
        <v>22508</v>
      </c>
      <c r="B3728" s="45"/>
      <c r="C3728" s="79" t="s">
        <v>22509</v>
      </c>
      <c r="D3728" s="45"/>
      <c r="E3728" s="79" t="s">
        <v>5249</v>
      </c>
      <c r="F3728" s="79" t="s">
        <v>5300</v>
      </c>
      <c r="G3728" s="80" t="s">
        <v>96</v>
      </c>
      <c r="H3728" s="90">
        <v>3.76E-5</v>
      </c>
      <c r="I3728" s="45"/>
      <c r="J3728" s="45"/>
      <c r="K3728" s="45"/>
      <c r="L3728" s="45"/>
      <c r="M3728" s="45"/>
      <c r="N3728" s="45"/>
      <c r="O3728" s="45"/>
      <c r="P3728" s="45"/>
      <c r="Q3728" s="45"/>
      <c r="R3728" s="45"/>
      <c r="S3728" s="45"/>
      <c r="T3728" s="45"/>
      <c r="U3728" s="45"/>
    </row>
    <row r="3729">
      <c r="A3729" s="79" t="s">
        <v>22510</v>
      </c>
      <c r="B3729" s="45"/>
      <c r="C3729" s="79" t="s">
        <v>22511</v>
      </c>
      <c r="D3729" s="45"/>
      <c r="E3729" s="79" t="s">
        <v>7169</v>
      </c>
      <c r="F3729" s="79" t="s">
        <v>8784</v>
      </c>
      <c r="G3729" s="80" t="s">
        <v>96</v>
      </c>
      <c r="H3729" s="90">
        <v>3.76E-5</v>
      </c>
      <c r="I3729" s="45"/>
      <c r="J3729" s="45"/>
      <c r="K3729" s="45"/>
      <c r="L3729" s="45"/>
      <c r="M3729" s="45"/>
      <c r="N3729" s="45"/>
      <c r="O3729" s="45"/>
      <c r="P3729" s="45"/>
      <c r="Q3729" s="45"/>
      <c r="R3729" s="45"/>
      <c r="S3729" s="45"/>
      <c r="T3729" s="45"/>
      <c r="U3729" s="45"/>
    </row>
    <row r="3730">
      <c r="A3730" s="79" t="s">
        <v>22512</v>
      </c>
      <c r="B3730" s="45"/>
      <c r="C3730" s="79" t="s">
        <v>22513</v>
      </c>
      <c r="D3730" s="45"/>
      <c r="E3730" s="79" t="s">
        <v>5434</v>
      </c>
      <c r="F3730" s="79" t="s">
        <v>8784</v>
      </c>
      <c r="G3730" s="80" t="s">
        <v>96</v>
      </c>
      <c r="H3730" s="90">
        <v>3.76E-5</v>
      </c>
      <c r="I3730" s="45"/>
      <c r="J3730" s="45"/>
      <c r="K3730" s="45"/>
      <c r="L3730" s="45"/>
      <c r="M3730" s="45"/>
      <c r="N3730" s="45"/>
      <c r="O3730" s="45"/>
      <c r="P3730" s="45"/>
      <c r="Q3730" s="45"/>
      <c r="R3730" s="45"/>
      <c r="S3730" s="45"/>
      <c r="T3730" s="45"/>
      <c r="U3730" s="45"/>
    </row>
    <row r="3731">
      <c r="A3731" s="79" t="s">
        <v>22514</v>
      </c>
      <c r="B3731" s="45"/>
      <c r="C3731" s="79" t="s">
        <v>22515</v>
      </c>
      <c r="D3731" s="45"/>
      <c r="E3731" s="79" t="s">
        <v>5374</v>
      </c>
      <c r="F3731" s="79" t="s">
        <v>4095</v>
      </c>
      <c r="G3731" s="80" t="s">
        <v>96</v>
      </c>
      <c r="H3731" s="90">
        <v>3.75E-5</v>
      </c>
      <c r="I3731" s="45"/>
      <c r="J3731" s="45"/>
      <c r="K3731" s="45"/>
      <c r="L3731" s="45"/>
      <c r="M3731" s="45"/>
      <c r="N3731" s="45"/>
      <c r="O3731" s="45"/>
      <c r="P3731" s="45"/>
      <c r="Q3731" s="45"/>
      <c r="R3731" s="45"/>
      <c r="S3731" s="45"/>
      <c r="T3731" s="45"/>
      <c r="U3731" s="45"/>
    </row>
    <row r="3732">
      <c r="A3732" s="79" t="s">
        <v>22516</v>
      </c>
      <c r="B3732" s="45"/>
      <c r="C3732" s="79" t="s">
        <v>22517</v>
      </c>
      <c r="D3732" s="45"/>
      <c r="E3732" s="79" t="s">
        <v>5808</v>
      </c>
      <c r="F3732" s="79" t="s">
        <v>5300</v>
      </c>
      <c r="G3732" s="80" t="s">
        <v>96</v>
      </c>
      <c r="H3732" s="90">
        <v>3.75E-5</v>
      </c>
      <c r="I3732" s="45"/>
      <c r="J3732" s="45"/>
      <c r="K3732" s="45"/>
      <c r="L3732" s="45"/>
      <c r="M3732" s="45"/>
      <c r="N3732" s="45"/>
      <c r="O3732" s="45"/>
      <c r="P3732" s="45"/>
      <c r="Q3732" s="45"/>
      <c r="R3732" s="45"/>
      <c r="S3732" s="45"/>
      <c r="T3732" s="45"/>
      <c r="U3732" s="45"/>
    </row>
    <row r="3733">
      <c r="A3733" s="79" t="s">
        <v>22518</v>
      </c>
      <c r="B3733" s="45"/>
      <c r="C3733" s="79" t="s">
        <v>22519</v>
      </c>
      <c r="D3733" s="45"/>
      <c r="E3733" s="79" t="s">
        <v>5283</v>
      </c>
      <c r="F3733" s="79" t="s">
        <v>8784</v>
      </c>
      <c r="G3733" s="80" t="s">
        <v>96</v>
      </c>
      <c r="H3733" s="90">
        <v>3.75E-5</v>
      </c>
      <c r="I3733" s="45"/>
      <c r="J3733" s="45"/>
      <c r="K3733" s="45"/>
      <c r="L3733" s="45"/>
      <c r="M3733" s="45"/>
      <c r="N3733" s="45"/>
      <c r="O3733" s="45"/>
      <c r="P3733" s="45"/>
      <c r="Q3733" s="45"/>
      <c r="R3733" s="45"/>
      <c r="S3733" s="45"/>
      <c r="T3733" s="45"/>
      <c r="U3733" s="45"/>
    </row>
    <row r="3734">
      <c r="A3734" s="79" t="s">
        <v>22520</v>
      </c>
      <c r="B3734" s="45"/>
      <c r="C3734" s="79" t="s">
        <v>22521</v>
      </c>
      <c r="D3734" s="45"/>
      <c r="E3734" s="79" t="s">
        <v>5434</v>
      </c>
      <c r="F3734" s="79" t="s">
        <v>8784</v>
      </c>
      <c r="G3734" s="80" t="s">
        <v>96</v>
      </c>
      <c r="H3734" s="90">
        <v>3.75E-5</v>
      </c>
      <c r="I3734" s="45"/>
      <c r="J3734" s="45"/>
      <c r="K3734" s="45"/>
      <c r="L3734" s="45"/>
      <c r="M3734" s="45"/>
      <c r="N3734" s="45"/>
      <c r="O3734" s="45"/>
      <c r="P3734" s="45"/>
      <c r="Q3734" s="45"/>
      <c r="R3734" s="45"/>
      <c r="S3734" s="45"/>
      <c r="T3734" s="45"/>
      <c r="U3734" s="45"/>
    </row>
    <row r="3735">
      <c r="A3735" s="79" t="s">
        <v>22522</v>
      </c>
      <c r="B3735" s="45"/>
      <c r="C3735" s="79" t="s">
        <v>22523</v>
      </c>
      <c r="D3735" s="45"/>
      <c r="E3735" s="79" t="s">
        <v>6115</v>
      </c>
      <c r="F3735" s="79" t="s">
        <v>4357</v>
      </c>
      <c r="G3735" s="80" t="s">
        <v>96</v>
      </c>
      <c r="H3735" s="90">
        <v>3.75E-5</v>
      </c>
      <c r="I3735" s="45"/>
      <c r="J3735" s="45"/>
      <c r="K3735" s="45"/>
      <c r="L3735" s="45"/>
      <c r="M3735" s="45"/>
      <c r="N3735" s="45"/>
      <c r="O3735" s="45"/>
      <c r="P3735" s="45"/>
      <c r="Q3735" s="45"/>
      <c r="R3735" s="45"/>
      <c r="S3735" s="45"/>
      <c r="T3735" s="45"/>
      <c r="U3735" s="45"/>
    </row>
    <row r="3736">
      <c r="A3736" s="79" t="s">
        <v>22524</v>
      </c>
      <c r="B3736" s="45"/>
      <c r="C3736" s="79" t="s">
        <v>22525</v>
      </c>
      <c r="D3736" s="45"/>
      <c r="E3736" s="79" t="s">
        <v>5434</v>
      </c>
      <c r="F3736" s="79" t="s">
        <v>5927</v>
      </c>
      <c r="G3736" s="80" t="s">
        <v>96</v>
      </c>
      <c r="H3736" s="90">
        <v>3.74E-5</v>
      </c>
      <c r="I3736" s="45"/>
      <c r="J3736" s="45"/>
      <c r="K3736" s="45"/>
      <c r="L3736" s="45"/>
      <c r="M3736" s="45"/>
      <c r="N3736" s="45"/>
      <c r="O3736" s="45"/>
      <c r="P3736" s="45"/>
      <c r="Q3736" s="45"/>
      <c r="R3736" s="45"/>
      <c r="S3736" s="45"/>
      <c r="T3736" s="45"/>
      <c r="U3736" s="45"/>
    </row>
    <row r="3737">
      <c r="A3737" s="79" t="s">
        <v>22526</v>
      </c>
      <c r="B3737" s="45"/>
      <c r="C3737" s="79" t="s">
        <v>22527</v>
      </c>
      <c r="D3737" s="45"/>
      <c r="E3737" s="79" t="s">
        <v>5374</v>
      </c>
      <c r="F3737" s="79" t="s">
        <v>8759</v>
      </c>
      <c r="G3737" s="80" t="s">
        <v>96</v>
      </c>
      <c r="H3737" s="90">
        <v>3.74E-5</v>
      </c>
      <c r="I3737" s="45"/>
      <c r="J3737" s="45"/>
      <c r="K3737" s="45"/>
      <c r="L3737" s="45"/>
      <c r="M3737" s="45"/>
      <c r="N3737" s="45"/>
      <c r="O3737" s="45"/>
      <c r="P3737" s="45"/>
      <c r="Q3737" s="45"/>
      <c r="R3737" s="45"/>
      <c r="S3737" s="45"/>
      <c r="T3737" s="45"/>
      <c r="U3737" s="45"/>
    </row>
    <row r="3738">
      <c r="A3738" s="79" t="s">
        <v>22528</v>
      </c>
      <c r="B3738" s="45"/>
      <c r="C3738" s="79" t="s">
        <v>22529</v>
      </c>
      <c r="D3738" s="45"/>
      <c r="E3738" s="79" t="s">
        <v>6115</v>
      </c>
      <c r="F3738" s="79" t="s">
        <v>4153</v>
      </c>
      <c r="G3738" s="80" t="s">
        <v>96</v>
      </c>
      <c r="H3738" s="90">
        <v>3.74E-5</v>
      </c>
      <c r="I3738" s="45"/>
      <c r="J3738" s="45"/>
      <c r="K3738" s="45"/>
      <c r="L3738" s="45"/>
      <c r="M3738" s="45"/>
      <c r="N3738" s="45"/>
      <c r="O3738" s="45"/>
      <c r="P3738" s="45"/>
      <c r="Q3738" s="45"/>
      <c r="R3738" s="45"/>
      <c r="S3738" s="45"/>
      <c r="T3738" s="45"/>
      <c r="U3738" s="45"/>
    </row>
    <row r="3739">
      <c r="A3739" s="79" t="s">
        <v>17728</v>
      </c>
      <c r="B3739" s="45"/>
      <c r="C3739" s="79" t="s">
        <v>17729</v>
      </c>
      <c r="D3739" s="45"/>
      <c r="E3739" s="79" t="s">
        <v>5374</v>
      </c>
      <c r="F3739" s="79" t="s">
        <v>4153</v>
      </c>
      <c r="G3739" s="80" t="s">
        <v>96</v>
      </c>
      <c r="H3739" s="90">
        <v>3.73E-5</v>
      </c>
      <c r="I3739" s="45"/>
      <c r="J3739" s="45"/>
      <c r="K3739" s="45"/>
      <c r="L3739" s="45"/>
      <c r="M3739" s="45"/>
      <c r="N3739" s="45"/>
      <c r="O3739" s="45"/>
      <c r="P3739" s="45"/>
      <c r="Q3739" s="45"/>
      <c r="R3739" s="45"/>
      <c r="S3739" s="45"/>
      <c r="T3739" s="45"/>
      <c r="U3739" s="45"/>
    </row>
    <row r="3740">
      <c r="A3740" s="79" t="s">
        <v>22530</v>
      </c>
      <c r="B3740" s="45"/>
      <c r="C3740" s="79" t="s">
        <v>22531</v>
      </c>
      <c r="D3740" s="45"/>
      <c r="E3740" s="79" t="s">
        <v>5229</v>
      </c>
      <c r="F3740" s="79" t="s">
        <v>6210</v>
      </c>
      <c r="G3740" s="80" t="s">
        <v>96</v>
      </c>
      <c r="H3740" s="90">
        <v>3.72E-5</v>
      </c>
      <c r="I3740" s="45"/>
      <c r="J3740" s="45"/>
      <c r="K3740" s="45"/>
      <c r="L3740" s="45"/>
      <c r="M3740" s="45"/>
      <c r="N3740" s="45"/>
      <c r="O3740" s="45"/>
      <c r="P3740" s="45"/>
      <c r="Q3740" s="45"/>
      <c r="R3740" s="45"/>
      <c r="S3740" s="45"/>
      <c r="T3740" s="45"/>
      <c r="U3740" s="45"/>
    </row>
    <row r="3741">
      <c r="A3741" s="79" t="s">
        <v>22532</v>
      </c>
      <c r="B3741" s="45"/>
      <c r="C3741" s="79" t="s">
        <v>22533</v>
      </c>
      <c r="D3741" s="45"/>
      <c r="E3741" s="79" t="s">
        <v>5478</v>
      </c>
      <c r="F3741" s="79" t="s">
        <v>5425</v>
      </c>
      <c r="G3741" s="80" t="s">
        <v>96</v>
      </c>
      <c r="H3741" s="90">
        <v>3.72E-5</v>
      </c>
      <c r="I3741" s="45"/>
      <c r="J3741" s="45"/>
      <c r="K3741" s="45"/>
      <c r="L3741" s="45"/>
      <c r="M3741" s="45"/>
      <c r="N3741" s="45"/>
      <c r="O3741" s="45"/>
      <c r="P3741" s="45"/>
      <c r="Q3741" s="45"/>
      <c r="R3741" s="45"/>
      <c r="S3741" s="45"/>
      <c r="T3741" s="45"/>
      <c r="U3741" s="45"/>
    </row>
    <row r="3742">
      <c r="A3742" s="79" t="s">
        <v>22534</v>
      </c>
      <c r="B3742" s="45"/>
      <c r="C3742" s="79" t="s">
        <v>22535</v>
      </c>
      <c r="D3742" s="45"/>
      <c r="E3742" s="79" t="s">
        <v>5241</v>
      </c>
      <c r="F3742" s="79" t="s">
        <v>8784</v>
      </c>
      <c r="G3742" s="80" t="s">
        <v>96</v>
      </c>
      <c r="H3742" s="90">
        <v>3.72E-5</v>
      </c>
      <c r="I3742" s="45"/>
      <c r="J3742" s="45"/>
      <c r="K3742" s="45"/>
      <c r="L3742" s="45"/>
      <c r="M3742" s="45"/>
      <c r="N3742" s="45"/>
      <c r="O3742" s="45"/>
      <c r="P3742" s="45"/>
      <c r="Q3742" s="45"/>
      <c r="R3742" s="45"/>
      <c r="S3742" s="45"/>
      <c r="T3742" s="45"/>
      <c r="U3742" s="45"/>
    </row>
    <row r="3743">
      <c r="A3743" s="79" t="s">
        <v>21029</v>
      </c>
      <c r="B3743" s="45"/>
      <c r="C3743" s="79" t="s">
        <v>22536</v>
      </c>
      <c r="D3743" s="45"/>
      <c r="E3743" s="79" t="s">
        <v>5691</v>
      </c>
      <c r="F3743" s="79" t="s">
        <v>8784</v>
      </c>
      <c r="G3743" s="80" t="s">
        <v>96</v>
      </c>
      <c r="H3743" s="90">
        <v>3.72E-5</v>
      </c>
      <c r="I3743" s="45"/>
      <c r="J3743" s="45"/>
      <c r="K3743" s="45"/>
      <c r="L3743" s="45"/>
      <c r="M3743" s="45"/>
      <c r="N3743" s="45"/>
      <c r="O3743" s="45"/>
      <c r="P3743" s="45"/>
      <c r="Q3743" s="45"/>
      <c r="R3743" s="45"/>
      <c r="S3743" s="45"/>
      <c r="T3743" s="45"/>
      <c r="U3743" s="45"/>
    </row>
    <row r="3744">
      <c r="A3744" s="79" t="s">
        <v>22537</v>
      </c>
      <c r="B3744" s="45"/>
      <c r="C3744" s="79" t="s">
        <v>22538</v>
      </c>
      <c r="D3744" s="45"/>
      <c r="E3744" s="79" t="s">
        <v>5467</v>
      </c>
      <c r="F3744" s="79" t="s">
        <v>8784</v>
      </c>
      <c r="G3744" s="80" t="s">
        <v>96</v>
      </c>
      <c r="H3744" s="90">
        <v>3.72E-5</v>
      </c>
      <c r="I3744" s="45"/>
      <c r="J3744" s="45"/>
      <c r="K3744" s="45"/>
      <c r="L3744" s="45"/>
      <c r="M3744" s="45"/>
      <c r="N3744" s="45"/>
      <c r="O3744" s="45"/>
      <c r="P3744" s="45"/>
      <c r="Q3744" s="45"/>
      <c r="R3744" s="45"/>
      <c r="S3744" s="45"/>
      <c r="T3744" s="45"/>
      <c r="U3744" s="45"/>
    </row>
    <row r="3745">
      <c r="A3745" s="79" t="s">
        <v>22539</v>
      </c>
      <c r="B3745" s="45"/>
      <c r="C3745" s="79" t="s">
        <v>22540</v>
      </c>
      <c r="D3745" s="45"/>
      <c r="E3745" s="79" t="s">
        <v>6514</v>
      </c>
      <c r="F3745" s="79" t="s">
        <v>9513</v>
      </c>
      <c r="G3745" s="80" t="s">
        <v>96</v>
      </c>
      <c r="H3745" s="90">
        <v>3.71E-5</v>
      </c>
      <c r="I3745" s="45"/>
      <c r="J3745" s="45"/>
      <c r="K3745" s="45"/>
      <c r="L3745" s="45"/>
      <c r="M3745" s="45"/>
      <c r="N3745" s="45"/>
      <c r="O3745" s="45"/>
      <c r="P3745" s="45"/>
      <c r="Q3745" s="45"/>
      <c r="R3745" s="45"/>
      <c r="S3745" s="45"/>
      <c r="T3745" s="45"/>
      <c r="U3745" s="45"/>
    </row>
    <row r="3746">
      <c r="A3746" s="79" t="s">
        <v>22541</v>
      </c>
      <c r="B3746" s="45"/>
      <c r="C3746" s="79" t="s">
        <v>22542</v>
      </c>
      <c r="D3746" s="45"/>
      <c r="E3746" s="79" t="s">
        <v>5283</v>
      </c>
      <c r="F3746" s="79" t="s">
        <v>5300</v>
      </c>
      <c r="G3746" s="80" t="s">
        <v>96</v>
      </c>
      <c r="H3746" s="90">
        <v>3.71E-5</v>
      </c>
      <c r="I3746" s="45"/>
      <c r="J3746" s="45"/>
      <c r="K3746" s="45"/>
      <c r="L3746" s="45"/>
      <c r="M3746" s="45"/>
      <c r="N3746" s="45"/>
      <c r="O3746" s="45"/>
      <c r="P3746" s="45"/>
      <c r="Q3746" s="45"/>
      <c r="R3746" s="45"/>
      <c r="S3746" s="45"/>
      <c r="T3746" s="45"/>
      <c r="U3746" s="45"/>
    </row>
    <row r="3747">
      <c r="A3747" s="79" t="s">
        <v>22543</v>
      </c>
      <c r="B3747" s="45"/>
      <c r="C3747" s="79" t="s">
        <v>22544</v>
      </c>
      <c r="D3747" s="45"/>
      <c r="E3747" s="79" t="s">
        <v>5276</v>
      </c>
      <c r="F3747" s="79" t="s">
        <v>9513</v>
      </c>
      <c r="G3747" s="80" t="s">
        <v>96</v>
      </c>
      <c r="H3747" s="90">
        <v>3.69E-5</v>
      </c>
      <c r="I3747" s="45"/>
      <c r="J3747" s="45"/>
      <c r="K3747" s="45"/>
      <c r="L3747" s="45"/>
      <c r="M3747" s="45"/>
      <c r="N3747" s="45"/>
      <c r="O3747" s="45"/>
      <c r="P3747" s="45"/>
      <c r="Q3747" s="45"/>
      <c r="R3747" s="45"/>
      <c r="S3747" s="45"/>
      <c r="T3747" s="45"/>
      <c r="U3747" s="45"/>
    </row>
    <row r="3748">
      <c r="A3748" s="79" t="s">
        <v>22545</v>
      </c>
      <c r="B3748" s="45"/>
      <c r="C3748" s="79" t="s">
        <v>22546</v>
      </c>
      <c r="D3748" s="45"/>
      <c r="E3748" s="79" t="s">
        <v>8154</v>
      </c>
      <c r="F3748" s="79" t="s">
        <v>9299</v>
      </c>
      <c r="G3748" s="80" t="s">
        <v>96</v>
      </c>
      <c r="H3748" s="90">
        <v>3.67E-5</v>
      </c>
      <c r="I3748" s="45"/>
      <c r="J3748" s="45"/>
      <c r="K3748" s="45"/>
      <c r="L3748" s="45"/>
      <c r="M3748" s="45"/>
      <c r="N3748" s="45"/>
      <c r="O3748" s="45"/>
      <c r="P3748" s="45"/>
      <c r="Q3748" s="45"/>
      <c r="R3748" s="45"/>
      <c r="S3748" s="45"/>
      <c r="T3748" s="45"/>
      <c r="U3748" s="45"/>
    </row>
    <row r="3749">
      <c r="A3749" s="79" t="s">
        <v>22547</v>
      </c>
      <c r="B3749" s="45"/>
      <c r="C3749" s="79" t="s">
        <v>22548</v>
      </c>
      <c r="D3749" s="45"/>
      <c r="E3749" s="79" t="s">
        <v>6130</v>
      </c>
      <c r="F3749" s="79" t="s">
        <v>8759</v>
      </c>
      <c r="G3749" s="80" t="s">
        <v>96</v>
      </c>
      <c r="H3749" s="90">
        <v>3.67E-5</v>
      </c>
      <c r="I3749" s="45"/>
      <c r="J3749" s="45"/>
      <c r="K3749" s="45"/>
      <c r="L3749" s="45"/>
      <c r="M3749" s="45"/>
      <c r="N3749" s="45"/>
      <c r="O3749" s="45"/>
      <c r="P3749" s="45"/>
      <c r="Q3749" s="45"/>
      <c r="R3749" s="45"/>
      <c r="S3749" s="45"/>
      <c r="T3749" s="45"/>
      <c r="U3749" s="45"/>
    </row>
    <row r="3750">
      <c r="A3750" s="79" t="s">
        <v>22549</v>
      </c>
      <c r="B3750" s="45"/>
      <c r="C3750" s="79" t="s">
        <v>22550</v>
      </c>
      <c r="D3750" s="45"/>
      <c r="E3750" s="79" t="s">
        <v>5478</v>
      </c>
      <c r="F3750" s="79" t="s">
        <v>6988</v>
      </c>
      <c r="G3750" s="80" t="s">
        <v>96</v>
      </c>
      <c r="H3750" s="90">
        <v>3.66E-5</v>
      </c>
      <c r="I3750" s="45"/>
      <c r="J3750" s="45"/>
      <c r="K3750" s="45"/>
      <c r="L3750" s="45"/>
      <c r="M3750" s="45"/>
      <c r="N3750" s="45"/>
      <c r="O3750" s="45"/>
      <c r="P3750" s="45"/>
      <c r="Q3750" s="45"/>
      <c r="R3750" s="45"/>
      <c r="S3750" s="45"/>
      <c r="T3750" s="45"/>
      <c r="U3750" s="45"/>
    </row>
    <row r="3751">
      <c r="A3751" s="79" t="s">
        <v>22551</v>
      </c>
      <c r="B3751" s="45"/>
      <c r="C3751" s="79" t="s">
        <v>22552</v>
      </c>
      <c r="D3751" s="45"/>
      <c r="E3751" s="79" t="s">
        <v>5390</v>
      </c>
      <c r="F3751" s="79" t="s">
        <v>9513</v>
      </c>
      <c r="G3751" s="80" t="s">
        <v>96</v>
      </c>
      <c r="H3751" s="90">
        <v>3.65E-5</v>
      </c>
      <c r="I3751" s="45"/>
      <c r="J3751" s="45"/>
      <c r="K3751" s="45"/>
      <c r="L3751" s="45"/>
      <c r="M3751" s="45"/>
      <c r="N3751" s="45"/>
      <c r="O3751" s="45"/>
      <c r="P3751" s="45"/>
      <c r="Q3751" s="45"/>
      <c r="R3751" s="45"/>
      <c r="S3751" s="45"/>
      <c r="T3751" s="45"/>
      <c r="U3751" s="45"/>
    </row>
    <row r="3752">
      <c r="A3752" s="79" t="s">
        <v>22553</v>
      </c>
      <c r="B3752" s="45"/>
      <c r="C3752" s="79" t="s">
        <v>22554</v>
      </c>
      <c r="D3752" s="45"/>
      <c r="E3752" s="79" t="s">
        <v>5283</v>
      </c>
      <c r="F3752" s="79" t="s">
        <v>5300</v>
      </c>
      <c r="G3752" s="80" t="s">
        <v>96</v>
      </c>
      <c r="H3752" s="90">
        <v>3.65E-5</v>
      </c>
      <c r="I3752" s="45"/>
      <c r="J3752" s="45"/>
      <c r="K3752" s="45"/>
      <c r="L3752" s="45"/>
      <c r="M3752" s="45"/>
      <c r="N3752" s="45"/>
      <c r="O3752" s="45"/>
      <c r="P3752" s="45"/>
      <c r="Q3752" s="45"/>
      <c r="R3752" s="45"/>
      <c r="S3752" s="45"/>
      <c r="T3752" s="45"/>
      <c r="U3752" s="45"/>
    </row>
    <row r="3753">
      <c r="A3753" s="79" t="s">
        <v>22555</v>
      </c>
      <c r="B3753" s="45"/>
      <c r="C3753" s="79" t="s">
        <v>22556</v>
      </c>
      <c r="D3753" s="45"/>
      <c r="E3753" s="79" t="s">
        <v>5855</v>
      </c>
      <c r="F3753" s="79" t="s">
        <v>5300</v>
      </c>
      <c r="G3753" s="80" t="s">
        <v>96</v>
      </c>
      <c r="H3753" s="90">
        <v>3.65E-5</v>
      </c>
      <c r="I3753" s="45"/>
      <c r="J3753" s="45"/>
      <c r="K3753" s="45"/>
      <c r="L3753" s="45"/>
      <c r="M3753" s="45"/>
      <c r="N3753" s="45"/>
      <c r="O3753" s="45"/>
      <c r="P3753" s="45"/>
      <c r="Q3753" s="45"/>
      <c r="R3753" s="45"/>
      <c r="S3753" s="45"/>
      <c r="T3753" s="45"/>
      <c r="U3753" s="45"/>
    </row>
    <row r="3754">
      <c r="A3754" s="79" t="s">
        <v>22557</v>
      </c>
      <c r="B3754" s="45"/>
      <c r="C3754" s="79" t="s">
        <v>22558</v>
      </c>
      <c r="D3754" s="45"/>
      <c r="E3754" s="79" t="s">
        <v>5501</v>
      </c>
      <c r="F3754" s="79" t="s">
        <v>8784</v>
      </c>
      <c r="G3754" s="80" t="s">
        <v>96</v>
      </c>
      <c r="H3754" s="90">
        <v>3.65E-5</v>
      </c>
      <c r="I3754" s="45"/>
      <c r="J3754" s="45"/>
      <c r="K3754" s="45"/>
      <c r="L3754" s="45"/>
      <c r="M3754" s="45"/>
      <c r="N3754" s="45"/>
      <c r="O3754" s="45"/>
      <c r="P3754" s="45"/>
      <c r="Q3754" s="45"/>
      <c r="R3754" s="45"/>
      <c r="S3754" s="45"/>
      <c r="T3754" s="45"/>
      <c r="U3754" s="45"/>
    </row>
    <row r="3755">
      <c r="A3755" s="79" t="s">
        <v>22559</v>
      </c>
      <c r="B3755" s="45"/>
      <c r="C3755" s="79" t="s">
        <v>22560</v>
      </c>
      <c r="D3755" s="45"/>
      <c r="E3755" s="79" t="s">
        <v>5211</v>
      </c>
      <c r="F3755" s="79" t="s">
        <v>5836</v>
      </c>
      <c r="G3755" s="80" t="s">
        <v>96</v>
      </c>
      <c r="H3755" s="90">
        <v>3.64E-5</v>
      </c>
      <c r="I3755" s="45"/>
      <c r="J3755" s="45"/>
      <c r="K3755" s="45"/>
      <c r="L3755" s="45"/>
      <c r="M3755" s="45"/>
      <c r="N3755" s="45"/>
      <c r="O3755" s="45"/>
      <c r="P3755" s="45"/>
      <c r="Q3755" s="45"/>
      <c r="R3755" s="45"/>
      <c r="S3755" s="45"/>
      <c r="T3755" s="45"/>
      <c r="U3755" s="45"/>
    </row>
    <row r="3756">
      <c r="A3756" s="79" t="s">
        <v>7890</v>
      </c>
      <c r="B3756" s="45"/>
      <c r="C3756" s="79" t="s">
        <v>22561</v>
      </c>
      <c r="D3756" s="45"/>
      <c r="E3756" s="79" t="s">
        <v>9189</v>
      </c>
      <c r="F3756" s="79" t="s">
        <v>8784</v>
      </c>
      <c r="G3756" s="80" t="s">
        <v>96</v>
      </c>
      <c r="H3756" s="90">
        <v>3.64E-5</v>
      </c>
      <c r="I3756" s="45"/>
      <c r="J3756" s="45"/>
      <c r="K3756" s="45"/>
      <c r="L3756" s="45"/>
      <c r="M3756" s="45"/>
      <c r="N3756" s="45"/>
      <c r="O3756" s="45"/>
      <c r="P3756" s="45"/>
      <c r="Q3756" s="45"/>
      <c r="R3756" s="45"/>
      <c r="S3756" s="45"/>
      <c r="T3756" s="45"/>
      <c r="U3756" s="45"/>
    </row>
    <row r="3757">
      <c r="A3757" s="79" t="s">
        <v>22562</v>
      </c>
      <c r="B3757" s="45"/>
      <c r="C3757" s="79" t="s">
        <v>22563</v>
      </c>
      <c r="D3757" s="45"/>
      <c r="E3757" s="79" t="s">
        <v>5478</v>
      </c>
      <c r="F3757" s="79" t="s">
        <v>4095</v>
      </c>
      <c r="G3757" s="80" t="s">
        <v>96</v>
      </c>
      <c r="H3757" s="90">
        <v>3.64E-5</v>
      </c>
      <c r="I3757" s="45"/>
      <c r="J3757" s="45"/>
      <c r="K3757" s="45"/>
      <c r="L3757" s="45"/>
      <c r="M3757" s="45"/>
      <c r="N3757" s="45"/>
      <c r="O3757" s="45"/>
      <c r="P3757" s="45"/>
      <c r="Q3757" s="45"/>
      <c r="R3757" s="45"/>
      <c r="S3757" s="45"/>
      <c r="T3757" s="45"/>
      <c r="U3757" s="45"/>
    </row>
    <row r="3758">
      <c r="A3758" s="79" t="s">
        <v>22564</v>
      </c>
      <c r="B3758" s="45"/>
      <c r="C3758" s="79" t="s">
        <v>22565</v>
      </c>
      <c r="D3758" s="45"/>
      <c r="E3758" s="79" t="s">
        <v>5258</v>
      </c>
      <c r="F3758" s="79" t="s">
        <v>5836</v>
      </c>
      <c r="G3758" s="80" t="s">
        <v>96</v>
      </c>
      <c r="H3758" s="90">
        <v>3.62E-5</v>
      </c>
      <c r="I3758" s="45"/>
      <c r="J3758" s="45"/>
      <c r="K3758" s="45"/>
      <c r="L3758" s="45"/>
      <c r="M3758" s="45"/>
      <c r="N3758" s="45"/>
      <c r="O3758" s="45"/>
      <c r="P3758" s="45"/>
      <c r="Q3758" s="45"/>
      <c r="R3758" s="45"/>
      <c r="S3758" s="45"/>
      <c r="T3758" s="45"/>
      <c r="U3758" s="45"/>
    </row>
    <row r="3759">
      <c r="A3759" s="79" t="s">
        <v>22566</v>
      </c>
      <c r="B3759" s="45"/>
      <c r="C3759" s="79" t="s">
        <v>22567</v>
      </c>
      <c r="D3759" s="45"/>
      <c r="E3759" s="79" t="s">
        <v>5456</v>
      </c>
      <c r="F3759" s="79" t="s">
        <v>5927</v>
      </c>
      <c r="G3759" s="80" t="s">
        <v>96</v>
      </c>
      <c r="H3759" s="90">
        <v>3.62E-5</v>
      </c>
      <c r="I3759" s="45"/>
      <c r="J3759" s="45"/>
      <c r="K3759" s="45"/>
      <c r="L3759" s="45"/>
      <c r="M3759" s="45"/>
      <c r="N3759" s="45"/>
      <c r="O3759" s="45"/>
      <c r="P3759" s="45"/>
      <c r="Q3759" s="45"/>
      <c r="R3759" s="45"/>
      <c r="S3759" s="45"/>
      <c r="T3759" s="45"/>
      <c r="U3759" s="45"/>
    </row>
    <row r="3760">
      <c r="A3760" s="79" t="s">
        <v>22568</v>
      </c>
      <c r="B3760" s="45"/>
      <c r="C3760" s="79" t="s">
        <v>22569</v>
      </c>
      <c r="D3760" s="45"/>
      <c r="E3760" s="79" t="s">
        <v>5478</v>
      </c>
      <c r="F3760" s="79" t="s">
        <v>5300</v>
      </c>
      <c r="G3760" s="80" t="s">
        <v>96</v>
      </c>
      <c r="H3760" s="90">
        <v>3.62E-5</v>
      </c>
      <c r="I3760" s="45"/>
      <c r="J3760" s="45"/>
      <c r="K3760" s="45"/>
      <c r="L3760" s="45"/>
      <c r="M3760" s="45"/>
      <c r="N3760" s="45"/>
      <c r="O3760" s="45"/>
      <c r="P3760" s="45"/>
      <c r="Q3760" s="45"/>
      <c r="R3760" s="45"/>
      <c r="S3760" s="45"/>
      <c r="T3760" s="45"/>
      <c r="U3760" s="45"/>
    </row>
    <row r="3761">
      <c r="A3761" s="79" t="s">
        <v>22570</v>
      </c>
      <c r="B3761" s="45"/>
      <c r="C3761" s="79" t="s">
        <v>22571</v>
      </c>
      <c r="D3761" s="45"/>
      <c r="E3761" s="79" t="s">
        <v>6389</v>
      </c>
      <c r="F3761" s="79" t="s">
        <v>8784</v>
      </c>
      <c r="G3761" s="80" t="s">
        <v>96</v>
      </c>
      <c r="H3761" s="90">
        <v>3.61E-5</v>
      </c>
      <c r="I3761" s="45"/>
      <c r="J3761" s="45"/>
      <c r="K3761" s="45"/>
      <c r="L3761" s="45"/>
      <c r="M3761" s="45"/>
      <c r="N3761" s="45"/>
      <c r="O3761" s="45"/>
      <c r="P3761" s="45"/>
      <c r="Q3761" s="45"/>
      <c r="R3761" s="45"/>
      <c r="S3761" s="45"/>
      <c r="T3761" s="45"/>
      <c r="U3761" s="45"/>
    </row>
    <row r="3762">
      <c r="A3762" s="79" t="s">
        <v>22572</v>
      </c>
      <c r="B3762" s="45"/>
      <c r="C3762" s="79" t="s">
        <v>22573</v>
      </c>
      <c r="D3762" s="45"/>
      <c r="E3762" s="79" t="s">
        <v>6238</v>
      </c>
      <c r="F3762" s="79" t="s">
        <v>9021</v>
      </c>
      <c r="G3762" s="80" t="s">
        <v>96</v>
      </c>
      <c r="H3762" s="90">
        <v>3.61E-5</v>
      </c>
      <c r="I3762" s="45"/>
      <c r="J3762" s="45"/>
      <c r="K3762" s="45"/>
      <c r="L3762" s="45"/>
      <c r="M3762" s="45"/>
      <c r="N3762" s="45"/>
      <c r="O3762" s="45"/>
      <c r="P3762" s="45"/>
      <c r="Q3762" s="45"/>
      <c r="R3762" s="45"/>
      <c r="S3762" s="45"/>
      <c r="T3762" s="45"/>
      <c r="U3762" s="45"/>
    </row>
    <row r="3763">
      <c r="A3763" s="79" t="s">
        <v>22574</v>
      </c>
      <c r="B3763" s="45"/>
      <c r="C3763" s="79" t="s">
        <v>22575</v>
      </c>
      <c r="D3763" s="45"/>
      <c r="E3763" s="79" t="s">
        <v>9189</v>
      </c>
      <c r="F3763" s="79" t="s">
        <v>9513</v>
      </c>
      <c r="G3763" s="80" t="s">
        <v>96</v>
      </c>
      <c r="H3763" s="90">
        <v>3.61E-5</v>
      </c>
      <c r="I3763" s="45"/>
      <c r="J3763" s="45"/>
      <c r="K3763" s="45"/>
      <c r="L3763" s="45"/>
      <c r="M3763" s="45"/>
      <c r="N3763" s="45"/>
      <c r="O3763" s="45"/>
      <c r="P3763" s="45"/>
      <c r="Q3763" s="45"/>
      <c r="R3763" s="45"/>
      <c r="S3763" s="45"/>
      <c r="T3763" s="45"/>
      <c r="U3763" s="45"/>
    </row>
    <row r="3764">
      <c r="A3764" s="79" t="s">
        <v>22576</v>
      </c>
      <c r="B3764" s="45"/>
      <c r="C3764" s="79" t="s">
        <v>22577</v>
      </c>
      <c r="D3764" s="45"/>
      <c r="E3764" s="79" t="s">
        <v>5348</v>
      </c>
      <c r="F3764" s="79" t="s">
        <v>8784</v>
      </c>
      <c r="G3764" s="80" t="s">
        <v>96</v>
      </c>
      <c r="H3764" s="90">
        <v>3.6E-5</v>
      </c>
      <c r="I3764" s="45"/>
      <c r="J3764" s="45"/>
      <c r="K3764" s="45"/>
      <c r="L3764" s="45"/>
      <c r="M3764" s="45"/>
      <c r="N3764" s="45"/>
      <c r="O3764" s="45"/>
      <c r="P3764" s="45"/>
      <c r="Q3764" s="45"/>
      <c r="R3764" s="45"/>
      <c r="S3764" s="45"/>
      <c r="T3764" s="45"/>
      <c r="U3764" s="45"/>
    </row>
    <row r="3765">
      <c r="A3765" s="79" t="s">
        <v>22578</v>
      </c>
      <c r="B3765" s="45"/>
      <c r="C3765" s="79" t="s">
        <v>22579</v>
      </c>
      <c r="D3765" s="45"/>
      <c r="E3765" s="79" t="s">
        <v>5390</v>
      </c>
      <c r="F3765" s="79" t="s">
        <v>4153</v>
      </c>
      <c r="G3765" s="80" t="s">
        <v>96</v>
      </c>
      <c r="H3765" s="90">
        <v>3.6E-5</v>
      </c>
      <c r="I3765" s="45"/>
      <c r="J3765" s="45"/>
      <c r="K3765" s="45"/>
      <c r="L3765" s="45"/>
      <c r="M3765" s="45"/>
      <c r="N3765" s="45"/>
      <c r="O3765" s="45"/>
      <c r="P3765" s="45"/>
      <c r="Q3765" s="45"/>
      <c r="R3765" s="45"/>
      <c r="S3765" s="45"/>
      <c r="T3765" s="45"/>
      <c r="U3765" s="45"/>
    </row>
    <row r="3766">
      <c r="A3766" s="79" t="s">
        <v>22580</v>
      </c>
      <c r="B3766" s="45"/>
      <c r="C3766" s="79" t="s">
        <v>22581</v>
      </c>
      <c r="D3766" s="45"/>
      <c r="E3766" s="79" t="s">
        <v>5215</v>
      </c>
      <c r="F3766" s="79" t="s">
        <v>5300</v>
      </c>
      <c r="G3766" s="80" t="s">
        <v>96</v>
      </c>
      <c r="H3766" s="90">
        <v>3.59E-5</v>
      </c>
      <c r="I3766" s="45"/>
      <c r="J3766" s="45"/>
      <c r="K3766" s="45"/>
      <c r="L3766" s="45"/>
      <c r="M3766" s="45"/>
      <c r="N3766" s="45"/>
      <c r="O3766" s="45"/>
      <c r="P3766" s="45"/>
      <c r="Q3766" s="45"/>
      <c r="R3766" s="45"/>
      <c r="S3766" s="45"/>
      <c r="T3766" s="45"/>
      <c r="U3766" s="45"/>
    </row>
    <row r="3767">
      <c r="A3767" s="79" t="s">
        <v>22582</v>
      </c>
      <c r="B3767" s="45"/>
      <c r="C3767" s="79" t="s">
        <v>22583</v>
      </c>
      <c r="D3767" s="45"/>
      <c r="E3767" s="79" t="s">
        <v>5704</v>
      </c>
      <c r="F3767" s="79" t="s">
        <v>5836</v>
      </c>
      <c r="G3767" s="80" t="s">
        <v>96</v>
      </c>
      <c r="H3767" s="90">
        <v>3.59E-5</v>
      </c>
      <c r="I3767" s="45"/>
      <c r="J3767" s="45"/>
      <c r="K3767" s="45"/>
      <c r="L3767" s="45"/>
      <c r="M3767" s="45"/>
      <c r="N3767" s="45"/>
      <c r="O3767" s="45"/>
      <c r="P3767" s="45"/>
      <c r="Q3767" s="45"/>
      <c r="R3767" s="45"/>
      <c r="S3767" s="45"/>
      <c r="T3767" s="45"/>
      <c r="U3767" s="45"/>
    </row>
    <row r="3768">
      <c r="A3768" s="79" t="s">
        <v>22584</v>
      </c>
      <c r="B3768" s="45"/>
      <c r="C3768" s="79" t="s">
        <v>22585</v>
      </c>
      <c r="D3768" s="45"/>
      <c r="E3768" s="79" t="s">
        <v>5366</v>
      </c>
      <c r="F3768" s="79" t="s">
        <v>8784</v>
      </c>
      <c r="G3768" s="80" t="s">
        <v>96</v>
      </c>
      <c r="H3768" s="90">
        <v>3.58E-5</v>
      </c>
      <c r="I3768" s="45"/>
      <c r="J3768" s="45"/>
      <c r="K3768" s="45"/>
      <c r="L3768" s="45"/>
      <c r="M3768" s="45"/>
      <c r="N3768" s="45"/>
      <c r="O3768" s="45"/>
      <c r="P3768" s="45"/>
      <c r="Q3768" s="45"/>
      <c r="R3768" s="45"/>
      <c r="S3768" s="45"/>
      <c r="T3768" s="45"/>
      <c r="U3768" s="45"/>
    </row>
    <row r="3769">
      <c r="A3769" s="79" t="s">
        <v>22586</v>
      </c>
      <c r="B3769" s="45"/>
      <c r="C3769" s="79" t="s">
        <v>22587</v>
      </c>
      <c r="D3769" s="45"/>
      <c r="E3769" s="79" t="s">
        <v>5218</v>
      </c>
      <c r="F3769" s="79" t="s">
        <v>5300</v>
      </c>
      <c r="G3769" s="80" t="s">
        <v>96</v>
      </c>
      <c r="H3769" s="90">
        <v>3.58E-5</v>
      </c>
      <c r="I3769" s="45"/>
      <c r="J3769" s="45"/>
      <c r="K3769" s="45"/>
      <c r="L3769" s="45"/>
      <c r="M3769" s="45"/>
      <c r="N3769" s="45"/>
      <c r="O3769" s="45"/>
      <c r="P3769" s="45"/>
      <c r="Q3769" s="45"/>
      <c r="R3769" s="45"/>
      <c r="S3769" s="45"/>
      <c r="T3769" s="45"/>
      <c r="U3769" s="45"/>
    </row>
    <row r="3770">
      <c r="A3770" s="79" t="s">
        <v>22588</v>
      </c>
      <c r="B3770" s="45"/>
      <c r="C3770" s="79" t="s">
        <v>22589</v>
      </c>
      <c r="D3770" s="45"/>
      <c r="E3770" s="79" t="s">
        <v>5434</v>
      </c>
      <c r="F3770" s="79" t="s">
        <v>8784</v>
      </c>
      <c r="G3770" s="80" t="s">
        <v>96</v>
      </c>
      <c r="H3770" s="90">
        <v>3.57E-5</v>
      </c>
      <c r="I3770" s="45"/>
      <c r="J3770" s="45"/>
      <c r="K3770" s="45"/>
      <c r="L3770" s="45"/>
      <c r="M3770" s="45"/>
      <c r="N3770" s="45"/>
      <c r="O3770" s="45"/>
      <c r="P3770" s="45"/>
      <c r="Q3770" s="45"/>
      <c r="R3770" s="45"/>
      <c r="S3770" s="45"/>
      <c r="T3770" s="45"/>
      <c r="U3770" s="45"/>
    </row>
    <row r="3771">
      <c r="A3771" s="79" t="s">
        <v>22590</v>
      </c>
      <c r="B3771" s="45"/>
      <c r="C3771" s="79" t="s">
        <v>22591</v>
      </c>
      <c r="D3771" s="45"/>
      <c r="E3771" s="79" t="s">
        <v>5341</v>
      </c>
      <c r="F3771" s="79" t="s">
        <v>5836</v>
      </c>
      <c r="G3771" s="80" t="s">
        <v>96</v>
      </c>
      <c r="H3771" s="90">
        <v>3.57E-5</v>
      </c>
      <c r="I3771" s="45"/>
      <c r="J3771" s="45"/>
      <c r="K3771" s="45"/>
      <c r="L3771" s="45"/>
      <c r="M3771" s="45"/>
      <c r="N3771" s="45"/>
      <c r="O3771" s="45"/>
      <c r="P3771" s="45"/>
      <c r="Q3771" s="45"/>
      <c r="R3771" s="45"/>
      <c r="S3771" s="45"/>
      <c r="T3771" s="45"/>
      <c r="U3771" s="45"/>
    </row>
    <row r="3772">
      <c r="A3772" s="79" t="s">
        <v>22592</v>
      </c>
      <c r="B3772" s="45"/>
      <c r="C3772" s="79" t="s">
        <v>22593</v>
      </c>
      <c r="D3772" s="45"/>
      <c r="E3772" s="79" t="s">
        <v>5276</v>
      </c>
      <c r="F3772" s="79" t="s">
        <v>5300</v>
      </c>
      <c r="G3772" s="80" t="s">
        <v>96</v>
      </c>
      <c r="H3772" s="90">
        <v>3.56E-5</v>
      </c>
      <c r="I3772" s="45"/>
      <c r="J3772" s="45"/>
      <c r="K3772" s="45"/>
      <c r="L3772" s="45"/>
      <c r="M3772" s="45"/>
      <c r="N3772" s="45"/>
      <c r="O3772" s="45"/>
      <c r="P3772" s="45"/>
      <c r="Q3772" s="45"/>
      <c r="R3772" s="45"/>
      <c r="S3772" s="45"/>
      <c r="T3772" s="45"/>
      <c r="U3772" s="45"/>
    </row>
    <row r="3773">
      <c r="A3773" s="79" t="s">
        <v>22594</v>
      </c>
      <c r="B3773" s="45"/>
      <c r="C3773" s="79" t="s">
        <v>22595</v>
      </c>
      <c r="D3773" s="45"/>
      <c r="E3773" s="79" t="s">
        <v>5561</v>
      </c>
      <c r="F3773" s="79" t="s">
        <v>4095</v>
      </c>
      <c r="G3773" s="80" t="s">
        <v>96</v>
      </c>
      <c r="H3773" s="90">
        <v>3.56E-5</v>
      </c>
      <c r="I3773" s="45"/>
      <c r="J3773" s="45"/>
      <c r="K3773" s="45"/>
      <c r="L3773" s="45"/>
      <c r="M3773" s="45"/>
      <c r="N3773" s="45"/>
      <c r="O3773" s="45"/>
      <c r="P3773" s="45"/>
      <c r="Q3773" s="45"/>
      <c r="R3773" s="45"/>
      <c r="S3773" s="45"/>
      <c r="T3773" s="45"/>
      <c r="U3773" s="45"/>
    </row>
    <row r="3774">
      <c r="A3774" s="79" t="s">
        <v>22596</v>
      </c>
      <c r="B3774" s="45"/>
      <c r="C3774" s="79" t="s">
        <v>22597</v>
      </c>
      <c r="D3774" s="45"/>
      <c r="E3774" s="79" t="s">
        <v>5478</v>
      </c>
      <c r="F3774" s="79" t="s">
        <v>5300</v>
      </c>
      <c r="G3774" s="80" t="s">
        <v>96</v>
      </c>
      <c r="H3774" s="90">
        <v>3.55E-5</v>
      </c>
      <c r="I3774" s="45"/>
      <c r="J3774" s="45"/>
      <c r="K3774" s="45"/>
      <c r="L3774" s="45"/>
      <c r="M3774" s="45"/>
      <c r="N3774" s="45"/>
      <c r="O3774" s="45"/>
      <c r="P3774" s="45"/>
      <c r="Q3774" s="45"/>
      <c r="R3774" s="45"/>
      <c r="S3774" s="45"/>
      <c r="T3774" s="45"/>
      <c r="U3774" s="45"/>
    </row>
    <row r="3775">
      <c r="A3775" s="79" t="s">
        <v>22598</v>
      </c>
      <c r="B3775" s="45"/>
      <c r="C3775" s="79" t="s">
        <v>22599</v>
      </c>
      <c r="D3775" s="45"/>
      <c r="E3775" s="79" t="s">
        <v>5215</v>
      </c>
      <c r="F3775" s="79" t="s">
        <v>8784</v>
      </c>
      <c r="G3775" s="80" t="s">
        <v>96</v>
      </c>
      <c r="H3775" s="90">
        <v>3.55E-5</v>
      </c>
      <c r="I3775" s="45"/>
      <c r="J3775" s="45"/>
      <c r="K3775" s="45"/>
      <c r="L3775" s="45"/>
      <c r="M3775" s="45"/>
      <c r="N3775" s="45"/>
      <c r="O3775" s="45"/>
      <c r="P3775" s="45"/>
      <c r="Q3775" s="45"/>
      <c r="R3775" s="45"/>
      <c r="S3775" s="45"/>
      <c r="T3775" s="45"/>
      <c r="U3775" s="45"/>
    </row>
    <row r="3776">
      <c r="A3776" s="79" t="s">
        <v>22600</v>
      </c>
      <c r="B3776" s="45"/>
      <c r="C3776" s="79" t="s">
        <v>22601</v>
      </c>
      <c r="D3776" s="45"/>
      <c r="E3776" s="79" t="s">
        <v>5348</v>
      </c>
      <c r="F3776" s="79" t="s">
        <v>5300</v>
      </c>
      <c r="G3776" s="80" t="s">
        <v>96</v>
      </c>
      <c r="H3776" s="90">
        <v>3.54E-5</v>
      </c>
      <c r="I3776" s="45"/>
      <c r="J3776" s="45"/>
      <c r="K3776" s="45"/>
      <c r="L3776" s="45"/>
      <c r="M3776" s="45"/>
      <c r="N3776" s="45"/>
      <c r="O3776" s="45"/>
      <c r="P3776" s="45"/>
      <c r="Q3776" s="45"/>
      <c r="R3776" s="45"/>
      <c r="S3776" s="45"/>
      <c r="T3776" s="45"/>
      <c r="U3776" s="45"/>
    </row>
    <row r="3777">
      <c r="A3777" s="79" t="s">
        <v>22602</v>
      </c>
      <c r="B3777" s="45"/>
      <c r="C3777" s="79" t="s">
        <v>22603</v>
      </c>
      <c r="D3777" s="45"/>
      <c r="E3777" s="79" t="s">
        <v>5868</v>
      </c>
      <c r="F3777" s="79" t="s">
        <v>5747</v>
      </c>
      <c r="G3777" s="80" t="s">
        <v>96</v>
      </c>
      <c r="H3777" s="90">
        <v>3.54E-5</v>
      </c>
      <c r="I3777" s="45"/>
      <c r="J3777" s="45"/>
      <c r="K3777" s="45"/>
      <c r="L3777" s="45"/>
      <c r="M3777" s="45"/>
      <c r="N3777" s="45"/>
      <c r="O3777" s="45"/>
      <c r="P3777" s="45"/>
      <c r="Q3777" s="45"/>
      <c r="R3777" s="45"/>
      <c r="S3777" s="45"/>
      <c r="T3777" s="45"/>
      <c r="U3777" s="45"/>
    </row>
    <row r="3778">
      <c r="A3778" s="79" t="s">
        <v>22604</v>
      </c>
      <c r="B3778" s="45"/>
      <c r="C3778" s="79" t="s">
        <v>22605</v>
      </c>
      <c r="D3778" s="45"/>
      <c r="E3778" s="79" t="s">
        <v>5422</v>
      </c>
      <c r="F3778" s="79" t="s">
        <v>4357</v>
      </c>
      <c r="G3778" s="80" t="s">
        <v>96</v>
      </c>
      <c r="H3778" s="90">
        <v>3.53E-5</v>
      </c>
      <c r="I3778" s="45"/>
      <c r="J3778" s="45"/>
      <c r="K3778" s="45"/>
      <c r="L3778" s="45"/>
      <c r="M3778" s="45"/>
      <c r="N3778" s="45"/>
      <c r="O3778" s="45"/>
      <c r="P3778" s="45"/>
      <c r="Q3778" s="45"/>
      <c r="R3778" s="45"/>
      <c r="S3778" s="45"/>
      <c r="T3778" s="45"/>
      <c r="U3778" s="45"/>
    </row>
    <row r="3779">
      <c r="A3779" s="79" t="s">
        <v>22606</v>
      </c>
      <c r="B3779" s="45"/>
      <c r="C3779" s="79" t="s">
        <v>22607</v>
      </c>
      <c r="D3779" s="45"/>
      <c r="E3779" s="79" t="s">
        <v>5561</v>
      </c>
      <c r="F3779" s="79" t="s">
        <v>8784</v>
      </c>
      <c r="G3779" s="80" t="s">
        <v>96</v>
      </c>
      <c r="H3779" s="90">
        <v>3.52E-5</v>
      </c>
      <c r="I3779" s="45"/>
      <c r="J3779" s="45"/>
      <c r="K3779" s="45"/>
      <c r="L3779" s="45"/>
      <c r="M3779" s="45"/>
      <c r="N3779" s="45"/>
      <c r="O3779" s="45"/>
      <c r="P3779" s="45"/>
      <c r="Q3779" s="45"/>
      <c r="R3779" s="45"/>
      <c r="S3779" s="45"/>
      <c r="T3779" s="45"/>
      <c r="U3779" s="45"/>
    </row>
    <row r="3780">
      <c r="A3780" s="79" t="s">
        <v>22608</v>
      </c>
      <c r="B3780" s="45"/>
      <c r="C3780" s="79" t="s">
        <v>22609</v>
      </c>
      <c r="D3780" s="45"/>
      <c r="E3780" s="79" t="s">
        <v>8648</v>
      </c>
      <c r="F3780" s="79" t="s">
        <v>8784</v>
      </c>
      <c r="G3780" s="80" t="s">
        <v>96</v>
      </c>
      <c r="H3780" s="90">
        <v>3.52E-5</v>
      </c>
      <c r="I3780" s="45"/>
      <c r="J3780" s="45"/>
      <c r="K3780" s="45"/>
      <c r="L3780" s="45"/>
      <c r="M3780" s="45"/>
      <c r="N3780" s="45"/>
      <c r="O3780" s="45"/>
      <c r="P3780" s="45"/>
      <c r="Q3780" s="45"/>
      <c r="R3780" s="45"/>
      <c r="S3780" s="45"/>
      <c r="T3780" s="45"/>
      <c r="U3780" s="45"/>
    </row>
    <row r="3781">
      <c r="A3781" s="79" t="s">
        <v>22610</v>
      </c>
      <c r="B3781" s="45"/>
      <c r="C3781" s="79" t="s">
        <v>22611</v>
      </c>
      <c r="D3781" s="45"/>
      <c r="E3781" s="79" t="s">
        <v>5395</v>
      </c>
      <c r="F3781" s="79" t="s">
        <v>5300</v>
      </c>
      <c r="G3781" s="80" t="s">
        <v>96</v>
      </c>
      <c r="H3781" s="90">
        <v>3.52E-5</v>
      </c>
      <c r="I3781" s="45"/>
      <c r="J3781" s="45"/>
      <c r="K3781" s="45"/>
      <c r="L3781" s="45"/>
      <c r="M3781" s="45"/>
      <c r="N3781" s="45"/>
      <c r="O3781" s="45"/>
      <c r="P3781" s="45"/>
      <c r="Q3781" s="45"/>
      <c r="R3781" s="45"/>
      <c r="S3781" s="45"/>
      <c r="T3781" s="45"/>
      <c r="U3781" s="45"/>
    </row>
    <row r="3782">
      <c r="A3782" s="79" t="s">
        <v>22612</v>
      </c>
      <c r="B3782" s="45"/>
      <c r="C3782" s="79" t="s">
        <v>22613</v>
      </c>
      <c r="D3782" s="45"/>
      <c r="E3782" s="79" t="s">
        <v>6115</v>
      </c>
      <c r="F3782" s="79" t="s">
        <v>8784</v>
      </c>
      <c r="G3782" s="80" t="s">
        <v>96</v>
      </c>
      <c r="H3782" s="90">
        <v>3.5E-5</v>
      </c>
      <c r="I3782" s="45"/>
      <c r="J3782" s="45"/>
      <c r="K3782" s="45"/>
      <c r="L3782" s="45"/>
      <c r="M3782" s="45"/>
      <c r="N3782" s="45"/>
      <c r="O3782" s="45"/>
      <c r="P3782" s="45"/>
      <c r="Q3782" s="45"/>
      <c r="R3782" s="45"/>
      <c r="S3782" s="45"/>
      <c r="T3782" s="45"/>
      <c r="U3782" s="45"/>
    </row>
    <row r="3783">
      <c r="A3783" s="79" t="s">
        <v>22614</v>
      </c>
      <c r="B3783" s="45"/>
      <c r="C3783" s="79" t="s">
        <v>22615</v>
      </c>
      <c r="D3783" s="45"/>
      <c r="E3783" s="79" t="s">
        <v>5759</v>
      </c>
      <c r="F3783" s="79" t="s">
        <v>5300</v>
      </c>
      <c r="G3783" s="80" t="s">
        <v>96</v>
      </c>
      <c r="H3783" s="90">
        <v>3.5E-5</v>
      </c>
      <c r="I3783" s="45"/>
      <c r="J3783" s="45"/>
      <c r="K3783" s="45"/>
      <c r="L3783" s="45"/>
      <c r="M3783" s="45"/>
      <c r="N3783" s="45"/>
      <c r="O3783" s="45"/>
      <c r="P3783" s="45"/>
      <c r="Q3783" s="45"/>
      <c r="R3783" s="45"/>
      <c r="S3783" s="45"/>
      <c r="T3783" s="45"/>
      <c r="U3783" s="45"/>
    </row>
    <row r="3784">
      <c r="A3784" s="79" t="s">
        <v>22616</v>
      </c>
      <c r="B3784" s="45"/>
      <c r="C3784" s="79" t="s">
        <v>22617</v>
      </c>
      <c r="D3784" s="45"/>
      <c r="E3784" s="79" t="s">
        <v>5276</v>
      </c>
      <c r="F3784" s="79" t="s">
        <v>5300</v>
      </c>
      <c r="G3784" s="80" t="s">
        <v>96</v>
      </c>
      <c r="H3784" s="90">
        <v>3.5E-5</v>
      </c>
      <c r="I3784" s="45"/>
      <c r="J3784" s="45"/>
      <c r="K3784" s="45"/>
      <c r="L3784" s="45"/>
      <c r="M3784" s="45"/>
      <c r="N3784" s="45"/>
      <c r="O3784" s="45"/>
      <c r="P3784" s="45"/>
      <c r="Q3784" s="45"/>
      <c r="R3784" s="45"/>
      <c r="S3784" s="45"/>
      <c r="T3784" s="45"/>
      <c r="U3784" s="45"/>
    </row>
    <row r="3785">
      <c r="A3785" s="79" t="s">
        <v>22618</v>
      </c>
      <c r="B3785" s="45"/>
      <c r="C3785" s="79" t="s">
        <v>22619</v>
      </c>
      <c r="D3785" s="45"/>
      <c r="E3785" s="79" t="s">
        <v>5513</v>
      </c>
      <c r="F3785" s="79" t="s">
        <v>8784</v>
      </c>
      <c r="G3785" s="80" t="s">
        <v>96</v>
      </c>
      <c r="H3785" s="90">
        <v>3.48E-5</v>
      </c>
      <c r="I3785" s="45"/>
      <c r="J3785" s="45"/>
      <c r="K3785" s="45"/>
      <c r="L3785" s="45"/>
      <c r="M3785" s="45"/>
      <c r="N3785" s="45"/>
      <c r="O3785" s="45"/>
      <c r="P3785" s="45"/>
      <c r="Q3785" s="45"/>
      <c r="R3785" s="45"/>
      <c r="S3785" s="45"/>
      <c r="T3785" s="45"/>
      <c r="U3785" s="45"/>
    </row>
    <row r="3786">
      <c r="A3786" s="79" t="s">
        <v>17849</v>
      </c>
      <c r="B3786" s="45"/>
      <c r="C3786" s="79" t="s">
        <v>22620</v>
      </c>
      <c r="D3786" s="45"/>
      <c r="E3786" s="79" t="s">
        <v>5670</v>
      </c>
      <c r="F3786" s="79" t="s">
        <v>5425</v>
      </c>
      <c r="G3786" s="80" t="s">
        <v>96</v>
      </c>
      <c r="H3786" s="90">
        <v>3.48E-5</v>
      </c>
      <c r="I3786" s="45"/>
      <c r="J3786" s="45"/>
      <c r="K3786" s="45"/>
      <c r="L3786" s="45"/>
      <c r="M3786" s="45"/>
      <c r="N3786" s="45"/>
      <c r="O3786" s="45"/>
      <c r="P3786" s="45"/>
      <c r="Q3786" s="45"/>
      <c r="R3786" s="45"/>
      <c r="S3786" s="45"/>
      <c r="T3786" s="45"/>
      <c r="U3786" s="45"/>
    </row>
    <row r="3787">
      <c r="A3787" s="79" t="s">
        <v>22621</v>
      </c>
      <c r="B3787" s="45"/>
      <c r="C3787" s="79" t="s">
        <v>22622</v>
      </c>
      <c r="D3787" s="45"/>
      <c r="E3787" s="79" t="s">
        <v>5374</v>
      </c>
      <c r="F3787" s="79" t="s">
        <v>8784</v>
      </c>
      <c r="G3787" s="80" t="s">
        <v>96</v>
      </c>
      <c r="H3787" s="90">
        <v>3.47E-5</v>
      </c>
      <c r="I3787" s="45"/>
      <c r="J3787" s="45"/>
      <c r="K3787" s="45"/>
      <c r="L3787" s="45"/>
      <c r="M3787" s="45"/>
      <c r="N3787" s="45"/>
      <c r="O3787" s="45"/>
      <c r="P3787" s="45"/>
      <c r="Q3787" s="45"/>
      <c r="R3787" s="45"/>
      <c r="S3787" s="45"/>
      <c r="T3787" s="45"/>
      <c r="U3787" s="45"/>
    </row>
    <row r="3788">
      <c r="A3788" s="79" t="s">
        <v>22623</v>
      </c>
      <c r="B3788" s="45"/>
      <c r="C3788" s="79" t="s">
        <v>22624</v>
      </c>
      <c r="D3788" s="45"/>
      <c r="E3788" s="79" t="s">
        <v>5478</v>
      </c>
      <c r="F3788" s="79" t="s">
        <v>5300</v>
      </c>
      <c r="G3788" s="80" t="s">
        <v>96</v>
      </c>
      <c r="H3788" s="90">
        <v>3.47E-5</v>
      </c>
      <c r="I3788" s="45"/>
      <c r="J3788" s="45"/>
      <c r="K3788" s="45"/>
      <c r="L3788" s="45"/>
      <c r="M3788" s="45"/>
      <c r="N3788" s="45"/>
      <c r="O3788" s="45"/>
      <c r="P3788" s="45"/>
      <c r="Q3788" s="45"/>
      <c r="R3788" s="45"/>
      <c r="S3788" s="45"/>
      <c r="T3788" s="45"/>
      <c r="U3788" s="45"/>
    </row>
    <row r="3789">
      <c r="A3789" s="79" t="s">
        <v>22625</v>
      </c>
      <c r="B3789" s="45"/>
      <c r="C3789" s="79" t="s">
        <v>22626</v>
      </c>
      <c r="D3789" s="45"/>
      <c r="E3789" s="79" t="s">
        <v>5395</v>
      </c>
      <c r="F3789" s="79" t="s">
        <v>5300</v>
      </c>
      <c r="G3789" s="80" t="s">
        <v>96</v>
      </c>
      <c r="H3789" s="90">
        <v>3.47E-5</v>
      </c>
      <c r="I3789" s="45"/>
      <c r="J3789" s="45"/>
      <c r="K3789" s="45"/>
      <c r="L3789" s="45"/>
      <c r="M3789" s="45"/>
      <c r="N3789" s="45"/>
      <c r="O3789" s="45"/>
      <c r="P3789" s="45"/>
      <c r="Q3789" s="45"/>
      <c r="R3789" s="45"/>
      <c r="S3789" s="45"/>
      <c r="T3789" s="45"/>
      <c r="U3789" s="45"/>
    </row>
    <row r="3790">
      <c r="A3790" s="79" t="s">
        <v>22627</v>
      </c>
      <c r="B3790" s="45"/>
      <c r="C3790" s="79" t="s">
        <v>22628</v>
      </c>
      <c r="D3790" s="45"/>
      <c r="E3790" s="79" t="s">
        <v>5326</v>
      </c>
      <c r="F3790" s="79" t="s">
        <v>6220</v>
      </c>
      <c r="G3790" s="80" t="s">
        <v>96</v>
      </c>
      <c r="H3790" s="90">
        <v>3.47E-5</v>
      </c>
      <c r="I3790" s="45"/>
      <c r="J3790" s="45"/>
      <c r="K3790" s="45"/>
      <c r="L3790" s="45"/>
      <c r="M3790" s="45"/>
      <c r="N3790" s="45"/>
      <c r="O3790" s="45"/>
      <c r="P3790" s="45"/>
      <c r="Q3790" s="45"/>
      <c r="R3790" s="45"/>
      <c r="S3790" s="45"/>
      <c r="T3790" s="45"/>
      <c r="U3790" s="45"/>
    </row>
    <row r="3791">
      <c r="A3791" s="79" t="s">
        <v>22629</v>
      </c>
      <c r="B3791" s="45"/>
      <c r="C3791" s="79" t="s">
        <v>22630</v>
      </c>
      <c r="D3791" s="45"/>
      <c r="E3791" s="79" t="s">
        <v>5641</v>
      </c>
      <c r="F3791" s="79" t="s">
        <v>8784</v>
      </c>
      <c r="G3791" s="80" t="s">
        <v>96</v>
      </c>
      <c r="H3791" s="90">
        <v>3.47E-5</v>
      </c>
      <c r="I3791" s="45"/>
      <c r="J3791" s="45"/>
      <c r="K3791" s="45"/>
      <c r="L3791" s="45"/>
      <c r="M3791" s="45"/>
      <c r="N3791" s="45"/>
      <c r="O3791" s="45"/>
      <c r="P3791" s="45"/>
      <c r="Q3791" s="45"/>
      <c r="R3791" s="45"/>
      <c r="S3791" s="45"/>
      <c r="T3791" s="45"/>
      <c r="U3791" s="45"/>
    </row>
    <row r="3792">
      <c r="A3792" s="79" t="s">
        <v>22631</v>
      </c>
      <c r="B3792" s="45"/>
      <c r="C3792" s="79" t="s">
        <v>22632</v>
      </c>
      <c r="D3792" s="45"/>
      <c r="E3792" s="79" t="s">
        <v>5238</v>
      </c>
      <c r="F3792" s="79" t="s">
        <v>8784</v>
      </c>
      <c r="G3792" s="80" t="s">
        <v>96</v>
      </c>
      <c r="H3792" s="90">
        <v>3.46E-5</v>
      </c>
      <c r="I3792" s="45"/>
      <c r="J3792" s="45"/>
      <c r="K3792" s="45"/>
      <c r="L3792" s="45"/>
      <c r="M3792" s="45"/>
      <c r="N3792" s="45"/>
      <c r="O3792" s="45"/>
      <c r="P3792" s="45"/>
      <c r="Q3792" s="45"/>
      <c r="R3792" s="45"/>
      <c r="S3792" s="45"/>
      <c r="T3792" s="45"/>
      <c r="U3792" s="45"/>
    </row>
    <row r="3793">
      <c r="A3793" s="79" t="s">
        <v>22633</v>
      </c>
      <c r="B3793" s="45"/>
      <c r="C3793" s="79" t="s">
        <v>22634</v>
      </c>
      <c r="D3793" s="45"/>
      <c r="E3793" s="79" t="s">
        <v>5467</v>
      </c>
      <c r="F3793" s="79" t="s">
        <v>5300</v>
      </c>
      <c r="G3793" s="80" t="s">
        <v>96</v>
      </c>
      <c r="H3793" s="90">
        <v>3.46E-5</v>
      </c>
      <c r="I3793" s="45"/>
      <c r="J3793" s="45"/>
      <c r="K3793" s="45"/>
      <c r="L3793" s="45"/>
      <c r="M3793" s="45"/>
      <c r="N3793" s="45"/>
      <c r="O3793" s="45"/>
      <c r="P3793" s="45"/>
      <c r="Q3793" s="45"/>
      <c r="R3793" s="45"/>
      <c r="S3793" s="45"/>
      <c r="T3793" s="45"/>
      <c r="U3793" s="45"/>
    </row>
    <row r="3794">
      <c r="A3794" s="79" t="s">
        <v>12</v>
      </c>
      <c r="B3794" s="45"/>
      <c r="C3794" s="79" t="s">
        <v>22635</v>
      </c>
      <c r="D3794" s="45"/>
      <c r="E3794" s="79" t="s">
        <v>7248</v>
      </c>
      <c r="F3794" s="79" t="s">
        <v>5300</v>
      </c>
      <c r="G3794" s="80" t="s">
        <v>96</v>
      </c>
      <c r="H3794" s="90">
        <v>3.46E-5</v>
      </c>
      <c r="I3794" s="45"/>
      <c r="J3794" s="45"/>
      <c r="K3794" s="45"/>
      <c r="L3794" s="45"/>
      <c r="M3794" s="45"/>
      <c r="N3794" s="45"/>
      <c r="O3794" s="45"/>
      <c r="P3794" s="45"/>
      <c r="Q3794" s="45"/>
      <c r="R3794" s="45"/>
      <c r="S3794" s="45"/>
      <c r="T3794" s="45"/>
      <c r="U3794" s="45"/>
    </row>
    <row r="3795">
      <c r="A3795" s="79" t="s">
        <v>22636</v>
      </c>
      <c r="B3795" s="45"/>
      <c r="C3795" s="79" t="s">
        <v>22637</v>
      </c>
      <c r="D3795" s="45"/>
      <c r="E3795" s="79" t="s">
        <v>6275</v>
      </c>
      <c r="F3795" s="79" t="s">
        <v>5300</v>
      </c>
      <c r="G3795" s="80" t="s">
        <v>96</v>
      </c>
      <c r="H3795" s="90">
        <v>3.46E-5</v>
      </c>
      <c r="I3795" s="45"/>
      <c r="J3795" s="45"/>
      <c r="K3795" s="45"/>
      <c r="L3795" s="45"/>
      <c r="M3795" s="45"/>
      <c r="N3795" s="45"/>
      <c r="O3795" s="45"/>
      <c r="P3795" s="45"/>
      <c r="Q3795" s="45"/>
      <c r="R3795" s="45"/>
      <c r="S3795" s="45"/>
      <c r="T3795" s="45"/>
      <c r="U3795" s="45"/>
    </row>
    <row r="3796">
      <c r="A3796" s="79" t="s">
        <v>22638</v>
      </c>
      <c r="B3796" s="45"/>
      <c r="C3796" s="79" t="s">
        <v>22639</v>
      </c>
      <c r="D3796" s="45"/>
      <c r="E3796" s="79" t="s">
        <v>5283</v>
      </c>
      <c r="F3796" s="79" t="s">
        <v>5300</v>
      </c>
      <c r="G3796" s="80" t="s">
        <v>96</v>
      </c>
      <c r="H3796" s="90">
        <v>3.45E-5</v>
      </c>
      <c r="I3796" s="45"/>
      <c r="J3796" s="45"/>
      <c r="K3796" s="45"/>
      <c r="L3796" s="45"/>
      <c r="M3796" s="45"/>
      <c r="N3796" s="45"/>
      <c r="O3796" s="45"/>
      <c r="P3796" s="45"/>
      <c r="Q3796" s="45"/>
      <c r="R3796" s="45"/>
      <c r="S3796" s="45"/>
      <c r="T3796" s="45"/>
      <c r="U3796" s="45"/>
    </row>
    <row r="3797">
      <c r="A3797" s="79" t="s">
        <v>22640</v>
      </c>
      <c r="B3797" s="45"/>
      <c r="C3797" s="79" t="s">
        <v>22641</v>
      </c>
      <c r="D3797" s="45"/>
      <c r="E3797" s="79" t="s">
        <v>5434</v>
      </c>
      <c r="F3797" s="79" t="s">
        <v>8784</v>
      </c>
      <c r="G3797" s="80" t="s">
        <v>96</v>
      </c>
      <c r="H3797" s="90">
        <v>3.44E-5</v>
      </c>
      <c r="I3797" s="45"/>
      <c r="J3797" s="45"/>
      <c r="K3797" s="45"/>
      <c r="L3797" s="45"/>
      <c r="M3797" s="45"/>
      <c r="N3797" s="45"/>
      <c r="O3797" s="45"/>
      <c r="P3797" s="45"/>
      <c r="Q3797" s="45"/>
      <c r="R3797" s="45"/>
      <c r="S3797" s="45"/>
      <c r="T3797" s="45"/>
      <c r="U3797" s="45"/>
    </row>
    <row r="3798">
      <c r="A3798" s="79" t="s">
        <v>22642</v>
      </c>
      <c r="B3798" s="45"/>
      <c r="C3798" s="79" t="s">
        <v>22643</v>
      </c>
      <c r="D3798" s="45"/>
      <c r="E3798" s="79" t="s">
        <v>5395</v>
      </c>
      <c r="F3798" s="79" t="s">
        <v>8784</v>
      </c>
      <c r="G3798" s="80" t="s">
        <v>96</v>
      </c>
      <c r="H3798" s="90">
        <v>3.44E-5</v>
      </c>
      <c r="I3798" s="45"/>
      <c r="J3798" s="45"/>
      <c r="K3798" s="45"/>
      <c r="L3798" s="45"/>
      <c r="M3798" s="45"/>
      <c r="N3798" s="45"/>
      <c r="O3798" s="45"/>
      <c r="P3798" s="45"/>
      <c r="Q3798" s="45"/>
      <c r="R3798" s="45"/>
      <c r="S3798" s="45"/>
      <c r="T3798" s="45"/>
      <c r="U3798" s="45"/>
    </row>
    <row r="3799">
      <c r="A3799" s="79" t="s">
        <v>22644</v>
      </c>
      <c r="B3799" s="45"/>
      <c r="C3799" s="79" t="s">
        <v>22645</v>
      </c>
      <c r="D3799" s="45"/>
      <c r="E3799" s="79" t="s">
        <v>5215</v>
      </c>
      <c r="F3799" s="79" t="s">
        <v>5300</v>
      </c>
      <c r="G3799" s="80" t="s">
        <v>96</v>
      </c>
      <c r="H3799" s="90">
        <v>3.43E-5</v>
      </c>
      <c r="I3799" s="45"/>
      <c r="J3799" s="45"/>
      <c r="K3799" s="45"/>
      <c r="L3799" s="45"/>
      <c r="M3799" s="45"/>
      <c r="N3799" s="45"/>
      <c r="O3799" s="45"/>
      <c r="P3799" s="45"/>
      <c r="Q3799" s="45"/>
      <c r="R3799" s="45"/>
      <c r="S3799" s="45"/>
      <c r="T3799" s="45"/>
      <c r="U3799" s="45"/>
    </row>
    <row r="3800">
      <c r="A3800" s="79" t="s">
        <v>22646</v>
      </c>
      <c r="B3800" s="45"/>
      <c r="C3800" s="79" t="s">
        <v>22647</v>
      </c>
      <c r="D3800" s="45"/>
      <c r="E3800" s="79" t="s">
        <v>5478</v>
      </c>
      <c r="F3800" s="79" t="s">
        <v>5927</v>
      </c>
      <c r="G3800" s="80" t="s">
        <v>96</v>
      </c>
      <c r="H3800" s="90">
        <v>3.43E-5</v>
      </c>
      <c r="I3800" s="45"/>
      <c r="J3800" s="45"/>
      <c r="K3800" s="45"/>
      <c r="L3800" s="45"/>
      <c r="M3800" s="45"/>
      <c r="N3800" s="45"/>
      <c r="O3800" s="45"/>
      <c r="P3800" s="45"/>
      <c r="Q3800" s="45"/>
      <c r="R3800" s="45"/>
      <c r="S3800" s="45"/>
      <c r="T3800" s="45"/>
      <c r="U3800" s="45"/>
    </row>
    <row r="3801">
      <c r="A3801" s="79" t="s">
        <v>22648</v>
      </c>
      <c r="B3801" s="45"/>
      <c r="C3801" s="79" t="s">
        <v>22649</v>
      </c>
      <c r="D3801" s="45"/>
      <c r="E3801" s="79" t="s">
        <v>5978</v>
      </c>
      <c r="F3801" s="79" t="s">
        <v>8784</v>
      </c>
      <c r="G3801" s="80" t="s">
        <v>96</v>
      </c>
      <c r="H3801" s="90">
        <v>3.42E-5</v>
      </c>
      <c r="I3801" s="45"/>
      <c r="J3801" s="45"/>
      <c r="K3801" s="45"/>
      <c r="L3801" s="45"/>
      <c r="M3801" s="45"/>
      <c r="N3801" s="45"/>
      <c r="O3801" s="45"/>
      <c r="P3801" s="45"/>
      <c r="Q3801" s="45"/>
      <c r="R3801" s="45"/>
      <c r="S3801" s="45"/>
      <c r="T3801" s="45"/>
      <c r="U3801" s="45"/>
    </row>
    <row r="3802">
      <c r="A3802" s="79" t="s">
        <v>22650</v>
      </c>
      <c r="B3802" s="45"/>
      <c r="C3802" s="79" t="s">
        <v>22651</v>
      </c>
      <c r="D3802" s="45"/>
      <c r="E3802" s="79" t="s">
        <v>5351</v>
      </c>
      <c r="F3802" s="79" t="s">
        <v>4153</v>
      </c>
      <c r="G3802" s="80" t="s">
        <v>96</v>
      </c>
      <c r="H3802" s="90">
        <v>3.42E-5</v>
      </c>
      <c r="I3802" s="45"/>
      <c r="J3802" s="45"/>
      <c r="K3802" s="45"/>
      <c r="L3802" s="45"/>
      <c r="M3802" s="45"/>
      <c r="N3802" s="45"/>
      <c r="O3802" s="45"/>
      <c r="P3802" s="45"/>
      <c r="Q3802" s="45"/>
      <c r="R3802" s="45"/>
      <c r="S3802" s="45"/>
      <c r="T3802" s="45"/>
      <c r="U3802" s="45"/>
    </row>
    <row r="3803">
      <c r="A3803" s="79" t="s">
        <v>22652</v>
      </c>
      <c r="B3803" s="45"/>
      <c r="C3803" s="79" t="s">
        <v>22653</v>
      </c>
      <c r="D3803" s="45"/>
      <c r="E3803" s="79" t="s">
        <v>8110</v>
      </c>
      <c r="F3803" s="79" t="s">
        <v>4095</v>
      </c>
      <c r="G3803" s="80" t="s">
        <v>96</v>
      </c>
      <c r="H3803" s="90">
        <v>3.42E-5</v>
      </c>
      <c r="I3803" s="45"/>
      <c r="J3803" s="45"/>
      <c r="K3803" s="45"/>
      <c r="L3803" s="45"/>
      <c r="M3803" s="45"/>
      <c r="N3803" s="45"/>
      <c r="O3803" s="45"/>
      <c r="P3803" s="45"/>
      <c r="Q3803" s="45"/>
      <c r="R3803" s="45"/>
      <c r="S3803" s="45"/>
      <c r="T3803" s="45"/>
      <c r="U3803" s="45"/>
    </row>
    <row r="3804">
      <c r="A3804" s="79" t="s">
        <v>22654</v>
      </c>
      <c r="B3804" s="45"/>
      <c r="C3804" s="79" t="s">
        <v>22655</v>
      </c>
      <c r="D3804" s="45"/>
      <c r="E3804" s="79" t="s">
        <v>7251</v>
      </c>
      <c r="F3804" s="79" t="s">
        <v>5300</v>
      </c>
      <c r="G3804" s="80" t="s">
        <v>96</v>
      </c>
      <c r="H3804" s="90">
        <v>3.42E-5</v>
      </c>
      <c r="I3804" s="45"/>
      <c r="J3804" s="45"/>
      <c r="K3804" s="45"/>
      <c r="L3804" s="45"/>
      <c r="M3804" s="45"/>
      <c r="N3804" s="45"/>
      <c r="O3804" s="45"/>
      <c r="P3804" s="45"/>
      <c r="Q3804" s="45"/>
      <c r="R3804" s="45"/>
      <c r="S3804" s="45"/>
      <c r="T3804" s="45"/>
      <c r="U3804" s="45"/>
    </row>
    <row r="3805">
      <c r="A3805" s="79" t="s">
        <v>10583</v>
      </c>
      <c r="B3805" s="45"/>
      <c r="C3805" s="79" t="s">
        <v>22656</v>
      </c>
      <c r="D3805" s="45"/>
      <c r="E3805" s="79" t="s">
        <v>5238</v>
      </c>
      <c r="F3805" s="79" t="s">
        <v>4436</v>
      </c>
      <c r="G3805" s="80" t="s">
        <v>96</v>
      </c>
      <c r="H3805" s="90">
        <v>3.41E-5</v>
      </c>
      <c r="I3805" s="45"/>
      <c r="J3805" s="45"/>
      <c r="K3805" s="45"/>
      <c r="L3805" s="45"/>
      <c r="M3805" s="45"/>
      <c r="N3805" s="45"/>
      <c r="O3805" s="45"/>
      <c r="P3805" s="45"/>
      <c r="Q3805" s="45"/>
      <c r="R3805" s="45"/>
      <c r="S3805" s="45"/>
      <c r="T3805" s="45"/>
      <c r="U3805" s="45"/>
    </row>
    <row r="3806">
      <c r="A3806" s="79" t="s">
        <v>22657</v>
      </c>
      <c r="B3806" s="45"/>
      <c r="C3806" s="79" t="s">
        <v>22658</v>
      </c>
      <c r="D3806" s="45"/>
      <c r="E3806" s="79" t="s">
        <v>5374</v>
      </c>
      <c r="F3806" s="79" t="s">
        <v>8784</v>
      </c>
      <c r="G3806" s="80" t="s">
        <v>96</v>
      </c>
      <c r="H3806" s="90">
        <v>3.41E-5</v>
      </c>
      <c r="I3806" s="45"/>
      <c r="J3806" s="45"/>
      <c r="K3806" s="45"/>
      <c r="L3806" s="45"/>
      <c r="M3806" s="45"/>
      <c r="N3806" s="45"/>
      <c r="O3806" s="45"/>
      <c r="P3806" s="45"/>
      <c r="Q3806" s="45"/>
      <c r="R3806" s="45"/>
      <c r="S3806" s="45"/>
      <c r="T3806" s="45"/>
      <c r="U3806" s="45"/>
    </row>
    <row r="3807">
      <c r="A3807" s="79" t="s">
        <v>22659</v>
      </c>
      <c r="B3807" s="45"/>
      <c r="C3807" s="79" t="s">
        <v>22660</v>
      </c>
      <c r="D3807" s="45"/>
      <c r="E3807" s="79" t="s">
        <v>7611</v>
      </c>
      <c r="F3807" s="79" t="s">
        <v>5300</v>
      </c>
      <c r="G3807" s="80" t="s">
        <v>96</v>
      </c>
      <c r="H3807" s="90">
        <v>3.41E-5</v>
      </c>
      <c r="I3807" s="45"/>
      <c r="J3807" s="45"/>
      <c r="K3807" s="45"/>
      <c r="L3807" s="45"/>
      <c r="M3807" s="45"/>
      <c r="N3807" s="45"/>
      <c r="O3807" s="45"/>
      <c r="P3807" s="45"/>
      <c r="Q3807" s="45"/>
      <c r="R3807" s="45"/>
      <c r="S3807" s="45"/>
      <c r="T3807" s="45"/>
      <c r="U3807" s="45"/>
    </row>
    <row r="3808">
      <c r="A3808" s="79" t="s">
        <v>22661</v>
      </c>
      <c r="B3808" s="45"/>
      <c r="C3808" s="79" t="s">
        <v>22662</v>
      </c>
      <c r="D3808" s="45"/>
      <c r="E3808" s="79" t="s">
        <v>5366</v>
      </c>
      <c r="F3808" s="79" t="s">
        <v>8784</v>
      </c>
      <c r="G3808" s="80" t="s">
        <v>96</v>
      </c>
      <c r="H3808" s="90">
        <v>3.4E-5</v>
      </c>
      <c r="I3808" s="45"/>
      <c r="J3808" s="45"/>
      <c r="K3808" s="45"/>
      <c r="L3808" s="45"/>
      <c r="M3808" s="45"/>
      <c r="N3808" s="45"/>
      <c r="O3808" s="45"/>
      <c r="P3808" s="45"/>
      <c r="Q3808" s="45"/>
      <c r="R3808" s="45"/>
      <c r="S3808" s="45"/>
      <c r="T3808" s="45"/>
      <c r="U3808" s="45"/>
    </row>
    <row r="3809">
      <c r="A3809" s="79" t="s">
        <v>22663</v>
      </c>
      <c r="B3809" s="45"/>
      <c r="C3809" s="79" t="s">
        <v>22664</v>
      </c>
      <c r="D3809" s="45"/>
      <c r="E3809" s="79" t="s">
        <v>5670</v>
      </c>
      <c r="F3809" s="79" t="s">
        <v>4357</v>
      </c>
      <c r="G3809" s="80" t="s">
        <v>96</v>
      </c>
      <c r="H3809" s="90">
        <v>3.4E-5</v>
      </c>
      <c r="I3809" s="45"/>
      <c r="J3809" s="45"/>
      <c r="K3809" s="45"/>
      <c r="L3809" s="45"/>
      <c r="M3809" s="45"/>
      <c r="N3809" s="45"/>
      <c r="O3809" s="45"/>
      <c r="P3809" s="45"/>
      <c r="Q3809" s="45"/>
      <c r="R3809" s="45"/>
      <c r="S3809" s="45"/>
      <c r="T3809" s="45"/>
      <c r="U3809" s="45"/>
    </row>
    <row r="3810">
      <c r="A3810" s="79" t="s">
        <v>22665</v>
      </c>
      <c r="B3810" s="45"/>
      <c r="C3810" s="79" t="s">
        <v>22666</v>
      </c>
      <c r="D3810" s="45"/>
      <c r="E3810" s="79" t="s">
        <v>6416</v>
      </c>
      <c r="F3810" s="79" t="s">
        <v>5425</v>
      </c>
      <c r="G3810" s="80" t="s">
        <v>96</v>
      </c>
      <c r="H3810" s="90">
        <v>3.4E-5</v>
      </c>
      <c r="I3810" s="45"/>
      <c r="J3810" s="45"/>
      <c r="K3810" s="45"/>
      <c r="L3810" s="45"/>
      <c r="M3810" s="45"/>
      <c r="N3810" s="45"/>
      <c r="O3810" s="45"/>
      <c r="P3810" s="45"/>
      <c r="Q3810" s="45"/>
      <c r="R3810" s="45"/>
      <c r="S3810" s="45"/>
      <c r="T3810" s="45"/>
      <c r="U3810" s="45"/>
    </row>
    <row r="3811">
      <c r="A3811" s="79" t="s">
        <v>22667</v>
      </c>
      <c r="B3811" s="45"/>
      <c r="C3811" s="79" t="s">
        <v>22668</v>
      </c>
      <c r="D3811" s="45"/>
      <c r="E3811" s="79" t="s">
        <v>5246</v>
      </c>
      <c r="F3811" s="79" t="s">
        <v>8784</v>
      </c>
      <c r="G3811" s="80" t="s">
        <v>96</v>
      </c>
      <c r="H3811" s="90">
        <v>3.4E-5</v>
      </c>
      <c r="I3811" s="45"/>
      <c r="J3811" s="45"/>
      <c r="K3811" s="45"/>
      <c r="L3811" s="45"/>
      <c r="M3811" s="45"/>
      <c r="N3811" s="45"/>
      <c r="O3811" s="45"/>
      <c r="P3811" s="45"/>
      <c r="Q3811" s="45"/>
      <c r="R3811" s="45"/>
      <c r="S3811" s="45"/>
      <c r="T3811" s="45"/>
      <c r="U3811" s="45"/>
    </row>
    <row r="3812">
      <c r="A3812" s="79" t="s">
        <v>22669</v>
      </c>
      <c r="B3812" s="45"/>
      <c r="C3812" s="79" t="s">
        <v>22670</v>
      </c>
      <c r="D3812" s="45"/>
      <c r="E3812" s="79" t="s">
        <v>5229</v>
      </c>
      <c r="F3812" s="79" t="s">
        <v>6220</v>
      </c>
      <c r="G3812" s="80" t="s">
        <v>96</v>
      </c>
      <c r="H3812" s="90">
        <v>3.4E-5</v>
      </c>
      <c r="I3812" s="45"/>
      <c r="J3812" s="45"/>
      <c r="K3812" s="45"/>
      <c r="L3812" s="45"/>
      <c r="M3812" s="45"/>
      <c r="N3812" s="45"/>
      <c r="O3812" s="45"/>
      <c r="P3812" s="45"/>
      <c r="Q3812" s="45"/>
      <c r="R3812" s="45"/>
      <c r="S3812" s="45"/>
      <c r="T3812" s="45"/>
      <c r="U3812" s="45"/>
    </row>
    <row r="3813">
      <c r="A3813" s="79" t="s">
        <v>22671</v>
      </c>
      <c r="B3813" s="45"/>
      <c r="C3813" s="79" t="s">
        <v>22672</v>
      </c>
      <c r="D3813" s="45"/>
      <c r="E3813" s="79" t="s">
        <v>6130</v>
      </c>
      <c r="F3813" s="79" t="s">
        <v>8784</v>
      </c>
      <c r="G3813" s="80" t="s">
        <v>96</v>
      </c>
      <c r="H3813" s="90">
        <v>3.4E-5</v>
      </c>
      <c r="I3813" s="45"/>
      <c r="J3813" s="45"/>
      <c r="K3813" s="45"/>
      <c r="L3813" s="45"/>
      <c r="M3813" s="45"/>
      <c r="N3813" s="45"/>
      <c r="O3813" s="45"/>
      <c r="P3813" s="45"/>
      <c r="Q3813" s="45"/>
      <c r="R3813" s="45"/>
      <c r="S3813" s="45"/>
      <c r="T3813" s="45"/>
      <c r="U3813" s="45"/>
    </row>
    <row r="3814">
      <c r="A3814" s="79" t="s">
        <v>22673</v>
      </c>
      <c r="B3814" s="45"/>
      <c r="C3814" s="79" t="s">
        <v>22674</v>
      </c>
      <c r="D3814" s="45"/>
      <c r="E3814" s="79" t="s">
        <v>5374</v>
      </c>
      <c r="F3814" s="79" t="s">
        <v>6988</v>
      </c>
      <c r="G3814" s="80" t="s">
        <v>96</v>
      </c>
      <c r="H3814" s="90">
        <v>3.4E-5</v>
      </c>
      <c r="I3814" s="45"/>
      <c r="J3814" s="45"/>
      <c r="K3814" s="45"/>
      <c r="L3814" s="45"/>
      <c r="M3814" s="45"/>
      <c r="N3814" s="45"/>
      <c r="O3814" s="45"/>
      <c r="P3814" s="45"/>
      <c r="Q3814" s="45"/>
      <c r="R3814" s="45"/>
      <c r="S3814" s="45"/>
      <c r="T3814" s="45"/>
      <c r="U3814" s="45"/>
    </row>
    <row r="3815">
      <c r="A3815" s="79" t="s">
        <v>22675</v>
      </c>
      <c r="B3815" s="45"/>
      <c r="C3815" s="79" t="s">
        <v>22676</v>
      </c>
      <c r="D3815" s="45"/>
      <c r="E3815" s="79" t="s">
        <v>5670</v>
      </c>
      <c r="F3815" s="79" t="s">
        <v>8759</v>
      </c>
      <c r="G3815" s="80" t="s">
        <v>96</v>
      </c>
      <c r="H3815" s="90">
        <v>3.4E-5</v>
      </c>
      <c r="I3815" s="45"/>
      <c r="J3815" s="45"/>
      <c r="K3815" s="45"/>
      <c r="L3815" s="45"/>
      <c r="M3815" s="45"/>
      <c r="N3815" s="45"/>
      <c r="O3815" s="45"/>
      <c r="P3815" s="45"/>
      <c r="Q3815" s="45"/>
      <c r="R3815" s="45"/>
      <c r="S3815" s="45"/>
      <c r="T3815" s="45"/>
      <c r="U3815" s="45"/>
    </row>
    <row r="3816">
      <c r="A3816" s="79" t="s">
        <v>22677</v>
      </c>
      <c r="B3816" s="45"/>
      <c r="C3816" s="79" t="s">
        <v>22678</v>
      </c>
      <c r="D3816" s="45"/>
      <c r="E3816" s="79" t="s">
        <v>5374</v>
      </c>
      <c r="F3816" s="79" t="s">
        <v>5747</v>
      </c>
      <c r="G3816" s="80" t="s">
        <v>96</v>
      </c>
      <c r="H3816" s="90">
        <v>3.39E-5</v>
      </c>
      <c r="I3816" s="45"/>
      <c r="J3816" s="45"/>
      <c r="K3816" s="45"/>
      <c r="L3816" s="45"/>
      <c r="M3816" s="45"/>
      <c r="N3816" s="45"/>
      <c r="O3816" s="45"/>
      <c r="P3816" s="45"/>
      <c r="Q3816" s="45"/>
      <c r="R3816" s="45"/>
      <c r="S3816" s="45"/>
      <c r="T3816" s="45"/>
      <c r="U3816" s="45"/>
    </row>
    <row r="3817">
      <c r="A3817" s="79" t="s">
        <v>22679</v>
      </c>
      <c r="B3817" s="45"/>
      <c r="C3817" s="79" t="s">
        <v>22680</v>
      </c>
      <c r="D3817" s="45"/>
      <c r="E3817" s="79" t="s">
        <v>5561</v>
      </c>
      <c r="F3817" s="79" t="s">
        <v>9513</v>
      </c>
      <c r="G3817" s="80" t="s">
        <v>96</v>
      </c>
      <c r="H3817" s="90">
        <v>3.38E-5</v>
      </c>
      <c r="I3817" s="45"/>
      <c r="J3817" s="45"/>
      <c r="K3817" s="45"/>
      <c r="L3817" s="45"/>
      <c r="M3817" s="45"/>
      <c r="N3817" s="45"/>
      <c r="O3817" s="45"/>
      <c r="P3817" s="45"/>
      <c r="Q3817" s="45"/>
      <c r="R3817" s="45"/>
      <c r="S3817" s="45"/>
      <c r="T3817" s="45"/>
      <c r="U3817" s="45"/>
    </row>
    <row r="3818">
      <c r="A3818" s="79" t="s">
        <v>22681</v>
      </c>
      <c r="B3818" s="45"/>
      <c r="C3818" s="79" t="s">
        <v>22682</v>
      </c>
      <c r="D3818" s="45"/>
      <c r="E3818" s="79" t="s">
        <v>5283</v>
      </c>
      <c r="F3818" s="79" t="s">
        <v>9021</v>
      </c>
      <c r="G3818" s="80" t="s">
        <v>96</v>
      </c>
      <c r="H3818" s="90">
        <v>3.37E-5</v>
      </c>
      <c r="I3818" s="45"/>
      <c r="J3818" s="45"/>
      <c r="K3818" s="45"/>
      <c r="L3818" s="45"/>
      <c r="M3818" s="45"/>
      <c r="N3818" s="45"/>
      <c r="O3818" s="45"/>
      <c r="P3818" s="45"/>
      <c r="Q3818" s="45"/>
      <c r="R3818" s="45"/>
      <c r="S3818" s="45"/>
      <c r="T3818" s="45"/>
      <c r="U3818" s="45"/>
    </row>
    <row r="3819">
      <c r="A3819" s="79" t="s">
        <v>22683</v>
      </c>
      <c r="B3819" s="45"/>
      <c r="C3819" s="79" t="s">
        <v>22684</v>
      </c>
      <c r="D3819" s="45"/>
      <c r="E3819" s="79" t="s">
        <v>6472</v>
      </c>
      <c r="F3819" s="79" t="s">
        <v>5425</v>
      </c>
      <c r="G3819" s="80" t="s">
        <v>96</v>
      </c>
      <c r="H3819" s="90">
        <v>3.36E-5</v>
      </c>
      <c r="I3819" s="45"/>
      <c r="J3819" s="45"/>
      <c r="K3819" s="45"/>
      <c r="L3819" s="45"/>
      <c r="M3819" s="45"/>
      <c r="N3819" s="45"/>
      <c r="O3819" s="45"/>
      <c r="P3819" s="45"/>
      <c r="Q3819" s="45"/>
      <c r="R3819" s="45"/>
      <c r="S3819" s="45"/>
      <c r="T3819" s="45"/>
      <c r="U3819" s="45"/>
    </row>
    <row r="3820">
      <c r="A3820" s="79" t="s">
        <v>22685</v>
      </c>
      <c r="B3820" s="45"/>
      <c r="C3820" s="79" t="s">
        <v>22686</v>
      </c>
      <c r="D3820" s="45"/>
      <c r="E3820" s="79" t="s">
        <v>6223</v>
      </c>
      <c r="F3820" s="79" t="s">
        <v>8784</v>
      </c>
      <c r="G3820" s="80" t="s">
        <v>96</v>
      </c>
      <c r="H3820" s="90">
        <v>3.34E-5</v>
      </c>
      <c r="I3820" s="45"/>
      <c r="J3820" s="45"/>
      <c r="K3820" s="45"/>
      <c r="L3820" s="45"/>
      <c r="M3820" s="45"/>
      <c r="N3820" s="45"/>
      <c r="O3820" s="45"/>
      <c r="P3820" s="45"/>
      <c r="Q3820" s="45"/>
      <c r="R3820" s="45"/>
      <c r="S3820" s="45"/>
      <c r="T3820" s="45"/>
      <c r="U3820" s="45"/>
    </row>
    <row r="3821">
      <c r="A3821" s="79" t="s">
        <v>22687</v>
      </c>
      <c r="B3821" s="45"/>
      <c r="C3821" s="79" t="s">
        <v>22688</v>
      </c>
      <c r="D3821" s="45"/>
      <c r="E3821" s="79" t="s">
        <v>5264</v>
      </c>
      <c r="F3821" s="79" t="s">
        <v>9299</v>
      </c>
      <c r="G3821" s="80" t="s">
        <v>96</v>
      </c>
      <c r="H3821" s="90">
        <v>3.34E-5</v>
      </c>
      <c r="I3821" s="45"/>
      <c r="J3821" s="45"/>
      <c r="K3821" s="45"/>
      <c r="L3821" s="45"/>
      <c r="M3821" s="45"/>
      <c r="N3821" s="45"/>
      <c r="O3821" s="45"/>
      <c r="P3821" s="45"/>
      <c r="Q3821" s="45"/>
      <c r="R3821" s="45"/>
      <c r="S3821" s="45"/>
      <c r="T3821" s="45"/>
      <c r="U3821" s="45"/>
    </row>
    <row r="3822">
      <c r="A3822" s="79" t="s">
        <v>22689</v>
      </c>
      <c r="B3822" s="45"/>
      <c r="C3822" s="79" t="s">
        <v>22690</v>
      </c>
      <c r="D3822" s="45"/>
      <c r="E3822" s="79" t="s">
        <v>7471</v>
      </c>
      <c r="F3822" s="79" t="s">
        <v>5300</v>
      </c>
      <c r="G3822" s="80" t="s">
        <v>96</v>
      </c>
      <c r="H3822" s="90">
        <v>3.33E-5</v>
      </c>
      <c r="I3822" s="45"/>
      <c r="J3822" s="45"/>
      <c r="K3822" s="45"/>
      <c r="L3822" s="45"/>
      <c r="M3822" s="45"/>
      <c r="N3822" s="45"/>
      <c r="O3822" s="45"/>
      <c r="P3822" s="45"/>
      <c r="Q3822" s="45"/>
      <c r="R3822" s="45"/>
      <c r="S3822" s="45"/>
      <c r="T3822" s="45"/>
      <c r="U3822" s="45"/>
    </row>
    <row r="3823">
      <c r="A3823" s="79" t="s">
        <v>22691</v>
      </c>
      <c r="B3823" s="45"/>
      <c r="C3823" s="79" t="s">
        <v>22692</v>
      </c>
      <c r="D3823" s="45"/>
      <c r="E3823" s="79" t="s">
        <v>5742</v>
      </c>
      <c r="F3823" s="79" t="s">
        <v>8784</v>
      </c>
      <c r="G3823" s="80" t="s">
        <v>96</v>
      </c>
      <c r="H3823" s="90">
        <v>3.33E-5</v>
      </c>
      <c r="I3823" s="45"/>
      <c r="J3823" s="45"/>
      <c r="K3823" s="45"/>
      <c r="L3823" s="45"/>
      <c r="M3823" s="45"/>
      <c r="N3823" s="45"/>
      <c r="O3823" s="45"/>
      <c r="P3823" s="45"/>
      <c r="Q3823" s="45"/>
      <c r="R3823" s="45"/>
      <c r="S3823" s="45"/>
      <c r="T3823" s="45"/>
      <c r="U3823" s="45"/>
    </row>
    <row r="3824">
      <c r="A3824" s="79" t="s">
        <v>22693</v>
      </c>
      <c r="B3824" s="45"/>
      <c r="C3824" s="79" t="s">
        <v>22694</v>
      </c>
      <c r="D3824" s="45"/>
      <c r="E3824" s="79" t="s">
        <v>5561</v>
      </c>
      <c r="F3824" s="79" t="s">
        <v>9513</v>
      </c>
      <c r="G3824" s="80" t="s">
        <v>96</v>
      </c>
      <c r="H3824" s="90">
        <v>3.32E-5</v>
      </c>
      <c r="I3824" s="45"/>
      <c r="J3824" s="45"/>
      <c r="K3824" s="45"/>
      <c r="L3824" s="45"/>
      <c r="M3824" s="45"/>
      <c r="N3824" s="45"/>
      <c r="O3824" s="45"/>
      <c r="P3824" s="45"/>
      <c r="Q3824" s="45"/>
      <c r="R3824" s="45"/>
      <c r="S3824" s="45"/>
      <c r="T3824" s="45"/>
      <c r="U3824" s="45"/>
    </row>
    <row r="3825">
      <c r="A3825" s="79" t="s">
        <v>22695</v>
      </c>
      <c r="B3825" s="45"/>
      <c r="C3825" s="79" t="s">
        <v>22696</v>
      </c>
      <c r="D3825" s="45"/>
      <c r="E3825" s="79" t="s">
        <v>5478</v>
      </c>
      <c r="F3825" s="79" t="s">
        <v>5300</v>
      </c>
      <c r="G3825" s="80" t="s">
        <v>96</v>
      </c>
      <c r="H3825" s="90">
        <v>3.32E-5</v>
      </c>
      <c r="I3825" s="45"/>
      <c r="J3825" s="45"/>
      <c r="K3825" s="45"/>
      <c r="L3825" s="45"/>
      <c r="M3825" s="45"/>
      <c r="N3825" s="45"/>
      <c r="O3825" s="45"/>
      <c r="P3825" s="45"/>
      <c r="Q3825" s="45"/>
      <c r="R3825" s="45"/>
      <c r="S3825" s="45"/>
      <c r="T3825" s="45"/>
      <c r="U3825" s="45"/>
    </row>
    <row r="3826">
      <c r="A3826" s="79" t="s">
        <v>22697</v>
      </c>
      <c r="B3826" s="45"/>
      <c r="C3826" s="79" t="s">
        <v>22698</v>
      </c>
      <c r="D3826" s="45"/>
      <c r="E3826" s="79" t="s">
        <v>5335</v>
      </c>
      <c r="F3826" s="79" t="s">
        <v>6988</v>
      </c>
      <c r="G3826" s="80" t="s">
        <v>96</v>
      </c>
      <c r="H3826" s="90">
        <v>3.31E-5</v>
      </c>
      <c r="I3826" s="45"/>
      <c r="J3826" s="45"/>
      <c r="K3826" s="45"/>
      <c r="L3826" s="45"/>
      <c r="M3826" s="45"/>
      <c r="N3826" s="45"/>
      <c r="O3826" s="45"/>
      <c r="P3826" s="45"/>
      <c r="Q3826" s="45"/>
      <c r="R3826" s="45"/>
      <c r="S3826" s="45"/>
      <c r="T3826" s="45"/>
      <c r="U3826" s="45"/>
    </row>
    <row r="3827">
      <c r="A3827" s="79" t="s">
        <v>22699</v>
      </c>
      <c r="B3827" s="45"/>
      <c r="C3827" s="79" t="s">
        <v>22700</v>
      </c>
      <c r="D3827" s="45"/>
      <c r="E3827" s="79" t="s">
        <v>5276</v>
      </c>
      <c r="F3827" s="79" t="s">
        <v>5300</v>
      </c>
      <c r="G3827" s="80" t="s">
        <v>96</v>
      </c>
      <c r="H3827" s="90">
        <v>3.31E-5</v>
      </c>
      <c r="I3827" s="45"/>
      <c r="J3827" s="45"/>
      <c r="K3827" s="45"/>
      <c r="L3827" s="45"/>
      <c r="M3827" s="45"/>
      <c r="N3827" s="45"/>
      <c r="O3827" s="45"/>
      <c r="P3827" s="45"/>
      <c r="Q3827" s="45"/>
      <c r="R3827" s="45"/>
      <c r="S3827" s="45"/>
      <c r="T3827" s="45"/>
      <c r="U3827" s="45"/>
    </row>
    <row r="3828">
      <c r="A3828" s="79" t="s">
        <v>22701</v>
      </c>
      <c r="B3828" s="45"/>
      <c r="C3828" s="79" t="s">
        <v>22702</v>
      </c>
      <c r="D3828" s="45"/>
      <c r="E3828" s="79" t="s">
        <v>5456</v>
      </c>
      <c r="F3828" s="79" t="s">
        <v>8784</v>
      </c>
      <c r="G3828" s="80" t="s">
        <v>96</v>
      </c>
      <c r="H3828" s="90">
        <v>3.31E-5</v>
      </c>
      <c r="I3828" s="45"/>
      <c r="J3828" s="45"/>
      <c r="K3828" s="45"/>
      <c r="L3828" s="45"/>
      <c r="M3828" s="45"/>
      <c r="N3828" s="45"/>
      <c r="O3828" s="45"/>
      <c r="P3828" s="45"/>
      <c r="Q3828" s="45"/>
      <c r="R3828" s="45"/>
      <c r="S3828" s="45"/>
      <c r="T3828" s="45"/>
      <c r="U3828" s="45"/>
    </row>
    <row r="3829">
      <c r="A3829" s="79" t="s">
        <v>22703</v>
      </c>
      <c r="B3829" s="45"/>
      <c r="C3829" s="79" t="s">
        <v>22704</v>
      </c>
      <c r="D3829" s="45"/>
      <c r="E3829" s="79" t="s">
        <v>5450</v>
      </c>
      <c r="F3829" s="79" t="s">
        <v>5836</v>
      </c>
      <c r="G3829" s="80" t="s">
        <v>96</v>
      </c>
      <c r="H3829" s="90">
        <v>3.31E-5</v>
      </c>
      <c r="I3829" s="45"/>
      <c r="J3829" s="45"/>
      <c r="K3829" s="45"/>
      <c r="L3829" s="45"/>
      <c r="M3829" s="45"/>
      <c r="N3829" s="45"/>
      <c r="O3829" s="45"/>
      <c r="P3829" s="45"/>
      <c r="Q3829" s="45"/>
      <c r="R3829" s="45"/>
      <c r="S3829" s="45"/>
      <c r="T3829" s="45"/>
      <c r="U3829" s="45"/>
    </row>
    <row r="3830">
      <c r="A3830" s="79" t="s">
        <v>22705</v>
      </c>
      <c r="B3830" s="45"/>
      <c r="C3830" s="79" t="s">
        <v>22706</v>
      </c>
      <c r="D3830" s="45"/>
      <c r="E3830" s="79" t="s">
        <v>5742</v>
      </c>
      <c r="F3830" s="79" t="s">
        <v>4095</v>
      </c>
      <c r="G3830" s="80" t="s">
        <v>96</v>
      </c>
      <c r="H3830" s="90">
        <v>3.31E-5</v>
      </c>
      <c r="I3830" s="45"/>
      <c r="J3830" s="45"/>
      <c r="K3830" s="45"/>
      <c r="L3830" s="45"/>
      <c r="M3830" s="45"/>
      <c r="N3830" s="45"/>
      <c r="O3830" s="45"/>
      <c r="P3830" s="45"/>
      <c r="Q3830" s="45"/>
      <c r="R3830" s="45"/>
      <c r="S3830" s="45"/>
      <c r="T3830" s="45"/>
      <c r="U3830" s="45"/>
    </row>
    <row r="3831">
      <c r="A3831" s="79" t="s">
        <v>22707</v>
      </c>
      <c r="B3831" s="45"/>
      <c r="C3831" s="79" t="s">
        <v>22708</v>
      </c>
      <c r="D3831" s="45"/>
      <c r="E3831" s="79" t="s">
        <v>5561</v>
      </c>
      <c r="F3831" s="79" t="s">
        <v>6220</v>
      </c>
      <c r="G3831" s="80" t="s">
        <v>96</v>
      </c>
      <c r="H3831" s="90">
        <v>3.31E-5</v>
      </c>
      <c r="I3831" s="45"/>
      <c r="J3831" s="45"/>
      <c r="K3831" s="45"/>
      <c r="L3831" s="45"/>
      <c r="M3831" s="45"/>
      <c r="N3831" s="45"/>
      <c r="O3831" s="45"/>
      <c r="P3831" s="45"/>
      <c r="Q3831" s="45"/>
      <c r="R3831" s="45"/>
      <c r="S3831" s="45"/>
      <c r="T3831" s="45"/>
      <c r="U3831" s="45"/>
    </row>
    <row r="3832">
      <c r="A3832" s="79" t="s">
        <v>4207</v>
      </c>
      <c r="B3832" s="45"/>
      <c r="C3832" s="79" t="s">
        <v>22709</v>
      </c>
      <c r="D3832" s="45"/>
      <c r="E3832" s="79" t="s">
        <v>5218</v>
      </c>
      <c r="F3832" s="79" t="s">
        <v>5425</v>
      </c>
      <c r="G3832" s="80" t="s">
        <v>96</v>
      </c>
      <c r="H3832" s="90">
        <v>3.3E-5</v>
      </c>
      <c r="I3832" s="45"/>
      <c r="J3832" s="45"/>
      <c r="K3832" s="45"/>
      <c r="L3832" s="45"/>
      <c r="M3832" s="45"/>
      <c r="N3832" s="45"/>
      <c r="O3832" s="45"/>
      <c r="P3832" s="45"/>
      <c r="Q3832" s="45"/>
      <c r="R3832" s="45"/>
      <c r="S3832" s="45"/>
      <c r="T3832" s="45"/>
      <c r="U3832" s="45"/>
    </row>
    <row r="3833">
      <c r="A3833" s="79" t="s">
        <v>22710</v>
      </c>
      <c r="B3833" s="45"/>
      <c r="C3833" s="79" t="s">
        <v>22711</v>
      </c>
      <c r="D3833" s="45"/>
      <c r="E3833" s="79" t="s">
        <v>5561</v>
      </c>
      <c r="F3833" s="79" t="s">
        <v>9513</v>
      </c>
      <c r="G3833" s="80" t="s">
        <v>96</v>
      </c>
      <c r="H3833" s="90">
        <v>3.3E-5</v>
      </c>
      <c r="I3833" s="45"/>
      <c r="J3833" s="45"/>
      <c r="K3833" s="45"/>
      <c r="L3833" s="45"/>
      <c r="M3833" s="45"/>
      <c r="N3833" s="45"/>
      <c r="O3833" s="45"/>
      <c r="P3833" s="45"/>
      <c r="Q3833" s="45"/>
      <c r="R3833" s="45"/>
      <c r="S3833" s="45"/>
      <c r="T3833" s="45"/>
      <c r="U3833" s="45"/>
    </row>
    <row r="3834">
      <c r="A3834" s="79" t="s">
        <v>22712</v>
      </c>
      <c r="B3834" s="45"/>
      <c r="C3834" s="79" t="s">
        <v>22713</v>
      </c>
      <c r="D3834" s="45"/>
      <c r="E3834" s="79" t="s">
        <v>8154</v>
      </c>
      <c r="F3834" s="79" t="s">
        <v>8784</v>
      </c>
      <c r="G3834" s="80" t="s">
        <v>96</v>
      </c>
      <c r="H3834" s="90">
        <v>3.3E-5</v>
      </c>
      <c r="I3834" s="45"/>
      <c r="J3834" s="45"/>
      <c r="K3834" s="45"/>
      <c r="L3834" s="45"/>
      <c r="M3834" s="45"/>
      <c r="N3834" s="45"/>
      <c r="O3834" s="45"/>
      <c r="P3834" s="45"/>
      <c r="Q3834" s="45"/>
      <c r="R3834" s="45"/>
      <c r="S3834" s="45"/>
      <c r="T3834" s="45"/>
      <c r="U3834" s="45"/>
    </row>
    <row r="3835">
      <c r="A3835" s="79" t="s">
        <v>22714</v>
      </c>
      <c r="B3835" s="45"/>
      <c r="C3835" s="79" t="s">
        <v>22715</v>
      </c>
      <c r="D3835" s="45"/>
      <c r="E3835" s="79" t="s">
        <v>9039</v>
      </c>
      <c r="F3835" s="79" t="s">
        <v>5300</v>
      </c>
      <c r="G3835" s="80" t="s">
        <v>96</v>
      </c>
      <c r="H3835" s="90">
        <v>3.3E-5</v>
      </c>
      <c r="I3835" s="45"/>
      <c r="J3835" s="45"/>
      <c r="K3835" s="45"/>
      <c r="L3835" s="45"/>
      <c r="M3835" s="45"/>
      <c r="N3835" s="45"/>
      <c r="O3835" s="45"/>
      <c r="P3835" s="45"/>
      <c r="Q3835" s="45"/>
      <c r="R3835" s="45"/>
      <c r="S3835" s="45"/>
      <c r="T3835" s="45"/>
      <c r="U3835" s="45"/>
    </row>
    <row r="3836">
      <c r="A3836" s="79" t="s">
        <v>22716</v>
      </c>
      <c r="B3836" s="45"/>
      <c r="C3836" s="79" t="s">
        <v>22717</v>
      </c>
      <c r="D3836" s="45"/>
      <c r="E3836" s="79" t="s">
        <v>5516</v>
      </c>
      <c r="F3836" s="79" t="s">
        <v>8784</v>
      </c>
      <c r="G3836" s="80" t="s">
        <v>96</v>
      </c>
      <c r="H3836" s="90">
        <v>3.29E-5</v>
      </c>
      <c r="I3836" s="45"/>
      <c r="J3836" s="45"/>
      <c r="K3836" s="45"/>
      <c r="L3836" s="45"/>
      <c r="M3836" s="45"/>
      <c r="N3836" s="45"/>
      <c r="O3836" s="45"/>
      <c r="P3836" s="45"/>
      <c r="Q3836" s="45"/>
      <c r="R3836" s="45"/>
      <c r="S3836" s="45"/>
      <c r="T3836" s="45"/>
      <c r="U3836" s="45"/>
    </row>
    <row r="3837">
      <c r="A3837" s="79" t="s">
        <v>22718</v>
      </c>
      <c r="B3837" s="45"/>
      <c r="C3837" s="79" t="s">
        <v>22719</v>
      </c>
      <c r="D3837" s="45"/>
      <c r="E3837" s="79" t="s">
        <v>5226</v>
      </c>
      <c r="F3837" s="79" t="s">
        <v>5300</v>
      </c>
      <c r="G3837" s="80" t="s">
        <v>96</v>
      </c>
      <c r="H3837" s="90">
        <v>3.29E-5</v>
      </c>
      <c r="I3837" s="45"/>
      <c r="J3837" s="45"/>
      <c r="K3837" s="45"/>
      <c r="L3837" s="45"/>
      <c r="M3837" s="45"/>
      <c r="N3837" s="45"/>
      <c r="O3837" s="45"/>
      <c r="P3837" s="45"/>
      <c r="Q3837" s="45"/>
      <c r="R3837" s="45"/>
      <c r="S3837" s="45"/>
      <c r="T3837" s="45"/>
      <c r="U3837" s="45"/>
    </row>
    <row r="3838">
      <c r="A3838" s="79" t="s">
        <v>22720</v>
      </c>
      <c r="B3838" s="45"/>
      <c r="C3838" s="79" t="s">
        <v>22721</v>
      </c>
      <c r="D3838" s="45"/>
      <c r="E3838" s="79" t="s">
        <v>5670</v>
      </c>
      <c r="F3838" s="79" t="s">
        <v>8784</v>
      </c>
      <c r="G3838" s="80" t="s">
        <v>96</v>
      </c>
      <c r="H3838" s="90">
        <v>3.28E-5</v>
      </c>
      <c r="I3838" s="45"/>
      <c r="J3838" s="45"/>
      <c r="K3838" s="45"/>
      <c r="L3838" s="45"/>
      <c r="M3838" s="45"/>
      <c r="N3838" s="45"/>
      <c r="O3838" s="45"/>
      <c r="P3838" s="45"/>
      <c r="Q3838" s="45"/>
      <c r="R3838" s="45"/>
      <c r="S3838" s="45"/>
      <c r="T3838" s="45"/>
      <c r="U3838" s="45"/>
    </row>
    <row r="3839">
      <c r="A3839" s="79" t="s">
        <v>22722</v>
      </c>
      <c r="B3839" s="45"/>
      <c r="C3839" s="79" t="s">
        <v>22723</v>
      </c>
      <c r="D3839" s="45"/>
      <c r="E3839" s="79" t="s">
        <v>5316</v>
      </c>
      <c r="F3839" s="79" t="s">
        <v>5277</v>
      </c>
      <c r="G3839" s="80" t="s">
        <v>96</v>
      </c>
      <c r="H3839" s="90">
        <v>3.28E-5</v>
      </c>
      <c r="I3839" s="45"/>
      <c r="J3839" s="45"/>
      <c r="K3839" s="45"/>
      <c r="L3839" s="45"/>
      <c r="M3839" s="45"/>
      <c r="N3839" s="45"/>
      <c r="O3839" s="45"/>
      <c r="P3839" s="45"/>
      <c r="Q3839" s="45"/>
      <c r="R3839" s="45"/>
      <c r="S3839" s="45"/>
      <c r="T3839" s="45"/>
      <c r="U3839" s="45"/>
    </row>
    <row r="3840">
      <c r="A3840" s="79" t="s">
        <v>22724</v>
      </c>
      <c r="B3840" s="45"/>
      <c r="C3840" s="79" t="s">
        <v>22725</v>
      </c>
      <c r="D3840" s="45"/>
      <c r="E3840" s="79" t="s">
        <v>6223</v>
      </c>
      <c r="F3840" s="79" t="s">
        <v>8784</v>
      </c>
      <c r="G3840" s="80" t="s">
        <v>96</v>
      </c>
      <c r="H3840" s="90">
        <v>3.28E-5</v>
      </c>
      <c r="I3840" s="45"/>
      <c r="J3840" s="45"/>
      <c r="K3840" s="45"/>
      <c r="L3840" s="45"/>
      <c r="M3840" s="45"/>
      <c r="N3840" s="45"/>
      <c r="O3840" s="45"/>
      <c r="P3840" s="45"/>
      <c r="Q3840" s="45"/>
      <c r="R3840" s="45"/>
      <c r="S3840" s="45"/>
      <c r="T3840" s="45"/>
      <c r="U3840" s="45"/>
    </row>
    <row r="3841">
      <c r="A3841" s="79" t="s">
        <v>11594</v>
      </c>
      <c r="B3841" s="45"/>
      <c r="C3841" s="79" t="s">
        <v>22726</v>
      </c>
      <c r="D3841" s="45"/>
      <c r="E3841" s="79" t="s">
        <v>5291</v>
      </c>
      <c r="F3841" s="79" t="s">
        <v>5300</v>
      </c>
      <c r="G3841" s="80" t="s">
        <v>96</v>
      </c>
      <c r="H3841" s="90">
        <v>3.27E-5</v>
      </c>
      <c r="I3841" s="45"/>
      <c r="J3841" s="45"/>
      <c r="K3841" s="45"/>
      <c r="L3841" s="45"/>
      <c r="M3841" s="45"/>
      <c r="N3841" s="45"/>
      <c r="O3841" s="45"/>
      <c r="P3841" s="45"/>
      <c r="Q3841" s="45"/>
      <c r="R3841" s="45"/>
      <c r="S3841" s="45"/>
      <c r="T3841" s="45"/>
      <c r="U3841" s="45"/>
    </row>
    <row r="3842">
      <c r="A3842" s="79" t="s">
        <v>22727</v>
      </c>
      <c r="B3842" s="45"/>
      <c r="C3842" s="79" t="s">
        <v>22728</v>
      </c>
      <c r="D3842" s="45"/>
      <c r="E3842" s="79" t="s">
        <v>6729</v>
      </c>
      <c r="F3842" s="79" t="s">
        <v>5300</v>
      </c>
      <c r="G3842" s="80" t="s">
        <v>96</v>
      </c>
      <c r="H3842" s="90">
        <v>3.26E-5</v>
      </c>
      <c r="I3842" s="45"/>
      <c r="J3842" s="45"/>
      <c r="K3842" s="45"/>
      <c r="L3842" s="45"/>
      <c r="M3842" s="45"/>
      <c r="N3842" s="45"/>
      <c r="O3842" s="45"/>
      <c r="P3842" s="45"/>
      <c r="Q3842" s="45"/>
      <c r="R3842" s="45"/>
      <c r="S3842" s="45"/>
      <c r="T3842" s="45"/>
      <c r="U3842" s="45"/>
    </row>
    <row r="3843">
      <c r="A3843" s="79" t="s">
        <v>22729</v>
      </c>
      <c r="B3843" s="45"/>
      <c r="C3843" s="79" t="s">
        <v>22730</v>
      </c>
      <c r="D3843" s="45"/>
      <c r="E3843" s="79" t="s">
        <v>5235</v>
      </c>
      <c r="F3843" s="79" t="s">
        <v>5300</v>
      </c>
      <c r="G3843" s="80" t="s">
        <v>96</v>
      </c>
      <c r="H3843" s="90">
        <v>3.25E-5</v>
      </c>
      <c r="I3843" s="45"/>
      <c r="J3843" s="45"/>
      <c r="K3843" s="45"/>
      <c r="L3843" s="45"/>
      <c r="M3843" s="45"/>
      <c r="N3843" s="45"/>
      <c r="O3843" s="45"/>
      <c r="P3843" s="45"/>
      <c r="Q3843" s="45"/>
      <c r="R3843" s="45"/>
      <c r="S3843" s="45"/>
      <c r="T3843" s="45"/>
      <c r="U3843" s="45"/>
    </row>
    <row r="3844">
      <c r="A3844" s="79" t="s">
        <v>22731</v>
      </c>
      <c r="B3844" s="45"/>
      <c r="C3844" s="79" t="s">
        <v>22732</v>
      </c>
      <c r="D3844" s="45"/>
      <c r="E3844" s="79" t="s">
        <v>5258</v>
      </c>
      <c r="F3844" s="79" t="s">
        <v>5836</v>
      </c>
      <c r="G3844" s="80" t="s">
        <v>96</v>
      </c>
      <c r="H3844" s="90">
        <v>3.25E-5</v>
      </c>
      <c r="I3844" s="45"/>
      <c r="J3844" s="45"/>
      <c r="K3844" s="45"/>
      <c r="L3844" s="45"/>
      <c r="M3844" s="45"/>
      <c r="N3844" s="45"/>
      <c r="O3844" s="45"/>
      <c r="P3844" s="45"/>
      <c r="Q3844" s="45"/>
      <c r="R3844" s="45"/>
      <c r="S3844" s="45"/>
      <c r="T3844" s="45"/>
      <c r="U3844" s="45"/>
    </row>
    <row r="3845">
      <c r="A3845" s="79" t="s">
        <v>22733</v>
      </c>
      <c r="B3845" s="45"/>
      <c r="C3845" s="79" t="s">
        <v>22734</v>
      </c>
      <c r="D3845" s="45"/>
      <c r="E3845" s="79" t="s">
        <v>6083</v>
      </c>
      <c r="F3845" s="79" t="s">
        <v>5300</v>
      </c>
      <c r="G3845" s="80" t="s">
        <v>96</v>
      </c>
      <c r="H3845" s="90">
        <v>3.25E-5</v>
      </c>
      <c r="I3845" s="45"/>
      <c r="J3845" s="45"/>
      <c r="K3845" s="45"/>
      <c r="L3845" s="45"/>
      <c r="M3845" s="45"/>
      <c r="N3845" s="45"/>
      <c r="O3845" s="45"/>
      <c r="P3845" s="45"/>
      <c r="Q3845" s="45"/>
      <c r="R3845" s="45"/>
      <c r="S3845" s="45"/>
      <c r="T3845" s="45"/>
      <c r="U3845" s="45"/>
    </row>
    <row r="3846">
      <c r="A3846" s="79" t="s">
        <v>22735</v>
      </c>
      <c r="B3846" s="45"/>
      <c r="C3846" s="79" t="s">
        <v>22736</v>
      </c>
      <c r="D3846" s="45"/>
      <c r="E3846" s="79" t="s">
        <v>6327</v>
      </c>
      <c r="F3846" s="79" t="s">
        <v>4436</v>
      </c>
      <c r="G3846" s="80" t="s">
        <v>96</v>
      </c>
      <c r="H3846" s="90">
        <v>3.24E-5</v>
      </c>
      <c r="I3846" s="45"/>
      <c r="J3846" s="45"/>
      <c r="K3846" s="45"/>
      <c r="L3846" s="45"/>
      <c r="M3846" s="45"/>
      <c r="N3846" s="45"/>
      <c r="O3846" s="45"/>
      <c r="P3846" s="45"/>
      <c r="Q3846" s="45"/>
      <c r="R3846" s="45"/>
      <c r="S3846" s="45"/>
      <c r="T3846" s="45"/>
      <c r="U3846" s="45"/>
    </row>
    <row r="3847">
      <c r="A3847" s="79" t="s">
        <v>22737</v>
      </c>
      <c r="B3847" s="45"/>
      <c r="C3847" s="79" t="s">
        <v>22738</v>
      </c>
      <c r="D3847" s="45"/>
      <c r="E3847" s="79" t="s">
        <v>5211</v>
      </c>
      <c r="F3847" s="79" t="s">
        <v>5836</v>
      </c>
      <c r="G3847" s="80" t="s">
        <v>96</v>
      </c>
      <c r="H3847" s="90">
        <v>3.24E-5</v>
      </c>
      <c r="I3847" s="45"/>
      <c r="J3847" s="45"/>
      <c r="K3847" s="45"/>
      <c r="L3847" s="45"/>
      <c r="M3847" s="45"/>
      <c r="N3847" s="45"/>
      <c r="O3847" s="45"/>
      <c r="P3847" s="45"/>
      <c r="Q3847" s="45"/>
      <c r="R3847" s="45"/>
      <c r="S3847" s="45"/>
      <c r="T3847" s="45"/>
      <c r="U3847" s="45"/>
    </row>
    <row r="3848">
      <c r="A3848" s="79" t="s">
        <v>22739</v>
      </c>
      <c r="B3848" s="45"/>
      <c r="C3848" s="79" t="s">
        <v>22740</v>
      </c>
      <c r="D3848" s="45"/>
      <c r="E3848" s="79" t="s">
        <v>6130</v>
      </c>
      <c r="F3848" s="79" t="s">
        <v>5425</v>
      </c>
      <c r="G3848" s="80" t="s">
        <v>96</v>
      </c>
      <c r="H3848" s="90">
        <v>3.23E-5</v>
      </c>
      <c r="I3848" s="45"/>
      <c r="J3848" s="45"/>
      <c r="K3848" s="45"/>
      <c r="L3848" s="45"/>
      <c r="M3848" s="45"/>
      <c r="N3848" s="45"/>
      <c r="O3848" s="45"/>
      <c r="P3848" s="45"/>
      <c r="Q3848" s="45"/>
      <c r="R3848" s="45"/>
      <c r="S3848" s="45"/>
      <c r="T3848" s="45"/>
      <c r="U3848" s="45"/>
    </row>
    <row r="3849">
      <c r="A3849" s="79" t="s">
        <v>22741</v>
      </c>
      <c r="B3849" s="45"/>
      <c r="C3849" s="79" t="s">
        <v>22742</v>
      </c>
      <c r="D3849" s="45"/>
      <c r="E3849" s="79" t="s">
        <v>5691</v>
      </c>
      <c r="F3849" s="79" t="s">
        <v>5300</v>
      </c>
      <c r="G3849" s="80" t="s">
        <v>96</v>
      </c>
      <c r="H3849" s="90">
        <v>3.23E-5</v>
      </c>
      <c r="I3849" s="45"/>
      <c r="J3849" s="45"/>
      <c r="K3849" s="45"/>
      <c r="L3849" s="45"/>
      <c r="M3849" s="45"/>
      <c r="N3849" s="45"/>
      <c r="O3849" s="45"/>
      <c r="P3849" s="45"/>
      <c r="Q3849" s="45"/>
      <c r="R3849" s="45"/>
      <c r="S3849" s="45"/>
      <c r="T3849" s="45"/>
      <c r="U3849" s="45"/>
    </row>
    <row r="3850">
      <c r="A3850" s="79" t="s">
        <v>22743</v>
      </c>
      <c r="B3850" s="45"/>
      <c r="C3850" s="79" t="s">
        <v>22744</v>
      </c>
      <c r="D3850" s="45"/>
      <c r="E3850" s="79" t="s">
        <v>5407</v>
      </c>
      <c r="F3850" s="79" t="s">
        <v>9513</v>
      </c>
      <c r="G3850" s="80" t="s">
        <v>96</v>
      </c>
      <c r="H3850" s="90">
        <v>3.22E-5</v>
      </c>
      <c r="I3850" s="45"/>
      <c r="J3850" s="45"/>
      <c r="K3850" s="45"/>
      <c r="L3850" s="45"/>
      <c r="M3850" s="45"/>
      <c r="N3850" s="45"/>
      <c r="O3850" s="45"/>
      <c r="P3850" s="45"/>
      <c r="Q3850" s="45"/>
      <c r="R3850" s="45"/>
      <c r="S3850" s="45"/>
      <c r="T3850" s="45"/>
      <c r="U3850" s="45"/>
    </row>
    <row r="3851">
      <c r="A3851" s="79" t="s">
        <v>22745</v>
      </c>
      <c r="B3851" s="45"/>
      <c r="C3851" s="79" t="s">
        <v>22746</v>
      </c>
      <c r="D3851" s="45"/>
      <c r="E3851" s="79" t="s">
        <v>5561</v>
      </c>
      <c r="F3851" s="79" t="s">
        <v>8784</v>
      </c>
      <c r="G3851" s="80" t="s">
        <v>96</v>
      </c>
      <c r="H3851" s="90">
        <v>3.21E-5</v>
      </c>
      <c r="I3851" s="45"/>
      <c r="J3851" s="45"/>
      <c r="K3851" s="45"/>
      <c r="L3851" s="45"/>
      <c r="M3851" s="45"/>
      <c r="N3851" s="45"/>
      <c r="O3851" s="45"/>
      <c r="P3851" s="45"/>
      <c r="Q3851" s="45"/>
      <c r="R3851" s="45"/>
      <c r="S3851" s="45"/>
      <c r="T3851" s="45"/>
      <c r="U3851" s="45"/>
    </row>
    <row r="3852">
      <c r="A3852" s="79" t="s">
        <v>18420</v>
      </c>
      <c r="B3852" s="45"/>
      <c r="C3852" s="79" t="s">
        <v>22747</v>
      </c>
      <c r="D3852" s="45"/>
      <c r="E3852" s="79" t="s">
        <v>6389</v>
      </c>
      <c r="F3852" s="79" t="s">
        <v>4357</v>
      </c>
      <c r="G3852" s="80" t="s">
        <v>96</v>
      </c>
      <c r="H3852" s="90">
        <v>3.2E-5</v>
      </c>
      <c r="I3852" s="45"/>
      <c r="J3852" s="45"/>
      <c r="K3852" s="45"/>
      <c r="L3852" s="45"/>
      <c r="M3852" s="45"/>
      <c r="N3852" s="45"/>
      <c r="O3852" s="45"/>
      <c r="P3852" s="45"/>
      <c r="Q3852" s="45"/>
      <c r="R3852" s="45"/>
      <c r="S3852" s="45"/>
      <c r="T3852" s="45"/>
      <c r="U3852" s="45"/>
    </row>
    <row r="3853">
      <c r="A3853" s="79" t="s">
        <v>18264</v>
      </c>
      <c r="B3853" s="45"/>
      <c r="C3853" s="79" t="s">
        <v>22748</v>
      </c>
      <c r="D3853" s="45"/>
      <c r="E3853" s="79" t="s">
        <v>5516</v>
      </c>
      <c r="F3853" s="79" t="s">
        <v>4095</v>
      </c>
      <c r="G3853" s="80" t="s">
        <v>96</v>
      </c>
      <c r="H3853" s="90">
        <v>3.2E-5</v>
      </c>
      <c r="I3853" s="45"/>
      <c r="J3853" s="45"/>
      <c r="K3853" s="45"/>
      <c r="L3853" s="45"/>
      <c r="M3853" s="45"/>
      <c r="N3853" s="45"/>
      <c r="O3853" s="45"/>
      <c r="P3853" s="45"/>
      <c r="Q3853" s="45"/>
      <c r="R3853" s="45"/>
      <c r="S3853" s="45"/>
      <c r="T3853" s="45"/>
      <c r="U3853" s="45"/>
    </row>
    <row r="3854">
      <c r="A3854" s="79" t="s">
        <v>22215</v>
      </c>
      <c r="B3854" s="45"/>
      <c r="C3854" s="79" t="s">
        <v>22749</v>
      </c>
      <c r="D3854" s="45"/>
      <c r="E3854" s="79" t="s">
        <v>6249</v>
      </c>
      <c r="F3854" s="79" t="s">
        <v>4357</v>
      </c>
      <c r="G3854" s="80" t="s">
        <v>96</v>
      </c>
      <c r="H3854" s="90">
        <v>3.2E-5</v>
      </c>
      <c r="I3854" s="45"/>
      <c r="J3854" s="45"/>
      <c r="K3854" s="45"/>
      <c r="L3854" s="45"/>
      <c r="M3854" s="45"/>
      <c r="N3854" s="45"/>
      <c r="O3854" s="45"/>
      <c r="P3854" s="45"/>
      <c r="Q3854" s="45"/>
      <c r="R3854" s="45"/>
      <c r="S3854" s="45"/>
      <c r="T3854" s="45"/>
      <c r="U3854" s="45"/>
    </row>
    <row r="3855">
      <c r="A3855" s="79" t="s">
        <v>22750</v>
      </c>
      <c r="B3855" s="45"/>
      <c r="C3855" s="79" t="s">
        <v>22751</v>
      </c>
      <c r="D3855" s="45"/>
      <c r="E3855" s="79" t="s">
        <v>5961</v>
      </c>
      <c r="F3855" s="79" t="s">
        <v>8784</v>
      </c>
      <c r="G3855" s="80" t="s">
        <v>96</v>
      </c>
      <c r="H3855" s="90">
        <v>3.19E-5</v>
      </c>
      <c r="I3855" s="45"/>
      <c r="J3855" s="45"/>
      <c r="K3855" s="45"/>
      <c r="L3855" s="45"/>
      <c r="M3855" s="45"/>
      <c r="N3855" s="45"/>
      <c r="O3855" s="45"/>
      <c r="P3855" s="45"/>
      <c r="Q3855" s="45"/>
      <c r="R3855" s="45"/>
      <c r="S3855" s="45"/>
      <c r="T3855" s="45"/>
      <c r="U3855" s="45"/>
    </row>
    <row r="3856">
      <c r="A3856" s="79" t="s">
        <v>22752</v>
      </c>
      <c r="B3856" s="45"/>
      <c r="C3856" s="79" t="s">
        <v>22753</v>
      </c>
      <c r="D3856" s="45"/>
      <c r="E3856" s="79" t="s">
        <v>6275</v>
      </c>
      <c r="F3856" s="79" t="s">
        <v>8784</v>
      </c>
      <c r="G3856" s="80" t="s">
        <v>96</v>
      </c>
      <c r="H3856" s="90">
        <v>3.18E-5</v>
      </c>
      <c r="I3856" s="45"/>
      <c r="J3856" s="45"/>
      <c r="K3856" s="45"/>
      <c r="L3856" s="45"/>
      <c r="M3856" s="45"/>
      <c r="N3856" s="45"/>
      <c r="O3856" s="45"/>
      <c r="P3856" s="45"/>
      <c r="Q3856" s="45"/>
      <c r="R3856" s="45"/>
      <c r="S3856" s="45"/>
      <c r="T3856" s="45"/>
      <c r="U3856" s="45"/>
    </row>
    <row r="3857">
      <c r="A3857" s="79" t="s">
        <v>22754</v>
      </c>
      <c r="B3857" s="45"/>
      <c r="C3857" s="79" t="s">
        <v>22755</v>
      </c>
      <c r="D3857" s="45"/>
      <c r="E3857" s="79" t="s">
        <v>5341</v>
      </c>
      <c r="F3857" s="79" t="s">
        <v>9698</v>
      </c>
      <c r="G3857" s="80" t="s">
        <v>96</v>
      </c>
      <c r="H3857" s="90">
        <v>3.18E-5</v>
      </c>
      <c r="I3857" s="45"/>
      <c r="J3857" s="45"/>
      <c r="K3857" s="45"/>
      <c r="L3857" s="45"/>
      <c r="M3857" s="45"/>
      <c r="N3857" s="45"/>
      <c r="O3857" s="45"/>
      <c r="P3857" s="45"/>
      <c r="Q3857" s="45"/>
      <c r="R3857" s="45"/>
      <c r="S3857" s="45"/>
      <c r="T3857" s="45"/>
      <c r="U3857" s="45"/>
    </row>
    <row r="3858">
      <c r="A3858" s="79" t="s">
        <v>22756</v>
      </c>
      <c r="B3858" s="45"/>
      <c r="C3858" s="79" t="s">
        <v>22757</v>
      </c>
      <c r="D3858" s="45"/>
      <c r="E3858" s="79" t="s">
        <v>5335</v>
      </c>
      <c r="F3858" s="79" t="s">
        <v>8784</v>
      </c>
      <c r="G3858" s="80" t="s">
        <v>96</v>
      </c>
      <c r="H3858" s="90">
        <v>3.18E-5</v>
      </c>
      <c r="I3858" s="45"/>
      <c r="J3858" s="45"/>
      <c r="K3858" s="45"/>
      <c r="L3858" s="45"/>
      <c r="M3858" s="45"/>
      <c r="N3858" s="45"/>
      <c r="O3858" s="45"/>
      <c r="P3858" s="45"/>
      <c r="Q3858" s="45"/>
      <c r="R3858" s="45"/>
      <c r="S3858" s="45"/>
      <c r="T3858" s="45"/>
      <c r="U3858" s="45"/>
    </row>
    <row r="3859">
      <c r="A3859" s="79" t="s">
        <v>22758</v>
      </c>
      <c r="B3859" s="45"/>
      <c r="C3859" s="79" t="s">
        <v>22759</v>
      </c>
      <c r="D3859" s="45"/>
      <c r="E3859" s="79" t="s">
        <v>5561</v>
      </c>
      <c r="F3859" s="79" t="s">
        <v>9513</v>
      </c>
      <c r="G3859" s="80" t="s">
        <v>96</v>
      </c>
      <c r="H3859" s="90">
        <v>3.18E-5</v>
      </c>
      <c r="I3859" s="45"/>
      <c r="J3859" s="45"/>
      <c r="K3859" s="45"/>
      <c r="L3859" s="45"/>
      <c r="M3859" s="45"/>
      <c r="N3859" s="45"/>
      <c r="O3859" s="45"/>
      <c r="P3859" s="45"/>
      <c r="Q3859" s="45"/>
      <c r="R3859" s="45"/>
      <c r="S3859" s="45"/>
      <c r="T3859" s="45"/>
      <c r="U3859" s="45"/>
    </row>
    <row r="3860">
      <c r="A3860" s="79" t="s">
        <v>22760</v>
      </c>
      <c r="B3860" s="45"/>
      <c r="C3860" s="79" t="s">
        <v>22761</v>
      </c>
      <c r="D3860" s="45"/>
      <c r="E3860" s="79" t="s">
        <v>5434</v>
      </c>
      <c r="F3860" s="79" t="s">
        <v>9513</v>
      </c>
      <c r="G3860" s="80" t="s">
        <v>96</v>
      </c>
      <c r="H3860" s="90">
        <v>3.17E-5</v>
      </c>
      <c r="I3860" s="45"/>
      <c r="J3860" s="45"/>
      <c r="K3860" s="45"/>
      <c r="L3860" s="45"/>
      <c r="M3860" s="45"/>
      <c r="N3860" s="45"/>
      <c r="O3860" s="45"/>
      <c r="P3860" s="45"/>
      <c r="Q3860" s="45"/>
      <c r="R3860" s="45"/>
      <c r="S3860" s="45"/>
      <c r="T3860" s="45"/>
      <c r="U3860" s="45"/>
    </row>
    <row r="3861">
      <c r="A3861" s="79" t="s">
        <v>22762</v>
      </c>
      <c r="B3861" s="45"/>
      <c r="C3861" s="79" t="s">
        <v>22763</v>
      </c>
      <c r="D3861" s="45"/>
      <c r="E3861" s="79" t="s">
        <v>6090</v>
      </c>
      <c r="F3861" s="79" t="s">
        <v>5300</v>
      </c>
      <c r="G3861" s="80" t="s">
        <v>96</v>
      </c>
      <c r="H3861" s="90">
        <v>3.16E-5</v>
      </c>
      <c r="I3861" s="45"/>
      <c r="J3861" s="45"/>
      <c r="K3861" s="45"/>
      <c r="L3861" s="45"/>
      <c r="M3861" s="45"/>
      <c r="N3861" s="45"/>
      <c r="O3861" s="45"/>
      <c r="P3861" s="45"/>
      <c r="Q3861" s="45"/>
      <c r="R3861" s="45"/>
      <c r="S3861" s="45"/>
      <c r="T3861" s="45"/>
      <c r="U3861" s="45"/>
    </row>
    <row r="3862">
      <c r="A3862" s="79" t="s">
        <v>22764</v>
      </c>
      <c r="B3862" s="45"/>
      <c r="C3862" s="79" t="s">
        <v>22765</v>
      </c>
      <c r="D3862" s="45"/>
      <c r="E3862" s="79" t="s">
        <v>6012</v>
      </c>
      <c r="F3862" s="79" t="s">
        <v>5300</v>
      </c>
      <c r="G3862" s="80" t="s">
        <v>96</v>
      </c>
      <c r="H3862" s="90">
        <v>3.15E-5</v>
      </c>
      <c r="I3862" s="45"/>
      <c r="J3862" s="45"/>
      <c r="K3862" s="45"/>
      <c r="L3862" s="45"/>
      <c r="M3862" s="45"/>
      <c r="N3862" s="45"/>
      <c r="O3862" s="45"/>
      <c r="P3862" s="45"/>
      <c r="Q3862" s="45"/>
      <c r="R3862" s="45"/>
      <c r="S3862" s="45"/>
      <c r="T3862" s="45"/>
      <c r="U3862" s="45"/>
    </row>
    <row r="3863">
      <c r="A3863" s="79" t="s">
        <v>22766</v>
      </c>
      <c r="B3863" s="45"/>
      <c r="C3863" s="79" t="s">
        <v>22767</v>
      </c>
      <c r="D3863" s="45"/>
      <c r="E3863" s="79" t="s">
        <v>5407</v>
      </c>
      <c r="F3863" s="79" t="s">
        <v>8784</v>
      </c>
      <c r="G3863" s="80" t="s">
        <v>96</v>
      </c>
      <c r="H3863" s="90">
        <v>3.13E-5</v>
      </c>
      <c r="I3863" s="45"/>
      <c r="J3863" s="45"/>
      <c r="K3863" s="45"/>
      <c r="L3863" s="45"/>
      <c r="M3863" s="45"/>
      <c r="N3863" s="45"/>
      <c r="O3863" s="45"/>
      <c r="P3863" s="45"/>
      <c r="Q3863" s="45"/>
      <c r="R3863" s="45"/>
      <c r="S3863" s="45"/>
      <c r="T3863" s="45"/>
      <c r="U3863" s="45"/>
    </row>
    <row r="3864">
      <c r="A3864" s="79" t="s">
        <v>22768</v>
      </c>
      <c r="B3864" s="45"/>
      <c r="C3864" s="79" t="s">
        <v>22769</v>
      </c>
      <c r="D3864" s="45"/>
      <c r="E3864" s="79" t="s">
        <v>5374</v>
      </c>
      <c r="F3864" s="79" t="s">
        <v>8784</v>
      </c>
      <c r="G3864" s="80" t="s">
        <v>96</v>
      </c>
      <c r="H3864" s="90">
        <v>3.13E-5</v>
      </c>
      <c r="I3864" s="45"/>
      <c r="J3864" s="45"/>
      <c r="K3864" s="45"/>
      <c r="L3864" s="45"/>
      <c r="M3864" s="45"/>
      <c r="N3864" s="45"/>
      <c r="O3864" s="45"/>
      <c r="P3864" s="45"/>
      <c r="Q3864" s="45"/>
      <c r="R3864" s="45"/>
      <c r="S3864" s="45"/>
      <c r="T3864" s="45"/>
      <c r="U3864" s="45"/>
    </row>
    <row r="3865">
      <c r="A3865" s="79" t="s">
        <v>7187</v>
      </c>
      <c r="B3865" s="45"/>
      <c r="C3865" s="79" t="s">
        <v>22770</v>
      </c>
      <c r="D3865" s="45"/>
      <c r="E3865" s="79" t="s">
        <v>5374</v>
      </c>
      <c r="F3865" s="79" t="s">
        <v>8784</v>
      </c>
      <c r="G3865" s="80" t="s">
        <v>96</v>
      </c>
      <c r="H3865" s="90">
        <v>3.12E-5</v>
      </c>
      <c r="I3865" s="45"/>
      <c r="J3865" s="45"/>
      <c r="K3865" s="45"/>
      <c r="L3865" s="45"/>
      <c r="M3865" s="45"/>
      <c r="N3865" s="45"/>
      <c r="O3865" s="45"/>
      <c r="P3865" s="45"/>
      <c r="Q3865" s="45"/>
      <c r="R3865" s="45"/>
      <c r="S3865" s="45"/>
      <c r="T3865" s="45"/>
      <c r="U3865" s="45"/>
    </row>
    <row r="3866">
      <c r="A3866" s="79" t="s">
        <v>22771</v>
      </c>
      <c r="B3866" s="45"/>
      <c r="C3866" s="79" t="s">
        <v>22772</v>
      </c>
      <c r="D3866" s="45"/>
      <c r="E3866" s="79" t="s">
        <v>5258</v>
      </c>
      <c r="F3866" s="79" t="s">
        <v>5836</v>
      </c>
      <c r="G3866" s="80" t="s">
        <v>96</v>
      </c>
      <c r="H3866" s="90">
        <v>3.12E-5</v>
      </c>
      <c r="I3866" s="45"/>
      <c r="J3866" s="45"/>
      <c r="K3866" s="45"/>
      <c r="L3866" s="45"/>
      <c r="M3866" s="45"/>
      <c r="N3866" s="45"/>
      <c r="O3866" s="45"/>
      <c r="P3866" s="45"/>
      <c r="Q3866" s="45"/>
      <c r="R3866" s="45"/>
      <c r="S3866" s="45"/>
      <c r="T3866" s="45"/>
      <c r="U3866" s="45"/>
    </row>
    <row r="3867">
      <c r="A3867" s="79" t="s">
        <v>22773</v>
      </c>
      <c r="B3867" s="45"/>
      <c r="C3867" s="79" t="s">
        <v>22774</v>
      </c>
      <c r="D3867" s="45"/>
      <c r="E3867" s="79" t="s">
        <v>5478</v>
      </c>
      <c r="F3867" s="79" t="s">
        <v>5300</v>
      </c>
      <c r="G3867" s="80" t="s">
        <v>96</v>
      </c>
      <c r="H3867" s="90">
        <v>3.11E-5</v>
      </c>
      <c r="I3867" s="45"/>
      <c r="J3867" s="45"/>
      <c r="K3867" s="45"/>
      <c r="L3867" s="45"/>
      <c r="M3867" s="45"/>
      <c r="N3867" s="45"/>
      <c r="O3867" s="45"/>
      <c r="P3867" s="45"/>
      <c r="Q3867" s="45"/>
      <c r="R3867" s="45"/>
      <c r="S3867" s="45"/>
      <c r="T3867" s="45"/>
      <c r="U3867" s="45"/>
    </row>
    <row r="3868">
      <c r="A3868" s="79" t="s">
        <v>22775</v>
      </c>
      <c r="B3868" s="45"/>
      <c r="C3868" s="79" t="s">
        <v>22776</v>
      </c>
      <c r="D3868" s="45"/>
      <c r="E3868" s="79" t="s">
        <v>5478</v>
      </c>
      <c r="F3868" s="79" t="s">
        <v>5300</v>
      </c>
      <c r="G3868" s="80" t="s">
        <v>96</v>
      </c>
      <c r="H3868" s="90">
        <v>3.1E-5</v>
      </c>
      <c r="I3868" s="45"/>
      <c r="J3868" s="45"/>
      <c r="K3868" s="45"/>
      <c r="L3868" s="45"/>
      <c r="M3868" s="45"/>
      <c r="N3868" s="45"/>
      <c r="O3868" s="45"/>
      <c r="P3868" s="45"/>
      <c r="Q3868" s="45"/>
      <c r="R3868" s="45"/>
      <c r="S3868" s="45"/>
      <c r="T3868" s="45"/>
      <c r="U3868" s="45"/>
    </row>
    <row r="3869">
      <c r="A3869" s="79" t="s">
        <v>22777</v>
      </c>
      <c r="B3869" s="45"/>
      <c r="C3869" s="79" t="s">
        <v>22778</v>
      </c>
      <c r="D3869" s="45"/>
      <c r="E3869" s="79" t="s">
        <v>5395</v>
      </c>
      <c r="F3869" s="79" t="s">
        <v>5425</v>
      </c>
      <c r="G3869" s="80" t="s">
        <v>96</v>
      </c>
      <c r="H3869" s="90">
        <v>3.1E-5</v>
      </c>
      <c r="I3869" s="45"/>
      <c r="J3869" s="45"/>
      <c r="K3869" s="45"/>
      <c r="L3869" s="45"/>
      <c r="M3869" s="45"/>
      <c r="N3869" s="45"/>
      <c r="O3869" s="45"/>
      <c r="P3869" s="45"/>
      <c r="Q3869" s="45"/>
      <c r="R3869" s="45"/>
      <c r="S3869" s="45"/>
      <c r="T3869" s="45"/>
      <c r="U3869" s="45"/>
    </row>
    <row r="3870">
      <c r="A3870" s="79" t="s">
        <v>22779</v>
      </c>
      <c r="B3870" s="45"/>
      <c r="C3870" s="79" t="s">
        <v>22780</v>
      </c>
      <c r="D3870" s="45"/>
      <c r="E3870" s="79" t="s">
        <v>6338</v>
      </c>
      <c r="F3870" s="79" t="s">
        <v>9513</v>
      </c>
      <c r="G3870" s="80" t="s">
        <v>96</v>
      </c>
      <c r="H3870" s="90">
        <v>3.09E-5</v>
      </c>
      <c r="I3870" s="45"/>
      <c r="J3870" s="45"/>
      <c r="K3870" s="45"/>
      <c r="L3870" s="45"/>
      <c r="M3870" s="45"/>
      <c r="N3870" s="45"/>
      <c r="O3870" s="45"/>
      <c r="P3870" s="45"/>
      <c r="Q3870" s="45"/>
      <c r="R3870" s="45"/>
      <c r="S3870" s="45"/>
      <c r="T3870" s="45"/>
      <c r="U3870" s="45"/>
    </row>
    <row r="3871">
      <c r="A3871" s="79" t="s">
        <v>22781</v>
      </c>
      <c r="B3871" s="45"/>
      <c r="C3871" s="79" t="s">
        <v>22782</v>
      </c>
      <c r="D3871" s="45"/>
      <c r="E3871" s="79" t="s">
        <v>5478</v>
      </c>
      <c r="F3871" s="79" t="s">
        <v>5300</v>
      </c>
      <c r="G3871" s="80" t="s">
        <v>96</v>
      </c>
      <c r="H3871" s="90">
        <v>3.09E-5</v>
      </c>
      <c r="I3871" s="45"/>
      <c r="J3871" s="45"/>
      <c r="K3871" s="45"/>
      <c r="L3871" s="45"/>
      <c r="M3871" s="45"/>
      <c r="N3871" s="45"/>
      <c r="O3871" s="45"/>
      <c r="P3871" s="45"/>
      <c r="Q3871" s="45"/>
      <c r="R3871" s="45"/>
      <c r="S3871" s="45"/>
      <c r="T3871" s="45"/>
      <c r="U3871" s="45"/>
    </row>
    <row r="3872">
      <c r="A3872" s="79" t="s">
        <v>22783</v>
      </c>
      <c r="B3872" s="45"/>
      <c r="C3872" s="79" t="s">
        <v>22784</v>
      </c>
      <c r="D3872" s="45"/>
      <c r="E3872" s="79" t="s">
        <v>5478</v>
      </c>
      <c r="F3872" s="79" t="s">
        <v>5300</v>
      </c>
      <c r="G3872" s="80" t="s">
        <v>96</v>
      </c>
      <c r="H3872" s="90">
        <v>3.09E-5</v>
      </c>
      <c r="I3872" s="45"/>
      <c r="J3872" s="45"/>
      <c r="K3872" s="45"/>
      <c r="L3872" s="45"/>
      <c r="M3872" s="45"/>
      <c r="N3872" s="45"/>
      <c r="O3872" s="45"/>
      <c r="P3872" s="45"/>
      <c r="Q3872" s="45"/>
      <c r="R3872" s="45"/>
      <c r="S3872" s="45"/>
      <c r="T3872" s="45"/>
      <c r="U3872" s="45"/>
    </row>
    <row r="3873">
      <c r="A3873" s="79" t="s">
        <v>22785</v>
      </c>
      <c r="B3873" s="45"/>
      <c r="C3873" s="79" t="s">
        <v>22786</v>
      </c>
      <c r="D3873" s="45"/>
      <c r="E3873" s="79" t="s">
        <v>8110</v>
      </c>
      <c r="F3873" s="79" t="s">
        <v>8784</v>
      </c>
      <c r="G3873" s="80" t="s">
        <v>96</v>
      </c>
      <c r="H3873" s="90">
        <v>3.08E-5</v>
      </c>
      <c r="I3873" s="45"/>
      <c r="J3873" s="45"/>
      <c r="K3873" s="45"/>
      <c r="L3873" s="45"/>
      <c r="M3873" s="45"/>
      <c r="N3873" s="45"/>
      <c r="O3873" s="45"/>
      <c r="P3873" s="45"/>
      <c r="Q3873" s="45"/>
      <c r="R3873" s="45"/>
      <c r="S3873" s="45"/>
      <c r="T3873" s="45"/>
      <c r="U3873" s="45"/>
    </row>
    <row r="3874">
      <c r="A3874" s="79" t="s">
        <v>22787</v>
      </c>
      <c r="B3874" s="45"/>
      <c r="C3874" s="79" t="s">
        <v>22788</v>
      </c>
      <c r="D3874" s="45"/>
      <c r="E3874" s="79" t="s">
        <v>5229</v>
      </c>
      <c r="F3874" s="79" t="s">
        <v>5425</v>
      </c>
      <c r="G3874" s="80" t="s">
        <v>96</v>
      </c>
      <c r="H3874" s="90">
        <v>3.07E-5</v>
      </c>
      <c r="I3874" s="45"/>
      <c r="J3874" s="45"/>
      <c r="K3874" s="45"/>
      <c r="L3874" s="45"/>
      <c r="M3874" s="45"/>
      <c r="N3874" s="45"/>
      <c r="O3874" s="45"/>
      <c r="P3874" s="45"/>
      <c r="Q3874" s="45"/>
      <c r="R3874" s="45"/>
      <c r="S3874" s="45"/>
      <c r="T3874" s="45"/>
      <c r="U3874" s="45"/>
    </row>
    <row r="3875">
      <c r="A3875" s="79" t="s">
        <v>22789</v>
      </c>
      <c r="B3875" s="45"/>
      <c r="C3875" s="79" t="s">
        <v>22790</v>
      </c>
      <c r="D3875" s="45"/>
      <c r="E3875" s="79" t="s">
        <v>5650</v>
      </c>
      <c r="F3875" s="79" t="s">
        <v>8784</v>
      </c>
      <c r="G3875" s="80" t="s">
        <v>96</v>
      </c>
      <c r="H3875" s="90">
        <v>3.06E-5</v>
      </c>
      <c r="I3875" s="45"/>
      <c r="J3875" s="45"/>
      <c r="K3875" s="45"/>
      <c r="L3875" s="45"/>
      <c r="M3875" s="45"/>
      <c r="N3875" s="45"/>
      <c r="O3875" s="45"/>
      <c r="P3875" s="45"/>
      <c r="Q3875" s="45"/>
      <c r="R3875" s="45"/>
      <c r="S3875" s="45"/>
      <c r="T3875" s="45"/>
      <c r="U3875" s="45"/>
    </row>
    <row r="3876">
      <c r="A3876" s="79" t="s">
        <v>22791</v>
      </c>
      <c r="B3876" s="45"/>
      <c r="C3876" s="79" t="s">
        <v>22792</v>
      </c>
      <c r="D3876" s="45"/>
      <c r="E3876" s="79" t="s">
        <v>5226</v>
      </c>
      <c r="F3876" s="79" t="s">
        <v>5836</v>
      </c>
      <c r="G3876" s="80" t="s">
        <v>96</v>
      </c>
      <c r="H3876" s="90">
        <v>3.06E-5</v>
      </c>
      <c r="I3876" s="45"/>
      <c r="J3876" s="45"/>
      <c r="K3876" s="45"/>
      <c r="L3876" s="45"/>
      <c r="M3876" s="45"/>
      <c r="N3876" s="45"/>
      <c r="O3876" s="45"/>
      <c r="P3876" s="45"/>
      <c r="Q3876" s="45"/>
      <c r="R3876" s="45"/>
      <c r="S3876" s="45"/>
      <c r="T3876" s="45"/>
      <c r="U3876" s="45"/>
    </row>
    <row r="3877">
      <c r="A3877" s="79" t="s">
        <v>22793</v>
      </c>
      <c r="B3877" s="45"/>
      <c r="C3877" s="79" t="s">
        <v>22794</v>
      </c>
      <c r="D3877" s="45"/>
      <c r="E3877" s="79" t="s">
        <v>10454</v>
      </c>
      <c r="F3877" s="79" t="s">
        <v>5300</v>
      </c>
      <c r="G3877" s="80" t="s">
        <v>96</v>
      </c>
      <c r="H3877" s="90">
        <v>3.05E-5</v>
      </c>
      <c r="I3877" s="45"/>
      <c r="J3877" s="45"/>
      <c r="K3877" s="45"/>
      <c r="L3877" s="45"/>
      <c r="M3877" s="45"/>
      <c r="N3877" s="45"/>
      <c r="O3877" s="45"/>
      <c r="P3877" s="45"/>
      <c r="Q3877" s="45"/>
      <c r="R3877" s="45"/>
      <c r="S3877" s="45"/>
      <c r="T3877" s="45"/>
      <c r="U3877" s="45"/>
    </row>
    <row r="3878">
      <c r="A3878" s="79" t="s">
        <v>22795</v>
      </c>
      <c r="B3878" s="45"/>
      <c r="C3878" s="79" t="s">
        <v>22796</v>
      </c>
      <c r="D3878" s="45"/>
      <c r="E3878" s="79" t="s">
        <v>5229</v>
      </c>
      <c r="F3878" s="79" t="s">
        <v>8784</v>
      </c>
      <c r="G3878" s="80" t="s">
        <v>96</v>
      </c>
      <c r="H3878" s="90">
        <v>3.04E-5</v>
      </c>
      <c r="I3878" s="45"/>
      <c r="J3878" s="45"/>
      <c r="K3878" s="45"/>
      <c r="L3878" s="45"/>
      <c r="M3878" s="45"/>
      <c r="N3878" s="45"/>
      <c r="O3878" s="45"/>
      <c r="P3878" s="45"/>
      <c r="Q3878" s="45"/>
      <c r="R3878" s="45"/>
      <c r="S3878" s="45"/>
      <c r="T3878" s="45"/>
      <c r="U3878" s="45"/>
    </row>
    <row r="3879">
      <c r="A3879" s="79" t="s">
        <v>22797</v>
      </c>
      <c r="B3879" s="45"/>
      <c r="C3879" s="79" t="s">
        <v>22798</v>
      </c>
      <c r="D3879" s="45"/>
      <c r="E3879" s="79" t="s">
        <v>7611</v>
      </c>
      <c r="F3879" s="79" t="s">
        <v>5941</v>
      </c>
      <c r="G3879" s="80" t="s">
        <v>96</v>
      </c>
      <c r="H3879" s="90">
        <v>3.04E-5</v>
      </c>
      <c r="I3879" s="45"/>
      <c r="J3879" s="45"/>
      <c r="K3879" s="45"/>
      <c r="L3879" s="45"/>
      <c r="M3879" s="45"/>
      <c r="N3879" s="45"/>
      <c r="O3879" s="45"/>
      <c r="P3879" s="45"/>
      <c r="Q3879" s="45"/>
      <c r="R3879" s="45"/>
      <c r="S3879" s="45"/>
      <c r="T3879" s="45"/>
      <c r="U3879" s="45"/>
    </row>
    <row r="3880">
      <c r="A3880" s="79" t="s">
        <v>22799</v>
      </c>
      <c r="B3880" s="45"/>
      <c r="C3880" s="79" t="s">
        <v>22800</v>
      </c>
      <c r="D3880" s="45"/>
      <c r="E3880" s="79" t="s">
        <v>5456</v>
      </c>
      <c r="F3880" s="79" t="s">
        <v>8784</v>
      </c>
      <c r="G3880" s="80" t="s">
        <v>96</v>
      </c>
      <c r="H3880" s="90">
        <v>3.03E-5</v>
      </c>
      <c r="I3880" s="45"/>
      <c r="J3880" s="45"/>
      <c r="K3880" s="45"/>
      <c r="L3880" s="45"/>
      <c r="M3880" s="45"/>
      <c r="N3880" s="45"/>
      <c r="O3880" s="45"/>
      <c r="P3880" s="45"/>
      <c r="Q3880" s="45"/>
      <c r="R3880" s="45"/>
      <c r="S3880" s="45"/>
      <c r="T3880" s="45"/>
      <c r="U3880" s="45"/>
    </row>
    <row r="3881">
      <c r="A3881" s="79" t="s">
        <v>22801</v>
      </c>
      <c r="B3881" s="45"/>
      <c r="C3881" s="79" t="s">
        <v>22802</v>
      </c>
      <c r="D3881" s="45"/>
      <c r="E3881" s="79" t="s">
        <v>7222</v>
      </c>
      <c r="F3881" s="79" t="s">
        <v>5747</v>
      </c>
      <c r="G3881" s="80" t="s">
        <v>96</v>
      </c>
      <c r="H3881" s="90">
        <v>3.03E-5</v>
      </c>
      <c r="I3881" s="45"/>
      <c r="J3881" s="45"/>
      <c r="K3881" s="45"/>
      <c r="L3881" s="45"/>
      <c r="M3881" s="45"/>
      <c r="N3881" s="45"/>
      <c r="O3881" s="45"/>
      <c r="P3881" s="45"/>
      <c r="Q3881" s="45"/>
      <c r="R3881" s="45"/>
      <c r="S3881" s="45"/>
      <c r="T3881" s="45"/>
      <c r="U3881" s="45"/>
    </row>
    <row r="3882">
      <c r="A3882" s="79" t="s">
        <v>22803</v>
      </c>
      <c r="B3882" s="45"/>
      <c r="C3882" s="79" t="s">
        <v>22804</v>
      </c>
      <c r="D3882" s="45"/>
      <c r="E3882" s="79" t="s">
        <v>5775</v>
      </c>
      <c r="F3882" s="79" t="s">
        <v>5300</v>
      </c>
      <c r="G3882" s="80" t="s">
        <v>96</v>
      </c>
      <c r="H3882" s="90">
        <v>3.03E-5</v>
      </c>
      <c r="I3882" s="45"/>
      <c r="J3882" s="45"/>
      <c r="K3882" s="45"/>
      <c r="L3882" s="45"/>
      <c r="M3882" s="45"/>
      <c r="N3882" s="45"/>
      <c r="O3882" s="45"/>
      <c r="P3882" s="45"/>
      <c r="Q3882" s="45"/>
      <c r="R3882" s="45"/>
      <c r="S3882" s="45"/>
      <c r="T3882" s="45"/>
      <c r="U3882" s="45"/>
    </row>
    <row r="3883">
      <c r="A3883" s="79" t="s">
        <v>22805</v>
      </c>
      <c r="B3883" s="45"/>
      <c r="C3883" s="79" t="s">
        <v>22806</v>
      </c>
      <c r="D3883" s="45"/>
      <c r="E3883" s="79" t="s">
        <v>5374</v>
      </c>
      <c r="F3883" s="79" t="s">
        <v>5300</v>
      </c>
      <c r="G3883" s="80" t="s">
        <v>96</v>
      </c>
      <c r="H3883" s="90">
        <v>3.02E-5</v>
      </c>
      <c r="I3883" s="45"/>
      <c r="J3883" s="45"/>
      <c r="K3883" s="45"/>
      <c r="L3883" s="45"/>
      <c r="M3883" s="45"/>
      <c r="N3883" s="45"/>
      <c r="O3883" s="45"/>
      <c r="P3883" s="45"/>
      <c r="Q3883" s="45"/>
      <c r="R3883" s="45"/>
      <c r="S3883" s="45"/>
      <c r="T3883" s="45"/>
      <c r="U3883" s="45"/>
    </row>
    <row r="3884">
      <c r="A3884" s="79" t="s">
        <v>22807</v>
      </c>
      <c r="B3884" s="45"/>
      <c r="C3884" s="79" t="s">
        <v>22808</v>
      </c>
      <c r="D3884" s="45"/>
      <c r="E3884" s="79" t="s">
        <v>5291</v>
      </c>
      <c r="F3884" s="79" t="s">
        <v>6988</v>
      </c>
      <c r="G3884" s="80" t="s">
        <v>96</v>
      </c>
      <c r="H3884" s="90">
        <v>3.01E-5</v>
      </c>
      <c r="I3884" s="45"/>
      <c r="J3884" s="45"/>
      <c r="K3884" s="45"/>
      <c r="L3884" s="45"/>
      <c r="M3884" s="45"/>
      <c r="N3884" s="45"/>
      <c r="O3884" s="45"/>
      <c r="P3884" s="45"/>
      <c r="Q3884" s="45"/>
      <c r="R3884" s="45"/>
      <c r="S3884" s="45"/>
      <c r="T3884" s="45"/>
      <c r="U3884" s="45"/>
    </row>
    <row r="3885">
      <c r="A3885" s="79" t="s">
        <v>22809</v>
      </c>
      <c r="B3885" s="45"/>
      <c r="C3885" s="79" t="s">
        <v>22810</v>
      </c>
      <c r="D3885" s="45"/>
      <c r="E3885" s="79" t="s">
        <v>6427</v>
      </c>
      <c r="F3885" s="79" t="s">
        <v>5927</v>
      </c>
      <c r="G3885" s="80" t="s">
        <v>96</v>
      </c>
      <c r="H3885" s="90">
        <v>3.01E-5</v>
      </c>
      <c r="I3885" s="45"/>
      <c r="J3885" s="45"/>
      <c r="K3885" s="45"/>
      <c r="L3885" s="45"/>
      <c r="M3885" s="45"/>
      <c r="N3885" s="45"/>
      <c r="O3885" s="45"/>
      <c r="P3885" s="45"/>
      <c r="Q3885" s="45"/>
      <c r="R3885" s="45"/>
      <c r="S3885" s="45"/>
      <c r="T3885" s="45"/>
      <c r="U3885" s="45"/>
    </row>
    <row r="3886">
      <c r="A3886" s="79" t="s">
        <v>22811</v>
      </c>
      <c r="B3886" s="45"/>
      <c r="C3886" s="79" t="s">
        <v>22812</v>
      </c>
      <c r="D3886" s="45"/>
      <c r="E3886" s="79" t="s">
        <v>6249</v>
      </c>
      <c r="F3886" s="79" t="s">
        <v>8784</v>
      </c>
      <c r="G3886" s="80" t="s">
        <v>96</v>
      </c>
      <c r="H3886" s="90">
        <v>3.01E-5</v>
      </c>
      <c r="I3886" s="45"/>
      <c r="J3886" s="45"/>
      <c r="K3886" s="45"/>
      <c r="L3886" s="45"/>
      <c r="M3886" s="45"/>
      <c r="N3886" s="45"/>
      <c r="O3886" s="45"/>
      <c r="P3886" s="45"/>
      <c r="Q3886" s="45"/>
      <c r="R3886" s="45"/>
      <c r="S3886" s="45"/>
      <c r="T3886" s="45"/>
      <c r="U3886" s="45"/>
    </row>
    <row r="3887">
      <c r="A3887" s="79" t="s">
        <v>22813</v>
      </c>
      <c r="B3887" s="45"/>
      <c r="C3887" s="79" t="s">
        <v>22814</v>
      </c>
      <c r="D3887" s="45"/>
      <c r="E3887" s="79" t="s">
        <v>5283</v>
      </c>
      <c r="F3887" s="79" t="s">
        <v>8784</v>
      </c>
      <c r="G3887" s="80" t="s">
        <v>96</v>
      </c>
      <c r="H3887" s="90">
        <v>3.0E-5</v>
      </c>
      <c r="I3887" s="45"/>
      <c r="J3887" s="45"/>
      <c r="K3887" s="45"/>
      <c r="L3887" s="45"/>
      <c r="M3887" s="45"/>
      <c r="N3887" s="45"/>
      <c r="O3887" s="45"/>
      <c r="P3887" s="45"/>
      <c r="Q3887" s="45"/>
      <c r="R3887" s="45"/>
      <c r="S3887" s="45"/>
      <c r="T3887" s="45"/>
      <c r="U3887" s="45"/>
    </row>
    <row r="3888">
      <c r="A3888" s="79" t="s">
        <v>22815</v>
      </c>
      <c r="B3888" s="45"/>
      <c r="C3888" s="79" t="s">
        <v>22816</v>
      </c>
      <c r="D3888" s="45"/>
      <c r="E3888" s="79" t="s">
        <v>5964</v>
      </c>
      <c r="F3888" s="79" t="s">
        <v>8784</v>
      </c>
      <c r="G3888" s="80" t="s">
        <v>96</v>
      </c>
      <c r="H3888" s="90">
        <v>3.0E-5</v>
      </c>
      <c r="I3888" s="45"/>
      <c r="J3888" s="45"/>
      <c r="K3888" s="45"/>
      <c r="L3888" s="45"/>
      <c r="M3888" s="45"/>
      <c r="N3888" s="45"/>
      <c r="O3888" s="45"/>
      <c r="P3888" s="45"/>
      <c r="Q3888" s="45"/>
      <c r="R3888" s="45"/>
      <c r="S3888" s="45"/>
      <c r="T3888" s="45"/>
      <c r="U3888" s="45"/>
    </row>
    <row r="3889">
      <c r="A3889" s="79" t="s">
        <v>22817</v>
      </c>
      <c r="B3889" s="45"/>
      <c r="C3889" s="79" t="s">
        <v>22818</v>
      </c>
      <c r="D3889" s="45"/>
      <c r="E3889" s="79" t="s">
        <v>5715</v>
      </c>
      <c r="F3889" s="79" t="s">
        <v>8784</v>
      </c>
      <c r="G3889" s="80" t="s">
        <v>96</v>
      </c>
      <c r="H3889" s="90">
        <v>3.0E-5</v>
      </c>
      <c r="I3889" s="45"/>
      <c r="J3889" s="45"/>
      <c r="K3889" s="45"/>
      <c r="L3889" s="45"/>
      <c r="M3889" s="45"/>
      <c r="N3889" s="45"/>
      <c r="O3889" s="45"/>
      <c r="P3889" s="45"/>
      <c r="Q3889" s="45"/>
      <c r="R3889" s="45"/>
      <c r="S3889" s="45"/>
      <c r="T3889" s="45"/>
      <c r="U3889" s="45"/>
    </row>
    <row r="3890">
      <c r="A3890" s="79" t="s">
        <v>22819</v>
      </c>
      <c r="B3890" s="45"/>
      <c r="C3890" s="79" t="s">
        <v>22820</v>
      </c>
      <c r="D3890" s="45"/>
      <c r="E3890" s="79" t="s">
        <v>6009</v>
      </c>
      <c r="F3890" s="79" t="s">
        <v>9513</v>
      </c>
      <c r="G3890" s="80" t="s">
        <v>96</v>
      </c>
      <c r="H3890" s="90">
        <v>2.99E-5</v>
      </c>
      <c r="I3890" s="45"/>
      <c r="J3890" s="45"/>
      <c r="K3890" s="45"/>
      <c r="L3890" s="45"/>
      <c r="M3890" s="45"/>
      <c r="N3890" s="45"/>
      <c r="O3890" s="45"/>
      <c r="P3890" s="45"/>
      <c r="Q3890" s="45"/>
      <c r="R3890" s="45"/>
      <c r="S3890" s="45"/>
      <c r="T3890" s="45"/>
      <c r="U3890" s="45"/>
    </row>
    <row r="3891">
      <c r="A3891" s="79" t="s">
        <v>22821</v>
      </c>
      <c r="B3891" s="45"/>
      <c r="C3891" s="79" t="s">
        <v>22822</v>
      </c>
      <c r="D3891" s="45"/>
      <c r="E3891" s="79" t="s">
        <v>5516</v>
      </c>
      <c r="F3891" s="79" t="s">
        <v>8784</v>
      </c>
      <c r="G3891" s="80" t="s">
        <v>96</v>
      </c>
      <c r="H3891" s="90">
        <v>2.99E-5</v>
      </c>
      <c r="I3891" s="45"/>
      <c r="J3891" s="45"/>
      <c r="K3891" s="45"/>
      <c r="L3891" s="45"/>
      <c r="M3891" s="45"/>
      <c r="N3891" s="45"/>
      <c r="O3891" s="45"/>
      <c r="P3891" s="45"/>
      <c r="Q3891" s="45"/>
      <c r="R3891" s="45"/>
      <c r="S3891" s="45"/>
      <c r="T3891" s="45"/>
      <c r="U3891" s="45"/>
    </row>
    <row r="3892">
      <c r="A3892" s="79" t="s">
        <v>22823</v>
      </c>
      <c r="B3892" s="45"/>
      <c r="C3892" s="79" t="s">
        <v>22824</v>
      </c>
      <c r="D3892" s="45"/>
      <c r="E3892" s="79" t="s">
        <v>5501</v>
      </c>
      <c r="F3892" s="79" t="s">
        <v>8784</v>
      </c>
      <c r="G3892" s="80" t="s">
        <v>96</v>
      </c>
      <c r="H3892" s="90">
        <v>2.98E-5</v>
      </c>
      <c r="I3892" s="45"/>
      <c r="J3892" s="45"/>
      <c r="K3892" s="45"/>
      <c r="L3892" s="45"/>
      <c r="M3892" s="45"/>
      <c r="N3892" s="45"/>
      <c r="O3892" s="45"/>
      <c r="P3892" s="45"/>
      <c r="Q3892" s="45"/>
      <c r="R3892" s="45"/>
      <c r="S3892" s="45"/>
      <c r="T3892" s="45"/>
      <c r="U3892" s="45"/>
    </row>
    <row r="3893">
      <c r="A3893" s="79" t="s">
        <v>22825</v>
      </c>
      <c r="B3893" s="45"/>
      <c r="C3893" s="79" t="s">
        <v>22826</v>
      </c>
      <c r="D3893" s="45"/>
      <c r="E3893" s="79" t="s">
        <v>5961</v>
      </c>
      <c r="F3893" s="79" t="s">
        <v>8784</v>
      </c>
      <c r="G3893" s="80" t="s">
        <v>96</v>
      </c>
      <c r="H3893" s="90">
        <v>2.98E-5</v>
      </c>
      <c r="I3893" s="45"/>
      <c r="J3893" s="45"/>
      <c r="K3893" s="45"/>
      <c r="L3893" s="45"/>
      <c r="M3893" s="45"/>
      <c r="N3893" s="45"/>
      <c r="O3893" s="45"/>
      <c r="P3893" s="45"/>
      <c r="Q3893" s="45"/>
      <c r="R3893" s="45"/>
      <c r="S3893" s="45"/>
      <c r="T3893" s="45"/>
      <c r="U3893" s="45"/>
    </row>
    <row r="3894">
      <c r="A3894" s="79" t="s">
        <v>22827</v>
      </c>
      <c r="B3894" s="45"/>
      <c r="C3894" s="79" t="s">
        <v>22828</v>
      </c>
      <c r="D3894" s="45"/>
      <c r="E3894" s="79" t="s">
        <v>5516</v>
      </c>
      <c r="F3894" s="79" t="s">
        <v>9513</v>
      </c>
      <c r="G3894" s="80" t="s">
        <v>96</v>
      </c>
      <c r="H3894" s="90">
        <v>2.98E-5</v>
      </c>
      <c r="I3894" s="45"/>
      <c r="J3894" s="45"/>
      <c r="K3894" s="45"/>
      <c r="L3894" s="45"/>
      <c r="M3894" s="45"/>
      <c r="N3894" s="45"/>
      <c r="O3894" s="45"/>
      <c r="P3894" s="45"/>
      <c r="Q3894" s="45"/>
      <c r="R3894" s="45"/>
      <c r="S3894" s="45"/>
      <c r="T3894" s="45"/>
      <c r="U3894" s="45"/>
    </row>
    <row r="3895">
      <c r="A3895" s="79" t="s">
        <v>18745</v>
      </c>
      <c r="B3895" s="45"/>
      <c r="C3895" s="79" t="s">
        <v>22829</v>
      </c>
      <c r="D3895" s="45"/>
      <c r="E3895" s="79" t="s">
        <v>8648</v>
      </c>
      <c r="F3895" s="79" t="s">
        <v>4436</v>
      </c>
      <c r="G3895" s="80" t="s">
        <v>96</v>
      </c>
      <c r="H3895" s="90">
        <v>2.97E-5</v>
      </c>
      <c r="I3895" s="45"/>
      <c r="J3895" s="45"/>
      <c r="K3895" s="45"/>
      <c r="L3895" s="45"/>
      <c r="M3895" s="45"/>
      <c r="N3895" s="45"/>
      <c r="O3895" s="45"/>
      <c r="P3895" s="45"/>
      <c r="Q3895" s="45"/>
      <c r="R3895" s="45"/>
      <c r="S3895" s="45"/>
      <c r="T3895" s="45"/>
      <c r="U3895" s="45"/>
    </row>
    <row r="3896">
      <c r="A3896" s="79" t="s">
        <v>22830</v>
      </c>
      <c r="B3896" s="45"/>
      <c r="C3896" s="79" t="s">
        <v>22831</v>
      </c>
      <c r="D3896" s="45"/>
      <c r="E3896" s="79" t="s">
        <v>5338</v>
      </c>
      <c r="F3896" s="79" t="s">
        <v>5941</v>
      </c>
      <c r="G3896" s="80" t="s">
        <v>96</v>
      </c>
      <c r="H3896" s="90">
        <v>2.97E-5</v>
      </c>
      <c r="I3896" s="45"/>
      <c r="J3896" s="45"/>
      <c r="K3896" s="45"/>
      <c r="L3896" s="45"/>
      <c r="M3896" s="45"/>
      <c r="N3896" s="45"/>
      <c r="O3896" s="45"/>
      <c r="P3896" s="45"/>
      <c r="Q3896" s="45"/>
      <c r="R3896" s="45"/>
      <c r="S3896" s="45"/>
      <c r="T3896" s="45"/>
      <c r="U3896" s="45"/>
    </row>
    <row r="3897">
      <c r="A3897" s="79" t="s">
        <v>22832</v>
      </c>
      <c r="B3897" s="45"/>
      <c r="C3897" s="79" t="s">
        <v>22833</v>
      </c>
      <c r="D3897" s="45"/>
      <c r="E3897" s="79" t="s">
        <v>5390</v>
      </c>
      <c r="F3897" s="79" t="s">
        <v>8784</v>
      </c>
      <c r="G3897" s="80" t="s">
        <v>96</v>
      </c>
      <c r="H3897" s="90">
        <v>2.96E-5</v>
      </c>
      <c r="I3897" s="45"/>
      <c r="J3897" s="45"/>
      <c r="K3897" s="45"/>
      <c r="L3897" s="45"/>
      <c r="M3897" s="45"/>
      <c r="N3897" s="45"/>
      <c r="O3897" s="45"/>
      <c r="P3897" s="45"/>
      <c r="Q3897" s="45"/>
      <c r="R3897" s="45"/>
      <c r="S3897" s="45"/>
      <c r="T3897" s="45"/>
      <c r="U3897" s="45"/>
    </row>
    <row r="3898">
      <c r="A3898" s="79" t="s">
        <v>22834</v>
      </c>
      <c r="B3898" s="45"/>
      <c r="C3898" s="79" t="s">
        <v>22835</v>
      </c>
      <c r="D3898" s="45"/>
      <c r="E3898" s="79" t="s">
        <v>5478</v>
      </c>
      <c r="F3898" s="79" t="s">
        <v>5300</v>
      </c>
      <c r="G3898" s="80" t="s">
        <v>96</v>
      </c>
      <c r="H3898" s="90">
        <v>2.95E-5</v>
      </c>
      <c r="I3898" s="45"/>
      <c r="J3898" s="45"/>
      <c r="K3898" s="45"/>
      <c r="L3898" s="45"/>
      <c r="M3898" s="45"/>
      <c r="N3898" s="45"/>
      <c r="O3898" s="45"/>
      <c r="P3898" s="45"/>
      <c r="Q3898" s="45"/>
      <c r="R3898" s="45"/>
      <c r="S3898" s="45"/>
      <c r="T3898" s="45"/>
      <c r="U3898" s="45"/>
    </row>
    <row r="3899">
      <c r="A3899" s="79" t="s">
        <v>22836</v>
      </c>
      <c r="B3899" s="45"/>
      <c r="C3899" s="79" t="s">
        <v>22837</v>
      </c>
      <c r="D3899" s="45"/>
      <c r="E3899" s="79" t="s">
        <v>6389</v>
      </c>
      <c r="F3899" s="79" t="s">
        <v>9021</v>
      </c>
      <c r="G3899" s="80" t="s">
        <v>96</v>
      </c>
      <c r="H3899" s="90">
        <v>2.95E-5</v>
      </c>
      <c r="I3899" s="45"/>
      <c r="J3899" s="45"/>
      <c r="K3899" s="45"/>
      <c r="L3899" s="45"/>
      <c r="M3899" s="45"/>
      <c r="N3899" s="45"/>
      <c r="O3899" s="45"/>
      <c r="P3899" s="45"/>
      <c r="Q3899" s="45"/>
      <c r="R3899" s="45"/>
      <c r="S3899" s="45"/>
      <c r="T3899" s="45"/>
      <c r="U3899" s="45"/>
    </row>
    <row r="3900">
      <c r="A3900" s="79" t="s">
        <v>22838</v>
      </c>
      <c r="B3900" s="45"/>
      <c r="C3900" s="79" t="s">
        <v>22839</v>
      </c>
      <c r="D3900" s="45"/>
      <c r="E3900" s="79" t="s">
        <v>5218</v>
      </c>
      <c r="F3900" s="79" t="s">
        <v>5300</v>
      </c>
      <c r="G3900" s="80" t="s">
        <v>96</v>
      </c>
      <c r="H3900" s="90">
        <v>2.95E-5</v>
      </c>
      <c r="I3900" s="45"/>
      <c r="J3900" s="45"/>
      <c r="K3900" s="45"/>
      <c r="L3900" s="45"/>
      <c r="M3900" s="45"/>
      <c r="N3900" s="45"/>
      <c r="O3900" s="45"/>
      <c r="P3900" s="45"/>
      <c r="Q3900" s="45"/>
      <c r="R3900" s="45"/>
      <c r="S3900" s="45"/>
      <c r="T3900" s="45"/>
      <c r="U3900" s="45"/>
    </row>
    <row r="3901">
      <c r="A3901" s="79" t="s">
        <v>5689</v>
      </c>
      <c r="B3901" s="45"/>
      <c r="C3901" s="79" t="s">
        <v>22840</v>
      </c>
      <c r="D3901" s="45"/>
      <c r="E3901" s="79" t="s">
        <v>8110</v>
      </c>
      <c r="F3901" s="79" t="s">
        <v>5747</v>
      </c>
      <c r="G3901" s="80" t="s">
        <v>96</v>
      </c>
      <c r="H3901" s="90">
        <v>2.94E-5</v>
      </c>
      <c r="I3901" s="45"/>
      <c r="J3901" s="45"/>
      <c r="K3901" s="45"/>
      <c r="L3901" s="45"/>
      <c r="M3901" s="45"/>
      <c r="N3901" s="45"/>
      <c r="O3901" s="45"/>
      <c r="P3901" s="45"/>
      <c r="Q3901" s="45"/>
      <c r="R3901" s="45"/>
      <c r="S3901" s="45"/>
      <c r="T3901" s="45"/>
      <c r="U3901" s="45"/>
    </row>
    <row r="3902">
      <c r="A3902" s="79" t="s">
        <v>22841</v>
      </c>
      <c r="B3902" s="45"/>
      <c r="C3902" s="79" t="s">
        <v>22842</v>
      </c>
      <c r="D3902" s="45"/>
      <c r="E3902" s="79" t="s">
        <v>5238</v>
      </c>
      <c r="F3902" s="79" t="s">
        <v>8784</v>
      </c>
      <c r="G3902" s="80" t="s">
        <v>96</v>
      </c>
      <c r="H3902" s="90">
        <v>2.94E-5</v>
      </c>
      <c r="I3902" s="45"/>
      <c r="J3902" s="45"/>
      <c r="K3902" s="45"/>
      <c r="L3902" s="45"/>
      <c r="M3902" s="45"/>
      <c r="N3902" s="45"/>
      <c r="O3902" s="45"/>
      <c r="P3902" s="45"/>
      <c r="Q3902" s="45"/>
      <c r="R3902" s="45"/>
      <c r="S3902" s="45"/>
      <c r="T3902" s="45"/>
      <c r="U3902" s="45"/>
    </row>
    <row r="3903">
      <c r="A3903" s="79" t="s">
        <v>22843</v>
      </c>
      <c r="B3903" s="45"/>
      <c r="C3903" s="79" t="s">
        <v>22844</v>
      </c>
      <c r="D3903" s="45"/>
      <c r="E3903" s="79" t="s">
        <v>5390</v>
      </c>
      <c r="F3903" s="79" t="s">
        <v>8784</v>
      </c>
      <c r="G3903" s="80" t="s">
        <v>96</v>
      </c>
      <c r="H3903" s="90">
        <v>2.94E-5</v>
      </c>
      <c r="I3903" s="45"/>
      <c r="J3903" s="45"/>
      <c r="K3903" s="45"/>
      <c r="L3903" s="45"/>
      <c r="M3903" s="45"/>
      <c r="N3903" s="45"/>
      <c r="O3903" s="45"/>
      <c r="P3903" s="45"/>
      <c r="Q3903" s="45"/>
      <c r="R3903" s="45"/>
      <c r="S3903" s="45"/>
      <c r="T3903" s="45"/>
      <c r="U3903" s="45"/>
    </row>
    <row r="3904">
      <c r="A3904" s="79" t="s">
        <v>22845</v>
      </c>
      <c r="B3904" s="45"/>
      <c r="C3904" s="79" t="s">
        <v>22846</v>
      </c>
      <c r="D3904" s="45"/>
      <c r="E3904" s="79" t="s">
        <v>5218</v>
      </c>
      <c r="F3904" s="79" t="s">
        <v>4357</v>
      </c>
      <c r="G3904" s="80" t="s">
        <v>96</v>
      </c>
      <c r="H3904" s="90">
        <v>2.93E-5</v>
      </c>
      <c r="I3904" s="45"/>
      <c r="J3904" s="45"/>
      <c r="K3904" s="45"/>
      <c r="L3904" s="45"/>
      <c r="M3904" s="45"/>
      <c r="N3904" s="45"/>
      <c r="O3904" s="45"/>
      <c r="P3904" s="45"/>
      <c r="Q3904" s="45"/>
      <c r="R3904" s="45"/>
      <c r="S3904" s="45"/>
      <c r="T3904" s="45"/>
      <c r="U3904" s="45"/>
    </row>
    <row r="3905">
      <c r="A3905" s="79" t="s">
        <v>22847</v>
      </c>
      <c r="B3905" s="45"/>
      <c r="C3905" s="79" t="s">
        <v>22848</v>
      </c>
      <c r="D3905" s="45"/>
      <c r="E3905" s="79" t="s">
        <v>6130</v>
      </c>
      <c r="F3905" s="79" t="s">
        <v>8784</v>
      </c>
      <c r="G3905" s="80" t="s">
        <v>96</v>
      </c>
      <c r="H3905" s="90">
        <v>2.93E-5</v>
      </c>
      <c r="I3905" s="45"/>
      <c r="J3905" s="45"/>
      <c r="K3905" s="45"/>
      <c r="L3905" s="45"/>
      <c r="M3905" s="45"/>
      <c r="N3905" s="45"/>
      <c r="O3905" s="45"/>
      <c r="P3905" s="45"/>
      <c r="Q3905" s="45"/>
      <c r="R3905" s="45"/>
      <c r="S3905" s="45"/>
      <c r="T3905" s="45"/>
      <c r="U3905" s="45"/>
    </row>
    <row r="3906">
      <c r="A3906" s="79" t="s">
        <v>22849</v>
      </c>
      <c r="B3906" s="45"/>
      <c r="C3906" s="79" t="s">
        <v>22850</v>
      </c>
      <c r="D3906" s="45"/>
      <c r="E3906" s="79" t="s">
        <v>6130</v>
      </c>
      <c r="F3906" s="79" t="s">
        <v>8784</v>
      </c>
      <c r="G3906" s="80" t="s">
        <v>96</v>
      </c>
      <c r="H3906" s="90">
        <v>2.92E-5</v>
      </c>
      <c r="I3906" s="45"/>
      <c r="J3906" s="45"/>
      <c r="K3906" s="45"/>
      <c r="L3906" s="45"/>
      <c r="M3906" s="45"/>
      <c r="N3906" s="45"/>
      <c r="O3906" s="45"/>
      <c r="P3906" s="45"/>
      <c r="Q3906" s="45"/>
      <c r="R3906" s="45"/>
      <c r="S3906" s="45"/>
      <c r="T3906" s="45"/>
      <c r="U3906" s="45"/>
    </row>
    <row r="3907">
      <c r="A3907" s="79" t="s">
        <v>22851</v>
      </c>
      <c r="B3907" s="45"/>
      <c r="C3907" s="79" t="s">
        <v>22852</v>
      </c>
      <c r="D3907" s="45"/>
      <c r="E3907" s="79" t="s">
        <v>5267</v>
      </c>
      <c r="F3907" s="79" t="s">
        <v>8784</v>
      </c>
      <c r="G3907" s="80" t="s">
        <v>96</v>
      </c>
      <c r="H3907" s="90">
        <v>2.91E-5</v>
      </c>
      <c r="I3907" s="45"/>
      <c r="J3907" s="45"/>
      <c r="K3907" s="45"/>
      <c r="L3907" s="45"/>
      <c r="M3907" s="45"/>
      <c r="N3907" s="45"/>
      <c r="O3907" s="45"/>
      <c r="P3907" s="45"/>
      <c r="Q3907" s="45"/>
      <c r="R3907" s="45"/>
      <c r="S3907" s="45"/>
      <c r="T3907" s="45"/>
      <c r="U3907" s="45"/>
    </row>
    <row r="3908">
      <c r="A3908" s="79" t="s">
        <v>22853</v>
      </c>
      <c r="B3908" s="45"/>
      <c r="C3908" s="79" t="s">
        <v>22854</v>
      </c>
      <c r="D3908" s="45"/>
      <c r="E3908" s="79" t="s">
        <v>5249</v>
      </c>
      <c r="F3908" s="79" t="s">
        <v>5836</v>
      </c>
      <c r="G3908" s="80" t="s">
        <v>96</v>
      </c>
      <c r="H3908" s="90">
        <v>2.9E-5</v>
      </c>
      <c r="I3908" s="45"/>
      <c r="J3908" s="45"/>
      <c r="K3908" s="45"/>
      <c r="L3908" s="45"/>
      <c r="M3908" s="45"/>
      <c r="N3908" s="45"/>
      <c r="O3908" s="45"/>
      <c r="P3908" s="45"/>
      <c r="Q3908" s="45"/>
      <c r="R3908" s="45"/>
      <c r="S3908" s="45"/>
      <c r="T3908" s="45"/>
      <c r="U3908" s="45"/>
    </row>
    <row r="3909">
      <c r="A3909" s="79" t="s">
        <v>22855</v>
      </c>
      <c r="B3909" s="45"/>
      <c r="C3909" s="79" t="s">
        <v>22856</v>
      </c>
      <c r="D3909" s="45"/>
      <c r="E3909" s="79" t="s">
        <v>5459</v>
      </c>
      <c r="F3909" s="79" t="s">
        <v>5747</v>
      </c>
      <c r="G3909" s="80" t="s">
        <v>96</v>
      </c>
      <c r="H3909" s="90">
        <v>2.9E-5</v>
      </c>
      <c r="I3909" s="45"/>
      <c r="J3909" s="45"/>
      <c r="K3909" s="45"/>
      <c r="L3909" s="45"/>
      <c r="M3909" s="45"/>
      <c r="N3909" s="45"/>
      <c r="O3909" s="45"/>
      <c r="P3909" s="45"/>
      <c r="Q3909" s="45"/>
      <c r="R3909" s="45"/>
      <c r="S3909" s="45"/>
      <c r="T3909" s="45"/>
      <c r="U3909" s="45"/>
    </row>
    <row r="3910">
      <c r="A3910" s="79" t="s">
        <v>22857</v>
      </c>
      <c r="B3910" s="45"/>
      <c r="C3910" s="79" t="s">
        <v>22858</v>
      </c>
      <c r="D3910" s="45"/>
      <c r="E3910" s="79" t="s">
        <v>5808</v>
      </c>
      <c r="F3910" s="79" t="s">
        <v>5747</v>
      </c>
      <c r="G3910" s="80" t="s">
        <v>96</v>
      </c>
      <c r="H3910" s="90">
        <v>2.89E-5</v>
      </c>
      <c r="I3910" s="45"/>
      <c r="J3910" s="45"/>
      <c r="K3910" s="45"/>
      <c r="L3910" s="45"/>
      <c r="M3910" s="45"/>
      <c r="N3910" s="45"/>
      <c r="O3910" s="45"/>
      <c r="P3910" s="45"/>
      <c r="Q3910" s="45"/>
      <c r="R3910" s="45"/>
      <c r="S3910" s="45"/>
      <c r="T3910" s="45"/>
      <c r="U3910" s="45"/>
    </row>
    <row r="3911">
      <c r="A3911" s="79" t="s">
        <v>22859</v>
      </c>
      <c r="B3911" s="45"/>
      <c r="C3911" s="79" t="s">
        <v>22860</v>
      </c>
      <c r="D3911" s="45"/>
      <c r="E3911" s="79" t="s">
        <v>5335</v>
      </c>
      <c r="F3911" s="79" t="s">
        <v>8784</v>
      </c>
      <c r="G3911" s="80" t="s">
        <v>96</v>
      </c>
      <c r="H3911" s="90">
        <v>2.88E-5</v>
      </c>
      <c r="I3911" s="45"/>
      <c r="J3911" s="45"/>
      <c r="K3911" s="45"/>
      <c r="L3911" s="45"/>
      <c r="M3911" s="45"/>
      <c r="N3911" s="45"/>
      <c r="O3911" s="45"/>
      <c r="P3911" s="45"/>
      <c r="Q3911" s="45"/>
      <c r="R3911" s="45"/>
      <c r="S3911" s="45"/>
      <c r="T3911" s="45"/>
      <c r="U3911" s="45"/>
    </row>
    <row r="3912">
      <c r="A3912" s="79" t="s">
        <v>22861</v>
      </c>
      <c r="B3912" s="45"/>
      <c r="C3912" s="79" t="s">
        <v>22862</v>
      </c>
      <c r="D3912" s="45"/>
      <c r="E3912" s="79" t="s">
        <v>5589</v>
      </c>
      <c r="F3912" s="79" t="s">
        <v>5941</v>
      </c>
      <c r="G3912" s="80" t="s">
        <v>96</v>
      </c>
      <c r="H3912" s="90">
        <v>2.88E-5</v>
      </c>
      <c r="I3912" s="45"/>
      <c r="J3912" s="45"/>
      <c r="K3912" s="45"/>
      <c r="L3912" s="45"/>
      <c r="M3912" s="45"/>
      <c r="N3912" s="45"/>
      <c r="O3912" s="45"/>
      <c r="P3912" s="45"/>
      <c r="Q3912" s="45"/>
      <c r="R3912" s="45"/>
      <c r="S3912" s="45"/>
      <c r="T3912" s="45"/>
      <c r="U3912" s="45"/>
    </row>
    <row r="3913">
      <c r="A3913" s="79" t="s">
        <v>22863</v>
      </c>
      <c r="B3913" s="45"/>
      <c r="C3913" s="79" t="s">
        <v>22864</v>
      </c>
      <c r="D3913" s="45"/>
      <c r="E3913" s="79" t="s">
        <v>5354</v>
      </c>
      <c r="F3913" s="79" t="s">
        <v>16525</v>
      </c>
      <c r="G3913" s="80" t="s">
        <v>96</v>
      </c>
      <c r="H3913" s="90">
        <v>2.88E-5</v>
      </c>
      <c r="I3913" s="45"/>
      <c r="J3913" s="45"/>
      <c r="K3913" s="45"/>
      <c r="L3913" s="45"/>
      <c r="M3913" s="45"/>
      <c r="N3913" s="45"/>
      <c r="O3913" s="45"/>
      <c r="P3913" s="45"/>
      <c r="Q3913" s="45"/>
      <c r="R3913" s="45"/>
      <c r="S3913" s="45"/>
      <c r="T3913" s="45"/>
      <c r="U3913" s="45"/>
    </row>
    <row r="3914">
      <c r="A3914" s="79" t="s">
        <v>22865</v>
      </c>
      <c r="B3914" s="45"/>
      <c r="C3914" s="79" t="s">
        <v>22866</v>
      </c>
      <c r="D3914" s="45"/>
      <c r="E3914" s="79" t="s">
        <v>6040</v>
      </c>
      <c r="F3914" s="79" t="s">
        <v>5836</v>
      </c>
      <c r="G3914" s="80" t="s">
        <v>96</v>
      </c>
      <c r="H3914" s="90">
        <v>2.87E-5</v>
      </c>
      <c r="I3914" s="45"/>
      <c r="J3914" s="45"/>
      <c r="K3914" s="45"/>
      <c r="L3914" s="45"/>
      <c r="M3914" s="45"/>
      <c r="N3914" s="45"/>
      <c r="O3914" s="45"/>
      <c r="P3914" s="45"/>
      <c r="Q3914" s="45"/>
      <c r="R3914" s="45"/>
      <c r="S3914" s="45"/>
      <c r="T3914" s="45"/>
      <c r="U3914" s="45"/>
    </row>
    <row r="3915">
      <c r="A3915" s="79" t="s">
        <v>22867</v>
      </c>
      <c r="B3915" s="45"/>
      <c r="C3915" s="79" t="s">
        <v>22868</v>
      </c>
      <c r="D3915" s="45"/>
      <c r="E3915" s="79" t="s">
        <v>5735</v>
      </c>
      <c r="F3915" s="79" t="s">
        <v>9021</v>
      </c>
      <c r="G3915" s="80" t="s">
        <v>96</v>
      </c>
      <c r="H3915" s="90">
        <v>2.87E-5</v>
      </c>
      <c r="I3915" s="45"/>
      <c r="J3915" s="45"/>
      <c r="K3915" s="45"/>
      <c r="L3915" s="45"/>
      <c r="M3915" s="45"/>
      <c r="N3915" s="45"/>
      <c r="O3915" s="45"/>
      <c r="P3915" s="45"/>
      <c r="Q3915" s="45"/>
      <c r="R3915" s="45"/>
      <c r="S3915" s="45"/>
      <c r="T3915" s="45"/>
      <c r="U3915" s="45"/>
    </row>
    <row r="3916">
      <c r="A3916" s="79" t="s">
        <v>22869</v>
      </c>
      <c r="B3916" s="45"/>
      <c r="C3916" s="79" t="s">
        <v>22870</v>
      </c>
      <c r="D3916" s="45"/>
      <c r="E3916" s="79" t="s">
        <v>5253</v>
      </c>
      <c r="F3916" s="79" t="s">
        <v>5425</v>
      </c>
      <c r="G3916" s="80" t="s">
        <v>96</v>
      </c>
      <c r="H3916" s="90">
        <v>2.86E-5</v>
      </c>
      <c r="I3916" s="45"/>
      <c r="J3916" s="45"/>
      <c r="K3916" s="45"/>
      <c r="L3916" s="45"/>
      <c r="M3916" s="45"/>
      <c r="N3916" s="45"/>
      <c r="O3916" s="45"/>
      <c r="P3916" s="45"/>
      <c r="Q3916" s="45"/>
      <c r="R3916" s="45"/>
      <c r="S3916" s="45"/>
      <c r="T3916" s="45"/>
      <c r="U3916" s="45"/>
    </row>
    <row r="3917">
      <c r="A3917" s="79" t="s">
        <v>22871</v>
      </c>
      <c r="B3917" s="45"/>
      <c r="C3917" s="79" t="s">
        <v>22872</v>
      </c>
      <c r="D3917" s="45"/>
      <c r="E3917" s="79" t="s">
        <v>5348</v>
      </c>
      <c r="F3917" s="79" t="s">
        <v>8784</v>
      </c>
      <c r="G3917" s="80" t="s">
        <v>96</v>
      </c>
      <c r="H3917" s="90">
        <v>2.85E-5</v>
      </c>
      <c r="I3917" s="45"/>
      <c r="J3917" s="45"/>
      <c r="K3917" s="45"/>
      <c r="L3917" s="45"/>
      <c r="M3917" s="45"/>
      <c r="N3917" s="45"/>
      <c r="O3917" s="45"/>
      <c r="P3917" s="45"/>
      <c r="Q3917" s="45"/>
      <c r="R3917" s="45"/>
      <c r="S3917" s="45"/>
      <c r="T3917" s="45"/>
      <c r="U3917" s="45"/>
    </row>
    <row r="3918">
      <c r="A3918" s="79" t="s">
        <v>22873</v>
      </c>
      <c r="B3918" s="45"/>
      <c r="C3918" s="79" t="s">
        <v>22874</v>
      </c>
      <c r="D3918" s="45"/>
      <c r="E3918" s="79" t="s">
        <v>5404</v>
      </c>
      <c r="F3918" s="79" t="s">
        <v>5425</v>
      </c>
      <c r="G3918" s="80" t="s">
        <v>96</v>
      </c>
      <c r="H3918" s="90">
        <v>2.84E-5</v>
      </c>
      <c r="I3918" s="45"/>
      <c r="J3918" s="45"/>
      <c r="K3918" s="45"/>
      <c r="L3918" s="45"/>
      <c r="M3918" s="45"/>
      <c r="N3918" s="45"/>
      <c r="O3918" s="45"/>
      <c r="P3918" s="45"/>
      <c r="Q3918" s="45"/>
      <c r="R3918" s="45"/>
      <c r="S3918" s="45"/>
      <c r="T3918" s="45"/>
      <c r="U3918" s="45"/>
    </row>
    <row r="3919">
      <c r="A3919" s="79" t="s">
        <v>22875</v>
      </c>
      <c r="B3919" s="45"/>
      <c r="C3919" s="79" t="s">
        <v>22876</v>
      </c>
      <c r="D3919" s="45"/>
      <c r="E3919" s="79" t="s">
        <v>6012</v>
      </c>
      <c r="F3919" s="79" t="s">
        <v>8784</v>
      </c>
      <c r="G3919" s="80" t="s">
        <v>96</v>
      </c>
      <c r="H3919" s="90">
        <v>2.84E-5</v>
      </c>
      <c r="I3919" s="45"/>
      <c r="J3919" s="45"/>
      <c r="K3919" s="45"/>
      <c r="L3919" s="45"/>
      <c r="M3919" s="45"/>
      <c r="N3919" s="45"/>
      <c r="O3919" s="45"/>
      <c r="P3919" s="45"/>
      <c r="Q3919" s="45"/>
      <c r="R3919" s="45"/>
      <c r="S3919" s="45"/>
      <c r="T3919" s="45"/>
      <c r="U3919" s="45"/>
    </row>
    <row r="3920">
      <c r="A3920" s="79" t="s">
        <v>22877</v>
      </c>
      <c r="B3920" s="45"/>
      <c r="C3920" s="79" t="s">
        <v>22878</v>
      </c>
      <c r="D3920" s="45"/>
      <c r="E3920" s="79" t="s">
        <v>5478</v>
      </c>
      <c r="F3920" s="79" t="s">
        <v>5300</v>
      </c>
      <c r="G3920" s="80" t="s">
        <v>96</v>
      </c>
      <c r="H3920" s="90">
        <v>2.84E-5</v>
      </c>
      <c r="I3920" s="45"/>
      <c r="J3920" s="45"/>
      <c r="K3920" s="45"/>
      <c r="L3920" s="45"/>
      <c r="M3920" s="45"/>
      <c r="N3920" s="45"/>
      <c r="O3920" s="45"/>
      <c r="P3920" s="45"/>
      <c r="Q3920" s="45"/>
      <c r="R3920" s="45"/>
      <c r="S3920" s="45"/>
      <c r="T3920" s="45"/>
      <c r="U3920" s="45"/>
    </row>
    <row r="3921">
      <c r="A3921" s="79" t="s">
        <v>22879</v>
      </c>
      <c r="B3921" s="45"/>
      <c r="C3921" s="79" t="s">
        <v>22880</v>
      </c>
      <c r="D3921" s="45"/>
      <c r="E3921" s="79" t="s">
        <v>5238</v>
      </c>
      <c r="F3921" s="79" t="s">
        <v>8784</v>
      </c>
      <c r="G3921" s="80" t="s">
        <v>96</v>
      </c>
      <c r="H3921" s="90">
        <v>2.83E-5</v>
      </c>
      <c r="I3921" s="45"/>
      <c r="J3921" s="45"/>
      <c r="K3921" s="45"/>
      <c r="L3921" s="45"/>
      <c r="M3921" s="45"/>
      <c r="N3921" s="45"/>
      <c r="O3921" s="45"/>
      <c r="P3921" s="45"/>
      <c r="Q3921" s="45"/>
      <c r="R3921" s="45"/>
      <c r="S3921" s="45"/>
      <c r="T3921" s="45"/>
      <c r="U3921" s="45"/>
    </row>
    <row r="3922">
      <c r="A3922" s="79" t="s">
        <v>22881</v>
      </c>
      <c r="B3922" s="45"/>
      <c r="C3922" s="79" t="s">
        <v>22882</v>
      </c>
      <c r="D3922" s="45"/>
      <c r="E3922" s="79" t="s">
        <v>5404</v>
      </c>
      <c r="F3922" s="79" t="s">
        <v>4357</v>
      </c>
      <c r="G3922" s="80" t="s">
        <v>96</v>
      </c>
      <c r="H3922" s="90">
        <v>2.83E-5</v>
      </c>
      <c r="I3922" s="45"/>
      <c r="J3922" s="45"/>
      <c r="K3922" s="45"/>
      <c r="L3922" s="45"/>
      <c r="M3922" s="45"/>
      <c r="N3922" s="45"/>
      <c r="O3922" s="45"/>
      <c r="P3922" s="45"/>
      <c r="Q3922" s="45"/>
      <c r="R3922" s="45"/>
      <c r="S3922" s="45"/>
      <c r="T3922" s="45"/>
      <c r="U3922" s="45"/>
    </row>
    <row r="3923">
      <c r="A3923" s="79" t="s">
        <v>22883</v>
      </c>
      <c r="B3923" s="45"/>
      <c r="C3923" s="79" t="s">
        <v>22884</v>
      </c>
      <c r="D3923" s="45"/>
      <c r="E3923" s="79" t="s">
        <v>5235</v>
      </c>
      <c r="F3923" s="79" t="s">
        <v>5300</v>
      </c>
      <c r="G3923" s="80" t="s">
        <v>96</v>
      </c>
      <c r="H3923" s="90">
        <v>2.81E-5</v>
      </c>
      <c r="I3923" s="45"/>
      <c r="J3923" s="45"/>
      <c r="K3923" s="45"/>
      <c r="L3923" s="45"/>
      <c r="M3923" s="45"/>
      <c r="N3923" s="45"/>
      <c r="O3923" s="45"/>
      <c r="P3923" s="45"/>
      <c r="Q3923" s="45"/>
      <c r="R3923" s="45"/>
      <c r="S3923" s="45"/>
      <c r="T3923" s="45"/>
      <c r="U3923" s="45"/>
    </row>
    <row r="3924">
      <c r="A3924" s="79" t="s">
        <v>22885</v>
      </c>
      <c r="B3924" s="45"/>
      <c r="C3924" s="79" t="s">
        <v>22886</v>
      </c>
      <c r="D3924" s="45"/>
      <c r="E3924" s="79" t="s">
        <v>5467</v>
      </c>
      <c r="F3924" s="79" t="s">
        <v>5300</v>
      </c>
      <c r="G3924" s="80" t="s">
        <v>96</v>
      </c>
      <c r="H3924" s="90">
        <v>2.81E-5</v>
      </c>
      <c r="I3924" s="45"/>
      <c r="J3924" s="45"/>
      <c r="K3924" s="45"/>
      <c r="L3924" s="45"/>
      <c r="M3924" s="45"/>
      <c r="N3924" s="45"/>
      <c r="O3924" s="45"/>
      <c r="P3924" s="45"/>
      <c r="Q3924" s="45"/>
      <c r="R3924" s="45"/>
      <c r="S3924" s="45"/>
      <c r="T3924" s="45"/>
      <c r="U3924" s="45"/>
    </row>
    <row r="3925">
      <c r="A3925" s="79" t="s">
        <v>22887</v>
      </c>
      <c r="B3925" s="45"/>
      <c r="C3925" s="79" t="s">
        <v>22888</v>
      </c>
      <c r="D3925" s="45"/>
      <c r="E3925" s="79" t="s">
        <v>5459</v>
      </c>
      <c r="F3925" s="79" t="s">
        <v>4436</v>
      </c>
      <c r="G3925" s="80" t="s">
        <v>96</v>
      </c>
      <c r="H3925" s="90">
        <v>2.77E-5</v>
      </c>
      <c r="I3925" s="45"/>
      <c r="J3925" s="45"/>
      <c r="K3925" s="45"/>
      <c r="L3925" s="45"/>
      <c r="M3925" s="45"/>
      <c r="N3925" s="45"/>
      <c r="O3925" s="45"/>
      <c r="P3925" s="45"/>
      <c r="Q3925" s="45"/>
      <c r="R3925" s="45"/>
      <c r="S3925" s="45"/>
      <c r="T3925" s="45"/>
      <c r="U3925" s="45"/>
    </row>
    <row r="3926">
      <c r="A3926" s="79" t="s">
        <v>17105</v>
      </c>
      <c r="B3926" s="45"/>
      <c r="C3926" s="79" t="s">
        <v>22889</v>
      </c>
      <c r="D3926" s="45"/>
      <c r="E3926" s="79" t="s">
        <v>6327</v>
      </c>
      <c r="F3926" s="79" t="s">
        <v>9908</v>
      </c>
      <c r="G3926" s="80" t="s">
        <v>96</v>
      </c>
      <c r="H3926" s="90">
        <v>2.76E-5</v>
      </c>
      <c r="I3926" s="45"/>
      <c r="J3926" s="45"/>
      <c r="K3926" s="45"/>
      <c r="L3926" s="45"/>
      <c r="M3926" s="45"/>
      <c r="N3926" s="45"/>
      <c r="O3926" s="45"/>
      <c r="P3926" s="45"/>
      <c r="Q3926" s="45"/>
      <c r="R3926" s="45"/>
      <c r="S3926" s="45"/>
      <c r="T3926" s="45"/>
      <c r="U3926" s="45"/>
    </row>
    <row r="3927">
      <c r="A3927" s="79" t="s">
        <v>22890</v>
      </c>
      <c r="B3927" s="45"/>
      <c r="C3927" s="79" t="s">
        <v>22891</v>
      </c>
      <c r="D3927" s="45"/>
      <c r="E3927" s="79" t="s">
        <v>5775</v>
      </c>
      <c r="F3927" s="79" t="s">
        <v>8784</v>
      </c>
      <c r="G3927" s="80" t="s">
        <v>96</v>
      </c>
      <c r="H3927" s="90">
        <v>2.75E-5</v>
      </c>
      <c r="I3927" s="45"/>
      <c r="J3927" s="45"/>
      <c r="K3927" s="45"/>
      <c r="L3927" s="45"/>
      <c r="M3927" s="45"/>
      <c r="N3927" s="45"/>
      <c r="O3927" s="45"/>
      <c r="P3927" s="45"/>
      <c r="Q3927" s="45"/>
      <c r="R3927" s="45"/>
      <c r="S3927" s="45"/>
      <c r="T3927" s="45"/>
      <c r="U3927" s="45"/>
    </row>
    <row r="3928">
      <c r="A3928" s="79" t="s">
        <v>22892</v>
      </c>
      <c r="B3928" s="45"/>
      <c r="C3928" s="79" t="s">
        <v>22893</v>
      </c>
      <c r="D3928" s="45"/>
      <c r="E3928" s="79" t="s">
        <v>7169</v>
      </c>
      <c r="F3928" s="79" t="s">
        <v>5836</v>
      </c>
      <c r="G3928" s="80" t="s">
        <v>96</v>
      </c>
      <c r="H3928" s="90">
        <v>2.75E-5</v>
      </c>
      <c r="I3928" s="45"/>
      <c r="J3928" s="45"/>
      <c r="K3928" s="45"/>
      <c r="L3928" s="45"/>
      <c r="M3928" s="45"/>
      <c r="N3928" s="45"/>
      <c r="O3928" s="45"/>
      <c r="P3928" s="45"/>
      <c r="Q3928" s="45"/>
      <c r="R3928" s="45"/>
      <c r="S3928" s="45"/>
      <c r="T3928" s="45"/>
      <c r="U3928" s="45"/>
    </row>
    <row r="3929">
      <c r="A3929" s="79" t="s">
        <v>22894</v>
      </c>
      <c r="B3929" s="45"/>
      <c r="C3929" s="79" t="s">
        <v>22895</v>
      </c>
      <c r="D3929" s="45"/>
      <c r="E3929" s="79" t="s">
        <v>5759</v>
      </c>
      <c r="F3929" s="79" t="s">
        <v>5300</v>
      </c>
      <c r="G3929" s="80" t="s">
        <v>96</v>
      </c>
      <c r="H3929" s="90">
        <v>2.74E-5</v>
      </c>
      <c r="I3929" s="45"/>
      <c r="J3929" s="45"/>
      <c r="K3929" s="45"/>
      <c r="L3929" s="45"/>
      <c r="M3929" s="45"/>
      <c r="N3929" s="45"/>
      <c r="O3929" s="45"/>
      <c r="P3929" s="45"/>
      <c r="Q3929" s="45"/>
      <c r="R3929" s="45"/>
      <c r="S3929" s="45"/>
      <c r="T3929" s="45"/>
      <c r="U3929" s="45"/>
    </row>
    <row r="3930">
      <c r="A3930" s="79" t="s">
        <v>22896</v>
      </c>
      <c r="B3930" s="45"/>
      <c r="C3930" s="79" t="s">
        <v>22897</v>
      </c>
      <c r="D3930" s="45"/>
      <c r="E3930" s="79" t="s">
        <v>5241</v>
      </c>
      <c r="F3930" s="79" t="s">
        <v>8784</v>
      </c>
      <c r="G3930" s="80" t="s">
        <v>96</v>
      </c>
      <c r="H3930" s="90">
        <v>2.74E-5</v>
      </c>
      <c r="I3930" s="45"/>
      <c r="J3930" s="45"/>
      <c r="K3930" s="45"/>
      <c r="L3930" s="45"/>
      <c r="M3930" s="45"/>
      <c r="N3930" s="45"/>
      <c r="O3930" s="45"/>
      <c r="P3930" s="45"/>
      <c r="Q3930" s="45"/>
      <c r="R3930" s="45"/>
      <c r="S3930" s="45"/>
      <c r="T3930" s="45"/>
      <c r="U3930" s="45"/>
    </row>
    <row r="3931">
      <c r="A3931" s="79" t="s">
        <v>22898</v>
      </c>
      <c r="B3931" s="45"/>
      <c r="C3931" s="79" t="s">
        <v>22899</v>
      </c>
      <c r="D3931" s="45"/>
      <c r="E3931" s="79" t="s">
        <v>5354</v>
      </c>
      <c r="F3931" s="79" t="s">
        <v>5300</v>
      </c>
      <c r="G3931" s="80" t="s">
        <v>96</v>
      </c>
      <c r="H3931" s="90">
        <v>2.72E-5</v>
      </c>
      <c r="I3931" s="45"/>
      <c r="J3931" s="45"/>
      <c r="K3931" s="45"/>
      <c r="L3931" s="45"/>
      <c r="M3931" s="45"/>
      <c r="N3931" s="45"/>
      <c r="O3931" s="45"/>
      <c r="P3931" s="45"/>
      <c r="Q3931" s="45"/>
      <c r="R3931" s="45"/>
      <c r="S3931" s="45"/>
      <c r="T3931" s="45"/>
      <c r="U3931" s="45"/>
    </row>
    <row r="3932">
      <c r="A3932" s="79" t="s">
        <v>22900</v>
      </c>
      <c r="B3932" s="45"/>
      <c r="C3932" s="79" t="s">
        <v>22901</v>
      </c>
      <c r="D3932" s="45"/>
      <c r="E3932" s="79" t="s">
        <v>5450</v>
      </c>
      <c r="F3932" s="79" t="s">
        <v>5836</v>
      </c>
      <c r="G3932" s="80" t="s">
        <v>96</v>
      </c>
      <c r="H3932" s="90">
        <v>2.72E-5</v>
      </c>
      <c r="I3932" s="45"/>
      <c r="J3932" s="45"/>
      <c r="K3932" s="45"/>
      <c r="L3932" s="45"/>
      <c r="M3932" s="45"/>
      <c r="N3932" s="45"/>
      <c r="O3932" s="45"/>
      <c r="P3932" s="45"/>
      <c r="Q3932" s="45"/>
      <c r="R3932" s="45"/>
      <c r="S3932" s="45"/>
      <c r="T3932" s="45"/>
      <c r="U3932" s="45"/>
    </row>
    <row r="3933">
      <c r="A3933" s="79" t="s">
        <v>22902</v>
      </c>
      <c r="B3933" s="45"/>
      <c r="C3933" s="79" t="s">
        <v>22903</v>
      </c>
      <c r="D3933" s="45"/>
      <c r="E3933" s="79" t="s">
        <v>5478</v>
      </c>
      <c r="F3933" s="79" t="s">
        <v>5300</v>
      </c>
      <c r="G3933" s="80" t="s">
        <v>96</v>
      </c>
      <c r="H3933" s="90">
        <v>2.72E-5</v>
      </c>
      <c r="I3933" s="45"/>
      <c r="J3933" s="45"/>
      <c r="K3933" s="45"/>
      <c r="L3933" s="45"/>
      <c r="M3933" s="45"/>
      <c r="N3933" s="45"/>
      <c r="O3933" s="45"/>
      <c r="P3933" s="45"/>
      <c r="Q3933" s="45"/>
      <c r="R3933" s="45"/>
      <c r="S3933" s="45"/>
      <c r="T3933" s="45"/>
      <c r="U3933" s="45"/>
    </row>
    <row r="3934">
      <c r="A3934" s="79" t="s">
        <v>22904</v>
      </c>
      <c r="B3934" s="45"/>
      <c r="C3934" s="79" t="s">
        <v>22905</v>
      </c>
      <c r="D3934" s="45"/>
      <c r="E3934" s="79" t="s">
        <v>5395</v>
      </c>
      <c r="F3934" s="79" t="s">
        <v>4153</v>
      </c>
      <c r="G3934" s="80" t="s">
        <v>96</v>
      </c>
      <c r="H3934" s="90">
        <v>2.72E-5</v>
      </c>
      <c r="I3934" s="45"/>
      <c r="J3934" s="45"/>
      <c r="K3934" s="45"/>
      <c r="L3934" s="45"/>
      <c r="M3934" s="45"/>
      <c r="N3934" s="45"/>
      <c r="O3934" s="45"/>
      <c r="P3934" s="45"/>
      <c r="Q3934" s="45"/>
      <c r="R3934" s="45"/>
      <c r="S3934" s="45"/>
      <c r="T3934" s="45"/>
      <c r="U3934" s="45"/>
    </row>
    <row r="3935">
      <c r="A3935" s="79" t="s">
        <v>22906</v>
      </c>
      <c r="B3935" s="45"/>
      <c r="C3935" s="79" t="s">
        <v>21515</v>
      </c>
      <c r="D3935" s="45"/>
      <c r="E3935" s="79" t="s">
        <v>5561</v>
      </c>
      <c r="F3935" s="79" t="s">
        <v>9021</v>
      </c>
      <c r="G3935" s="80" t="s">
        <v>96</v>
      </c>
      <c r="H3935" s="90">
        <v>2.72E-5</v>
      </c>
      <c r="I3935" s="45"/>
      <c r="J3935" s="45"/>
      <c r="K3935" s="45"/>
      <c r="L3935" s="45"/>
      <c r="M3935" s="45"/>
      <c r="N3935" s="45"/>
      <c r="O3935" s="45"/>
      <c r="P3935" s="45"/>
      <c r="Q3935" s="45"/>
      <c r="R3935" s="45"/>
      <c r="S3935" s="45"/>
      <c r="T3935" s="45"/>
      <c r="U3935" s="45"/>
    </row>
    <row r="3936">
      <c r="A3936" s="79" t="s">
        <v>22907</v>
      </c>
      <c r="B3936" s="45"/>
      <c r="C3936" s="79" t="s">
        <v>22908</v>
      </c>
      <c r="D3936" s="45"/>
      <c r="E3936" s="79" t="s">
        <v>5276</v>
      </c>
      <c r="F3936" s="79" t="s">
        <v>4153</v>
      </c>
      <c r="G3936" s="80" t="s">
        <v>96</v>
      </c>
      <c r="H3936" s="90">
        <v>2.71E-5</v>
      </c>
      <c r="I3936" s="45"/>
      <c r="J3936" s="45"/>
      <c r="K3936" s="45"/>
      <c r="L3936" s="45"/>
      <c r="M3936" s="45"/>
      <c r="N3936" s="45"/>
      <c r="O3936" s="45"/>
      <c r="P3936" s="45"/>
      <c r="Q3936" s="45"/>
      <c r="R3936" s="45"/>
      <c r="S3936" s="45"/>
      <c r="T3936" s="45"/>
      <c r="U3936" s="45"/>
    </row>
    <row r="3937">
      <c r="A3937" s="79" t="s">
        <v>22909</v>
      </c>
      <c r="B3937" s="45"/>
      <c r="C3937" s="79" t="s">
        <v>22910</v>
      </c>
      <c r="D3937" s="45"/>
      <c r="E3937" s="79" t="s">
        <v>5276</v>
      </c>
      <c r="F3937" s="79" t="s">
        <v>8784</v>
      </c>
      <c r="G3937" s="80" t="s">
        <v>96</v>
      </c>
      <c r="H3937" s="90">
        <v>2.71E-5</v>
      </c>
      <c r="I3937" s="45"/>
      <c r="J3937" s="45"/>
      <c r="K3937" s="45"/>
      <c r="L3937" s="45"/>
      <c r="M3937" s="45"/>
      <c r="N3937" s="45"/>
      <c r="O3937" s="45"/>
      <c r="P3937" s="45"/>
      <c r="Q3937" s="45"/>
      <c r="R3937" s="45"/>
      <c r="S3937" s="45"/>
      <c r="T3937" s="45"/>
      <c r="U3937" s="45"/>
    </row>
    <row r="3938">
      <c r="A3938" s="79" t="s">
        <v>22911</v>
      </c>
      <c r="B3938" s="45"/>
      <c r="C3938" s="79" t="s">
        <v>22912</v>
      </c>
      <c r="D3938" s="45"/>
      <c r="E3938" s="79" t="s">
        <v>6389</v>
      </c>
      <c r="F3938" s="79" t="s">
        <v>9021</v>
      </c>
      <c r="G3938" s="80" t="s">
        <v>96</v>
      </c>
      <c r="H3938" s="90">
        <v>2.71E-5</v>
      </c>
      <c r="I3938" s="45"/>
      <c r="J3938" s="45"/>
      <c r="K3938" s="45"/>
      <c r="L3938" s="45"/>
      <c r="M3938" s="45"/>
      <c r="N3938" s="45"/>
      <c r="O3938" s="45"/>
      <c r="P3938" s="45"/>
      <c r="Q3938" s="45"/>
      <c r="R3938" s="45"/>
      <c r="S3938" s="45"/>
      <c r="T3938" s="45"/>
      <c r="U3938" s="45"/>
    </row>
    <row r="3939">
      <c r="A3939" s="79" t="s">
        <v>22913</v>
      </c>
      <c r="B3939" s="45"/>
      <c r="C3939" s="79" t="s">
        <v>22914</v>
      </c>
      <c r="D3939" s="45"/>
      <c r="E3939" s="79" t="s">
        <v>9221</v>
      </c>
      <c r="F3939" s="79" t="s">
        <v>8784</v>
      </c>
      <c r="G3939" s="80" t="s">
        <v>96</v>
      </c>
      <c r="H3939" s="90">
        <v>2.69E-5</v>
      </c>
      <c r="I3939" s="45"/>
      <c r="J3939" s="45"/>
      <c r="K3939" s="45"/>
      <c r="L3939" s="45"/>
      <c r="M3939" s="45"/>
      <c r="N3939" s="45"/>
      <c r="O3939" s="45"/>
      <c r="P3939" s="45"/>
      <c r="Q3939" s="45"/>
      <c r="R3939" s="45"/>
      <c r="S3939" s="45"/>
      <c r="T3939" s="45"/>
      <c r="U3939" s="45"/>
    </row>
    <row r="3940">
      <c r="A3940" s="79" t="s">
        <v>22915</v>
      </c>
      <c r="B3940" s="45"/>
      <c r="C3940" s="79" t="s">
        <v>22916</v>
      </c>
      <c r="D3940" s="45"/>
      <c r="E3940" s="79" t="s">
        <v>5218</v>
      </c>
      <c r="F3940" s="79" t="s">
        <v>5300</v>
      </c>
      <c r="G3940" s="80" t="s">
        <v>96</v>
      </c>
      <c r="H3940" s="90">
        <v>2.69E-5</v>
      </c>
      <c r="I3940" s="45"/>
      <c r="J3940" s="45"/>
      <c r="K3940" s="45"/>
      <c r="L3940" s="45"/>
      <c r="M3940" s="45"/>
      <c r="N3940" s="45"/>
      <c r="O3940" s="45"/>
      <c r="P3940" s="45"/>
      <c r="Q3940" s="45"/>
      <c r="R3940" s="45"/>
      <c r="S3940" s="45"/>
      <c r="T3940" s="45"/>
      <c r="U3940" s="45"/>
    </row>
    <row r="3941">
      <c r="A3941" s="79" t="s">
        <v>22917</v>
      </c>
      <c r="B3941" s="45"/>
      <c r="C3941" s="79" t="s">
        <v>22918</v>
      </c>
      <c r="D3941" s="45"/>
      <c r="E3941" s="79" t="s">
        <v>5377</v>
      </c>
      <c r="F3941" s="79" t="s">
        <v>5927</v>
      </c>
      <c r="G3941" s="80" t="s">
        <v>96</v>
      </c>
      <c r="H3941" s="90">
        <v>2.69E-5</v>
      </c>
      <c r="I3941" s="45"/>
      <c r="J3941" s="45"/>
      <c r="K3941" s="45"/>
      <c r="L3941" s="45"/>
      <c r="M3941" s="45"/>
      <c r="N3941" s="45"/>
      <c r="O3941" s="45"/>
      <c r="P3941" s="45"/>
      <c r="Q3941" s="45"/>
      <c r="R3941" s="45"/>
      <c r="S3941" s="45"/>
      <c r="T3941" s="45"/>
      <c r="U3941" s="45"/>
    </row>
    <row r="3942">
      <c r="A3942" s="79" t="s">
        <v>22919</v>
      </c>
      <c r="B3942" s="45"/>
      <c r="C3942" s="79" t="s">
        <v>22920</v>
      </c>
      <c r="D3942" s="45"/>
      <c r="E3942" s="79" t="s">
        <v>5374</v>
      </c>
      <c r="F3942" s="79" t="s">
        <v>5300</v>
      </c>
      <c r="G3942" s="80" t="s">
        <v>96</v>
      </c>
      <c r="H3942" s="90">
        <v>2.68E-5</v>
      </c>
      <c r="I3942" s="45"/>
      <c r="J3942" s="45"/>
      <c r="K3942" s="45"/>
      <c r="L3942" s="45"/>
      <c r="M3942" s="45"/>
      <c r="N3942" s="45"/>
      <c r="O3942" s="45"/>
      <c r="P3942" s="45"/>
      <c r="Q3942" s="45"/>
      <c r="R3942" s="45"/>
      <c r="S3942" s="45"/>
      <c r="T3942" s="45"/>
      <c r="U3942" s="45"/>
    </row>
    <row r="3943">
      <c r="A3943" s="79" t="s">
        <v>22921</v>
      </c>
      <c r="B3943" s="45"/>
      <c r="C3943" s="79" t="s">
        <v>22922</v>
      </c>
      <c r="D3943" s="45"/>
      <c r="E3943" s="79" t="s">
        <v>5855</v>
      </c>
      <c r="F3943" s="79" t="s">
        <v>4153</v>
      </c>
      <c r="G3943" s="80" t="s">
        <v>96</v>
      </c>
      <c r="H3943" s="90">
        <v>2.68E-5</v>
      </c>
      <c r="I3943" s="45"/>
      <c r="J3943" s="45"/>
      <c r="K3943" s="45"/>
      <c r="L3943" s="45"/>
      <c r="M3943" s="45"/>
      <c r="N3943" s="45"/>
      <c r="O3943" s="45"/>
      <c r="P3943" s="45"/>
      <c r="Q3943" s="45"/>
      <c r="R3943" s="45"/>
      <c r="S3943" s="45"/>
      <c r="T3943" s="45"/>
      <c r="U3943" s="45"/>
    </row>
    <row r="3944">
      <c r="A3944" s="79" t="s">
        <v>21212</v>
      </c>
      <c r="B3944" s="45"/>
      <c r="C3944" s="79" t="s">
        <v>22923</v>
      </c>
      <c r="D3944" s="45"/>
      <c r="E3944" s="79" t="s">
        <v>5326</v>
      </c>
      <c r="F3944" s="79" t="s">
        <v>5425</v>
      </c>
      <c r="G3944" s="80" t="s">
        <v>96</v>
      </c>
      <c r="H3944" s="90">
        <v>2.67E-5</v>
      </c>
      <c r="I3944" s="45"/>
      <c r="J3944" s="45"/>
      <c r="K3944" s="45"/>
      <c r="L3944" s="45"/>
      <c r="M3944" s="45"/>
      <c r="N3944" s="45"/>
      <c r="O3944" s="45"/>
      <c r="P3944" s="45"/>
      <c r="Q3944" s="45"/>
      <c r="R3944" s="45"/>
      <c r="S3944" s="45"/>
      <c r="T3944" s="45"/>
      <c r="U3944" s="45"/>
    </row>
    <row r="3945">
      <c r="A3945" s="79" t="s">
        <v>11181</v>
      </c>
      <c r="B3945" s="45"/>
      <c r="C3945" s="79" t="s">
        <v>22924</v>
      </c>
      <c r="D3945" s="45"/>
      <c r="E3945" s="79" t="s">
        <v>6877</v>
      </c>
      <c r="F3945" s="79" t="s">
        <v>5927</v>
      </c>
      <c r="G3945" s="80" t="s">
        <v>96</v>
      </c>
      <c r="H3945" s="90">
        <v>2.67E-5</v>
      </c>
      <c r="I3945" s="45"/>
      <c r="J3945" s="45"/>
      <c r="K3945" s="45"/>
      <c r="L3945" s="45"/>
      <c r="M3945" s="45"/>
      <c r="N3945" s="45"/>
      <c r="O3945" s="45"/>
      <c r="P3945" s="45"/>
      <c r="Q3945" s="45"/>
      <c r="R3945" s="45"/>
      <c r="S3945" s="45"/>
      <c r="T3945" s="45"/>
      <c r="U3945" s="45"/>
    </row>
    <row r="3946">
      <c r="A3946" s="79" t="s">
        <v>19856</v>
      </c>
      <c r="B3946" s="45"/>
      <c r="C3946" s="79" t="s">
        <v>22925</v>
      </c>
      <c r="D3946" s="45"/>
      <c r="E3946" s="79" t="s">
        <v>5215</v>
      </c>
      <c r="F3946" s="79" t="s">
        <v>9021</v>
      </c>
      <c r="G3946" s="80" t="s">
        <v>96</v>
      </c>
      <c r="H3946" s="90">
        <v>2.67E-5</v>
      </c>
      <c r="I3946" s="45"/>
      <c r="J3946" s="45"/>
      <c r="K3946" s="45"/>
      <c r="L3946" s="45"/>
      <c r="M3946" s="45"/>
      <c r="N3946" s="45"/>
      <c r="O3946" s="45"/>
      <c r="P3946" s="45"/>
      <c r="Q3946" s="45"/>
      <c r="R3946" s="45"/>
      <c r="S3946" s="45"/>
      <c r="T3946" s="45"/>
      <c r="U3946" s="45"/>
    </row>
    <row r="3947">
      <c r="A3947" s="79" t="s">
        <v>22926</v>
      </c>
      <c r="B3947" s="45"/>
      <c r="C3947" s="79" t="s">
        <v>22927</v>
      </c>
      <c r="D3947" s="45"/>
      <c r="E3947" s="79" t="s">
        <v>5467</v>
      </c>
      <c r="F3947" s="79" t="s">
        <v>5941</v>
      </c>
      <c r="G3947" s="80" t="s">
        <v>96</v>
      </c>
      <c r="H3947" s="90">
        <v>2.66E-5</v>
      </c>
      <c r="I3947" s="45"/>
      <c r="J3947" s="45"/>
      <c r="K3947" s="45"/>
      <c r="L3947" s="45"/>
      <c r="M3947" s="45"/>
      <c r="N3947" s="45"/>
      <c r="O3947" s="45"/>
      <c r="P3947" s="45"/>
      <c r="Q3947" s="45"/>
      <c r="R3947" s="45"/>
      <c r="S3947" s="45"/>
      <c r="T3947" s="45"/>
      <c r="U3947" s="45"/>
    </row>
    <row r="3948">
      <c r="A3948" s="79" t="s">
        <v>22928</v>
      </c>
      <c r="B3948" s="45"/>
      <c r="C3948" s="79" t="s">
        <v>22929</v>
      </c>
      <c r="D3948" s="45"/>
      <c r="E3948" s="79" t="s">
        <v>5226</v>
      </c>
      <c r="F3948" s="79" t="s">
        <v>5329</v>
      </c>
      <c r="G3948" s="80" t="s">
        <v>96</v>
      </c>
      <c r="H3948" s="90">
        <v>2.65E-5</v>
      </c>
      <c r="I3948" s="45"/>
      <c r="J3948" s="45"/>
      <c r="K3948" s="45"/>
      <c r="L3948" s="45"/>
      <c r="M3948" s="45"/>
      <c r="N3948" s="45"/>
      <c r="O3948" s="45"/>
      <c r="P3948" s="45"/>
      <c r="Q3948" s="45"/>
      <c r="R3948" s="45"/>
      <c r="S3948" s="45"/>
      <c r="T3948" s="45"/>
      <c r="U3948" s="45"/>
    </row>
    <row r="3949">
      <c r="A3949" s="79" t="s">
        <v>22930</v>
      </c>
      <c r="B3949" s="45"/>
      <c r="C3949" s="79" t="s">
        <v>22931</v>
      </c>
      <c r="D3949" s="45"/>
      <c r="E3949" s="79" t="s">
        <v>5407</v>
      </c>
      <c r="F3949" s="79" t="s">
        <v>9021</v>
      </c>
      <c r="G3949" s="80" t="s">
        <v>96</v>
      </c>
      <c r="H3949" s="90">
        <v>2.65E-5</v>
      </c>
      <c r="I3949" s="45"/>
      <c r="J3949" s="45"/>
      <c r="K3949" s="45"/>
      <c r="L3949" s="45"/>
      <c r="M3949" s="45"/>
      <c r="N3949" s="45"/>
      <c r="O3949" s="45"/>
      <c r="P3949" s="45"/>
      <c r="Q3949" s="45"/>
      <c r="R3949" s="45"/>
      <c r="S3949" s="45"/>
      <c r="T3949" s="45"/>
      <c r="U3949" s="45"/>
    </row>
    <row r="3950">
      <c r="A3950" s="79" t="s">
        <v>22932</v>
      </c>
      <c r="B3950" s="45"/>
      <c r="C3950" s="79" t="s">
        <v>22933</v>
      </c>
      <c r="D3950" s="45"/>
      <c r="E3950" s="79" t="s">
        <v>5377</v>
      </c>
      <c r="F3950" s="79" t="s">
        <v>8784</v>
      </c>
      <c r="G3950" s="80" t="s">
        <v>96</v>
      </c>
      <c r="H3950" s="90">
        <v>2.63E-5</v>
      </c>
      <c r="I3950" s="45"/>
      <c r="J3950" s="45"/>
      <c r="K3950" s="45"/>
      <c r="L3950" s="45"/>
      <c r="M3950" s="45"/>
      <c r="N3950" s="45"/>
      <c r="O3950" s="45"/>
      <c r="P3950" s="45"/>
      <c r="Q3950" s="45"/>
      <c r="R3950" s="45"/>
      <c r="S3950" s="45"/>
      <c r="T3950" s="45"/>
      <c r="U3950" s="45"/>
    </row>
    <row r="3951">
      <c r="A3951" s="79" t="s">
        <v>22934</v>
      </c>
      <c r="B3951" s="45"/>
      <c r="C3951" s="79" t="s">
        <v>22935</v>
      </c>
      <c r="D3951" s="45"/>
      <c r="E3951" s="79" t="s">
        <v>5407</v>
      </c>
      <c r="F3951" s="79" t="s">
        <v>5300</v>
      </c>
      <c r="G3951" s="80" t="s">
        <v>96</v>
      </c>
      <c r="H3951" s="90">
        <v>2.62E-5</v>
      </c>
      <c r="I3951" s="45"/>
      <c r="J3951" s="45"/>
      <c r="K3951" s="45"/>
      <c r="L3951" s="45"/>
      <c r="M3951" s="45"/>
      <c r="N3951" s="45"/>
      <c r="O3951" s="45"/>
      <c r="P3951" s="45"/>
      <c r="Q3951" s="45"/>
      <c r="R3951" s="45"/>
      <c r="S3951" s="45"/>
      <c r="T3951" s="45"/>
      <c r="U3951" s="45"/>
    </row>
    <row r="3952">
      <c r="A3952" s="79" t="s">
        <v>11211</v>
      </c>
      <c r="B3952" s="45"/>
      <c r="C3952" s="79" t="s">
        <v>11212</v>
      </c>
      <c r="D3952" s="45"/>
      <c r="E3952" s="79" t="s">
        <v>6427</v>
      </c>
      <c r="F3952" s="79" t="s">
        <v>5927</v>
      </c>
      <c r="G3952" s="80" t="s">
        <v>96</v>
      </c>
      <c r="H3952" s="90">
        <v>2.62E-5</v>
      </c>
      <c r="I3952" s="45"/>
      <c r="J3952" s="45"/>
      <c r="K3952" s="45"/>
      <c r="L3952" s="45"/>
      <c r="M3952" s="45"/>
      <c r="N3952" s="45"/>
      <c r="O3952" s="45"/>
      <c r="P3952" s="45"/>
      <c r="Q3952" s="45"/>
      <c r="R3952" s="45"/>
      <c r="S3952" s="45"/>
      <c r="T3952" s="45"/>
      <c r="U3952" s="45"/>
    </row>
    <row r="3953">
      <c r="A3953" s="79" t="s">
        <v>22936</v>
      </c>
      <c r="B3953" s="45"/>
      <c r="C3953" s="79" t="s">
        <v>22937</v>
      </c>
      <c r="D3953" s="45"/>
      <c r="E3953" s="79" t="s">
        <v>5226</v>
      </c>
      <c r="F3953" s="79" t="s">
        <v>6210</v>
      </c>
      <c r="G3953" s="80" t="s">
        <v>96</v>
      </c>
      <c r="H3953" s="90">
        <v>2.62E-5</v>
      </c>
      <c r="I3953" s="45"/>
      <c r="J3953" s="45"/>
      <c r="K3953" s="45"/>
      <c r="L3953" s="45"/>
      <c r="M3953" s="45"/>
      <c r="N3953" s="45"/>
      <c r="O3953" s="45"/>
      <c r="P3953" s="45"/>
      <c r="Q3953" s="45"/>
      <c r="R3953" s="45"/>
      <c r="S3953" s="45"/>
      <c r="T3953" s="45"/>
      <c r="U3953" s="45"/>
    </row>
    <row r="3954">
      <c r="A3954" s="79" t="s">
        <v>22938</v>
      </c>
      <c r="B3954" s="45"/>
      <c r="C3954" s="79" t="s">
        <v>22939</v>
      </c>
      <c r="D3954" s="45"/>
      <c r="E3954" s="79" t="s">
        <v>5377</v>
      </c>
      <c r="F3954" s="79" t="s">
        <v>8784</v>
      </c>
      <c r="G3954" s="80" t="s">
        <v>96</v>
      </c>
      <c r="H3954" s="90">
        <v>2.61E-5</v>
      </c>
      <c r="I3954" s="45"/>
      <c r="J3954" s="45"/>
      <c r="K3954" s="45"/>
      <c r="L3954" s="45"/>
      <c r="M3954" s="45"/>
      <c r="N3954" s="45"/>
      <c r="O3954" s="45"/>
      <c r="P3954" s="45"/>
      <c r="Q3954" s="45"/>
      <c r="R3954" s="45"/>
      <c r="S3954" s="45"/>
      <c r="T3954" s="45"/>
      <c r="U3954" s="45"/>
    </row>
    <row r="3955">
      <c r="A3955" s="79" t="s">
        <v>22940</v>
      </c>
      <c r="B3955" s="45"/>
      <c r="C3955" s="79" t="s">
        <v>22941</v>
      </c>
      <c r="D3955" s="45"/>
      <c r="E3955" s="79" t="s">
        <v>8648</v>
      </c>
      <c r="F3955" s="79" t="s">
        <v>5300</v>
      </c>
      <c r="G3955" s="80" t="s">
        <v>96</v>
      </c>
      <c r="H3955" s="90">
        <v>2.6E-5</v>
      </c>
      <c r="I3955" s="45"/>
      <c r="J3955" s="45"/>
      <c r="K3955" s="45"/>
      <c r="L3955" s="45"/>
      <c r="M3955" s="45"/>
      <c r="N3955" s="45"/>
      <c r="O3955" s="45"/>
      <c r="P3955" s="45"/>
      <c r="Q3955" s="45"/>
      <c r="R3955" s="45"/>
      <c r="S3955" s="45"/>
      <c r="T3955" s="45"/>
      <c r="U3955" s="45"/>
    </row>
    <row r="3956">
      <c r="A3956" s="79" t="s">
        <v>22942</v>
      </c>
      <c r="B3956" s="45"/>
      <c r="C3956" s="79" t="s">
        <v>22943</v>
      </c>
      <c r="D3956" s="45"/>
      <c r="E3956" s="79" t="s">
        <v>5478</v>
      </c>
      <c r="F3956" s="79" t="s">
        <v>5300</v>
      </c>
      <c r="G3956" s="80" t="s">
        <v>96</v>
      </c>
      <c r="H3956" s="90">
        <v>2.6E-5</v>
      </c>
      <c r="I3956" s="45"/>
      <c r="J3956" s="45"/>
      <c r="K3956" s="45"/>
      <c r="L3956" s="45"/>
      <c r="M3956" s="45"/>
      <c r="N3956" s="45"/>
      <c r="O3956" s="45"/>
      <c r="P3956" s="45"/>
      <c r="Q3956" s="45"/>
      <c r="R3956" s="45"/>
      <c r="S3956" s="45"/>
      <c r="T3956" s="45"/>
      <c r="U3956" s="45"/>
    </row>
    <row r="3957">
      <c r="A3957" s="79" t="s">
        <v>22944</v>
      </c>
      <c r="B3957" s="45"/>
      <c r="C3957" s="79" t="s">
        <v>22945</v>
      </c>
      <c r="D3957" s="45"/>
      <c r="E3957" s="79" t="s">
        <v>7248</v>
      </c>
      <c r="F3957" s="79" t="s">
        <v>5300</v>
      </c>
      <c r="G3957" s="80" t="s">
        <v>96</v>
      </c>
      <c r="H3957" s="90">
        <v>2.59E-5</v>
      </c>
      <c r="I3957" s="45"/>
      <c r="J3957" s="45"/>
      <c r="K3957" s="45"/>
      <c r="L3957" s="45"/>
      <c r="M3957" s="45"/>
      <c r="N3957" s="45"/>
      <c r="O3957" s="45"/>
      <c r="P3957" s="45"/>
      <c r="Q3957" s="45"/>
      <c r="R3957" s="45"/>
      <c r="S3957" s="45"/>
      <c r="T3957" s="45"/>
      <c r="U3957" s="45"/>
    </row>
    <row r="3958">
      <c r="A3958" s="79" t="s">
        <v>22946</v>
      </c>
      <c r="B3958" s="45"/>
      <c r="C3958" s="79" t="s">
        <v>22947</v>
      </c>
      <c r="D3958" s="45"/>
      <c r="E3958" s="79" t="s">
        <v>6630</v>
      </c>
      <c r="F3958" s="79" t="s">
        <v>8784</v>
      </c>
      <c r="G3958" s="80" t="s">
        <v>96</v>
      </c>
      <c r="H3958" s="90">
        <v>2.58E-5</v>
      </c>
      <c r="I3958" s="45"/>
      <c r="J3958" s="45"/>
      <c r="K3958" s="45"/>
      <c r="L3958" s="45"/>
      <c r="M3958" s="45"/>
      <c r="N3958" s="45"/>
      <c r="O3958" s="45"/>
      <c r="P3958" s="45"/>
      <c r="Q3958" s="45"/>
      <c r="R3958" s="45"/>
      <c r="S3958" s="45"/>
      <c r="T3958" s="45"/>
      <c r="U3958" s="45"/>
    </row>
    <row r="3959">
      <c r="A3959" s="79" t="s">
        <v>6260</v>
      </c>
      <c r="B3959" s="45"/>
      <c r="C3959" s="79" t="s">
        <v>22948</v>
      </c>
      <c r="D3959" s="45"/>
      <c r="E3959" s="79" t="s">
        <v>6759</v>
      </c>
      <c r="F3959" s="79" t="s">
        <v>5747</v>
      </c>
      <c r="G3959" s="80" t="s">
        <v>96</v>
      </c>
      <c r="H3959" s="90">
        <v>2.57E-5</v>
      </c>
      <c r="I3959" s="45"/>
      <c r="J3959" s="45"/>
      <c r="K3959" s="45"/>
      <c r="L3959" s="45"/>
      <c r="M3959" s="45"/>
      <c r="N3959" s="45"/>
      <c r="O3959" s="45"/>
      <c r="P3959" s="45"/>
      <c r="Q3959" s="45"/>
      <c r="R3959" s="45"/>
      <c r="S3959" s="45"/>
      <c r="T3959" s="45"/>
      <c r="U3959" s="45"/>
    </row>
    <row r="3960">
      <c r="A3960" s="79" t="s">
        <v>22949</v>
      </c>
      <c r="B3960" s="45"/>
      <c r="C3960" s="79" t="s">
        <v>22950</v>
      </c>
      <c r="D3960" s="45"/>
      <c r="E3960" s="79" t="s">
        <v>7611</v>
      </c>
      <c r="F3960" s="79" t="s">
        <v>8784</v>
      </c>
      <c r="G3960" s="80" t="s">
        <v>96</v>
      </c>
      <c r="H3960" s="90">
        <v>2.56E-5</v>
      </c>
      <c r="I3960" s="45"/>
      <c r="J3960" s="45"/>
      <c r="K3960" s="45"/>
      <c r="L3960" s="45"/>
      <c r="M3960" s="45"/>
      <c r="N3960" s="45"/>
      <c r="O3960" s="45"/>
      <c r="P3960" s="45"/>
      <c r="Q3960" s="45"/>
      <c r="R3960" s="45"/>
      <c r="S3960" s="45"/>
      <c r="T3960" s="45"/>
      <c r="U3960" s="45"/>
    </row>
    <row r="3961">
      <c r="A3961" s="79" t="s">
        <v>22951</v>
      </c>
      <c r="B3961" s="45"/>
      <c r="C3961" s="79" t="s">
        <v>22952</v>
      </c>
      <c r="D3961" s="45"/>
      <c r="E3961" s="79" t="s">
        <v>5704</v>
      </c>
      <c r="F3961" s="79" t="s">
        <v>8784</v>
      </c>
      <c r="G3961" s="80" t="s">
        <v>96</v>
      </c>
      <c r="H3961" s="90">
        <v>2.55E-5</v>
      </c>
      <c r="I3961" s="45"/>
      <c r="J3961" s="45"/>
      <c r="K3961" s="45"/>
      <c r="L3961" s="45"/>
      <c r="M3961" s="45"/>
      <c r="N3961" s="45"/>
      <c r="O3961" s="45"/>
      <c r="P3961" s="45"/>
      <c r="Q3961" s="45"/>
      <c r="R3961" s="45"/>
      <c r="S3961" s="45"/>
      <c r="T3961" s="45"/>
      <c r="U3961" s="45"/>
    </row>
    <row r="3962">
      <c r="A3962" s="79" t="s">
        <v>22953</v>
      </c>
      <c r="B3962" s="45"/>
      <c r="C3962" s="79" t="s">
        <v>22954</v>
      </c>
      <c r="D3962" s="45"/>
      <c r="E3962" s="79" t="s">
        <v>5338</v>
      </c>
      <c r="F3962" s="79" t="s">
        <v>8784</v>
      </c>
      <c r="G3962" s="80" t="s">
        <v>96</v>
      </c>
      <c r="H3962" s="90">
        <v>2.55E-5</v>
      </c>
      <c r="I3962" s="45"/>
      <c r="J3962" s="45"/>
      <c r="K3962" s="45"/>
      <c r="L3962" s="45"/>
      <c r="M3962" s="45"/>
      <c r="N3962" s="45"/>
      <c r="O3962" s="45"/>
      <c r="P3962" s="45"/>
      <c r="Q3962" s="45"/>
      <c r="R3962" s="45"/>
      <c r="S3962" s="45"/>
      <c r="T3962" s="45"/>
      <c r="U3962" s="45"/>
    </row>
    <row r="3963">
      <c r="A3963" s="79" t="s">
        <v>22955</v>
      </c>
      <c r="B3963" s="45"/>
      <c r="C3963" s="79" t="s">
        <v>22956</v>
      </c>
      <c r="D3963" s="45"/>
      <c r="E3963" s="79" t="s">
        <v>7251</v>
      </c>
      <c r="F3963" s="79" t="s">
        <v>5300</v>
      </c>
      <c r="G3963" s="80" t="s">
        <v>96</v>
      </c>
      <c r="H3963" s="90">
        <v>2.54E-5</v>
      </c>
      <c r="I3963" s="45"/>
      <c r="J3963" s="45"/>
      <c r="K3963" s="45"/>
      <c r="L3963" s="45"/>
      <c r="M3963" s="45"/>
      <c r="N3963" s="45"/>
      <c r="O3963" s="45"/>
      <c r="P3963" s="45"/>
      <c r="Q3963" s="45"/>
      <c r="R3963" s="45"/>
      <c r="S3963" s="45"/>
      <c r="T3963" s="45"/>
      <c r="U3963" s="45"/>
    </row>
    <row r="3964">
      <c r="A3964" s="79" t="s">
        <v>22957</v>
      </c>
      <c r="B3964" s="45"/>
      <c r="C3964" s="79" t="s">
        <v>22958</v>
      </c>
      <c r="D3964" s="45"/>
      <c r="E3964" s="79" t="s">
        <v>8230</v>
      </c>
      <c r="F3964" s="79" t="s">
        <v>4357</v>
      </c>
      <c r="G3964" s="80" t="s">
        <v>96</v>
      </c>
      <c r="H3964" s="90">
        <v>2.54E-5</v>
      </c>
      <c r="I3964" s="45"/>
      <c r="J3964" s="45"/>
      <c r="K3964" s="45"/>
      <c r="L3964" s="45"/>
      <c r="M3964" s="45"/>
      <c r="N3964" s="45"/>
      <c r="O3964" s="45"/>
      <c r="P3964" s="45"/>
      <c r="Q3964" s="45"/>
      <c r="R3964" s="45"/>
      <c r="S3964" s="45"/>
      <c r="T3964" s="45"/>
      <c r="U3964" s="45"/>
    </row>
    <row r="3965">
      <c r="A3965" s="79" t="s">
        <v>22959</v>
      </c>
      <c r="B3965" s="45"/>
      <c r="C3965" s="79" t="s">
        <v>22960</v>
      </c>
      <c r="D3965" s="45"/>
      <c r="E3965" s="79" t="s">
        <v>7846</v>
      </c>
      <c r="F3965" s="79" t="s">
        <v>4357</v>
      </c>
      <c r="G3965" s="80" t="s">
        <v>96</v>
      </c>
      <c r="H3965" s="90">
        <v>2.54E-5</v>
      </c>
      <c r="I3965" s="45"/>
      <c r="J3965" s="45"/>
      <c r="K3965" s="45"/>
      <c r="L3965" s="45"/>
      <c r="M3965" s="45"/>
      <c r="N3965" s="45"/>
      <c r="O3965" s="45"/>
      <c r="P3965" s="45"/>
      <c r="Q3965" s="45"/>
      <c r="R3965" s="45"/>
      <c r="S3965" s="45"/>
      <c r="T3965" s="45"/>
      <c r="U3965" s="45"/>
    </row>
    <row r="3966">
      <c r="A3966" s="79" t="s">
        <v>22961</v>
      </c>
      <c r="B3966" s="45"/>
      <c r="C3966" s="79" t="s">
        <v>22962</v>
      </c>
      <c r="D3966" s="45"/>
      <c r="E3966" s="79" t="s">
        <v>6868</v>
      </c>
      <c r="F3966" s="79" t="s">
        <v>4436</v>
      </c>
      <c r="G3966" s="80" t="s">
        <v>96</v>
      </c>
      <c r="H3966" s="90">
        <v>2.54E-5</v>
      </c>
      <c r="I3966" s="45"/>
      <c r="J3966" s="45"/>
      <c r="K3966" s="45"/>
      <c r="L3966" s="45"/>
      <c r="M3966" s="45"/>
      <c r="N3966" s="45"/>
      <c r="O3966" s="45"/>
      <c r="P3966" s="45"/>
      <c r="Q3966" s="45"/>
      <c r="R3966" s="45"/>
      <c r="S3966" s="45"/>
      <c r="T3966" s="45"/>
      <c r="U3966" s="45"/>
    </row>
    <row r="3967">
      <c r="A3967" s="79" t="s">
        <v>22963</v>
      </c>
      <c r="B3967" s="45"/>
      <c r="C3967" s="79" t="s">
        <v>22964</v>
      </c>
      <c r="D3967" s="45"/>
      <c r="E3967" s="79" t="s">
        <v>5335</v>
      </c>
      <c r="F3967" s="79" t="s">
        <v>8784</v>
      </c>
      <c r="G3967" s="80" t="s">
        <v>96</v>
      </c>
      <c r="H3967" s="90">
        <v>2.53E-5</v>
      </c>
      <c r="I3967" s="45"/>
      <c r="J3967" s="45"/>
      <c r="K3967" s="45"/>
      <c r="L3967" s="45"/>
      <c r="M3967" s="45"/>
      <c r="N3967" s="45"/>
      <c r="O3967" s="45"/>
      <c r="P3967" s="45"/>
      <c r="Q3967" s="45"/>
      <c r="R3967" s="45"/>
      <c r="S3967" s="45"/>
      <c r="T3967" s="45"/>
      <c r="U3967" s="45"/>
    </row>
    <row r="3968">
      <c r="A3968" s="79" t="s">
        <v>22965</v>
      </c>
      <c r="B3968" s="45"/>
      <c r="C3968" s="79" t="s">
        <v>22966</v>
      </c>
      <c r="D3968" s="45"/>
      <c r="E3968" s="79" t="s">
        <v>6238</v>
      </c>
      <c r="F3968" s="79" t="s">
        <v>9299</v>
      </c>
      <c r="G3968" s="80" t="s">
        <v>96</v>
      </c>
      <c r="H3968" s="90">
        <v>2.53E-5</v>
      </c>
      <c r="I3968" s="45"/>
      <c r="J3968" s="45"/>
      <c r="K3968" s="45"/>
      <c r="L3968" s="45"/>
      <c r="M3968" s="45"/>
      <c r="N3968" s="45"/>
      <c r="O3968" s="45"/>
      <c r="P3968" s="45"/>
      <c r="Q3968" s="45"/>
      <c r="R3968" s="45"/>
      <c r="S3968" s="45"/>
      <c r="T3968" s="45"/>
      <c r="U3968" s="45"/>
    </row>
    <row r="3969">
      <c r="A3969" s="79" t="s">
        <v>22967</v>
      </c>
      <c r="B3969" s="45"/>
      <c r="C3969" s="79" t="s">
        <v>22968</v>
      </c>
      <c r="D3969" s="45"/>
      <c r="E3969" s="79" t="s">
        <v>5374</v>
      </c>
      <c r="F3969" s="79" t="s">
        <v>4357</v>
      </c>
      <c r="G3969" s="80" t="s">
        <v>96</v>
      </c>
      <c r="H3969" s="90">
        <v>2.52E-5</v>
      </c>
      <c r="I3969" s="45"/>
      <c r="J3969" s="45"/>
      <c r="K3969" s="45"/>
      <c r="L3969" s="45"/>
      <c r="M3969" s="45"/>
      <c r="N3969" s="45"/>
      <c r="O3969" s="45"/>
      <c r="P3969" s="45"/>
      <c r="Q3969" s="45"/>
      <c r="R3969" s="45"/>
      <c r="S3969" s="45"/>
      <c r="T3969" s="45"/>
      <c r="U3969" s="45"/>
    </row>
    <row r="3970">
      <c r="A3970" s="79" t="s">
        <v>22969</v>
      </c>
      <c r="B3970" s="45"/>
      <c r="C3970" s="79" t="s">
        <v>22970</v>
      </c>
      <c r="D3970" s="45"/>
      <c r="E3970" s="79" t="s">
        <v>5335</v>
      </c>
      <c r="F3970" s="79" t="s">
        <v>8784</v>
      </c>
      <c r="G3970" s="80" t="s">
        <v>96</v>
      </c>
      <c r="H3970" s="90">
        <v>2.52E-5</v>
      </c>
      <c r="I3970" s="45"/>
      <c r="J3970" s="45"/>
      <c r="K3970" s="45"/>
      <c r="L3970" s="45"/>
      <c r="M3970" s="45"/>
      <c r="N3970" s="45"/>
      <c r="O3970" s="45"/>
      <c r="P3970" s="45"/>
      <c r="Q3970" s="45"/>
      <c r="R3970" s="45"/>
      <c r="S3970" s="45"/>
      <c r="T3970" s="45"/>
      <c r="U3970" s="45"/>
    </row>
    <row r="3971">
      <c r="A3971" s="79" t="s">
        <v>22971</v>
      </c>
      <c r="B3971" s="45"/>
      <c r="C3971" s="79" t="s">
        <v>22972</v>
      </c>
      <c r="D3971" s="45"/>
      <c r="E3971" s="79" t="s">
        <v>5235</v>
      </c>
      <c r="F3971" s="79" t="s">
        <v>6210</v>
      </c>
      <c r="G3971" s="80" t="s">
        <v>96</v>
      </c>
      <c r="H3971" s="90">
        <v>2.52E-5</v>
      </c>
      <c r="I3971" s="45"/>
      <c r="J3971" s="45"/>
      <c r="K3971" s="45"/>
      <c r="L3971" s="45"/>
      <c r="M3971" s="45"/>
      <c r="N3971" s="45"/>
      <c r="O3971" s="45"/>
      <c r="P3971" s="45"/>
      <c r="Q3971" s="45"/>
      <c r="R3971" s="45"/>
      <c r="S3971" s="45"/>
      <c r="T3971" s="45"/>
      <c r="U3971" s="45"/>
    </row>
    <row r="3972">
      <c r="A3972" s="79" t="s">
        <v>22973</v>
      </c>
      <c r="B3972" s="45"/>
      <c r="C3972" s="79" t="s">
        <v>22974</v>
      </c>
      <c r="D3972" s="45"/>
      <c r="E3972" s="79" t="s">
        <v>7169</v>
      </c>
      <c r="F3972" s="79" t="s">
        <v>8784</v>
      </c>
      <c r="G3972" s="80" t="s">
        <v>96</v>
      </c>
      <c r="H3972" s="90">
        <v>2.5E-5</v>
      </c>
      <c r="I3972" s="45"/>
      <c r="J3972" s="45"/>
      <c r="K3972" s="45"/>
      <c r="L3972" s="45"/>
      <c r="M3972" s="45"/>
      <c r="N3972" s="45"/>
      <c r="O3972" s="45"/>
      <c r="P3972" s="45"/>
      <c r="Q3972" s="45"/>
      <c r="R3972" s="45"/>
      <c r="S3972" s="45"/>
      <c r="T3972" s="45"/>
      <c r="U3972" s="45"/>
    </row>
    <row r="3973">
      <c r="A3973" s="79" t="s">
        <v>9909</v>
      </c>
      <c r="B3973" s="45"/>
      <c r="C3973" s="79" t="s">
        <v>22975</v>
      </c>
      <c r="D3973" s="45"/>
      <c r="E3973" s="79" t="s">
        <v>5309</v>
      </c>
      <c r="F3973" s="79" t="s">
        <v>5836</v>
      </c>
      <c r="G3973" s="80" t="s">
        <v>96</v>
      </c>
      <c r="H3973" s="90">
        <v>2.49E-5</v>
      </c>
      <c r="I3973" s="45"/>
      <c r="J3973" s="45"/>
      <c r="K3973" s="45"/>
      <c r="L3973" s="45"/>
      <c r="M3973" s="45"/>
      <c r="N3973" s="45"/>
      <c r="O3973" s="45"/>
      <c r="P3973" s="45"/>
      <c r="Q3973" s="45"/>
      <c r="R3973" s="45"/>
      <c r="S3973" s="45"/>
      <c r="T3973" s="45"/>
      <c r="U3973" s="45"/>
    </row>
    <row r="3974">
      <c r="A3974" s="79" t="s">
        <v>22976</v>
      </c>
      <c r="B3974" s="45"/>
      <c r="C3974" s="79" t="s">
        <v>22977</v>
      </c>
      <c r="D3974" s="45"/>
      <c r="E3974" s="79" t="s">
        <v>5422</v>
      </c>
      <c r="F3974" s="79" t="s">
        <v>5747</v>
      </c>
      <c r="G3974" s="80" t="s">
        <v>96</v>
      </c>
      <c r="H3974" s="90">
        <v>2.49E-5</v>
      </c>
      <c r="I3974" s="45"/>
      <c r="J3974" s="45"/>
      <c r="K3974" s="45"/>
      <c r="L3974" s="45"/>
      <c r="M3974" s="45"/>
      <c r="N3974" s="45"/>
      <c r="O3974" s="45"/>
      <c r="P3974" s="45"/>
      <c r="Q3974" s="45"/>
      <c r="R3974" s="45"/>
      <c r="S3974" s="45"/>
      <c r="T3974" s="45"/>
      <c r="U3974" s="45"/>
    </row>
    <row r="3975">
      <c r="A3975" s="79" t="s">
        <v>22978</v>
      </c>
      <c r="B3975" s="45"/>
      <c r="C3975" s="79" t="s">
        <v>22979</v>
      </c>
      <c r="D3975" s="45"/>
      <c r="E3975" s="79" t="s">
        <v>5808</v>
      </c>
      <c r="F3975" s="79" t="s">
        <v>4095</v>
      </c>
      <c r="G3975" s="80" t="s">
        <v>96</v>
      </c>
      <c r="H3975" s="90">
        <v>2.48E-5</v>
      </c>
      <c r="I3975" s="45"/>
      <c r="J3975" s="45"/>
      <c r="K3975" s="45"/>
      <c r="L3975" s="45"/>
      <c r="M3975" s="45"/>
      <c r="N3975" s="45"/>
      <c r="O3975" s="45"/>
      <c r="P3975" s="45"/>
      <c r="Q3975" s="45"/>
      <c r="R3975" s="45"/>
      <c r="S3975" s="45"/>
      <c r="T3975" s="45"/>
      <c r="U3975" s="45"/>
    </row>
    <row r="3976">
      <c r="A3976" s="79" t="s">
        <v>22980</v>
      </c>
      <c r="B3976" s="45"/>
      <c r="C3976" s="79" t="s">
        <v>22981</v>
      </c>
      <c r="D3976" s="45"/>
      <c r="E3976" s="79" t="s">
        <v>5855</v>
      </c>
      <c r="F3976" s="79" t="s">
        <v>5927</v>
      </c>
      <c r="G3976" s="80" t="s">
        <v>96</v>
      </c>
      <c r="H3976" s="90">
        <v>2.48E-5</v>
      </c>
      <c r="I3976" s="45"/>
      <c r="J3976" s="45"/>
      <c r="K3976" s="45"/>
      <c r="L3976" s="45"/>
      <c r="M3976" s="45"/>
      <c r="N3976" s="45"/>
      <c r="O3976" s="45"/>
      <c r="P3976" s="45"/>
      <c r="Q3976" s="45"/>
      <c r="R3976" s="45"/>
      <c r="S3976" s="45"/>
      <c r="T3976" s="45"/>
      <c r="U3976" s="45"/>
    </row>
    <row r="3977">
      <c r="A3977" s="79" t="s">
        <v>22982</v>
      </c>
      <c r="B3977" s="45"/>
      <c r="C3977" s="79" t="s">
        <v>22983</v>
      </c>
      <c r="D3977" s="45"/>
      <c r="E3977" s="79" t="s">
        <v>7476</v>
      </c>
      <c r="F3977" s="79" t="s">
        <v>5836</v>
      </c>
      <c r="G3977" s="80" t="s">
        <v>96</v>
      </c>
      <c r="H3977" s="90">
        <v>2.47E-5</v>
      </c>
      <c r="I3977" s="45"/>
      <c r="J3977" s="45"/>
      <c r="K3977" s="45"/>
      <c r="L3977" s="45"/>
      <c r="M3977" s="45"/>
      <c r="N3977" s="45"/>
      <c r="O3977" s="45"/>
      <c r="P3977" s="45"/>
      <c r="Q3977" s="45"/>
      <c r="R3977" s="45"/>
      <c r="S3977" s="45"/>
      <c r="T3977" s="45"/>
      <c r="U3977" s="45"/>
    </row>
    <row r="3978">
      <c r="A3978" s="79" t="s">
        <v>22984</v>
      </c>
      <c r="B3978" s="45"/>
      <c r="C3978" s="79" t="s">
        <v>22985</v>
      </c>
      <c r="D3978" s="45"/>
      <c r="E3978" s="79" t="s">
        <v>5238</v>
      </c>
      <c r="F3978" s="79" t="s">
        <v>8784</v>
      </c>
      <c r="G3978" s="80" t="s">
        <v>96</v>
      </c>
      <c r="H3978" s="90">
        <v>2.46E-5</v>
      </c>
      <c r="I3978" s="45"/>
      <c r="J3978" s="45"/>
      <c r="K3978" s="45"/>
      <c r="L3978" s="45"/>
      <c r="M3978" s="45"/>
      <c r="N3978" s="45"/>
      <c r="O3978" s="45"/>
      <c r="P3978" s="45"/>
      <c r="Q3978" s="45"/>
      <c r="R3978" s="45"/>
      <c r="S3978" s="45"/>
      <c r="T3978" s="45"/>
      <c r="U3978" s="45"/>
    </row>
    <row r="3979">
      <c r="A3979" s="79" t="s">
        <v>22986</v>
      </c>
      <c r="B3979" s="45"/>
      <c r="C3979" s="79" t="s">
        <v>22987</v>
      </c>
      <c r="D3979" s="45"/>
      <c r="E3979" s="79" t="s">
        <v>5478</v>
      </c>
      <c r="F3979" s="79" t="s">
        <v>5300</v>
      </c>
      <c r="G3979" s="80" t="s">
        <v>96</v>
      </c>
      <c r="H3979" s="90">
        <v>2.46E-5</v>
      </c>
      <c r="I3979" s="45"/>
      <c r="J3979" s="45"/>
      <c r="K3979" s="45"/>
      <c r="L3979" s="45"/>
      <c r="M3979" s="45"/>
      <c r="N3979" s="45"/>
      <c r="O3979" s="45"/>
      <c r="P3979" s="45"/>
      <c r="Q3979" s="45"/>
      <c r="R3979" s="45"/>
      <c r="S3979" s="45"/>
      <c r="T3979" s="45"/>
      <c r="U3979" s="45"/>
    </row>
    <row r="3980">
      <c r="A3980" s="79" t="s">
        <v>22988</v>
      </c>
      <c r="B3980" s="45"/>
      <c r="C3980" s="79" t="s">
        <v>22989</v>
      </c>
      <c r="D3980" s="45"/>
      <c r="E3980" s="79" t="s">
        <v>5775</v>
      </c>
      <c r="F3980" s="79" t="s">
        <v>8784</v>
      </c>
      <c r="G3980" s="80" t="s">
        <v>96</v>
      </c>
      <c r="H3980" s="90">
        <v>2.43E-5</v>
      </c>
      <c r="I3980" s="45"/>
      <c r="J3980" s="45"/>
      <c r="K3980" s="45"/>
      <c r="L3980" s="45"/>
      <c r="M3980" s="45"/>
      <c r="N3980" s="45"/>
      <c r="O3980" s="45"/>
      <c r="P3980" s="45"/>
      <c r="Q3980" s="45"/>
      <c r="R3980" s="45"/>
      <c r="S3980" s="45"/>
      <c r="T3980" s="45"/>
      <c r="U3980" s="45"/>
    </row>
    <row r="3981">
      <c r="A3981" s="79" t="s">
        <v>22990</v>
      </c>
      <c r="B3981" s="45"/>
      <c r="C3981" s="79" t="s">
        <v>22991</v>
      </c>
      <c r="D3981" s="45"/>
      <c r="E3981" s="79" t="s">
        <v>5316</v>
      </c>
      <c r="F3981" s="79" t="s">
        <v>9021</v>
      </c>
      <c r="G3981" s="80" t="s">
        <v>96</v>
      </c>
      <c r="H3981" s="90">
        <v>2.43E-5</v>
      </c>
      <c r="I3981" s="45"/>
      <c r="J3981" s="45"/>
      <c r="K3981" s="45"/>
      <c r="L3981" s="45"/>
      <c r="M3981" s="45"/>
      <c r="N3981" s="45"/>
      <c r="O3981" s="45"/>
      <c r="P3981" s="45"/>
      <c r="Q3981" s="45"/>
      <c r="R3981" s="45"/>
      <c r="S3981" s="45"/>
      <c r="T3981" s="45"/>
      <c r="U3981" s="45"/>
    </row>
    <row r="3982">
      <c r="A3982" s="79" t="s">
        <v>22992</v>
      </c>
      <c r="B3982" s="45"/>
      <c r="C3982" s="79" t="s">
        <v>22993</v>
      </c>
      <c r="D3982" s="45"/>
      <c r="E3982" s="79" t="s">
        <v>5238</v>
      </c>
      <c r="F3982" s="79" t="s">
        <v>8784</v>
      </c>
      <c r="G3982" s="80" t="s">
        <v>96</v>
      </c>
      <c r="H3982" s="90">
        <v>2.42E-5</v>
      </c>
      <c r="I3982" s="45"/>
      <c r="J3982" s="45"/>
      <c r="K3982" s="45"/>
      <c r="L3982" s="45"/>
      <c r="M3982" s="45"/>
      <c r="N3982" s="45"/>
      <c r="O3982" s="45"/>
      <c r="P3982" s="45"/>
      <c r="Q3982" s="45"/>
      <c r="R3982" s="45"/>
      <c r="S3982" s="45"/>
      <c r="T3982" s="45"/>
      <c r="U3982" s="45"/>
    </row>
    <row r="3983">
      <c r="A3983" s="79" t="s">
        <v>22994</v>
      </c>
      <c r="B3983" s="45"/>
      <c r="C3983" s="79" t="s">
        <v>22995</v>
      </c>
      <c r="D3983" s="45"/>
      <c r="E3983" s="79" t="s">
        <v>5229</v>
      </c>
      <c r="F3983" s="79" t="s">
        <v>5747</v>
      </c>
      <c r="G3983" s="80" t="s">
        <v>96</v>
      </c>
      <c r="H3983" s="90">
        <v>2.41E-5</v>
      </c>
      <c r="I3983" s="45"/>
      <c r="J3983" s="45"/>
      <c r="K3983" s="45"/>
      <c r="L3983" s="45"/>
      <c r="M3983" s="45"/>
      <c r="N3983" s="45"/>
      <c r="O3983" s="45"/>
      <c r="P3983" s="45"/>
      <c r="Q3983" s="45"/>
      <c r="R3983" s="45"/>
      <c r="S3983" s="45"/>
      <c r="T3983" s="45"/>
      <c r="U3983" s="45"/>
    </row>
    <row r="3984">
      <c r="A3984" s="79" t="s">
        <v>22996</v>
      </c>
      <c r="B3984" s="45"/>
      <c r="C3984" s="79" t="s">
        <v>22997</v>
      </c>
      <c r="D3984" s="45"/>
      <c r="E3984" s="79" t="s">
        <v>5377</v>
      </c>
      <c r="F3984" s="79" t="s">
        <v>4095</v>
      </c>
      <c r="G3984" s="80" t="s">
        <v>96</v>
      </c>
      <c r="H3984" s="90">
        <v>2.4E-5</v>
      </c>
      <c r="I3984" s="45"/>
      <c r="J3984" s="45"/>
      <c r="K3984" s="45"/>
      <c r="L3984" s="45"/>
      <c r="M3984" s="45"/>
      <c r="N3984" s="45"/>
      <c r="O3984" s="45"/>
      <c r="P3984" s="45"/>
      <c r="Q3984" s="45"/>
      <c r="R3984" s="45"/>
      <c r="S3984" s="45"/>
      <c r="T3984" s="45"/>
      <c r="U3984" s="45"/>
    </row>
    <row r="3985">
      <c r="A3985" s="79" t="s">
        <v>22998</v>
      </c>
      <c r="B3985" s="45"/>
      <c r="C3985" s="79" t="s">
        <v>22999</v>
      </c>
      <c r="D3985" s="45"/>
      <c r="E3985" s="79" t="s">
        <v>5422</v>
      </c>
      <c r="F3985" s="79" t="s">
        <v>8784</v>
      </c>
      <c r="G3985" s="80" t="s">
        <v>96</v>
      </c>
      <c r="H3985" s="90">
        <v>2.4E-5</v>
      </c>
      <c r="I3985" s="45"/>
      <c r="J3985" s="45"/>
      <c r="K3985" s="45"/>
      <c r="L3985" s="45"/>
      <c r="M3985" s="45"/>
      <c r="N3985" s="45"/>
      <c r="O3985" s="45"/>
      <c r="P3985" s="45"/>
      <c r="Q3985" s="45"/>
      <c r="R3985" s="45"/>
      <c r="S3985" s="45"/>
      <c r="T3985" s="45"/>
      <c r="U3985" s="45"/>
    </row>
    <row r="3986">
      <c r="A3986" s="79" t="s">
        <v>23000</v>
      </c>
      <c r="B3986" s="45"/>
      <c r="C3986" s="79" t="s">
        <v>23001</v>
      </c>
      <c r="D3986" s="45"/>
      <c r="E3986" s="79" t="s">
        <v>5445</v>
      </c>
      <c r="F3986" s="79" t="s">
        <v>9513</v>
      </c>
      <c r="G3986" s="80" t="s">
        <v>96</v>
      </c>
      <c r="H3986" s="90">
        <v>2.39E-5</v>
      </c>
      <c r="I3986" s="45"/>
      <c r="J3986" s="45"/>
      <c r="K3986" s="45"/>
      <c r="L3986" s="45"/>
      <c r="M3986" s="45"/>
      <c r="N3986" s="45"/>
      <c r="O3986" s="45"/>
      <c r="P3986" s="45"/>
      <c r="Q3986" s="45"/>
      <c r="R3986" s="45"/>
      <c r="S3986" s="45"/>
      <c r="T3986" s="45"/>
      <c r="U3986" s="45"/>
    </row>
    <row r="3987">
      <c r="A3987" s="79" t="s">
        <v>23002</v>
      </c>
      <c r="B3987" s="45"/>
      <c r="C3987" s="79" t="s">
        <v>23003</v>
      </c>
      <c r="D3987" s="45"/>
      <c r="E3987" s="79" t="s">
        <v>5478</v>
      </c>
      <c r="F3987" s="79" t="s">
        <v>5300</v>
      </c>
      <c r="G3987" s="80" t="s">
        <v>96</v>
      </c>
      <c r="H3987" s="90">
        <v>2.39E-5</v>
      </c>
      <c r="I3987" s="45"/>
      <c r="J3987" s="45"/>
      <c r="K3987" s="45"/>
      <c r="L3987" s="45"/>
      <c r="M3987" s="45"/>
      <c r="N3987" s="45"/>
      <c r="O3987" s="45"/>
      <c r="P3987" s="45"/>
      <c r="Q3987" s="45"/>
      <c r="R3987" s="45"/>
      <c r="S3987" s="45"/>
      <c r="T3987" s="45"/>
      <c r="U3987" s="45"/>
    </row>
    <row r="3988">
      <c r="A3988" s="79" t="s">
        <v>23004</v>
      </c>
      <c r="B3988" s="45"/>
      <c r="C3988" s="79" t="s">
        <v>23005</v>
      </c>
      <c r="D3988" s="45"/>
      <c r="E3988" s="79" t="s">
        <v>5235</v>
      </c>
      <c r="F3988" s="79" t="s">
        <v>5927</v>
      </c>
      <c r="G3988" s="80" t="s">
        <v>96</v>
      </c>
      <c r="H3988" s="90">
        <v>2.39E-5</v>
      </c>
      <c r="I3988" s="45"/>
      <c r="J3988" s="45"/>
      <c r="K3988" s="45"/>
      <c r="L3988" s="45"/>
      <c r="M3988" s="45"/>
      <c r="N3988" s="45"/>
      <c r="O3988" s="45"/>
      <c r="P3988" s="45"/>
      <c r="Q3988" s="45"/>
      <c r="R3988" s="45"/>
      <c r="S3988" s="45"/>
      <c r="T3988" s="45"/>
      <c r="U3988" s="45"/>
    </row>
    <row r="3989">
      <c r="A3989" s="79" t="s">
        <v>23006</v>
      </c>
      <c r="B3989" s="45"/>
      <c r="C3989" s="79" t="s">
        <v>23007</v>
      </c>
      <c r="D3989" s="45"/>
      <c r="E3989" s="79" t="s">
        <v>5249</v>
      </c>
      <c r="F3989" s="79" t="s">
        <v>5836</v>
      </c>
      <c r="G3989" s="80" t="s">
        <v>96</v>
      </c>
      <c r="H3989" s="90">
        <v>2.38E-5</v>
      </c>
      <c r="I3989" s="45"/>
      <c r="J3989" s="45"/>
      <c r="K3989" s="45"/>
      <c r="L3989" s="45"/>
      <c r="M3989" s="45"/>
      <c r="N3989" s="45"/>
      <c r="O3989" s="45"/>
      <c r="P3989" s="45"/>
      <c r="Q3989" s="45"/>
      <c r="R3989" s="45"/>
      <c r="S3989" s="45"/>
      <c r="T3989" s="45"/>
      <c r="U3989" s="45"/>
    </row>
    <row r="3990">
      <c r="A3990" s="79" t="s">
        <v>23008</v>
      </c>
      <c r="B3990" s="45"/>
      <c r="C3990" s="79" t="s">
        <v>23009</v>
      </c>
      <c r="D3990" s="45"/>
      <c r="E3990" s="79" t="s">
        <v>5258</v>
      </c>
      <c r="F3990" s="79" t="s">
        <v>5425</v>
      </c>
      <c r="G3990" s="80" t="s">
        <v>96</v>
      </c>
      <c r="H3990" s="90">
        <v>2.37E-5</v>
      </c>
      <c r="I3990" s="45"/>
      <c r="J3990" s="45"/>
      <c r="K3990" s="45"/>
      <c r="L3990" s="45"/>
      <c r="M3990" s="45"/>
      <c r="N3990" s="45"/>
      <c r="O3990" s="45"/>
      <c r="P3990" s="45"/>
      <c r="Q3990" s="45"/>
      <c r="R3990" s="45"/>
      <c r="S3990" s="45"/>
      <c r="T3990" s="45"/>
      <c r="U3990" s="45"/>
    </row>
    <row r="3991">
      <c r="A3991" s="79" t="s">
        <v>23010</v>
      </c>
      <c r="B3991" s="45"/>
      <c r="C3991" s="79" t="s">
        <v>23011</v>
      </c>
      <c r="D3991" s="45"/>
      <c r="E3991" s="79" t="s">
        <v>5261</v>
      </c>
      <c r="F3991" s="79" t="s">
        <v>5300</v>
      </c>
      <c r="G3991" s="80" t="s">
        <v>96</v>
      </c>
      <c r="H3991" s="90">
        <v>2.37E-5</v>
      </c>
      <c r="I3991" s="45"/>
      <c r="J3991" s="45"/>
      <c r="K3991" s="45"/>
      <c r="L3991" s="45"/>
      <c r="M3991" s="45"/>
      <c r="N3991" s="45"/>
      <c r="O3991" s="45"/>
      <c r="P3991" s="45"/>
      <c r="Q3991" s="45"/>
      <c r="R3991" s="45"/>
      <c r="S3991" s="45"/>
      <c r="T3991" s="45"/>
      <c r="U3991" s="45"/>
    </row>
    <row r="3992">
      <c r="A3992" s="79" t="s">
        <v>23012</v>
      </c>
      <c r="B3992" s="45"/>
      <c r="C3992" s="79" t="s">
        <v>23013</v>
      </c>
      <c r="D3992" s="45"/>
      <c r="E3992" s="79" t="s">
        <v>5374</v>
      </c>
      <c r="F3992" s="79" t="s">
        <v>5300</v>
      </c>
      <c r="G3992" s="80" t="s">
        <v>96</v>
      </c>
      <c r="H3992" s="90">
        <v>2.36E-5</v>
      </c>
      <c r="I3992" s="45"/>
      <c r="J3992" s="45"/>
      <c r="K3992" s="45"/>
      <c r="L3992" s="45"/>
      <c r="M3992" s="45"/>
      <c r="N3992" s="45"/>
      <c r="O3992" s="45"/>
      <c r="P3992" s="45"/>
      <c r="Q3992" s="45"/>
      <c r="R3992" s="45"/>
      <c r="S3992" s="45"/>
      <c r="T3992" s="45"/>
      <c r="U3992" s="45"/>
    </row>
    <row r="3993">
      <c r="A3993" s="79" t="s">
        <v>23014</v>
      </c>
      <c r="B3993" s="45"/>
      <c r="C3993" s="79" t="s">
        <v>23015</v>
      </c>
      <c r="D3993" s="45"/>
      <c r="E3993" s="79" t="s">
        <v>5215</v>
      </c>
      <c r="F3993" s="79" t="s">
        <v>5300</v>
      </c>
      <c r="G3993" s="80" t="s">
        <v>96</v>
      </c>
      <c r="H3993" s="90">
        <v>2.35E-5</v>
      </c>
      <c r="I3993" s="45"/>
      <c r="J3993" s="45"/>
      <c r="K3993" s="45"/>
      <c r="L3993" s="45"/>
      <c r="M3993" s="45"/>
      <c r="N3993" s="45"/>
      <c r="O3993" s="45"/>
      <c r="P3993" s="45"/>
      <c r="Q3993" s="45"/>
      <c r="R3993" s="45"/>
      <c r="S3993" s="45"/>
      <c r="T3993" s="45"/>
      <c r="U3993" s="45"/>
    </row>
    <row r="3994">
      <c r="A3994" s="79" t="s">
        <v>23016</v>
      </c>
      <c r="B3994" s="45"/>
      <c r="C3994" s="79" t="s">
        <v>23017</v>
      </c>
      <c r="D3994" s="45"/>
      <c r="E3994" s="79" t="s">
        <v>5283</v>
      </c>
      <c r="F3994" s="79" t="s">
        <v>8784</v>
      </c>
      <c r="G3994" s="80" t="s">
        <v>96</v>
      </c>
      <c r="H3994" s="90">
        <v>2.34E-5</v>
      </c>
      <c r="I3994" s="45"/>
      <c r="J3994" s="45"/>
      <c r="K3994" s="45"/>
      <c r="L3994" s="45"/>
      <c r="M3994" s="45"/>
      <c r="N3994" s="45"/>
      <c r="O3994" s="45"/>
      <c r="P3994" s="45"/>
      <c r="Q3994" s="45"/>
      <c r="R3994" s="45"/>
      <c r="S3994" s="45"/>
      <c r="T3994" s="45"/>
      <c r="U3994" s="45"/>
    </row>
    <row r="3995">
      <c r="A3995" s="79" t="s">
        <v>10806</v>
      </c>
      <c r="B3995" s="45"/>
      <c r="C3995" s="79" t="s">
        <v>23018</v>
      </c>
      <c r="D3995" s="45"/>
      <c r="E3995" s="79" t="s">
        <v>5316</v>
      </c>
      <c r="F3995" s="79" t="s">
        <v>5927</v>
      </c>
      <c r="G3995" s="80" t="s">
        <v>96</v>
      </c>
      <c r="H3995" s="90">
        <v>2.34E-5</v>
      </c>
      <c r="I3995" s="45"/>
      <c r="J3995" s="45"/>
      <c r="K3995" s="45"/>
      <c r="L3995" s="45"/>
      <c r="M3995" s="45"/>
      <c r="N3995" s="45"/>
      <c r="O3995" s="45"/>
      <c r="P3995" s="45"/>
      <c r="Q3995" s="45"/>
      <c r="R3995" s="45"/>
      <c r="S3995" s="45"/>
      <c r="T3995" s="45"/>
      <c r="U3995" s="45"/>
    </row>
    <row r="3996">
      <c r="A3996" s="79" t="s">
        <v>23019</v>
      </c>
      <c r="B3996" s="45"/>
      <c r="C3996" s="79" t="s">
        <v>23020</v>
      </c>
      <c r="D3996" s="45"/>
      <c r="E3996" s="79" t="s">
        <v>5445</v>
      </c>
      <c r="F3996" s="79" t="s">
        <v>8784</v>
      </c>
      <c r="G3996" s="80" t="s">
        <v>96</v>
      </c>
      <c r="H3996" s="90">
        <v>2.34E-5</v>
      </c>
      <c r="I3996" s="45"/>
      <c r="J3996" s="45"/>
      <c r="K3996" s="45"/>
      <c r="L3996" s="45"/>
      <c r="M3996" s="45"/>
      <c r="N3996" s="45"/>
      <c r="O3996" s="45"/>
      <c r="P3996" s="45"/>
      <c r="Q3996" s="45"/>
      <c r="R3996" s="45"/>
      <c r="S3996" s="45"/>
      <c r="T3996" s="45"/>
      <c r="U3996" s="45"/>
    </row>
    <row r="3997">
      <c r="A3997" s="79" t="s">
        <v>23021</v>
      </c>
      <c r="B3997" s="45"/>
      <c r="C3997" s="79" t="s">
        <v>23022</v>
      </c>
      <c r="D3997" s="45"/>
      <c r="E3997" s="79" t="s">
        <v>5374</v>
      </c>
      <c r="F3997" s="79" t="s">
        <v>5927</v>
      </c>
      <c r="G3997" s="80" t="s">
        <v>96</v>
      </c>
      <c r="H3997" s="90">
        <v>2.34E-5</v>
      </c>
      <c r="I3997" s="45"/>
      <c r="J3997" s="45"/>
      <c r="K3997" s="45"/>
      <c r="L3997" s="45"/>
      <c r="M3997" s="45"/>
      <c r="N3997" s="45"/>
      <c r="O3997" s="45"/>
      <c r="P3997" s="45"/>
      <c r="Q3997" s="45"/>
      <c r="R3997" s="45"/>
      <c r="S3997" s="45"/>
      <c r="T3997" s="45"/>
      <c r="U3997" s="45"/>
    </row>
    <row r="3998">
      <c r="A3998" s="79" t="s">
        <v>23023</v>
      </c>
      <c r="B3998" s="45"/>
      <c r="C3998" s="79" t="s">
        <v>23024</v>
      </c>
      <c r="D3998" s="45"/>
      <c r="E3998" s="79" t="s">
        <v>5232</v>
      </c>
      <c r="F3998" s="79" t="s">
        <v>8784</v>
      </c>
      <c r="G3998" s="80" t="s">
        <v>96</v>
      </c>
      <c r="H3998" s="90">
        <v>2.34E-5</v>
      </c>
      <c r="I3998" s="45"/>
      <c r="J3998" s="45"/>
      <c r="K3998" s="45"/>
      <c r="L3998" s="45"/>
      <c r="M3998" s="45"/>
      <c r="N3998" s="45"/>
      <c r="O3998" s="45"/>
      <c r="P3998" s="45"/>
      <c r="Q3998" s="45"/>
      <c r="R3998" s="45"/>
      <c r="S3998" s="45"/>
      <c r="T3998" s="45"/>
      <c r="U3998" s="45"/>
    </row>
    <row r="3999">
      <c r="A3999" s="79" t="s">
        <v>17105</v>
      </c>
      <c r="B3999" s="45"/>
      <c r="C3999" s="79" t="s">
        <v>23025</v>
      </c>
      <c r="D3999" s="45"/>
      <c r="E3999" s="79" t="s">
        <v>6389</v>
      </c>
      <c r="F3999" s="79" t="s">
        <v>9617</v>
      </c>
      <c r="G3999" s="80" t="s">
        <v>96</v>
      </c>
      <c r="H3999" s="90">
        <v>2.32E-5</v>
      </c>
      <c r="I3999" s="45"/>
      <c r="J3999" s="45"/>
      <c r="K3999" s="45"/>
      <c r="L3999" s="45"/>
      <c r="M3999" s="45"/>
      <c r="N3999" s="45"/>
      <c r="O3999" s="45"/>
      <c r="P3999" s="45"/>
      <c r="Q3999" s="45"/>
      <c r="R3999" s="45"/>
      <c r="S3999" s="45"/>
      <c r="T3999" s="45"/>
      <c r="U3999" s="45"/>
    </row>
    <row r="4000">
      <c r="A4000" s="79" t="s">
        <v>23026</v>
      </c>
      <c r="B4000" s="45"/>
      <c r="C4000" s="79" t="s">
        <v>23027</v>
      </c>
      <c r="D4000" s="45"/>
      <c r="E4000" s="79" t="s">
        <v>5276</v>
      </c>
      <c r="F4000" s="79" t="s">
        <v>8767</v>
      </c>
      <c r="G4000" s="80" t="s">
        <v>96</v>
      </c>
      <c r="H4000" s="90">
        <v>2.31E-5</v>
      </c>
      <c r="I4000" s="45"/>
      <c r="J4000" s="45"/>
      <c r="K4000" s="45"/>
      <c r="L4000" s="45"/>
      <c r="M4000" s="45"/>
      <c r="N4000" s="45"/>
      <c r="O4000" s="45"/>
      <c r="P4000" s="45"/>
      <c r="Q4000" s="45"/>
      <c r="R4000" s="45"/>
      <c r="S4000" s="45"/>
      <c r="T4000" s="45"/>
      <c r="U4000" s="45"/>
    </row>
    <row r="4001">
      <c r="A4001" s="79" t="s">
        <v>23028</v>
      </c>
      <c r="B4001" s="45"/>
      <c r="C4001" s="79" t="s">
        <v>23029</v>
      </c>
      <c r="D4001" s="45"/>
      <c r="E4001" s="79" t="s">
        <v>5211</v>
      </c>
      <c r="F4001" s="79" t="s">
        <v>8784</v>
      </c>
      <c r="G4001" s="80" t="s">
        <v>96</v>
      </c>
      <c r="H4001" s="90">
        <v>2.31E-5</v>
      </c>
      <c r="I4001" s="45"/>
      <c r="J4001" s="45"/>
      <c r="K4001" s="45"/>
      <c r="L4001" s="45"/>
      <c r="M4001" s="45"/>
      <c r="N4001" s="45"/>
      <c r="O4001" s="45"/>
      <c r="P4001" s="45"/>
      <c r="Q4001" s="45"/>
      <c r="R4001" s="45"/>
      <c r="S4001" s="45"/>
      <c r="T4001" s="45"/>
      <c r="U4001" s="45"/>
    </row>
    <row r="4002">
      <c r="A4002" s="79" t="s">
        <v>23030</v>
      </c>
      <c r="B4002" s="45"/>
      <c r="C4002" s="79" t="s">
        <v>23031</v>
      </c>
      <c r="D4002" s="45"/>
      <c r="E4002" s="79" t="s">
        <v>5808</v>
      </c>
      <c r="F4002" s="79" t="s">
        <v>8784</v>
      </c>
      <c r="G4002" s="80" t="s">
        <v>96</v>
      </c>
      <c r="H4002" s="90">
        <v>2.31E-5</v>
      </c>
      <c r="I4002" s="45"/>
      <c r="J4002" s="45"/>
      <c r="K4002" s="45"/>
      <c r="L4002" s="45"/>
      <c r="M4002" s="45"/>
      <c r="N4002" s="45"/>
      <c r="O4002" s="45"/>
      <c r="P4002" s="45"/>
      <c r="Q4002" s="45"/>
      <c r="R4002" s="45"/>
      <c r="S4002" s="45"/>
      <c r="T4002" s="45"/>
      <c r="U4002" s="45"/>
    </row>
    <row r="4003">
      <c r="A4003" s="79" t="s">
        <v>23032</v>
      </c>
      <c r="B4003" s="45"/>
      <c r="C4003" s="79" t="s">
        <v>23033</v>
      </c>
      <c r="D4003" s="45"/>
      <c r="E4003" s="79" t="s">
        <v>6480</v>
      </c>
      <c r="F4003" s="79" t="s">
        <v>5941</v>
      </c>
      <c r="G4003" s="80" t="s">
        <v>96</v>
      </c>
      <c r="H4003" s="90">
        <v>2.31E-5</v>
      </c>
      <c r="I4003" s="45"/>
      <c r="J4003" s="45"/>
      <c r="K4003" s="45"/>
      <c r="L4003" s="45"/>
      <c r="M4003" s="45"/>
      <c r="N4003" s="45"/>
      <c r="O4003" s="45"/>
      <c r="P4003" s="45"/>
      <c r="Q4003" s="45"/>
      <c r="R4003" s="45"/>
      <c r="S4003" s="45"/>
      <c r="T4003" s="45"/>
      <c r="U4003" s="45"/>
    </row>
    <row r="4004">
      <c r="A4004" s="79" t="s">
        <v>23034</v>
      </c>
      <c r="B4004" s="45"/>
      <c r="C4004" s="79" t="s">
        <v>23035</v>
      </c>
      <c r="D4004" s="45"/>
      <c r="E4004" s="79" t="s">
        <v>6130</v>
      </c>
      <c r="F4004" s="79" t="s">
        <v>8784</v>
      </c>
      <c r="G4004" s="80" t="s">
        <v>96</v>
      </c>
      <c r="H4004" s="90">
        <v>2.3E-5</v>
      </c>
      <c r="I4004" s="45"/>
      <c r="J4004" s="45"/>
      <c r="K4004" s="45"/>
      <c r="L4004" s="45"/>
      <c r="M4004" s="45"/>
      <c r="N4004" s="45"/>
      <c r="O4004" s="45"/>
      <c r="P4004" s="45"/>
      <c r="Q4004" s="45"/>
      <c r="R4004" s="45"/>
      <c r="S4004" s="45"/>
      <c r="T4004" s="45"/>
      <c r="U4004" s="45"/>
    </row>
    <row r="4005">
      <c r="A4005" s="79" t="s">
        <v>23036</v>
      </c>
      <c r="B4005" s="45"/>
      <c r="C4005" s="79" t="s">
        <v>23037</v>
      </c>
      <c r="D4005" s="45"/>
      <c r="E4005" s="79" t="s">
        <v>5401</v>
      </c>
      <c r="F4005" s="79" t="s">
        <v>8784</v>
      </c>
      <c r="G4005" s="80" t="s">
        <v>96</v>
      </c>
      <c r="H4005" s="90">
        <v>2.29E-5</v>
      </c>
      <c r="I4005" s="45"/>
      <c r="J4005" s="45"/>
      <c r="K4005" s="45"/>
      <c r="L4005" s="45"/>
      <c r="M4005" s="45"/>
      <c r="N4005" s="45"/>
      <c r="O4005" s="45"/>
      <c r="P4005" s="45"/>
      <c r="Q4005" s="45"/>
      <c r="R4005" s="45"/>
      <c r="S4005" s="45"/>
      <c r="T4005" s="45"/>
      <c r="U4005" s="45"/>
    </row>
    <row r="4006">
      <c r="A4006" s="79" t="s">
        <v>23038</v>
      </c>
      <c r="B4006" s="45"/>
      <c r="C4006" s="79" t="s">
        <v>23039</v>
      </c>
      <c r="D4006" s="45"/>
      <c r="E4006" s="79" t="s">
        <v>5264</v>
      </c>
      <c r="F4006" s="79" t="s">
        <v>9299</v>
      </c>
      <c r="G4006" s="80" t="s">
        <v>96</v>
      </c>
      <c r="H4006" s="90">
        <v>2.27E-5</v>
      </c>
      <c r="I4006" s="45"/>
      <c r="J4006" s="45"/>
      <c r="K4006" s="45"/>
      <c r="L4006" s="45"/>
      <c r="M4006" s="45"/>
      <c r="N4006" s="45"/>
      <c r="O4006" s="45"/>
      <c r="P4006" s="45"/>
      <c r="Q4006" s="45"/>
      <c r="R4006" s="45"/>
      <c r="S4006" s="45"/>
      <c r="T4006" s="45"/>
      <c r="U4006" s="45"/>
    </row>
    <row r="4007">
      <c r="A4007" s="79" t="s">
        <v>23040</v>
      </c>
      <c r="B4007" s="45"/>
      <c r="C4007" s="79" t="s">
        <v>23041</v>
      </c>
      <c r="D4007" s="45"/>
      <c r="E4007" s="79" t="s">
        <v>5238</v>
      </c>
      <c r="F4007" s="79" t="s">
        <v>9513</v>
      </c>
      <c r="G4007" s="80" t="s">
        <v>96</v>
      </c>
      <c r="H4007" s="90">
        <v>2.27E-5</v>
      </c>
      <c r="I4007" s="45"/>
      <c r="J4007" s="45"/>
      <c r="K4007" s="45"/>
      <c r="L4007" s="45"/>
      <c r="M4007" s="45"/>
      <c r="N4007" s="45"/>
      <c r="O4007" s="45"/>
      <c r="P4007" s="45"/>
      <c r="Q4007" s="45"/>
      <c r="R4007" s="45"/>
      <c r="S4007" s="45"/>
      <c r="T4007" s="45"/>
      <c r="U4007" s="45"/>
    </row>
    <row r="4008">
      <c r="A4008" s="79" t="s">
        <v>23042</v>
      </c>
      <c r="B4008" s="45"/>
      <c r="C4008" s="79" t="s">
        <v>23043</v>
      </c>
      <c r="D4008" s="45"/>
      <c r="E4008" s="79" t="s">
        <v>5226</v>
      </c>
      <c r="F4008" s="79" t="s">
        <v>9513</v>
      </c>
      <c r="G4008" s="80" t="s">
        <v>96</v>
      </c>
      <c r="H4008" s="90">
        <v>2.25E-5</v>
      </c>
      <c r="I4008" s="45"/>
      <c r="J4008" s="45"/>
      <c r="K4008" s="45"/>
      <c r="L4008" s="45"/>
      <c r="M4008" s="45"/>
      <c r="N4008" s="45"/>
      <c r="O4008" s="45"/>
      <c r="P4008" s="45"/>
      <c r="Q4008" s="45"/>
      <c r="R4008" s="45"/>
      <c r="S4008" s="45"/>
      <c r="T4008" s="45"/>
      <c r="U4008" s="45"/>
    </row>
    <row r="4009">
      <c r="A4009" s="79" t="s">
        <v>17536</v>
      </c>
      <c r="B4009" s="45"/>
      <c r="C4009" s="79" t="s">
        <v>20503</v>
      </c>
      <c r="D4009" s="45"/>
      <c r="E4009" s="79" t="s">
        <v>8154</v>
      </c>
      <c r="F4009" s="79" t="s">
        <v>4357</v>
      </c>
      <c r="G4009" s="80" t="s">
        <v>96</v>
      </c>
      <c r="H4009" s="90">
        <v>2.24E-5</v>
      </c>
      <c r="I4009" s="45"/>
      <c r="J4009" s="45"/>
      <c r="K4009" s="45"/>
      <c r="L4009" s="45"/>
      <c r="M4009" s="45"/>
      <c r="N4009" s="45"/>
      <c r="O4009" s="45"/>
      <c r="P4009" s="45"/>
      <c r="Q4009" s="45"/>
      <c r="R4009" s="45"/>
      <c r="S4009" s="45"/>
      <c r="T4009" s="45"/>
      <c r="U4009" s="45"/>
    </row>
    <row r="4010">
      <c r="A4010" s="79" t="s">
        <v>23044</v>
      </c>
      <c r="B4010" s="45"/>
      <c r="C4010" s="79" t="s">
        <v>23045</v>
      </c>
      <c r="D4010" s="45"/>
      <c r="E4010" s="79" t="s">
        <v>5232</v>
      </c>
      <c r="F4010" s="79" t="s">
        <v>5277</v>
      </c>
      <c r="G4010" s="80" t="s">
        <v>96</v>
      </c>
      <c r="H4010" s="90">
        <v>2.24E-5</v>
      </c>
      <c r="I4010" s="45"/>
      <c r="J4010" s="45"/>
      <c r="K4010" s="45"/>
      <c r="L4010" s="45"/>
      <c r="M4010" s="45"/>
      <c r="N4010" s="45"/>
      <c r="O4010" s="45"/>
      <c r="P4010" s="45"/>
      <c r="Q4010" s="45"/>
      <c r="R4010" s="45"/>
      <c r="S4010" s="45"/>
      <c r="T4010" s="45"/>
      <c r="U4010" s="45"/>
    </row>
    <row r="4011">
      <c r="A4011" s="79" t="s">
        <v>23046</v>
      </c>
      <c r="B4011" s="45"/>
      <c r="C4011" s="79" t="s">
        <v>23047</v>
      </c>
      <c r="D4011" s="45"/>
      <c r="E4011" s="79" t="s">
        <v>6115</v>
      </c>
      <c r="F4011" s="79" t="s">
        <v>9021</v>
      </c>
      <c r="G4011" s="80" t="s">
        <v>96</v>
      </c>
      <c r="H4011" s="90">
        <v>2.24E-5</v>
      </c>
      <c r="I4011" s="45"/>
      <c r="J4011" s="45"/>
      <c r="K4011" s="45"/>
      <c r="L4011" s="45"/>
      <c r="M4011" s="45"/>
      <c r="N4011" s="45"/>
      <c r="O4011" s="45"/>
      <c r="P4011" s="45"/>
      <c r="Q4011" s="45"/>
      <c r="R4011" s="45"/>
      <c r="S4011" s="45"/>
      <c r="T4011" s="45"/>
      <c r="U4011" s="45"/>
    </row>
    <row r="4012">
      <c r="A4012" s="79" t="s">
        <v>23048</v>
      </c>
      <c r="B4012" s="45"/>
      <c r="C4012" s="79" t="s">
        <v>23049</v>
      </c>
      <c r="D4012" s="45"/>
      <c r="E4012" s="79" t="s">
        <v>18489</v>
      </c>
      <c r="F4012" s="79" t="s">
        <v>5836</v>
      </c>
      <c r="G4012" s="80" t="s">
        <v>96</v>
      </c>
      <c r="H4012" s="90">
        <v>2.23E-5</v>
      </c>
      <c r="I4012" s="45"/>
      <c r="J4012" s="45"/>
      <c r="K4012" s="45"/>
      <c r="L4012" s="45"/>
      <c r="M4012" s="45"/>
      <c r="N4012" s="45"/>
      <c r="O4012" s="45"/>
      <c r="P4012" s="45"/>
      <c r="Q4012" s="45"/>
      <c r="R4012" s="45"/>
      <c r="S4012" s="45"/>
      <c r="T4012" s="45"/>
      <c r="U4012" s="45"/>
    </row>
    <row r="4013">
      <c r="A4013" s="79" t="s">
        <v>23050</v>
      </c>
      <c r="B4013" s="45"/>
      <c r="C4013" s="79" t="s">
        <v>23051</v>
      </c>
      <c r="D4013" s="45"/>
      <c r="E4013" s="79" t="s">
        <v>5326</v>
      </c>
      <c r="F4013" s="79" t="s">
        <v>8784</v>
      </c>
      <c r="G4013" s="80" t="s">
        <v>96</v>
      </c>
      <c r="H4013" s="90">
        <v>2.22E-5</v>
      </c>
      <c r="I4013" s="45"/>
      <c r="J4013" s="45"/>
      <c r="K4013" s="45"/>
      <c r="L4013" s="45"/>
      <c r="M4013" s="45"/>
      <c r="N4013" s="45"/>
      <c r="O4013" s="45"/>
      <c r="P4013" s="45"/>
      <c r="Q4013" s="45"/>
      <c r="R4013" s="45"/>
      <c r="S4013" s="45"/>
      <c r="T4013" s="45"/>
      <c r="U4013" s="45"/>
    </row>
    <row r="4014">
      <c r="A4014" s="79" t="s">
        <v>23052</v>
      </c>
      <c r="B4014" s="45"/>
      <c r="C4014" s="79" t="s">
        <v>23053</v>
      </c>
      <c r="D4014" s="45"/>
      <c r="E4014" s="79" t="s">
        <v>5759</v>
      </c>
      <c r="F4014" s="79" t="s">
        <v>5927</v>
      </c>
      <c r="G4014" s="80" t="s">
        <v>96</v>
      </c>
      <c r="H4014" s="90">
        <v>2.21E-5</v>
      </c>
      <c r="I4014" s="45"/>
      <c r="J4014" s="45"/>
      <c r="K4014" s="45"/>
      <c r="L4014" s="45"/>
      <c r="M4014" s="45"/>
      <c r="N4014" s="45"/>
      <c r="O4014" s="45"/>
      <c r="P4014" s="45"/>
      <c r="Q4014" s="45"/>
      <c r="R4014" s="45"/>
      <c r="S4014" s="45"/>
      <c r="T4014" s="45"/>
      <c r="U4014" s="45"/>
    </row>
    <row r="4015">
      <c r="A4015" s="79" t="s">
        <v>23054</v>
      </c>
      <c r="B4015" s="45"/>
      <c r="C4015" s="79" t="s">
        <v>23055</v>
      </c>
      <c r="D4015" s="45"/>
      <c r="E4015" s="79" t="s">
        <v>5366</v>
      </c>
      <c r="F4015" s="79" t="s">
        <v>5300</v>
      </c>
      <c r="G4015" s="80" t="s">
        <v>96</v>
      </c>
      <c r="H4015" s="90">
        <v>2.2E-5</v>
      </c>
      <c r="I4015" s="45"/>
      <c r="J4015" s="45"/>
      <c r="K4015" s="45"/>
      <c r="L4015" s="45"/>
      <c r="M4015" s="45"/>
      <c r="N4015" s="45"/>
      <c r="O4015" s="45"/>
      <c r="P4015" s="45"/>
      <c r="Q4015" s="45"/>
      <c r="R4015" s="45"/>
      <c r="S4015" s="45"/>
      <c r="T4015" s="45"/>
      <c r="U4015" s="45"/>
    </row>
    <row r="4016">
      <c r="A4016" s="79" t="s">
        <v>23056</v>
      </c>
      <c r="B4016" s="45"/>
      <c r="C4016" s="79" t="s">
        <v>23057</v>
      </c>
      <c r="D4016" s="45"/>
      <c r="E4016" s="79" t="s">
        <v>5561</v>
      </c>
      <c r="F4016" s="79" t="s">
        <v>4095</v>
      </c>
      <c r="G4016" s="80" t="s">
        <v>96</v>
      </c>
      <c r="H4016" s="90">
        <v>2.2E-5</v>
      </c>
      <c r="I4016" s="45"/>
      <c r="J4016" s="45"/>
      <c r="K4016" s="45"/>
      <c r="L4016" s="45"/>
      <c r="M4016" s="45"/>
      <c r="N4016" s="45"/>
      <c r="O4016" s="45"/>
      <c r="P4016" s="45"/>
      <c r="Q4016" s="45"/>
      <c r="R4016" s="45"/>
      <c r="S4016" s="45"/>
      <c r="T4016" s="45"/>
      <c r="U4016" s="45"/>
    </row>
    <row r="4017">
      <c r="A4017" s="79" t="s">
        <v>23058</v>
      </c>
      <c r="B4017" s="45"/>
      <c r="C4017" s="79" t="s">
        <v>23059</v>
      </c>
      <c r="D4017" s="45"/>
      <c r="E4017" s="79" t="s">
        <v>5238</v>
      </c>
      <c r="F4017" s="79" t="s">
        <v>8784</v>
      </c>
      <c r="G4017" s="80" t="s">
        <v>96</v>
      </c>
      <c r="H4017" s="90">
        <v>2.19E-5</v>
      </c>
      <c r="I4017" s="45"/>
      <c r="J4017" s="45"/>
      <c r="K4017" s="45"/>
      <c r="L4017" s="45"/>
      <c r="M4017" s="45"/>
      <c r="N4017" s="45"/>
      <c r="O4017" s="45"/>
      <c r="P4017" s="45"/>
      <c r="Q4017" s="45"/>
      <c r="R4017" s="45"/>
      <c r="S4017" s="45"/>
      <c r="T4017" s="45"/>
      <c r="U4017" s="45"/>
    </row>
    <row r="4018">
      <c r="A4018" s="79" t="s">
        <v>23060</v>
      </c>
      <c r="B4018" s="45"/>
      <c r="C4018" s="79" t="s">
        <v>23061</v>
      </c>
      <c r="D4018" s="45"/>
      <c r="E4018" s="79" t="s">
        <v>5253</v>
      </c>
      <c r="F4018" s="79" t="s">
        <v>5836</v>
      </c>
      <c r="G4018" s="80" t="s">
        <v>96</v>
      </c>
      <c r="H4018" s="90">
        <v>2.19E-5</v>
      </c>
      <c r="I4018" s="45"/>
      <c r="J4018" s="45"/>
      <c r="K4018" s="45"/>
      <c r="L4018" s="45"/>
      <c r="M4018" s="45"/>
      <c r="N4018" s="45"/>
      <c r="O4018" s="45"/>
      <c r="P4018" s="45"/>
      <c r="Q4018" s="45"/>
      <c r="R4018" s="45"/>
      <c r="S4018" s="45"/>
      <c r="T4018" s="45"/>
      <c r="U4018" s="45"/>
    </row>
    <row r="4019">
      <c r="A4019" s="79" t="s">
        <v>23062</v>
      </c>
      <c r="B4019" s="45"/>
      <c r="C4019" s="79" t="s">
        <v>23063</v>
      </c>
      <c r="D4019" s="45"/>
      <c r="E4019" s="79" t="s">
        <v>5374</v>
      </c>
      <c r="F4019" s="79" t="s">
        <v>8784</v>
      </c>
      <c r="G4019" s="80" t="s">
        <v>96</v>
      </c>
      <c r="H4019" s="90">
        <v>2.18E-5</v>
      </c>
      <c r="I4019" s="45"/>
      <c r="J4019" s="45"/>
      <c r="K4019" s="45"/>
      <c r="L4019" s="45"/>
      <c r="M4019" s="45"/>
      <c r="N4019" s="45"/>
      <c r="O4019" s="45"/>
      <c r="P4019" s="45"/>
      <c r="Q4019" s="45"/>
      <c r="R4019" s="45"/>
      <c r="S4019" s="45"/>
      <c r="T4019" s="45"/>
      <c r="U4019" s="45"/>
    </row>
    <row r="4020">
      <c r="A4020" s="79" t="s">
        <v>23064</v>
      </c>
      <c r="B4020" s="45"/>
      <c r="C4020" s="79" t="s">
        <v>23065</v>
      </c>
      <c r="D4020" s="45"/>
      <c r="E4020" s="79" t="s">
        <v>5811</v>
      </c>
      <c r="F4020" s="79" t="s">
        <v>5836</v>
      </c>
      <c r="G4020" s="80" t="s">
        <v>96</v>
      </c>
      <c r="H4020" s="90">
        <v>2.18E-5</v>
      </c>
      <c r="I4020" s="45"/>
      <c r="J4020" s="45"/>
      <c r="K4020" s="45"/>
      <c r="L4020" s="45"/>
      <c r="M4020" s="45"/>
      <c r="N4020" s="45"/>
      <c r="O4020" s="45"/>
      <c r="P4020" s="45"/>
      <c r="Q4020" s="45"/>
      <c r="R4020" s="45"/>
      <c r="S4020" s="45"/>
      <c r="T4020" s="45"/>
      <c r="U4020" s="45"/>
    </row>
    <row r="4021">
      <c r="A4021" s="79" t="s">
        <v>23066</v>
      </c>
      <c r="B4021" s="45"/>
      <c r="C4021" s="79" t="s">
        <v>23067</v>
      </c>
      <c r="D4021" s="45"/>
      <c r="E4021" s="79" t="s">
        <v>5811</v>
      </c>
      <c r="F4021" s="79" t="s">
        <v>4357</v>
      </c>
      <c r="G4021" s="80" t="s">
        <v>96</v>
      </c>
      <c r="H4021" s="90">
        <v>2.17E-5</v>
      </c>
      <c r="I4021" s="45"/>
      <c r="J4021" s="45"/>
      <c r="K4021" s="45"/>
      <c r="L4021" s="45"/>
      <c r="M4021" s="45"/>
      <c r="N4021" s="45"/>
      <c r="O4021" s="45"/>
      <c r="P4021" s="45"/>
      <c r="Q4021" s="45"/>
      <c r="R4021" s="45"/>
      <c r="S4021" s="45"/>
      <c r="T4021" s="45"/>
      <c r="U4021" s="45"/>
    </row>
    <row r="4022">
      <c r="A4022" s="79" t="s">
        <v>23068</v>
      </c>
      <c r="B4022" s="45"/>
      <c r="C4022" s="79" t="s">
        <v>23069</v>
      </c>
      <c r="D4022" s="45"/>
      <c r="E4022" s="79" t="s">
        <v>5267</v>
      </c>
      <c r="F4022" s="79" t="s">
        <v>4095</v>
      </c>
      <c r="G4022" s="80" t="s">
        <v>96</v>
      </c>
      <c r="H4022" s="90">
        <v>2.17E-5</v>
      </c>
      <c r="I4022" s="45"/>
      <c r="J4022" s="45"/>
      <c r="K4022" s="45"/>
      <c r="L4022" s="45"/>
      <c r="M4022" s="45"/>
      <c r="N4022" s="45"/>
      <c r="O4022" s="45"/>
      <c r="P4022" s="45"/>
      <c r="Q4022" s="45"/>
      <c r="R4022" s="45"/>
      <c r="S4022" s="45"/>
      <c r="T4022" s="45"/>
      <c r="U4022" s="45"/>
    </row>
    <row r="4023">
      <c r="A4023" s="79" t="s">
        <v>23070</v>
      </c>
      <c r="B4023" s="45"/>
      <c r="C4023" s="79" t="s">
        <v>23071</v>
      </c>
      <c r="D4023" s="45"/>
      <c r="E4023" s="79" t="s">
        <v>6130</v>
      </c>
      <c r="F4023" s="79" t="s">
        <v>4357</v>
      </c>
      <c r="G4023" s="80" t="s">
        <v>96</v>
      </c>
      <c r="H4023" s="90">
        <v>2.17E-5</v>
      </c>
      <c r="I4023" s="45"/>
      <c r="J4023" s="45"/>
      <c r="K4023" s="45"/>
      <c r="L4023" s="45"/>
      <c r="M4023" s="45"/>
      <c r="N4023" s="45"/>
      <c r="O4023" s="45"/>
      <c r="P4023" s="45"/>
      <c r="Q4023" s="45"/>
      <c r="R4023" s="45"/>
      <c r="S4023" s="45"/>
      <c r="T4023" s="45"/>
      <c r="U4023" s="45"/>
    </row>
    <row r="4024">
      <c r="A4024" s="79" t="s">
        <v>23072</v>
      </c>
      <c r="B4024" s="45"/>
      <c r="C4024" s="79" t="s">
        <v>23073</v>
      </c>
      <c r="D4024" s="45"/>
      <c r="E4024" s="79" t="s">
        <v>5407</v>
      </c>
      <c r="F4024" s="79" t="s">
        <v>8784</v>
      </c>
      <c r="G4024" s="80" t="s">
        <v>96</v>
      </c>
      <c r="H4024" s="90">
        <v>2.16E-5</v>
      </c>
      <c r="I4024" s="45"/>
      <c r="J4024" s="45"/>
      <c r="K4024" s="45"/>
      <c r="L4024" s="45"/>
      <c r="M4024" s="45"/>
      <c r="N4024" s="45"/>
      <c r="O4024" s="45"/>
      <c r="P4024" s="45"/>
      <c r="Q4024" s="45"/>
      <c r="R4024" s="45"/>
      <c r="S4024" s="45"/>
      <c r="T4024" s="45"/>
      <c r="U4024" s="45"/>
    </row>
    <row r="4025">
      <c r="A4025" s="79" t="s">
        <v>23074</v>
      </c>
      <c r="B4025" s="45"/>
      <c r="C4025" s="79" t="s">
        <v>23075</v>
      </c>
      <c r="D4025" s="45"/>
      <c r="E4025" s="79" t="s">
        <v>7248</v>
      </c>
      <c r="F4025" s="79" t="s">
        <v>8784</v>
      </c>
      <c r="G4025" s="80" t="s">
        <v>96</v>
      </c>
      <c r="H4025" s="90">
        <v>2.15E-5</v>
      </c>
      <c r="I4025" s="45"/>
      <c r="J4025" s="45"/>
      <c r="K4025" s="45"/>
      <c r="L4025" s="45"/>
      <c r="M4025" s="45"/>
      <c r="N4025" s="45"/>
      <c r="O4025" s="45"/>
      <c r="P4025" s="45"/>
      <c r="Q4025" s="45"/>
      <c r="R4025" s="45"/>
      <c r="S4025" s="45"/>
      <c r="T4025" s="45"/>
      <c r="U4025" s="45"/>
    </row>
    <row r="4026">
      <c r="A4026" s="79" t="s">
        <v>17160</v>
      </c>
      <c r="B4026" s="45"/>
      <c r="C4026" s="79" t="s">
        <v>23076</v>
      </c>
      <c r="D4026" s="45"/>
      <c r="E4026" s="79" t="s">
        <v>5374</v>
      </c>
      <c r="F4026" s="79" t="s">
        <v>4357</v>
      </c>
      <c r="G4026" s="80" t="s">
        <v>96</v>
      </c>
      <c r="H4026" s="90">
        <v>2.15E-5</v>
      </c>
      <c r="I4026" s="45"/>
      <c r="J4026" s="45"/>
      <c r="K4026" s="45"/>
      <c r="L4026" s="45"/>
      <c r="M4026" s="45"/>
      <c r="N4026" s="45"/>
      <c r="O4026" s="45"/>
      <c r="P4026" s="45"/>
      <c r="Q4026" s="45"/>
      <c r="R4026" s="45"/>
      <c r="S4026" s="45"/>
      <c r="T4026" s="45"/>
      <c r="U4026" s="45"/>
    </row>
    <row r="4027">
      <c r="A4027" s="79" t="s">
        <v>23077</v>
      </c>
      <c r="B4027" s="45"/>
      <c r="C4027" s="79" t="s">
        <v>23078</v>
      </c>
      <c r="D4027" s="45"/>
      <c r="E4027" s="79" t="s">
        <v>5456</v>
      </c>
      <c r="F4027" s="79" t="s">
        <v>5300</v>
      </c>
      <c r="G4027" s="80" t="s">
        <v>96</v>
      </c>
      <c r="H4027" s="90">
        <v>2.15E-5</v>
      </c>
      <c r="I4027" s="45"/>
      <c r="J4027" s="45"/>
      <c r="K4027" s="45"/>
      <c r="L4027" s="45"/>
      <c r="M4027" s="45"/>
      <c r="N4027" s="45"/>
      <c r="O4027" s="45"/>
      <c r="P4027" s="45"/>
      <c r="Q4027" s="45"/>
      <c r="R4027" s="45"/>
      <c r="S4027" s="45"/>
      <c r="T4027" s="45"/>
      <c r="U4027" s="45"/>
    </row>
    <row r="4028">
      <c r="A4028" s="79" t="s">
        <v>23079</v>
      </c>
      <c r="B4028" s="45"/>
      <c r="C4028" s="79" t="s">
        <v>23080</v>
      </c>
      <c r="D4028" s="45"/>
      <c r="E4028" s="79" t="s">
        <v>5341</v>
      </c>
      <c r="F4028" s="79" t="s">
        <v>5941</v>
      </c>
      <c r="G4028" s="80" t="s">
        <v>96</v>
      </c>
      <c r="H4028" s="90">
        <v>2.14E-5</v>
      </c>
      <c r="I4028" s="45"/>
      <c r="J4028" s="45"/>
      <c r="K4028" s="45"/>
      <c r="L4028" s="45"/>
      <c r="M4028" s="45"/>
      <c r="N4028" s="45"/>
      <c r="O4028" s="45"/>
      <c r="P4028" s="45"/>
      <c r="Q4028" s="45"/>
      <c r="R4028" s="45"/>
      <c r="S4028" s="45"/>
      <c r="T4028" s="45"/>
      <c r="U4028" s="45"/>
    </row>
    <row r="4029">
      <c r="A4029" s="79" t="s">
        <v>23081</v>
      </c>
      <c r="B4029" s="45"/>
      <c r="C4029" s="79" t="s">
        <v>23082</v>
      </c>
      <c r="D4029" s="45"/>
      <c r="E4029" s="79" t="s">
        <v>5211</v>
      </c>
      <c r="F4029" s="79" t="s">
        <v>5836</v>
      </c>
      <c r="G4029" s="80" t="s">
        <v>96</v>
      </c>
      <c r="H4029" s="90">
        <v>2.13E-5</v>
      </c>
      <c r="I4029" s="45"/>
      <c r="J4029" s="45"/>
      <c r="K4029" s="45"/>
      <c r="L4029" s="45"/>
      <c r="M4029" s="45"/>
      <c r="N4029" s="45"/>
      <c r="O4029" s="45"/>
      <c r="P4029" s="45"/>
      <c r="Q4029" s="45"/>
      <c r="R4029" s="45"/>
      <c r="S4029" s="45"/>
      <c r="T4029" s="45"/>
      <c r="U4029" s="45"/>
    </row>
    <row r="4030">
      <c r="A4030" s="79" t="s">
        <v>23083</v>
      </c>
      <c r="B4030" s="45"/>
      <c r="C4030" s="79" t="s">
        <v>23084</v>
      </c>
      <c r="D4030" s="45"/>
      <c r="E4030" s="79" t="s">
        <v>6130</v>
      </c>
      <c r="F4030" s="79" t="s">
        <v>8784</v>
      </c>
      <c r="G4030" s="80" t="s">
        <v>96</v>
      </c>
      <c r="H4030" s="90">
        <v>2.13E-5</v>
      </c>
      <c r="I4030" s="45"/>
      <c r="J4030" s="45"/>
      <c r="K4030" s="45"/>
      <c r="L4030" s="45"/>
      <c r="M4030" s="45"/>
      <c r="N4030" s="45"/>
      <c r="O4030" s="45"/>
      <c r="P4030" s="45"/>
      <c r="Q4030" s="45"/>
      <c r="R4030" s="45"/>
      <c r="S4030" s="45"/>
      <c r="T4030" s="45"/>
      <c r="U4030" s="45"/>
    </row>
    <row r="4031">
      <c r="A4031" s="79" t="s">
        <v>23085</v>
      </c>
      <c r="B4031" s="45"/>
      <c r="C4031" s="79" t="s">
        <v>23086</v>
      </c>
      <c r="D4031" s="45"/>
      <c r="E4031" s="79" t="s">
        <v>5478</v>
      </c>
      <c r="F4031" s="79" t="s">
        <v>5300</v>
      </c>
      <c r="G4031" s="80" t="s">
        <v>96</v>
      </c>
      <c r="H4031" s="90">
        <v>2.11E-5</v>
      </c>
      <c r="I4031" s="45"/>
      <c r="J4031" s="45"/>
      <c r="K4031" s="45"/>
      <c r="L4031" s="45"/>
      <c r="M4031" s="45"/>
      <c r="N4031" s="45"/>
      <c r="O4031" s="45"/>
      <c r="P4031" s="45"/>
      <c r="Q4031" s="45"/>
      <c r="R4031" s="45"/>
      <c r="S4031" s="45"/>
      <c r="T4031" s="45"/>
      <c r="U4031" s="45"/>
    </row>
    <row r="4032">
      <c r="A4032" s="79" t="s">
        <v>23087</v>
      </c>
      <c r="B4032" s="45"/>
      <c r="C4032" s="79" t="s">
        <v>23088</v>
      </c>
      <c r="D4032" s="45"/>
      <c r="E4032" s="79" t="s">
        <v>6115</v>
      </c>
      <c r="F4032" s="79" t="s">
        <v>5927</v>
      </c>
      <c r="G4032" s="80" t="s">
        <v>96</v>
      </c>
      <c r="H4032" s="90">
        <v>2.09E-5</v>
      </c>
      <c r="I4032" s="45"/>
      <c r="J4032" s="45"/>
      <c r="K4032" s="45"/>
      <c r="L4032" s="45"/>
      <c r="M4032" s="45"/>
      <c r="N4032" s="45"/>
      <c r="O4032" s="45"/>
      <c r="P4032" s="45"/>
      <c r="Q4032" s="45"/>
      <c r="R4032" s="45"/>
      <c r="S4032" s="45"/>
      <c r="T4032" s="45"/>
      <c r="U4032" s="45"/>
    </row>
    <row r="4033">
      <c r="A4033" s="79" t="s">
        <v>23089</v>
      </c>
      <c r="B4033" s="45"/>
      <c r="C4033" s="79" t="s">
        <v>23090</v>
      </c>
      <c r="D4033" s="45"/>
      <c r="E4033" s="79" t="s">
        <v>5961</v>
      </c>
      <c r="F4033" s="79" t="s">
        <v>9021</v>
      </c>
      <c r="G4033" s="80" t="s">
        <v>96</v>
      </c>
      <c r="H4033" s="90">
        <v>2.07E-5</v>
      </c>
      <c r="I4033" s="45"/>
      <c r="J4033" s="45"/>
      <c r="K4033" s="45"/>
      <c r="L4033" s="45"/>
      <c r="M4033" s="45"/>
      <c r="N4033" s="45"/>
      <c r="O4033" s="45"/>
      <c r="P4033" s="45"/>
      <c r="Q4033" s="45"/>
      <c r="R4033" s="45"/>
      <c r="S4033" s="45"/>
      <c r="T4033" s="45"/>
      <c r="U4033" s="45"/>
    </row>
    <row r="4034">
      <c r="A4034" s="79" t="s">
        <v>23091</v>
      </c>
      <c r="B4034" s="45"/>
      <c r="C4034" s="79" t="s">
        <v>23092</v>
      </c>
      <c r="D4034" s="45"/>
      <c r="E4034" s="79" t="s">
        <v>5589</v>
      </c>
      <c r="F4034" s="79" t="s">
        <v>5300</v>
      </c>
      <c r="G4034" s="80" t="s">
        <v>96</v>
      </c>
      <c r="H4034" s="90">
        <v>2.07E-5</v>
      </c>
      <c r="I4034" s="45"/>
      <c r="J4034" s="45"/>
      <c r="K4034" s="45"/>
      <c r="L4034" s="45"/>
      <c r="M4034" s="45"/>
      <c r="N4034" s="45"/>
      <c r="O4034" s="45"/>
      <c r="P4034" s="45"/>
      <c r="Q4034" s="45"/>
      <c r="R4034" s="45"/>
      <c r="S4034" s="45"/>
      <c r="T4034" s="45"/>
      <c r="U4034" s="45"/>
    </row>
    <row r="4035">
      <c r="A4035" s="79" t="s">
        <v>23093</v>
      </c>
      <c r="B4035" s="45"/>
      <c r="C4035" s="79" t="s">
        <v>23094</v>
      </c>
      <c r="D4035" s="45"/>
      <c r="E4035" s="79" t="s">
        <v>5229</v>
      </c>
      <c r="F4035" s="79" t="s">
        <v>8784</v>
      </c>
      <c r="G4035" s="80" t="s">
        <v>96</v>
      </c>
      <c r="H4035" s="90">
        <v>2.07E-5</v>
      </c>
      <c r="I4035" s="45"/>
      <c r="J4035" s="45"/>
      <c r="K4035" s="45"/>
      <c r="L4035" s="45"/>
      <c r="M4035" s="45"/>
      <c r="N4035" s="45"/>
      <c r="O4035" s="45"/>
      <c r="P4035" s="45"/>
      <c r="Q4035" s="45"/>
      <c r="R4035" s="45"/>
      <c r="S4035" s="45"/>
      <c r="T4035" s="45"/>
      <c r="U4035" s="45"/>
    </row>
    <row r="4036">
      <c r="A4036" s="79" t="s">
        <v>23095</v>
      </c>
      <c r="B4036" s="45"/>
      <c r="C4036" s="79" t="s">
        <v>23096</v>
      </c>
      <c r="D4036" s="45"/>
      <c r="E4036" s="79" t="s">
        <v>5267</v>
      </c>
      <c r="F4036" s="79" t="s">
        <v>8784</v>
      </c>
      <c r="G4036" s="80" t="s">
        <v>96</v>
      </c>
      <c r="H4036" s="90">
        <v>2.07E-5</v>
      </c>
      <c r="I4036" s="45"/>
      <c r="J4036" s="45"/>
      <c r="K4036" s="45"/>
      <c r="L4036" s="45"/>
      <c r="M4036" s="45"/>
      <c r="N4036" s="45"/>
      <c r="O4036" s="45"/>
      <c r="P4036" s="45"/>
      <c r="Q4036" s="45"/>
      <c r="R4036" s="45"/>
      <c r="S4036" s="45"/>
      <c r="T4036" s="45"/>
      <c r="U4036" s="45"/>
    </row>
    <row r="4037">
      <c r="A4037" s="79" t="s">
        <v>4058</v>
      </c>
      <c r="B4037" s="45"/>
      <c r="C4037" s="79" t="s">
        <v>23097</v>
      </c>
      <c r="D4037" s="45"/>
      <c r="E4037" s="79" t="s">
        <v>5756</v>
      </c>
      <c r="F4037" s="79" t="s">
        <v>6698</v>
      </c>
      <c r="G4037" s="80" t="s">
        <v>96</v>
      </c>
      <c r="H4037" s="90">
        <v>2.05E-5</v>
      </c>
      <c r="I4037" s="45"/>
      <c r="J4037" s="45"/>
      <c r="K4037" s="45"/>
      <c r="L4037" s="45"/>
      <c r="M4037" s="45"/>
      <c r="N4037" s="45"/>
      <c r="O4037" s="45"/>
      <c r="P4037" s="45"/>
      <c r="Q4037" s="45"/>
      <c r="R4037" s="45"/>
      <c r="S4037" s="45"/>
      <c r="T4037" s="45"/>
      <c r="U4037" s="45"/>
    </row>
    <row r="4038">
      <c r="A4038" s="79" t="s">
        <v>23098</v>
      </c>
      <c r="B4038" s="45"/>
      <c r="C4038" s="79" t="s">
        <v>23099</v>
      </c>
      <c r="D4038" s="45"/>
      <c r="E4038" s="79" t="s">
        <v>5501</v>
      </c>
      <c r="F4038" s="79" t="s">
        <v>5747</v>
      </c>
      <c r="G4038" s="80" t="s">
        <v>96</v>
      </c>
      <c r="H4038" s="90">
        <v>2.04E-5</v>
      </c>
      <c r="I4038" s="45"/>
      <c r="J4038" s="45"/>
      <c r="K4038" s="45"/>
      <c r="L4038" s="45"/>
      <c r="M4038" s="45"/>
      <c r="N4038" s="45"/>
      <c r="O4038" s="45"/>
      <c r="P4038" s="45"/>
      <c r="Q4038" s="45"/>
      <c r="R4038" s="45"/>
      <c r="S4038" s="45"/>
      <c r="T4038" s="45"/>
      <c r="U4038" s="45"/>
    </row>
    <row r="4039">
      <c r="A4039" s="79" t="s">
        <v>23100</v>
      </c>
      <c r="B4039" s="45"/>
      <c r="C4039" s="79" t="s">
        <v>23101</v>
      </c>
      <c r="D4039" s="45"/>
      <c r="E4039" s="79" t="s">
        <v>5467</v>
      </c>
      <c r="F4039" s="79" t="s">
        <v>4153</v>
      </c>
      <c r="G4039" s="80" t="s">
        <v>96</v>
      </c>
      <c r="H4039" s="90">
        <v>2.03E-5</v>
      </c>
      <c r="I4039" s="45"/>
      <c r="J4039" s="45"/>
      <c r="K4039" s="45"/>
      <c r="L4039" s="45"/>
      <c r="M4039" s="45"/>
      <c r="N4039" s="45"/>
      <c r="O4039" s="45"/>
      <c r="P4039" s="45"/>
      <c r="Q4039" s="45"/>
      <c r="R4039" s="45"/>
      <c r="S4039" s="45"/>
      <c r="T4039" s="45"/>
      <c r="U4039" s="45"/>
    </row>
    <row r="4040">
      <c r="A4040" s="79" t="s">
        <v>23102</v>
      </c>
      <c r="B4040" s="45"/>
      <c r="C4040" s="79" t="s">
        <v>23103</v>
      </c>
      <c r="D4040" s="45"/>
      <c r="E4040" s="79" t="s">
        <v>5283</v>
      </c>
      <c r="F4040" s="79" t="s">
        <v>9513</v>
      </c>
      <c r="G4040" s="80" t="s">
        <v>96</v>
      </c>
      <c r="H4040" s="90">
        <v>2.01E-5</v>
      </c>
      <c r="I4040" s="45"/>
      <c r="J4040" s="45"/>
      <c r="K4040" s="45"/>
      <c r="L4040" s="45"/>
      <c r="M4040" s="45"/>
      <c r="N4040" s="45"/>
      <c r="O4040" s="45"/>
      <c r="P4040" s="45"/>
      <c r="Q4040" s="45"/>
      <c r="R4040" s="45"/>
      <c r="S4040" s="45"/>
      <c r="T4040" s="45"/>
      <c r="U4040" s="45"/>
    </row>
    <row r="4041">
      <c r="A4041" s="79" t="s">
        <v>23104</v>
      </c>
      <c r="B4041" s="45"/>
      <c r="C4041" s="79" t="s">
        <v>23105</v>
      </c>
      <c r="D4041" s="45"/>
      <c r="E4041" s="79" t="s">
        <v>5561</v>
      </c>
      <c r="F4041" s="79" t="s">
        <v>9414</v>
      </c>
      <c r="G4041" s="80" t="s">
        <v>96</v>
      </c>
      <c r="H4041" s="90">
        <v>2.0E-5</v>
      </c>
      <c r="I4041" s="45"/>
      <c r="J4041" s="45"/>
      <c r="K4041" s="45"/>
      <c r="L4041" s="45"/>
      <c r="M4041" s="45"/>
      <c r="N4041" s="45"/>
      <c r="O4041" s="45"/>
      <c r="P4041" s="45"/>
      <c r="Q4041" s="45"/>
      <c r="R4041" s="45"/>
      <c r="S4041" s="45"/>
      <c r="T4041" s="45"/>
      <c r="U4041" s="45"/>
    </row>
    <row r="4042">
      <c r="A4042" s="79" t="s">
        <v>23106</v>
      </c>
      <c r="B4042" s="45"/>
      <c r="C4042" s="79" t="s">
        <v>23107</v>
      </c>
      <c r="D4042" s="45"/>
      <c r="E4042" s="79" t="s">
        <v>5232</v>
      </c>
      <c r="F4042" s="79" t="s">
        <v>6698</v>
      </c>
      <c r="G4042" s="80" t="s">
        <v>96</v>
      </c>
      <c r="H4042" s="90">
        <v>1.99E-5</v>
      </c>
      <c r="I4042" s="45"/>
      <c r="J4042" s="45"/>
      <c r="K4042" s="45"/>
      <c r="L4042" s="45"/>
      <c r="M4042" s="45"/>
      <c r="N4042" s="45"/>
      <c r="O4042" s="45"/>
      <c r="P4042" s="45"/>
      <c r="Q4042" s="45"/>
      <c r="R4042" s="45"/>
      <c r="S4042" s="45"/>
      <c r="T4042" s="45"/>
      <c r="U4042" s="45"/>
    </row>
    <row r="4043">
      <c r="A4043" s="79" t="s">
        <v>5317</v>
      </c>
      <c r="B4043" s="45"/>
      <c r="C4043" s="79" t="s">
        <v>23108</v>
      </c>
      <c r="D4043" s="45"/>
      <c r="E4043" s="79" t="s">
        <v>7611</v>
      </c>
      <c r="F4043" s="79" t="s">
        <v>4095</v>
      </c>
      <c r="G4043" s="80" t="s">
        <v>96</v>
      </c>
      <c r="H4043" s="90">
        <v>1.98E-5</v>
      </c>
      <c r="I4043" s="45"/>
      <c r="J4043" s="45"/>
      <c r="K4043" s="45"/>
      <c r="L4043" s="45"/>
      <c r="M4043" s="45"/>
      <c r="N4043" s="45"/>
      <c r="O4043" s="45"/>
      <c r="P4043" s="45"/>
      <c r="Q4043" s="45"/>
      <c r="R4043" s="45"/>
      <c r="S4043" s="45"/>
      <c r="T4043" s="45"/>
      <c r="U4043" s="45"/>
    </row>
    <row r="4044">
      <c r="A4044" s="79" t="s">
        <v>23109</v>
      </c>
      <c r="B4044" s="45"/>
      <c r="C4044" s="79" t="s">
        <v>23110</v>
      </c>
      <c r="D4044" s="45"/>
      <c r="E4044" s="79" t="s">
        <v>5395</v>
      </c>
      <c r="F4044" s="79" t="s">
        <v>5300</v>
      </c>
      <c r="G4044" s="80" t="s">
        <v>96</v>
      </c>
      <c r="H4044" s="90">
        <v>1.97E-5</v>
      </c>
      <c r="I4044" s="45"/>
      <c r="J4044" s="45"/>
      <c r="K4044" s="45"/>
      <c r="L4044" s="45"/>
      <c r="M4044" s="45"/>
      <c r="N4044" s="45"/>
      <c r="O4044" s="45"/>
      <c r="P4044" s="45"/>
      <c r="Q4044" s="45"/>
      <c r="R4044" s="45"/>
      <c r="S4044" s="45"/>
      <c r="T4044" s="45"/>
      <c r="U4044" s="45"/>
    </row>
    <row r="4045">
      <c r="A4045" s="79" t="s">
        <v>23111</v>
      </c>
      <c r="B4045" s="45"/>
      <c r="C4045" s="79" t="s">
        <v>23112</v>
      </c>
      <c r="D4045" s="45"/>
      <c r="E4045" s="79" t="s">
        <v>5478</v>
      </c>
      <c r="F4045" s="79" t="s">
        <v>5300</v>
      </c>
      <c r="G4045" s="80" t="s">
        <v>96</v>
      </c>
      <c r="H4045" s="90">
        <v>1.97E-5</v>
      </c>
      <c r="I4045" s="45"/>
      <c r="J4045" s="45"/>
      <c r="K4045" s="45"/>
      <c r="L4045" s="45"/>
      <c r="M4045" s="45"/>
      <c r="N4045" s="45"/>
      <c r="O4045" s="45"/>
      <c r="P4045" s="45"/>
      <c r="Q4045" s="45"/>
      <c r="R4045" s="45"/>
      <c r="S4045" s="45"/>
      <c r="T4045" s="45"/>
      <c r="U4045" s="45"/>
    </row>
    <row r="4046">
      <c r="A4046" s="79" t="s">
        <v>23113</v>
      </c>
      <c r="B4046" s="45"/>
      <c r="C4046" s="79" t="s">
        <v>23114</v>
      </c>
      <c r="D4046" s="45"/>
      <c r="E4046" s="79" t="s">
        <v>6427</v>
      </c>
      <c r="F4046" s="79" t="s">
        <v>8759</v>
      </c>
      <c r="G4046" s="80" t="s">
        <v>96</v>
      </c>
      <c r="H4046" s="90">
        <v>1.97E-5</v>
      </c>
      <c r="I4046" s="45"/>
      <c r="J4046" s="45"/>
      <c r="K4046" s="45"/>
      <c r="L4046" s="45"/>
      <c r="M4046" s="45"/>
      <c r="N4046" s="45"/>
      <c r="O4046" s="45"/>
      <c r="P4046" s="45"/>
      <c r="Q4046" s="45"/>
      <c r="R4046" s="45"/>
      <c r="S4046" s="45"/>
      <c r="T4046" s="45"/>
      <c r="U4046" s="45"/>
    </row>
    <row r="4047">
      <c r="A4047" s="79" t="s">
        <v>6260</v>
      </c>
      <c r="B4047" s="45"/>
      <c r="C4047" s="79" t="s">
        <v>23115</v>
      </c>
      <c r="D4047" s="45"/>
      <c r="E4047" s="79" t="s">
        <v>6759</v>
      </c>
      <c r="F4047" s="79" t="s">
        <v>5747</v>
      </c>
      <c r="G4047" s="80" t="s">
        <v>96</v>
      </c>
      <c r="H4047" s="90">
        <v>1.94E-5</v>
      </c>
      <c r="I4047" s="45"/>
      <c r="J4047" s="45"/>
      <c r="K4047" s="45"/>
      <c r="L4047" s="45"/>
      <c r="M4047" s="45"/>
      <c r="N4047" s="45"/>
      <c r="O4047" s="45"/>
      <c r="P4047" s="45"/>
      <c r="Q4047" s="45"/>
      <c r="R4047" s="45"/>
      <c r="S4047" s="45"/>
      <c r="T4047" s="45"/>
      <c r="U4047" s="45"/>
    </row>
    <row r="4048">
      <c r="A4048" s="79" t="s">
        <v>23116</v>
      </c>
      <c r="B4048" s="45"/>
      <c r="C4048" s="79" t="s">
        <v>23117</v>
      </c>
      <c r="D4048" s="45"/>
      <c r="E4048" s="79" t="s">
        <v>5382</v>
      </c>
      <c r="F4048" s="79" t="s">
        <v>8784</v>
      </c>
      <c r="G4048" s="80" t="s">
        <v>96</v>
      </c>
      <c r="H4048" s="90">
        <v>1.93E-5</v>
      </c>
      <c r="I4048" s="45"/>
      <c r="J4048" s="45"/>
      <c r="K4048" s="45"/>
      <c r="L4048" s="45"/>
      <c r="M4048" s="45"/>
      <c r="N4048" s="45"/>
      <c r="O4048" s="45"/>
      <c r="P4048" s="45"/>
      <c r="Q4048" s="45"/>
      <c r="R4048" s="45"/>
      <c r="S4048" s="45"/>
      <c r="T4048" s="45"/>
      <c r="U4048" s="45"/>
    </row>
    <row r="4049">
      <c r="A4049" s="79" t="s">
        <v>23118</v>
      </c>
      <c r="B4049" s="45"/>
      <c r="C4049" s="79" t="s">
        <v>23119</v>
      </c>
      <c r="D4049" s="45"/>
      <c r="E4049" s="79" t="s">
        <v>5691</v>
      </c>
      <c r="F4049" s="79" t="s">
        <v>5927</v>
      </c>
      <c r="G4049" s="80" t="s">
        <v>96</v>
      </c>
      <c r="H4049" s="90">
        <v>1.9E-5</v>
      </c>
      <c r="I4049" s="45"/>
      <c r="J4049" s="45"/>
      <c r="K4049" s="45"/>
      <c r="L4049" s="45"/>
      <c r="M4049" s="45"/>
      <c r="N4049" s="45"/>
      <c r="O4049" s="45"/>
      <c r="P4049" s="45"/>
      <c r="Q4049" s="45"/>
      <c r="R4049" s="45"/>
      <c r="S4049" s="45"/>
      <c r="T4049" s="45"/>
      <c r="U4049" s="45"/>
    </row>
    <row r="4050">
      <c r="A4050" s="79" t="s">
        <v>23120</v>
      </c>
      <c r="B4050" s="45"/>
      <c r="C4050" s="79" t="s">
        <v>23121</v>
      </c>
      <c r="D4050" s="45"/>
      <c r="E4050" s="79" t="s">
        <v>5456</v>
      </c>
      <c r="F4050" s="79" t="s">
        <v>8784</v>
      </c>
      <c r="G4050" s="80" t="s">
        <v>96</v>
      </c>
      <c r="H4050" s="90">
        <v>1.9E-5</v>
      </c>
      <c r="I4050" s="45"/>
      <c r="J4050" s="45"/>
      <c r="K4050" s="45"/>
      <c r="L4050" s="45"/>
      <c r="M4050" s="45"/>
      <c r="N4050" s="45"/>
      <c r="O4050" s="45"/>
      <c r="P4050" s="45"/>
      <c r="Q4050" s="45"/>
      <c r="R4050" s="45"/>
      <c r="S4050" s="45"/>
      <c r="T4050" s="45"/>
      <c r="U4050" s="45"/>
    </row>
    <row r="4051">
      <c r="A4051" s="79" t="s">
        <v>23122</v>
      </c>
      <c r="B4051" s="45"/>
      <c r="C4051" s="79" t="s">
        <v>23123</v>
      </c>
      <c r="D4051" s="45"/>
      <c r="E4051" s="79" t="s">
        <v>5335</v>
      </c>
      <c r="F4051" s="79" t="s">
        <v>8784</v>
      </c>
      <c r="G4051" s="80" t="s">
        <v>96</v>
      </c>
      <c r="H4051" s="90">
        <v>1.88E-5</v>
      </c>
      <c r="I4051" s="45"/>
      <c r="J4051" s="45"/>
      <c r="K4051" s="45"/>
      <c r="L4051" s="45"/>
      <c r="M4051" s="45"/>
      <c r="N4051" s="45"/>
      <c r="O4051" s="45"/>
      <c r="P4051" s="45"/>
      <c r="Q4051" s="45"/>
      <c r="R4051" s="45"/>
      <c r="S4051" s="45"/>
      <c r="T4051" s="45"/>
      <c r="U4051" s="45"/>
    </row>
    <row r="4052">
      <c r="A4052" s="79" t="s">
        <v>23124</v>
      </c>
      <c r="B4052" s="45"/>
      <c r="C4052" s="79" t="s">
        <v>23125</v>
      </c>
      <c r="D4052" s="45"/>
      <c r="E4052" s="79" t="s">
        <v>5258</v>
      </c>
      <c r="F4052" s="79" t="s">
        <v>5836</v>
      </c>
      <c r="G4052" s="80" t="s">
        <v>96</v>
      </c>
      <c r="H4052" s="90">
        <v>1.88E-5</v>
      </c>
      <c r="I4052" s="45"/>
      <c r="J4052" s="45"/>
      <c r="K4052" s="45"/>
      <c r="L4052" s="45"/>
      <c r="M4052" s="45"/>
      <c r="N4052" s="45"/>
      <c r="O4052" s="45"/>
      <c r="P4052" s="45"/>
      <c r="Q4052" s="45"/>
      <c r="R4052" s="45"/>
      <c r="S4052" s="45"/>
      <c r="T4052" s="45"/>
      <c r="U4052" s="45"/>
    </row>
    <row r="4053">
      <c r="A4053" s="79" t="s">
        <v>23126</v>
      </c>
      <c r="B4053" s="45"/>
      <c r="C4053" s="79" t="s">
        <v>23127</v>
      </c>
      <c r="D4053" s="45"/>
      <c r="E4053" s="79" t="s">
        <v>5450</v>
      </c>
      <c r="F4053" s="79" t="s">
        <v>4095</v>
      </c>
      <c r="G4053" s="80" t="s">
        <v>96</v>
      </c>
      <c r="H4053" s="90">
        <v>1.87E-5</v>
      </c>
      <c r="I4053" s="45"/>
      <c r="J4053" s="45"/>
      <c r="K4053" s="45"/>
      <c r="L4053" s="45"/>
      <c r="M4053" s="45"/>
      <c r="N4053" s="45"/>
      <c r="O4053" s="45"/>
      <c r="P4053" s="45"/>
      <c r="Q4053" s="45"/>
      <c r="R4053" s="45"/>
      <c r="S4053" s="45"/>
      <c r="T4053" s="45"/>
      <c r="U4053" s="45"/>
    </row>
    <row r="4054">
      <c r="A4054" s="79" t="s">
        <v>23128</v>
      </c>
      <c r="B4054" s="45"/>
      <c r="C4054" s="79" t="s">
        <v>23129</v>
      </c>
      <c r="D4054" s="45"/>
      <c r="E4054" s="79" t="s">
        <v>8154</v>
      </c>
      <c r="F4054" s="79" t="s">
        <v>9299</v>
      </c>
      <c r="G4054" s="80" t="s">
        <v>96</v>
      </c>
      <c r="H4054" s="90">
        <v>1.86E-5</v>
      </c>
      <c r="I4054" s="45"/>
      <c r="J4054" s="45"/>
      <c r="K4054" s="45"/>
      <c r="L4054" s="45"/>
      <c r="M4054" s="45"/>
      <c r="N4054" s="45"/>
      <c r="O4054" s="45"/>
      <c r="P4054" s="45"/>
      <c r="Q4054" s="45"/>
      <c r="R4054" s="45"/>
      <c r="S4054" s="45"/>
      <c r="T4054" s="45"/>
      <c r="U4054" s="45"/>
    </row>
    <row r="4055">
      <c r="A4055" s="79" t="s">
        <v>23130</v>
      </c>
      <c r="B4055" s="45"/>
      <c r="C4055" s="79" t="s">
        <v>23131</v>
      </c>
      <c r="D4055" s="45"/>
      <c r="E4055" s="79" t="s">
        <v>5691</v>
      </c>
      <c r="F4055" s="79" t="s">
        <v>4095</v>
      </c>
      <c r="G4055" s="80" t="s">
        <v>96</v>
      </c>
      <c r="H4055" s="90">
        <v>1.85E-5</v>
      </c>
      <c r="I4055" s="45"/>
      <c r="J4055" s="45"/>
      <c r="K4055" s="45"/>
      <c r="L4055" s="45"/>
      <c r="M4055" s="45"/>
      <c r="N4055" s="45"/>
      <c r="O4055" s="45"/>
      <c r="P4055" s="45"/>
      <c r="Q4055" s="45"/>
      <c r="R4055" s="45"/>
      <c r="S4055" s="45"/>
      <c r="T4055" s="45"/>
      <c r="U4055" s="45"/>
    </row>
    <row r="4056">
      <c r="A4056" s="79" t="s">
        <v>17269</v>
      </c>
      <c r="B4056" s="45"/>
      <c r="C4056" s="79" t="s">
        <v>23132</v>
      </c>
      <c r="D4056" s="45"/>
      <c r="E4056" s="79" t="s">
        <v>6389</v>
      </c>
      <c r="F4056" s="79" t="s">
        <v>5747</v>
      </c>
      <c r="G4056" s="80" t="s">
        <v>96</v>
      </c>
      <c r="H4056" s="90">
        <v>1.83E-5</v>
      </c>
      <c r="I4056" s="45"/>
      <c r="J4056" s="45"/>
      <c r="K4056" s="45"/>
      <c r="L4056" s="45"/>
      <c r="M4056" s="45"/>
      <c r="N4056" s="45"/>
      <c r="O4056" s="45"/>
      <c r="P4056" s="45"/>
      <c r="Q4056" s="45"/>
      <c r="R4056" s="45"/>
      <c r="S4056" s="45"/>
      <c r="T4056" s="45"/>
      <c r="U4056" s="45"/>
    </row>
    <row r="4057">
      <c r="A4057" s="79" t="s">
        <v>23133</v>
      </c>
      <c r="B4057" s="45"/>
      <c r="C4057" s="79" t="s">
        <v>23134</v>
      </c>
      <c r="D4057" s="45"/>
      <c r="E4057" s="79" t="s">
        <v>5326</v>
      </c>
      <c r="F4057" s="79" t="s">
        <v>8784</v>
      </c>
      <c r="G4057" s="80" t="s">
        <v>96</v>
      </c>
      <c r="H4057" s="90">
        <v>1.83E-5</v>
      </c>
      <c r="I4057" s="45"/>
      <c r="J4057" s="45"/>
      <c r="K4057" s="45"/>
      <c r="L4057" s="45"/>
      <c r="M4057" s="45"/>
      <c r="N4057" s="45"/>
      <c r="O4057" s="45"/>
      <c r="P4057" s="45"/>
      <c r="Q4057" s="45"/>
      <c r="R4057" s="45"/>
      <c r="S4057" s="45"/>
      <c r="T4057" s="45"/>
      <c r="U4057" s="45"/>
    </row>
    <row r="4058">
      <c r="A4058" s="79" t="s">
        <v>23135</v>
      </c>
      <c r="B4058" s="45"/>
      <c r="C4058" s="79" t="s">
        <v>23136</v>
      </c>
      <c r="D4058" s="45"/>
      <c r="E4058" s="79" t="s">
        <v>5501</v>
      </c>
      <c r="F4058" s="79" t="s">
        <v>8784</v>
      </c>
      <c r="G4058" s="80" t="s">
        <v>96</v>
      </c>
      <c r="H4058" s="90">
        <v>1.82E-5</v>
      </c>
      <c r="I4058" s="45"/>
      <c r="J4058" s="45"/>
      <c r="K4058" s="45"/>
      <c r="L4058" s="45"/>
      <c r="M4058" s="45"/>
      <c r="N4058" s="45"/>
      <c r="O4058" s="45"/>
      <c r="P4058" s="45"/>
      <c r="Q4058" s="45"/>
      <c r="R4058" s="45"/>
      <c r="S4058" s="45"/>
      <c r="T4058" s="45"/>
      <c r="U4058" s="45"/>
    </row>
    <row r="4059">
      <c r="A4059" s="79" t="s">
        <v>17713</v>
      </c>
      <c r="B4059" s="45"/>
      <c r="C4059" s="79" t="s">
        <v>17714</v>
      </c>
      <c r="D4059" s="45"/>
      <c r="E4059" s="79" t="s">
        <v>6040</v>
      </c>
      <c r="F4059" s="79" t="s">
        <v>5836</v>
      </c>
      <c r="G4059" s="80" t="s">
        <v>96</v>
      </c>
      <c r="H4059" s="90">
        <v>1.81E-5</v>
      </c>
      <c r="I4059" s="45"/>
      <c r="J4059" s="45"/>
      <c r="K4059" s="45"/>
      <c r="L4059" s="45"/>
      <c r="M4059" s="45"/>
      <c r="N4059" s="45"/>
      <c r="O4059" s="45"/>
      <c r="P4059" s="45"/>
      <c r="Q4059" s="45"/>
      <c r="R4059" s="45"/>
      <c r="S4059" s="45"/>
      <c r="T4059" s="45"/>
      <c r="U4059" s="45"/>
    </row>
    <row r="4060">
      <c r="A4060" s="79" t="s">
        <v>23137</v>
      </c>
      <c r="B4060" s="45"/>
      <c r="C4060" s="79" t="s">
        <v>23138</v>
      </c>
      <c r="D4060" s="45"/>
      <c r="E4060" s="79" t="s">
        <v>5238</v>
      </c>
      <c r="F4060" s="79" t="s">
        <v>8784</v>
      </c>
      <c r="G4060" s="80" t="s">
        <v>96</v>
      </c>
      <c r="H4060" s="90">
        <v>1.79E-5</v>
      </c>
      <c r="I4060" s="45"/>
      <c r="J4060" s="45"/>
      <c r="K4060" s="45"/>
      <c r="L4060" s="45"/>
      <c r="M4060" s="45"/>
      <c r="N4060" s="45"/>
      <c r="O4060" s="45"/>
      <c r="P4060" s="45"/>
      <c r="Q4060" s="45"/>
      <c r="R4060" s="45"/>
      <c r="S4060" s="45"/>
      <c r="T4060" s="45"/>
      <c r="U4060" s="45"/>
    </row>
    <row r="4061">
      <c r="A4061" s="79" t="s">
        <v>18220</v>
      </c>
      <c r="B4061" s="45"/>
      <c r="C4061" s="79" t="s">
        <v>23139</v>
      </c>
      <c r="D4061" s="45"/>
      <c r="E4061" s="79" t="s">
        <v>18917</v>
      </c>
      <c r="F4061" s="79" t="s">
        <v>9617</v>
      </c>
      <c r="G4061" s="80" t="s">
        <v>96</v>
      </c>
      <c r="H4061" s="90">
        <v>1.78E-5</v>
      </c>
      <c r="I4061" s="45"/>
      <c r="J4061" s="45"/>
      <c r="K4061" s="45"/>
      <c r="L4061" s="45"/>
      <c r="M4061" s="45"/>
      <c r="N4061" s="45"/>
      <c r="O4061" s="45"/>
      <c r="P4061" s="45"/>
      <c r="Q4061" s="45"/>
      <c r="R4061" s="45"/>
      <c r="S4061" s="45"/>
      <c r="T4061" s="45"/>
      <c r="U4061" s="45"/>
    </row>
    <row r="4062">
      <c r="A4062" s="79" t="s">
        <v>23140</v>
      </c>
      <c r="B4062" s="45"/>
      <c r="C4062" s="79" t="s">
        <v>23141</v>
      </c>
      <c r="D4062" s="45"/>
      <c r="E4062" s="79" t="s">
        <v>5407</v>
      </c>
      <c r="F4062" s="79" t="s">
        <v>9021</v>
      </c>
      <c r="G4062" s="80" t="s">
        <v>96</v>
      </c>
      <c r="H4062" s="90">
        <v>1.77E-5</v>
      </c>
      <c r="I4062" s="45"/>
      <c r="J4062" s="45"/>
      <c r="K4062" s="45"/>
      <c r="L4062" s="45"/>
      <c r="M4062" s="45"/>
      <c r="N4062" s="45"/>
      <c r="O4062" s="45"/>
      <c r="P4062" s="45"/>
      <c r="Q4062" s="45"/>
      <c r="R4062" s="45"/>
      <c r="S4062" s="45"/>
      <c r="T4062" s="45"/>
      <c r="U4062" s="45"/>
    </row>
    <row r="4063">
      <c r="A4063" s="79" t="s">
        <v>23142</v>
      </c>
      <c r="B4063" s="45"/>
      <c r="C4063" s="79" t="s">
        <v>23143</v>
      </c>
      <c r="D4063" s="45"/>
      <c r="E4063" s="79" t="s">
        <v>18799</v>
      </c>
      <c r="F4063" s="79" t="s">
        <v>8784</v>
      </c>
      <c r="G4063" s="80" t="s">
        <v>96</v>
      </c>
      <c r="H4063" s="90">
        <v>1.77E-5</v>
      </c>
      <c r="I4063" s="45"/>
      <c r="J4063" s="45"/>
      <c r="K4063" s="45"/>
      <c r="L4063" s="45"/>
      <c r="M4063" s="45"/>
      <c r="N4063" s="45"/>
      <c r="O4063" s="45"/>
      <c r="P4063" s="45"/>
      <c r="Q4063" s="45"/>
      <c r="R4063" s="45"/>
      <c r="S4063" s="45"/>
      <c r="T4063" s="45"/>
      <c r="U4063" s="45"/>
    </row>
    <row r="4064">
      <c r="A4064" s="79" t="s">
        <v>23144</v>
      </c>
      <c r="B4064" s="45"/>
      <c r="C4064" s="79" t="s">
        <v>23145</v>
      </c>
      <c r="D4064" s="45"/>
      <c r="E4064" s="79" t="s">
        <v>5561</v>
      </c>
      <c r="F4064" s="79" t="s">
        <v>8784</v>
      </c>
      <c r="G4064" s="80" t="s">
        <v>96</v>
      </c>
      <c r="H4064" s="90">
        <v>1.76E-5</v>
      </c>
      <c r="I4064" s="45"/>
      <c r="J4064" s="45"/>
      <c r="K4064" s="45"/>
      <c r="L4064" s="45"/>
      <c r="M4064" s="45"/>
      <c r="N4064" s="45"/>
      <c r="O4064" s="45"/>
      <c r="P4064" s="45"/>
      <c r="Q4064" s="45"/>
      <c r="R4064" s="45"/>
      <c r="S4064" s="45"/>
      <c r="T4064" s="45"/>
      <c r="U4064" s="45"/>
    </row>
    <row r="4065">
      <c r="A4065" s="79" t="s">
        <v>23146</v>
      </c>
      <c r="B4065" s="45"/>
      <c r="C4065" s="79" t="s">
        <v>23147</v>
      </c>
      <c r="D4065" s="45"/>
      <c r="E4065" s="79" t="s">
        <v>5407</v>
      </c>
      <c r="F4065" s="79" t="s">
        <v>5927</v>
      </c>
      <c r="G4065" s="80" t="s">
        <v>96</v>
      </c>
      <c r="H4065" s="90">
        <v>1.75E-5</v>
      </c>
      <c r="I4065" s="45"/>
      <c r="J4065" s="45"/>
      <c r="K4065" s="45"/>
      <c r="L4065" s="45"/>
      <c r="M4065" s="45"/>
      <c r="N4065" s="45"/>
      <c r="O4065" s="45"/>
      <c r="P4065" s="45"/>
      <c r="Q4065" s="45"/>
      <c r="R4065" s="45"/>
      <c r="S4065" s="45"/>
      <c r="T4065" s="45"/>
      <c r="U4065" s="45"/>
    </row>
    <row r="4066">
      <c r="A4066" s="79" t="s">
        <v>23148</v>
      </c>
      <c r="B4066" s="45"/>
      <c r="C4066" s="79" t="s">
        <v>23149</v>
      </c>
      <c r="D4066" s="45"/>
      <c r="E4066" s="79" t="s">
        <v>6514</v>
      </c>
      <c r="F4066" s="79" t="s">
        <v>5747</v>
      </c>
      <c r="G4066" s="80" t="s">
        <v>96</v>
      </c>
      <c r="H4066" s="90">
        <v>1.73E-5</v>
      </c>
      <c r="I4066" s="45"/>
      <c r="J4066" s="45"/>
      <c r="K4066" s="45"/>
      <c r="L4066" s="45"/>
      <c r="M4066" s="45"/>
      <c r="N4066" s="45"/>
      <c r="O4066" s="45"/>
      <c r="P4066" s="45"/>
      <c r="Q4066" s="45"/>
      <c r="R4066" s="45"/>
      <c r="S4066" s="45"/>
      <c r="T4066" s="45"/>
      <c r="U4066" s="45"/>
    </row>
    <row r="4067">
      <c r="A4067" s="79" t="s">
        <v>23150</v>
      </c>
      <c r="B4067" s="45"/>
      <c r="C4067" s="79" t="s">
        <v>23151</v>
      </c>
      <c r="D4067" s="45"/>
      <c r="E4067" s="79" t="s">
        <v>5478</v>
      </c>
      <c r="F4067" s="79" t="s">
        <v>5300</v>
      </c>
      <c r="G4067" s="80" t="s">
        <v>96</v>
      </c>
      <c r="H4067" s="90">
        <v>1.72E-5</v>
      </c>
      <c r="I4067" s="45"/>
      <c r="J4067" s="45"/>
      <c r="K4067" s="45"/>
      <c r="L4067" s="45"/>
      <c r="M4067" s="45"/>
      <c r="N4067" s="45"/>
      <c r="O4067" s="45"/>
      <c r="P4067" s="45"/>
      <c r="Q4067" s="45"/>
      <c r="R4067" s="45"/>
      <c r="S4067" s="45"/>
      <c r="T4067" s="45"/>
      <c r="U4067" s="45"/>
    </row>
    <row r="4068">
      <c r="A4068" s="79" t="s">
        <v>23152</v>
      </c>
      <c r="B4068" s="45"/>
      <c r="C4068" s="79" t="s">
        <v>23153</v>
      </c>
      <c r="D4068" s="45"/>
      <c r="E4068" s="79" t="s">
        <v>5232</v>
      </c>
      <c r="F4068" s="79" t="s">
        <v>8784</v>
      </c>
      <c r="G4068" s="80" t="s">
        <v>96</v>
      </c>
      <c r="H4068" s="90">
        <v>1.7E-5</v>
      </c>
      <c r="I4068" s="45"/>
      <c r="J4068" s="45"/>
      <c r="K4068" s="45"/>
      <c r="L4068" s="45"/>
      <c r="M4068" s="45"/>
      <c r="N4068" s="45"/>
      <c r="O4068" s="45"/>
      <c r="P4068" s="45"/>
      <c r="Q4068" s="45"/>
      <c r="R4068" s="45"/>
      <c r="S4068" s="45"/>
      <c r="T4068" s="45"/>
      <c r="U4068" s="45"/>
    </row>
    <row r="4069">
      <c r="A4069" s="79" t="s">
        <v>23154</v>
      </c>
      <c r="B4069" s="45"/>
      <c r="C4069" s="79" t="s">
        <v>23155</v>
      </c>
      <c r="D4069" s="45"/>
      <c r="E4069" s="79" t="s">
        <v>5561</v>
      </c>
      <c r="F4069" s="79" t="s">
        <v>9513</v>
      </c>
      <c r="G4069" s="80" t="s">
        <v>96</v>
      </c>
      <c r="H4069" s="90">
        <v>1.7E-5</v>
      </c>
      <c r="I4069" s="45"/>
      <c r="J4069" s="45"/>
      <c r="K4069" s="45"/>
      <c r="L4069" s="45"/>
      <c r="M4069" s="45"/>
      <c r="N4069" s="45"/>
      <c r="O4069" s="45"/>
      <c r="P4069" s="45"/>
      <c r="Q4069" s="45"/>
      <c r="R4069" s="45"/>
      <c r="S4069" s="45"/>
      <c r="T4069" s="45"/>
      <c r="U4069" s="45"/>
    </row>
    <row r="4070">
      <c r="A4070" s="79" t="s">
        <v>23156</v>
      </c>
      <c r="B4070" s="45"/>
      <c r="C4070" s="79" t="s">
        <v>23157</v>
      </c>
      <c r="D4070" s="45"/>
      <c r="E4070" s="79" t="s">
        <v>6275</v>
      </c>
      <c r="F4070" s="79" t="s">
        <v>5300</v>
      </c>
      <c r="G4070" s="80" t="s">
        <v>96</v>
      </c>
      <c r="H4070" s="90">
        <v>1.7E-5</v>
      </c>
      <c r="I4070" s="45"/>
      <c r="J4070" s="45"/>
      <c r="K4070" s="45"/>
      <c r="L4070" s="45"/>
      <c r="M4070" s="45"/>
      <c r="N4070" s="45"/>
      <c r="O4070" s="45"/>
      <c r="P4070" s="45"/>
      <c r="Q4070" s="45"/>
      <c r="R4070" s="45"/>
      <c r="S4070" s="45"/>
      <c r="T4070" s="45"/>
      <c r="U4070" s="45"/>
    </row>
    <row r="4071">
      <c r="A4071" s="79" t="s">
        <v>23158</v>
      </c>
      <c r="B4071" s="45"/>
      <c r="C4071" s="79" t="s">
        <v>23159</v>
      </c>
      <c r="D4071" s="45"/>
      <c r="E4071" s="79" t="s">
        <v>7169</v>
      </c>
      <c r="F4071" s="79" t="s">
        <v>6988</v>
      </c>
      <c r="G4071" s="80" t="s">
        <v>96</v>
      </c>
      <c r="H4071" s="90">
        <v>1.67E-5</v>
      </c>
      <c r="I4071" s="45"/>
      <c r="J4071" s="45"/>
      <c r="K4071" s="45"/>
      <c r="L4071" s="45"/>
      <c r="M4071" s="45"/>
      <c r="N4071" s="45"/>
      <c r="O4071" s="45"/>
      <c r="P4071" s="45"/>
      <c r="Q4071" s="45"/>
      <c r="R4071" s="45"/>
      <c r="S4071" s="45"/>
      <c r="T4071" s="45"/>
      <c r="U4071" s="45"/>
    </row>
    <row r="4072">
      <c r="A4072" s="79" t="s">
        <v>23160</v>
      </c>
      <c r="B4072" s="45"/>
      <c r="C4072" s="79" t="s">
        <v>23161</v>
      </c>
      <c r="D4072" s="45"/>
      <c r="E4072" s="79" t="s">
        <v>6238</v>
      </c>
      <c r="F4072" s="79" t="s">
        <v>9513</v>
      </c>
      <c r="G4072" s="80" t="s">
        <v>96</v>
      </c>
      <c r="H4072" s="90">
        <v>1.66E-5</v>
      </c>
      <c r="I4072" s="45"/>
      <c r="J4072" s="45"/>
      <c r="K4072" s="45"/>
      <c r="L4072" s="45"/>
      <c r="M4072" s="45"/>
      <c r="N4072" s="45"/>
      <c r="O4072" s="45"/>
      <c r="P4072" s="45"/>
      <c r="Q4072" s="45"/>
      <c r="R4072" s="45"/>
      <c r="S4072" s="45"/>
      <c r="T4072" s="45"/>
      <c r="U4072" s="45"/>
    </row>
    <row r="4073">
      <c r="A4073" s="79" t="s">
        <v>23162</v>
      </c>
      <c r="B4073" s="45"/>
      <c r="C4073" s="79" t="s">
        <v>23163</v>
      </c>
      <c r="D4073" s="45"/>
      <c r="E4073" s="79" t="s">
        <v>5445</v>
      </c>
      <c r="F4073" s="79" t="s">
        <v>5300</v>
      </c>
      <c r="G4073" s="80" t="s">
        <v>96</v>
      </c>
      <c r="H4073" s="90">
        <v>1.65E-5</v>
      </c>
      <c r="I4073" s="45"/>
      <c r="J4073" s="45"/>
      <c r="K4073" s="45"/>
      <c r="L4073" s="45"/>
      <c r="M4073" s="45"/>
      <c r="N4073" s="45"/>
      <c r="O4073" s="45"/>
      <c r="P4073" s="45"/>
      <c r="Q4073" s="45"/>
      <c r="R4073" s="45"/>
      <c r="S4073" s="45"/>
      <c r="T4073" s="45"/>
      <c r="U4073" s="45"/>
    </row>
    <row r="4074">
      <c r="A4074" s="79" t="s">
        <v>23164</v>
      </c>
      <c r="B4074" s="45"/>
      <c r="C4074" s="79" t="s">
        <v>23165</v>
      </c>
      <c r="D4074" s="45"/>
      <c r="E4074" s="79" t="s">
        <v>5377</v>
      </c>
      <c r="F4074" s="79" t="s">
        <v>9021</v>
      </c>
      <c r="G4074" s="80" t="s">
        <v>96</v>
      </c>
      <c r="H4074" s="90">
        <v>1.65E-5</v>
      </c>
      <c r="I4074" s="45"/>
      <c r="J4074" s="45"/>
      <c r="K4074" s="45"/>
      <c r="L4074" s="45"/>
      <c r="M4074" s="45"/>
      <c r="N4074" s="45"/>
      <c r="O4074" s="45"/>
      <c r="P4074" s="45"/>
      <c r="Q4074" s="45"/>
      <c r="R4074" s="45"/>
      <c r="S4074" s="45"/>
      <c r="T4074" s="45"/>
      <c r="U4074" s="45"/>
    </row>
    <row r="4075">
      <c r="A4075" s="79" t="s">
        <v>23166</v>
      </c>
      <c r="B4075" s="45"/>
      <c r="C4075" s="79" t="s">
        <v>23167</v>
      </c>
      <c r="D4075" s="45"/>
      <c r="E4075" s="79" t="s">
        <v>5348</v>
      </c>
      <c r="F4075" s="79" t="s">
        <v>8784</v>
      </c>
      <c r="G4075" s="80" t="s">
        <v>96</v>
      </c>
      <c r="H4075" s="90">
        <v>1.62E-5</v>
      </c>
      <c r="I4075" s="45"/>
      <c r="J4075" s="45"/>
      <c r="K4075" s="45"/>
      <c r="L4075" s="45"/>
      <c r="M4075" s="45"/>
      <c r="N4075" s="45"/>
      <c r="O4075" s="45"/>
      <c r="P4075" s="45"/>
      <c r="Q4075" s="45"/>
      <c r="R4075" s="45"/>
      <c r="S4075" s="45"/>
      <c r="T4075" s="45"/>
      <c r="U4075" s="45"/>
    </row>
    <row r="4076">
      <c r="A4076" s="79" t="s">
        <v>23168</v>
      </c>
      <c r="B4076" s="45"/>
      <c r="C4076" s="79" t="s">
        <v>23169</v>
      </c>
      <c r="D4076" s="45"/>
      <c r="E4076" s="79" t="s">
        <v>5422</v>
      </c>
      <c r="F4076" s="79" t="s">
        <v>8784</v>
      </c>
      <c r="G4076" s="80" t="s">
        <v>96</v>
      </c>
      <c r="H4076" s="90">
        <v>1.59E-5</v>
      </c>
      <c r="I4076" s="45"/>
      <c r="J4076" s="45"/>
      <c r="K4076" s="45"/>
      <c r="L4076" s="45"/>
      <c r="M4076" s="45"/>
      <c r="N4076" s="45"/>
      <c r="O4076" s="45"/>
      <c r="P4076" s="45"/>
      <c r="Q4076" s="45"/>
      <c r="R4076" s="45"/>
      <c r="S4076" s="45"/>
      <c r="T4076" s="45"/>
      <c r="U4076" s="45"/>
    </row>
    <row r="4077">
      <c r="A4077" s="79" t="s">
        <v>23170</v>
      </c>
      <c r="B4077" s="45"/>
      <c r="C4077" s="79" t="s">
        <v>23171</v>
      </c>
      <c r="D4077" s="45"/>
      <c r="E4077" s="79" t="s">
        <v>5561</v>
      </c>
      <c r="F4077" s="79" t="s">
        <v>9513</v>
      </c>
      <c r="G4077" s="80" t="s">
        <v>96</v>
      </c>
      <c r="H4077" s="90">
        <v>1.58E-5</v>
      </c>
      <c r="I4077" s="45"/>
      <c r="J4077" s="45"/>
      <c r="K4077" s="45"/>
      <c r="L4077" s="45"/>
      <c r="M4077" s="45"/>
      <c r="N4077" s="45"/>
      <c r="O4077" s="45"/>
      <c r="P4077" s="45"/>
      <c r="Q4077" s="45"/>
      <c r="R4077" s="45"/>
      <c r="S4077" s="45"/>
      <c r="T4077" s="45"/>
      <c r="U4077" s="45"/>
    </row>
    <row r="4078">
      <c r="A4078" s="79" t="s">
        <v>23172</v>
      </c>
      <c r="B4078" s="45"/>
      <c r="C4078" s="79" t="s">
        <v>23173</v>
      </c>
      <c r="D4078" s="45"/>
      <c r="E4078" s="79" t="s">
        <v>5561</v>
      </c>
      <c r="F4078" s="79" t="s">
        <v>8759</v>
      </c>
      <c r="G4078" s="80" t="s">
        <v>96</v>
      </c>
      <c r="H4078" s="90">
        <v>1.57E-5</v>
      </c>
      <c r="I4078" s="45"/>
      <c r="J4078" s="45"/>
      <c r="K4078" s="45"/>
      <c r="L4078" s="45"/>
      <c r="M4078" s="45"/>
      <c r="N4078" s="45"/>
      <c r="O4078" s="45"/>
      <c r="P4078" s="45"/>
      <c r="Q4078" s="45"/>
      <c r="R4078" s="45"/>
      <c r="S4078" s="45"/>
      <c r="T4078" s="45"/>
      <c r="U4078" s="45"/>
    </row>
    <row r="4079">
      <c r="A4079" s="79" t="s">
        <v>23174</v>
      </c>
      <c r="B4079" s="45"/>
      <c r="C4079" s="79" t="s">
        <v>23175</v>
      </c>
      <c r="D4079" s="45"/>
      <c r="E4079" s="79" t="s">
        <v>5218</v>
      </c>
      <c r="F4079" s="79" t="s">
        <v>5747</v>
      </c>
      <c r="G4079" s="80" t="s">
        <v>96</v>
      </c>
      <c r="H4079" s="90">
        <v>1.56E-5</v>
      </c>
      <c r="I4079" s="45"/>
      <c r="J4079" s="45"/>
      <c r="K4079" s="45"/>
      <c r="L4079" s="45"/>
      <c r="M4079" s="45"/>
      <c r="N4079" s="45"/>
      <c r="O4079" s="45"/>
      <c r="P4079" s="45"/>
      <c r="Q4079" s="45"/>
      <c r="R4079" s="45"/>
      <c r="S4079" s="45"/>
      <c r="T4079" s="45"/>
      <c r="U4079" s="45"/>
    </row>
    <row r="4080">
      <c r="A4080" s="79" t="s">
        <v>23176</v>
      </c>
      <c r="B4080" s="45"/>
      <c r="C4080" s="79" t="s">
        <v>23177</v>
      </c>
      <c r="D4080" s="45"/>
      <c r="E4080" s="79" t="s">
        <v>5434</v>
      </c>
      <c r="F4080" s="79" t="s">
        <v>5747</v>
      </c>
      <c r="G4080" s="80" t="s">
        <v>96</v>
      </c>
      <c r="H4080" s="90">
        <v>1.49E-5</v>
      </c>
      <c r="I4080" s="45"/>
      <c r="J4080" s="45"/>
      <c r="K4080" s="45"/>
      <c r="L4080" s="45"/>
      <c r="M4080" s="45"/>
      <c r="N4080" s="45"/>
      <c r="O4080" s="45"/>
      <c r="P4080" s="45"/>
      <c r="Q4080" s="45"/>
      <c r="R4080" s="45"/>
      <c r="S4080" s="45"/>
      <c r="T4080" s="45"/>
      <c r="U4080" s="45"/>
    </row>
    <row r="4081">
      <c r="A4081" s="79" t="s">
        <v>23178</v>
      </c>
      <c r="B4081" s="45"/>
      <c r="C4081" s="79" t="s">
        <v>23179</v>
      </c>
      <c r="D4081" s="45"/>
      <c r="E4081" s="79" t="s">
        <v>5450</v>
      </c>
      <c r="F4081" s="79" t="s">
        <v>9513</v>
      </c>
      <c r="G4081" s="80" t="s">
        <v>96</v>
      </c>
      <c r="H4081" s="90">
        <v>1.48E-5</v>
      </c>
      <c r="I4081" s="45"/>
      <c r="J4081" s="45"/>
      <c r="K4081" s="45"/>
      <c r="L4081" s="45"/>
      <c r="M4081" s="45"/>
      <c r="N4081" s="45"/>
      <c r="O4081" s="45"/>
      <c r="P4081" s="45"/>
      <c r="Q4081" s="45"/>
      <c r="R4081" s="45"/>
      <c r="S4081" s="45"/>
      <c r="T4081" s="45"/>
      <c r="U4081" s="45"/>
    </row>
    <row r="4082">
      <c r="A4082" s="79" t="s">
        <v>23180</v>
      </c>
      <c r="B4082" s="45"/>
      <c r="C4082" s="79" t="s">
        <v>23181</v>
      </c>
      <c r="D4082" s="45"/>
      <c r="E4082" s="79" t="s">
        <v>5276</v>
      </c>
      <c r="F4082" s="79" t="s">
        <v>8784</v>
      </c>
      <c r="G4082" s="80" t="s">
        <v>96</v>
      </c>
      <c r="H4082" s="90">
        <v>1.43E-5</v>
      </c>
      <c r="I4082" s="45"/>
      <c r="J4082" s="45"/>
      <c r="K4082" s="45"/>
      <c r="L4082" s="45"/>
      <c r="M4082" s="45"/>
      <c r="N4082" s="45"/>
      <c r="O4082" s="45"/>
      <c r="P4082" s="45"/>
      <c r="Q4082" s="45"/>
      <c r="R4082" s="45"/>
      <c r="S4082" s="45"/>
      <c r="T4082" s="45"/>
      <c r="U4082" s="45"/>
    </row>
    <row r="4083">
      <c r="A4083" s="79" t="s">
        <v>23182</v>
      </c>
      <c r="B4083" s="45"/>
      <c r="C4083" s="79" t="s">
        <v>23183</v>
      </c>
      <c r="D4083" s="45"/>
      <c r="E4083" s="79" t="s">
        <v>5478</v>
      </c>
      <c r="F4083" s="79" t="s">
        <v>5300</v>
      </c>
      <c r="G4083" s="80" t="s">
        <v>96</v>
      </c>
      <c r="H4083" s="90">
        <v>1.43E-5</v>
      </c>
      <c r="I4083" s="45"/>
      <c r="J4083" s="45"/>
      <c r="K4083" s="45"/>
      <c r="L4083" s="45"/>
      <c r="M4083" s="45"/>
      <c r="N4083" s="45"/>
      <c r="O4083" s="45"/>
      <c r="P4083" s="45"/>
      <c r="Q4083" s="45"/>
      <c r="R4083" s="45"/>
      <c r="S4083" s="45"/>
      <c r="T4083" s="45"/>
      <c r="U4083" s="45"/>
    </row>
    <row r="4084">
      <c r="A4084" s="79" t="s">
        <v>23184</v>
      </c>
      <c r="B4084" s="45"/>
      <c r="C4084" s="79" t="s">
        <v>23185</v>
      </c>
      <c r="D4084" s="45"/>
      <c r="E4084" s="79" t="s">
        <v>8154</v>
      </c>
      <c r="F4084" s="79" t="s">
        <v>5836</v>
      </c>
      <c r="G4084" s="80" t="s">
        <v>96</v>
      </c>
      <c r="H4084" s="90">
        <v>1.37E-5</v>
      </c>
      <c r="I4084" s="45"/>
      <c r="J4084" s="45"/>
      <c r="K4084" s="45"/>
      <c r="L4084" s="45"/>
      <c r="M4084" s="45"/>
      <c r="N4084" s="45"/>
      <c r="O4084" s="45"/>
      <c r="P4084" s="45"/>
      <c r="Q4084" s="45"/>
      <c r="R4084" s="45"/>
      <c r="S4084" s="45"/>
      <c r="T4084" s="45"/>
      <c r="U4084" s="45"/>
    </row>
    <row r="4085">
      <c r="A4085" s="79" t="s">
        <v>23186</v>
      </c>
      <c r="B4085" s="45"/>
      <c r="C4085" s="79" t="s">
        <v>23187</v>
      </c>
      <c r="D4085" s="45"/>
      <c r="E4085" s="79" t="s">
        <v>5478</v>
      </c>
      <c r="F4085" s="79" t="s">
        <v>5300</v>
      </c>
      <c r="G4085" s="80" t="s">
        <v>96</v>
      </c>
      <c r="H4085" s="90">
        <v>1.35E-5</v>
      </c>
      <c r="I4085" s="45"/>
      <c r="J4085" s="45"/>
      <c r="K4085" s="45"/>
      <c r="L4085" s="45"/>
      <c r="M4085" s="45"/>
      <c r="N4085" s="45"/>
      <c r="O4085" s="45"/>
      <c r="P4085" s="45"/>
      <c r="Q4085" s="45"/>
      <c r="R4085" s="45"/>
      <c r="S4085" s="45"/>
      <c r="T4085" s="45"/>
      <c r="U4085" s="45"/>
    </row>
    <row r="4086">
      <c r="A4086" s="79" t="s">
        <v>4322</v>
      </c>
      <c r="B4086" s="45"/>
      <c r="C4086" s="79" t="s">
        <v>23188</v>
      </c>
      <c r="D4086" s="45"/>
      <c r="E4086" s="79" t="s">
        <v>5808</v>
      </c>
      <c r="F4086" s="79" t="s">
        <v>6988</v>
      </c>
      <c r="G4086" s="80" t="s">
        <v>96</v>
      </c>
      <c r="H4086" s="90">
        <v>1.35E-5</v>
      </c>
      <c r="I4086" s="45"/>
      <c r="J4086" s="45"/>
      <c r="K4086" s="45"/>
      <c r="L4086" s="45"/>
      <c r="M4086" s="45"/>
      <c r="N4086" s="45"/>
      <c r="O4086" s="45"/>
      <c r="P4086" s="45"/>
      <c r="Q4086" s="45"/>
      <c r="R4086" s="45"/>
      <c r="S4086" s="45"/>
      <c r="T4086" s="45"/>
      <c r="U4086" s="45"/>
    </row>
    <row r="4087">
      <c r="A4087" s="79" t="s">
        <v>7013</v>
      </c>
      <c r="B4087" s="45"/>
      <c r="C4087" s="79" t="s">
        <v>23189</v>
      </c>
      <c r="D4087" s="45"/>
      <c r="E4087" s="79" t="s">
        <v>5238</v>
      </c>
      <c r="F4087" s="79" t="s">
        <v>5747</v>
      </c>
      <c r="G4087" s="80" t="s">
        <v>96</v>
      </c>
      <c r="H4087" s="90">
        <v>1.33E-5</v>
      </c>
      <c r="I4087" s="45"/>
      <c r="J4087" s="45"/>
      <c r="K4087" s="45"/>
      <c r="L4087" s="45"/>
      <c r="M4087" s="45"/>
      <c r="N4087" s="45"/>
      <c r="O4087" s="45"/>
      <c r="P4087" s="45"/>
      <c r="Q4087" s="45"/>
      <c r="R4087" s="45"/>
      <c r="S4087" s="45"/>
      <c r="T4087" s="45"/>
      <c r="U4087" s="45"/>
    </row>
    <row r="4088">
      <c r="A4088" s="79" t="s">
        <v>23190</v>
      </c>
      <c r="B4088" s="45"/>
      <c r="C4088" s="79" t="s">
        <v>23191</v>
      </c>
      <c r="D4088" s="45"/>
      <c r="E4088" s="79" t="s">
        <v>5868</v>
      </c>
      <c r="F4088" s="79" t="s">
        <v>9021</v>
      </c>
      <c r="G4088" s="80" t="s">
        <v>96</v>
      </c>
      <c r="H4088" s="90">
        <v>1.33E-5</v>
      </c>
      <c r="I4088" s="45"/>
      <c r="J4088" s="45"/>
      <c r="K4088" s="45"/>
      <c r="L4088" s="45"/>
      <c r="M4088" s="45"/>
      <c r="N4088" s="45"/>
      <c r="O4088" s="45"/>
      <c r="P4088" s="45"/>
      <c r="Q4088" s="45"/>
      <c r="R4088" s="45"/>
      <c r="S4088" s="45"/>
      <c r="T4088" s="45"/>
      <c r="U4088" s="45"/>
    </row>
    <row r="4089">
      <c r="A4089" s="79" t="s">
        <v>23192</v>
      </c>
      <c r="B4089" s="45"/>
      <c r="C4089" s="79" t="s">
        <v>23193</v>
      </c>
      <c r="D4089" s="45"/>
      <c r="E4089" s="79" t="s">
        <v>8154</v>
      </c>
      <c r="F4089" s="79" t="s">
        <v>5300</v>
      </c>
      <c r="G4089" s="80" t="s">
        <v>96</v>
      </c>
      <c r="H4089" s="90">
        <v>1.3E-5</v>
      </c>
      <c r="I4089" s="45"/>
      <c r="J4089" s="45"/>
      <c r="K4089" s="45"/>
      <c r="L4089" s="45"/>
      <c r="M4089" s="45"/>
      <c r="N4089" s="45"/>
      <c r="O4089" s="45"/>
      <c r="P4089" s="45"/>
      <c r="Q4089" s="45"/>
      <c r="R4089" s="45"/>
      <c r="S4089" s="45"/>
      <c r="T4089" s="45"/>
      <c r="U4089" s="45"/>
    </row>
    <row r="4090">
      <c r="A4090" s="79" t="s">
        <v>5352</v>
      </c>
      <c r="B4090" s="45"/>
      <c r="C4090" s="79" t="s">
        <v>23194</v>
      </c>
      <c r="D4090" s="45"/>
      <c r="E4090" s="79" t="s">
        <v>6514</v>
      </c>
      <c r="F4090" s="79" t="s">
        <v>4436</v>
      </c>
      <c r="G4090" s="80" t="s">
        <v>96</v>
      </c>
      <c r="H4090" s="90">
        <v>1.3E-5</v>
      </c>
      <c r="I4090" s="45"/>
      <c r="J4090" s="45"/>
      <c r="K4090" s="45"/>
      <c r="L4090" s="45"/>
      <c r="M4090" s="45"/>
      <c r="N4090" s="45"/>
      <c r="O4090" s="45"/>
      <c r="P4090" s="45"/>
      <c r="Q4090" s="45"/>
      <c r="R4090" s="45"/>
      <c r="S4090" s="45"/>
      <c r="T4090" s="45"/>
      <c r="U4090" s="45"/>
    </row>
    <row r="4091">
      <c r="A4091" s="79" t="s">
        <v>23195</v>
      </c>
      <c r="B4091" s="45"/>
      <c r="C4091" s="79" t="s">
        <v>23196</v>
      </c>
      <c r="D4091" s="45"/>
      <c r="E4091" s="79" t="s">
        <v>5351</v>
      </c>
      <c r="F4091" s="79" t="s">
        <v>5836</v>
      </c>
      <c r="G4091" s="80" t="s">
        <v>96</v>
      </c>
      <c r="H4091" s="90">
        <v>1.3E-5</v>
      </c>
      <c r="I4091" s="45"/>
      <c r="J4091" s="45"/>
      <c r="K4091" s="45"/>
      <c r="L4091" s="45"/>
      <c r="M4091" s="45"/>
      <c r="N4091" s="45"/>
      <c r="O4091" s="45"/>
      <c r="P4091" s="45"/>
      <c r="Q4091" s="45"/>
      <c r="R4091" s="45"/>
      <c r="S4091" s="45"/>
      <c r="T4091" s="45"/>
      <c r="U4091" s="45"/>
    </row>
    <row r="4092">
      <c r="A4092" s="79" t="s">
        <v>16736</v>
      </c>
      <c r="B4092" s="45"/>
      <c r="C4092" s="79" t="s">
        <v>23197</v>
      </c>
      <c r="D4092" s="45"/>
      <c r="E4092" s="79" t="s">
        <v>5235</v>
      </c>
      <c r="F4092" s="79" t="s">
        <v>9414</v>
      </c>
      <c r="G4092" s="80" t="s">
        <v>96</v>
      </c>
      <c r="H4092" s="90">
        <v>1.28E-5</v>
      </c>
      <c r="I4092" s="45"/>
      <c r="J4092" s="45"/>
      <c r="K4092" s="45"/>
      <c r="L4092" s="45"/>
      <c r="M4092" s="45"/>
      <c r="N4092" s="45"/>
      <c r="O4092" s="45"/>
      <c r="P4092" s="45"/>
      <c r="Q4092" s="45"/>
      <c r="R4092" s="45"/>
      <c r="S4092" s="45"/>
      <c r="T4092" s="45"/>
      <c r="U4092" s="45"/>
    </row>
    <row r="4093">
      <c r="A4093" s="79" t="s">
        <v>23198</v>
      </c>
      <c r="B4093" s="45"/>
      <c r="C4093" s="79" t="s">
        <v>23199</v>
      </c>
      <c r="D4093" s="45"/>
      <c r="E4093" s="79" t="s">
        <v>5478</v>
      </c>
      <c r="F4093" s="79" t="s">
        <v>5300</v>
      </c>
      <c r="G4093" s="80" t="s">
        <v>96</v>
      </c>
      <c r="H4093" s="90">
        <v>1.27E-5</v>
      </c>
      <c r="I4093" s="45"/>
      <c r="J4093" s="45"/>
      <c r="K4093" s="45"/>
      <c r="L4093" s="45"/>
      <c r="M4093" s="45"/>
      <c r="N4093" s="45"/>
      <c r="O4093" s="45"/>
      <c r="P4093" s="45"/>
      <c r="Q4093" s="45"/>
      <c r="R4093" s="45"/>
      <c r="S4093" s="45"/>
      <c r="T4093" s="45"/>
      <c r="U4093" s="45"/>
    </row>
    <row r="4094">
      <c r="A4094" s="79" t="s">
        <v>23200</v>
      </c>
      <c r="B4094" s="45"/>
      <c r="C4094" s="79" t="s">
        <v>23201</v>
      </c>
      <c r="D4094" s="45"/>
      <c r="E4094" s="79" t="s">
        <v>5478</v>
      </c>
      <c r="F4094" s="79" t="s">
        <v>5747</v>
      </c>
      <c r="G4094" s="80" t="s">
        <v>96</v>
      </c>
      <c r="H4094" s="90">
        <v>1.24E-5</v>
      </c>
      <c r="I4094" s="45"/>
      <c r="J4094" s="45"/>
      <c r="K4094" s="45"/>
      <c r="L4094" s="45"/>
      <c r="M4094" s="45"/>
      <c r="N4094" s="45"/>
      <c r="O4094" s="45"/>
      <c r="P4094" s="45"/>
      <c r="Q4094" s="45"/>
      <c r="R4094" s="45"/>
      <c r="S4094" s="45"/>
      <c r="T4094" s="45"/>
      <c r="U4094" s="45"/>
    </row>
    <row r="4095">
      <c r="A4095" s="79" t="s">
        <v>4381</v>
      </c>
      <c r="B4095" s="45"/>
      <c r="C4095" s="79" t="s">
        <v>23202</v>
      </c>
      <c r="D4095" s="45"/>
      <c r="E4095" s="79" t="s">
        <v>8230</v>
      </c>
      <c r="F4095" s="79" t="s">
        <v>4357</v>
      </c>
      <c r="G4095" s="80" t="s">
        <v>96</v>
      </c>
      <c r="H4095" s="90">
        <v>1.24E-5</v>
      </c>
      <c r="I4095" s="45"/>
      <c r="J4095" s="45"/>
      <c r="K4095" s="45"/>
      <c r="L4095" s="45"/>
      <c r="M4095" s="45"/>
      <c r="N4095" s="45"/>
      <c r="O4095" s="45"/>
      <c r="P4095" s="45"/>
      <c r="Q4095" s="45"/>
      <c r="R4095" s="45"/>
      <c r="S4095" s="45"/>
      <c r="T4095" s="45"/>
      <c r="U4095" s="45"/>
    </row>
    <row r="4096">
      <c r="A4096" s="79" t="s">
        <v>23203</v>
      </c>
      <c r="B4096" s="45"/>
      <c r="C4096" s="79" t="s">
        <v>23204</v>
      </c>
      <c r="D4096" s="45"/>
      <c r="E4096" s="79" t="s">
        <v>5561</v>
      </c>
      <c r="F4096" s="79" t="s">
        <v>9021</v>
      </c>
      <c r="G4096" s="80" t="s">
        <v>96</v>
      </c>
      <c r="H4096" s="90">
        <v>1.2E-5</v>
      </c>
      <c r="I4096" s="45"/>
      <c r="J4096" s="45"/>
      <c r="K4096" s="45"/>
      <c r="L4096" s="45"/>
      <c r="M4096" s="45"/>
      <c r="N4096" s="45"/>
      <c r="O4096" s="45"/>
      <c r="P4096" s="45"/>
      <c r="Q4096" s="45"/>
      <c r="R4096" s="45"/>
      <c r="S4096" s="45"/>
      <c r="T4096" s="45"/>
      <c r="U4096" s="45"/>
    </row>
    <row r="4097">
      <c r="A4097" s="79" t="s">
        <v>23205</v>
      </c>
      <c r="B4097" s="45"/>
      <c r="C4097" s="79" t="s">
        <v>23206</v>
      </c>
      <c r="D4097" s="45"/>
      <c r="E4097" s="79" t="s">
        <v>5478</v>
      </c>
      <c r="F4097" s="79" t="s">
        <v>5300</v>
      </c>
      <c r="G4097" s="80" t="s">
        <v>96</v>
      </c>
      <c r="H4097" s="90">
        <v>1.2E-5</v>
      </c>
      <c r="I4097" s="45"/>
      <c r="J4097" s="45"/>
      <c r="K4097" s="45"/>
      <c r="L4097" s="45"/>
      <c r="M4097" s="45"/>
      <c r="N4097" s="45"/>
      <c r="O4097" s="45"/>
      <c r="P4097" s="45"/>
      <c r="Q4097" s="45"/>
      <c r="R4097" s="45"/>
      <c r="S4097" s="45"/>
      <c r="T4097" s="45"/>
      <c r="U4097" s="45"/>
    </row>
    <row r="4098">
      <c r="A4098" s="79" t="s">
        <v>23207</v>
      </c>
      <c r="B4098" s="45"/>
      <c r="C4098" s="79" t="s">
        <v>23208</v>
      </c>
      <c r="D4098" s="45"/>
      <c r="E4098" s="79" t="s">
        <v>6798</v>
      </c>
      <c r="F4098" s="79" t="s">
        <v>8784</v>
      </c>
      <c r="G4098" s="80" t="s">
        <v>96</v>
      </c>
      <c r="H4098" s="90">
        <v>1.2E-5</v>
      </c>
      <c r="I4098" s="45"/>
      <c r="J4098" s="45"/>
      <c r="K4098" s="45"/>
      <c r="L4098" s="45"/>
      <c r="M4098" s="45"/>
      <c r="N4098" s="45"/>
      <c r="O4098" s="45"/>
      <c r="P4098" s="45"/>
      <c r="Q4098" s="45"/>
      <c r="R4098" s="45"/>
      <c r="S4098" s="45"/>
      <c r="T4098" s="45"/>
      <c r="U4098" s="45"/>
    </row>
    <row r="4099">
      <c r="A4099" s="79" t="s">
        <v>23209</v>
      </c>
      <c r="B4099" s="45"/>
      <c r="C4099" s="79" t="s">
        <v>23210</v>
      </c>
      <c r="D4099" s="45"/>
      <c r="E4099" s="79" t="s">
        <v>5811</v>
      </c>
      <c r="F4099" s="79" t="s">
        <v>8784</v>
      </c>
      <c r="G4099" s="80" t="s">
        <v>96</v>
      </c>
      <c r="H4099" s="90">
        <v>1.11E-5</v>
      </c>
      <c r="I4099" s="45"/>
      <c r="J4099" s="45"/>
      <c r="K4099" s="45"/>
      <c r="L4099" s="45"/>
      <c r="M4099" s="45"/>
      <c r="N4099" s="45"/>
      <c r="O4099" s="45"/>
      <c r="P4099" s="45"/>
      <c r="Q4099" s="45"/>
      <c r="R4099" s="45"/>
      <c r="S4099" s="45"/>
      <c r="T4099" s="45"/>
      <c r="U4099" s="45"/>
    </row>
    <row r="4100">
      <c r="A4100" s="79" t="s">
        <v>6606</v>
      </c>
      <c r="B4100" s="45"/>
      <c r="C4100" s="79" t="s">
        <v>23211</v>
      </c>
      <c r="D4100" s="45"/>
      <c r="E4100" s="79" t="s">
        <v>5964</v>
      </c>
      <c r="F4100" s="79" t="s">
        <v>4357</v>
      </c>
      <c r="G4100" s="80" t="s">
        <v>96</v>
      </c>
      <c r="H4100" s="90">
        <v>1.09E-5</v>
      </c>
      <c r="I4100" s="45"/>
      <c r="J4100" s="45"/>
      <c r="K4100" s="45"/>
      <c r="L4100" s="45"/>
      <c r="M4100" s="45"/>
      <c r="N4100" s="45"/>
      <c r="O4100" s="45"/>
      <c r="P4100" s="45"/>
      <c r="Q4100" s="45"/>
      <c r="R4100" s="45"/>
      <c r="S4100" s="45"/>
      <c r="T4100" s="45"/>
      <c r="U4100" s="45"/>
    </row>
    <row r="4101">
      <c r="A4101" s="79" t="s">
        <v>23212</v>
      </c>
      <c r="B4101" s="45"/>
      <c r="C4101" s="79" t="s">
        <v>23213</v>
      </c>
      <c r="D4101" s="45"/>
      <c r="E4101" s="79" t="s">
        <v>5478</v>
      </c>
      <c r="F4101" s="79" t="s">
        <v>8784</v>
      </c>
      <c r="G4101" s="80" t="s">
        <v>96</v>
      </c>
      <c r="H4101" s="90">
        <v>1.04E-5</v>
      </c>
      <c r="I4101" s="45"/>
      <c r="J4101" s="45"/>
      <c r="K4101" s="45"/>
      <c r="L4101" s="45"/>
      <c r="M4101" s="45"/>
      <c r="N4101" s="45"/>
      <c r="O4101" s="45"/>
      <c r="P4101" s="45"/>
      <c r="Q4101" s="45"/>
      <c r="R4101" s="45"/>
      <c r="S4101" s="45"/>
      <c r="T4101" s="45"/>
      <c r="U4101" s="45"/>
    </row>
    <row r="4102">
      <c r="A4102" s="79" t="s">
        <v>23214</v>
      </c>
      <c r="B4102" s="45"/>
      <c r="C4102" s="79" t="s">
        <v>23215</v>
      </c>
      <c r="D4102" s="45"/>
      <c r="E4102" s="79" t="s">
        <v>5395</v>
      </c>
      <c r="F4102" s="79" t="s">
        <v>8784</v>
      </c>
      <c r="G4102" s="80" t="s">
        <v>96</v>
      </c>
      <c r="H4102" s="90">
        <v>1.04E-5</v>
      </c>
      <c r="I4102" s="45"/>
      <c r="J4102" s="45"/>
      <c r="K4102" s="45"/>
      <c r="L4102" s="45"/>
      <c r="M4102" s="45"/>
      <c r="N4102" s="45"/>
      <c r="O4102" s="45"/>
      <c r="P4102" s="45"/>
      <c r="Q4102" s="45"/>
      <c r="R4102" s="45"/>
      <c r="S4102" s="45"/>
      <c r="T4102" s="45"/>
      <c r="U4102" s="45"/>
    </row>
    <row r="4103">
      <c r="A4103" s="79" t="s">
        <v>23216</v>
      </c>
      <c r="B4103" s="45"/>
      <c r="C4103" s="79" t="s">
        <v>23217</v>
      </c>
      <c r="D4103" s="45"/>
      <c r="E4103" s="79" t="s">
        <v>5478</v>
      </c>
      <c r="F4103" s="79" t="s">
        <v>5836</v>
      </c>
      <c r="G4103" s="80" t="s">
        <v>96</v>
      </c>
      <c r="H4103" s="90">
        <v>1.03E-5</v>
      </c>
      <c r="I4103" s="45"/>
      <c r="J4103" s="45"/>
      <c r="K4103" s="45"/>
      <c r="L4103" s="45"/>
      <c r="M4103" s="45"/>
      <c r="N4103" s="45"/>
      <c r="O4103" s="45"/>
      <c r="P4103" s="45"/>
      <c r="Q4103" s="45"/>
      <c r="R4103" s="45"/>
      <c r="S4103" s="45"/>
      <c r="T4103" s="45"/>
      <c r="U4103" s="45"/>
    </row>
    <row r="4104">
      <c r="A4104" s="79" t="s">
        <v>23218</v>
      </c>
      <c r="B4104" s="45"/>
      <c r="C4104" s="79" t="s">
        <v>23219</v>
      </c>
      <c r="D4104" s="45"/>
      <c r="E4104" s="79" t="s">
        <v>5561</v>
      </c>
      <c r="F4104" s="79" t="s">
        <v>6210</v>
      </c>
      <c r="G4104" s="80" t="s">
        <v>96</v>
      </c>
      <c r="H4104" s="90">
        <v>1.02E-5</v>
      </c>
      <c r="I4104" s="45"/>
      <c r="J4104" s="45"/>
      <c r="K4104" s="45"/>
      <c r="L4104" s="45"/>
      <c r="M4104" s="45"/>
      <c r="N4104" s="45"/>
      <c r="O4104" s="45"/>
      <c r="P4104" s="45"/>
      <c r="Q4104" s="45"/>
      <c r="R4104" s="45"/>
      <c r="S4104" s="45"/>
      <c r="T4104" s="45"/>
      <c r="U4104" s="45"/>
    </row>
    <row r="4105">
      <c r="A4105" s="79" t="s">
        <v>23220</v>
      </c>
      <c r="B4105" s="45"/>
      <c r="C4105" s="79" t="s">
        <v>23221</v>
      </c>
      <c r="D4105" s="45"/>
      <c r="E4105" s="79" t="s">
        <v>5775</v>
      </c>
      <c r="F4105" s="79" t="s">
        <v>8784</v>
      </c>
      <c r="G4105" s="80" t="s">
        <v>96</v>
      </c>
      <c r="H4105" s="90">
        <v>9.9E-6</v>
      </c>
      <c r="I4105" s="45"/>
      <c r="J4105" s="45"/>
      <c r="K4105" s="45"/>
      <c r="L4105" s="45"/>
      <c r="M4105" s="45"/>
      <c r="N4105" s="45"/>
      <c r="O4105" s="45"/>
      <c r="P4105" s="45"/>
      <c r="Q4105" s="45"/>
      <c r="R4105" s="45"/>
      <c r="S4105" s="45"/>
      <c r="T4105" s="45"/>
      <c r="U4105" s="45"/>
    </row>
    <row r="4106">
      <c r="A4106" s="79" t="s">
        <v>23222</v>
      </c>
      <c r="B4106" s="45"/>
      <c r="C4106" s="79" t="s">
        <v>23223</v>
      </c>
      <c r="D4106" s="45"/>
      <c r="E4106" s="79" t="s">
        <v>5478</v>
      </c>
      <c r="F4106" s="79" t="s">
        <v>5300</v>
      </c>
      <c r="G4106" s="80" t="s">
        <v>96</v>
      </c>
      <c r="H4106" s="90">
        <v>9.8E-6</v>
      </c>
      <c r="I4106" s="45"/>
      <c r="J4106" s="45"/>
      <c r="K4106" s="45"/>
      <c r="L4106" s="45"/>
      <c r="M4106" s="45"/>
      <c r="N4106" s="45"/>
      <c r="O4106" s="45"/>
      <c r="P4106" s="45"/>
      <c r="Q4106" s="45"/>
      <c r="R4106" s="45"/>
      <c r="S4106" s="45"/>
      <c r="T4106" s="45"/>
      <c r="U4106" s="45"/>
    </row>
    <row r="4107">
      <c r="A4107" s="79" t="s">
        <v>23224</v>
      </c>
      <c r="B4107" s="45"/>
      <c r="C4107" s="79" t="s">
        <v>23225</v>
      </c>
      <c r="D4107" s="45"/>
      <c r="E4107" s="79" t="s">
        <v>5589</v>
      </c>
      <c r="F4107" s="79" t="s">
        <v>5747</v>
      </c>
      <c r="G4107" s="80" t="s">
        <v>96</v>
      </c>
      <c r="H4107" s="90">
        <v>9.5E-6</v>
      </c>
      <c r="I4107" s="45"/>
      <c r="J4107" s="45"/>
      <c r="K4107" s="45"/>
      <c r="L4107" s="45"/>
      <c r="M4107" s="45"/>
      <c r="N4107" s="45"/>
      <c r="O4107" s="45"/>
      <c r="P4107" s="45"/>
      <c r="Q4107" s="45"/>
      <c r="R4107" s="45"/>
      <c r="S4107" s="45"/>
      <c r="T4107" s="45"/>
      <c r="U4107" s="45"/>
    </row>
    <row r="4108">
      <c r="A4108" s="79" t="s">
        <v>23226</v>
      </c>
      <c r="B4108" s="45"/>
      <c r="C4108" s="79" t="s">
        <v>23227</v>
      </c>
      <c r="D4108" s="45"/>
      <c r="E4108" s="79" t="s">
        <v>5326</v>
      </c>
      <c r="F4108" s="79" t="s">
        <v>8784</v>
      </c>
      <c r="G4108" s="80" t="s">
        <v>96</v>
      </c>
      <c r="H4108" s="90">
        <v>9.1E-6</v>
      </c>
      <c r="I4108" s="45"/>
      <c r="J4108" s="45"/>
      <c r="K4108" s="45"/>
      <c r="L4108" s="45"/>
      <c r="M4108" s="45"/>
      <c r="N4108" s="45"/>
      <c r="O4108" s="45"/>
      <c r="P4108" s="45"/>
      <c r="Q4108" s="45"/>
      <c r="R4108" s="45"/>
      <c r="S4108" s="45"/>
      <c r="T4108" s="45"/>
      <c r="U4108" s="45"/>
    </row>
    <row r="4109">
      <c r="A4109" s="79" t="s">
        <v>23228</v>
      </c>
      <c r="B4109" s="45"/>
      <c r="C4109" s="79" t="s">
        <v>23229</v>
      </c>
      <c r="D4109" s="45"/>
      <c r="E4109" s="79" t="s">
        <v>5756</v>
      </c>
      <c r="F4109" s="79" t="s">
        <v>9414</v>
      </c>
      <c r="G4109" s="80" t="s">
        <v>96</v>
      </c>
      <c r="H4109" s="90">
        <v>9.0E-6</v>
      </c>
      <c r="I4109" s="45"/>
      <c r="J4109" s="45"/>
      <c r="K4109" s="45"/>
      <c r="L4109" s="45"/>
      <c r="M4109" s="45"/>
      <c r="N4109" s="45"/>
      <c r="O4109" s="45"/>
      <c r="P4109" s="45"/>
      <c r="Q4109" s="45"/>
      <c r="R4109" s="45"/>
      <c r="S4109" s="45"/>
      <c r="T4109" s="45"/>
      <c r="U4109" s="45"/>
    </row>
    <row r="4110">
      <c r="A4110" s="79" t="s">
        <v>23230</v>
      </c>
      <c r="B4110" s="45"/>
      <c r="C4110" s="79" t="s">
        <v>23231</v>
      </c>
      <c r="D4110" s="45"/>
      <c r="E4110" s="79" t="s">
        <v>5478</v>
      </c>
      <c r="F4110" s="79" t="s">
        <v>5300</v>
      </c>
      <c r="G4110" s="80" t="s">
        <v>96</v>
      </c>
      <c r="H4110" s="90">
        <v>8.8E-6</v>
      </c>
      <c r="I4110" s="45"/>
      <c r="J4110" s="45"/>
      <c r="K4110" s="45"/>
      <c r="L4110" s="45"/>
      <c r="M4110" s="45"/>
      <c r="N4110" s="45"/>
      <c r="O4110" s="45"/>
      <c r="P4110" s="45"/>
      <c r="Q4110" s="45"/>
      <c r="R4110" s="45"/>
      <c r="S4110" s="45"/>
      <c r="T4110" s="45"/>
      <c r="U4110" s="45"/>
    </row>
    <row r="4111">
      <c r="A4111" s="79" t="s">
        <v>23232</v>
      </c>
      <c r="B4111" s="45"/>
      <c r="C4111" s="79" t="s">
        <v>23233</v>
      </c>
      <c r="D4111" s="45"/>
      <c r="E4111" s="79" t="s">
        <v>5395</v>
      </c>
      <c r="F4111" s="79" t="s">
        <v>8784</v>
      </c>
      <c r="G4111" s="80" t="s">
        <v>96</v>
      </c>
      <c r="H4111" s="90">
        <v>8.5E-6</v>
      </c>
      <c r="I4111" s="45"/>
      <c r="J4111" s="45"/>
      <c r="K4111" s="45"/>
      <c r="L4111" s="45"/>
      <c r="M4111" s="45"/>
      <c r="N4111" s="45"/>
      <c r="O4111" s="45"/>
      <c r="P4111" s="45"/>
      <c r="Q4111" s="45"/>
      <c r="R4111" s="45"/>
      <c r="S4111" s="45"/>
      <c r="T4111" s="45"/>
      <c r="U4111" s="45"/>
    </row>
    <row r="4112">
      <c r="A4112" s="79" t="s">
        <v>23234</v>
      </c>
      <c r="B4112" s="45"/>
      <c r="C4112" s="79" t="s">
        <v>23235</v>
      </c>
      <c r="D4112" s="45"/>
      <c r="E4112" s="79" t="s">
        <v>5450</v>
      </c>
      <c r="F4112" s="79" t="s">
        <v>8784</v>
      </c>
      <c r="G4112" s="80" t="s">
        <v>96</v>
      </c>
      <c r="H4112" s="90">
        <v>8.2E-6</v>
      </c>
      <c r="I4112" s="45"/>
      <c r="J4112" s="45"/>
      <c r="K4112" s="45"/>
      <c r="L4112" s="45"/>
      <c r="M4112" s="45"/>
      <c r="N4112" s="45"/>
      <c r="O4112" s="45"/>
      <c r="P4112" s="45"/>
      <c r="Q4112" s="45"/>
      <c r="R4112" s="45"/>
      <c r="S4112" s="45"/>
      <c r="T4112" s="45"/>
      <c r="U4112" s="45"/>
    </row>
    <row r="4113">
      <c r="A4113" s="79" t="s">
        <v>23236</v>
      </c>
      <c r="B4113" s="45"/>
      <c r="C4113" s="79" t="s">
        <v>23237</v>
      </c>
      <c r="D4113" s="45"/>
      <c r="E4113" s="79" t="s">
        <v>5715</v>
      </c>
      <c r="F4113" s="79" t="s">
        <v>8784</v>
      </c>
      <c r="G4113" s="80" t="s">
        <v>96</v>
      </c>
      <c r="H4113" s="90">
        <v>7.9E-6</v>
      </c>
      <c r="I4113" s="45"/>
      <c r="J4113" s="45"/>
      <c r="K4113" s="45"/>
      <c r="L4113" s="45"/>
      <c r="M4113" s="45"/>
      <c r="N4113" s="45"/>
      <c r="O4113" s="45"/>
      <c r="P4113" s="45"/>
      <c r="Q4113" s="45"/>
      <c r="R4113" s="45"/>
      <c r="S4113" s="45"/>
      <c r="T4113" s="45"/>
      <c r="U4113" s="45"/>
    </row>
    <row r="4114">
      <c r="A4114" s="79" t="s">
        <v>23238</v>
      </c>
      <c r="B4114" s="45"/>
      <c r="C4114" s="79" t="s">
        <v>23239</v>
      </c>
      <c r="D4114" s="45"/>
      <c r="E4114" s="79" t="s">
        <v>5326</v>
      </c>
      <c r="F4114" s="79" t="s">
        <v>8784</v>
      </c>
      <c r="G4114" s="80" t="s">
        <v>96</v>
      </c>
      <c r="H4114" s="90">
        <v>6.8E-6</v>
      </c>
      <c r="I4114" s="45"/>
      <c r="J4114" s="45"/>
      <c r="K4114" s="45"/>
      <c r="L4114" s="45"/>
      <c r="M4114" s="45"/>
      <c r="N4114" s="45"/>
      <c r="O4114" s="45"/>
      <c r="P4114" s="45"/>
      <c r="Q4114" s="45"/>
      <c r="R4114" s="45"/>
      <c r="S4114" s="45"/>
      <c r="T4114" s="45"/>
      <c r="U4114" s="45"/>
    </row>
    <row r="4115">
      <c r="A4115" s="79" t="s">
        <v>23240</v>
      </c>
      <c r="B4115" s="45"/>
      <c r="C4115" s="79" t="s">
        <v>23241</v>
      </c>
      <c r="D4115" s="45"/>
      <c r="E4115" s="79" t="s">
        <v>5478</v>
      </c>
      <c r="F4115" s="79" t="s">
        <v>5300</v>
      </c>
      <c r="G4115" s="80" t="s">
        <v>96</v>
      </c>
      <c r="H4115" s="90">
        <v>6.1E-6</v>
      </c>
      <c r="I4115" s="45"/>
      <c r="J4115" s="45"/>
      <c r="K4115" s="45"/>
      <c r="L4115" s="45"/>
      <c r="M4115" s="45"/>
      <c r="N4115" s="45"/>
      <c r="O4115" s="45"/>
      <c r="P4115" s="45"/>
      <c r="Q4115" s="45"/>
      <c r="R4115" s="45"/>
      <c r="S4115" s="45"/>
      <c r="T4115" s="45"/>
      <c r="U4115" s="45"/>
    </row>
    <row r="4116">
      <c r="A4116" s="79" t="s">
        <v>6260</v>
      </c>
      <c r="B4116" s="45"/>
      <c r="C4116" s="79" t="s">
        <v>23242</v>
      </c>
      <c r="D4116" s="45"/>
      <c r="E4116" s="79" t="s">
        <v>6260</v>
      </c>
      <c r="F4116" s="79" t="s">
        <v>5300</v>
      </c>
      <c r="G4116" s="80" t="s">
        <v>96</v>
      </c>
      <c r="H4116" s="90">
        <v>5.0E-6</v>
      </c>
      <c r="I4116" s="45"/>
      <c r="J4116" s="45"/>
      <c r="K4116" s="45"/>
      <c r="L4116" s="45"/>
      <c r="M4116" s="45"/>
      <c r="N4116" s="45"/>
      <c r="O4116" s="45"/>
      <c r="P4116" s="45"/>
      <c r="Q4116" s="45"/>
      <c r="R4116" s="45"/>
      <c r="S4116" s="45"/>
      <c r="T4116" s="45"/>
      <c r="U4116" s="45"/>
    </row>
    <row r="4117">
      <c r="A4117" s="79" t="s">
        <v>23243</v>
      </c>
      <c r="B4117" s="45"/>
      <c r="C4117" s="79" t="s">
        <v>23244</v>
      </c>
      <c r="D4117" s="45"/>
      <c r="E4117" s="79" t="s">
        <v>5775</v>
      </c>
      <c r="F4117" s="79" t="s">
        <v>5300</v>
      </c>
      <c r="G4117" s="80" t="s">
        <v>96</v>
      </c>
      <c r="H4117" s="90">
        <v>3.9E-6</v>
      </c>
      <c r="I4117" s="45"/>
      <c r="J4117" s="45"/>
      <c r="K4117" s="45"/>
      <c r="L4117" s="45"/>
      <c r="M4117" s="45"/>
      <c r="N4117" s="45"/>
      <c r="O4117" s="45"/>
      <c r="P4117" s="45"/>
      <c r="Q4117" s="45"/>
      <c r="R4117" s="45"/>
      <c r="S4117" s="45"/>
      <c r="T4117" s="45"/>
      <c r="U4117" s="45"/>
    </row>
    <row r="4118">
      <c r="A4118" s="79" t="s">
        <v>23245</v>
      </c>
      <c r="B4118" s="45"/>
      <c r="C4118" s="79" t="s">
        <v>23115</v>
      </c>
      <c r="D4118" s="45"/>
      <c r="E4118" s="79" t="s">
        <v>6759</v>
      </c>
      <c r="F4118" s="79" t="s">
        <v>5747</v>
      </c>
      <c r="G4118" s="80" t="s">
        <v>96</v>
      </c>
      <c r="H4118" s="90">
        <v>2.7E-6</v>
      </c>
      <c r="I4118" s="45"/>
      <c r="J4118" s="45"/>
      <c r="K4118" s="45"/>
      <c r="L4118" s="45"/>
      <c r="M4118" s="45"/>
      <c r="N4118" s="45"/>
      <c r="O4118" s="45"/>
      <c r="P4118" s="45"/>
      <c r="Q4118" s="45"/>
      <c r="R4118" s="45"/>
      <c r="S4118" s="45"/>
      <c r="T4118" s="45"/>
      <c r="U4118" s="45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35" t="s">
        <v>80</v>
      </c>
      <c r="B1" s="35" t="s">
        <v>81</v>
      </c>
      <c r="C1" s="35" t="s">
        <v>82</v>
      </c>
      <c r="D1" s="35" t="s">
        <v>83</v>
      </c>
      <c r="E1" s="35" t="s">
        <v>84</v>
      </c>
      <c r="F1" s="35" t="s">
        <v>85</v>
      </c>
      <c r="G1" s="35" t="s">
        <v>86</v>
      </c>
      <c r="H1" s="37" t="s">
        <v>87</v>
      </c>
      <c r="I1" s="37" t="s">
        <v>88</v>
      </c>
      <c r="J1" s="37" t="s">
        <v>89</v>
      </c>
      <c r="K1" s="35" t="s">
        <v>90</v>
      </c>
    </row>
    <row r="3">
      <c r="C3" s="54" t="s">
        <v>3952</v>
      </c>
    </row>
  </sheetData>
  <drawing r:id="rId1"/>
</worksheet>
</file>